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tpwesternodisha-my.sharepoint.com/personal/akankshaya_panda_tpwesternodisha_com/Documents/Regulatory/ARR/ARR FY 24-25/FINAL/To OERC/ARR FY 24-25/VOL-I/"/>
    </mc:Choice>
  </mc:AlternateContent>
  <xr:revisionPtr revIDLastSave="26" documentId="13_ncr:1_{76CF92A0-9D8C-4635-9247-6D2B767D28A3}" xr6:coauthVersionLast="47" xr6:coauthVersionMax="47" xr10:uidLastSave="{00635E16-92D8-4DBD-844D-468A1C986E2A}"/>
  <bookViews>
    <workbookView xWindow="-110" yWindow="-110" windowWidth="19420" windowHeight="10420" tabRatio="652" firstSheet="18" activeTab="29" xr2:uid="{00000000-000D-0000-FFFF-FFFF00000000}"/>
  </bookViews>
  <sheets>
    <sheet name="T-1" sheetId="58" r:id="rId1"/>
    <sheet name="T-2(22-23)" sheetId="365" r:id="rId2"/>
    <sheet name="T-2(1st six mth)" sheetId="358" r:id="rId3"/>
    <sheet name="T-3(22-23)" sheetId="366" r:id="rId4"/>
    <sheet name="T-3(1st six mth)" sheetId="360" r:id="rId5"/>
    <sheet name="T-4 " sheetId="345" r:id="rId6"/>
    <sheet name="T-5" sheetId="367" r:id="rId7"/>
    <sheet name="T-6" sheetId="347" r:id="rId8"/>
    <sheet name="T-6 (six mth)" sheetId="346" r:id="rId9"/>
    <sheet name="T-7" sheetId="163" r:id="rId10"/>
    <sheet name="T-7 (Curr)" sheetId="198" r:id="rId11"/>
    <sheet name="T-8" sheetId="159" r:id="rId12"/>
    <sheet name="T-9 " sheetId="356" r:id="rId13"/>
    <sheet name=" F-1 " sheetId="7" r:id="rId14"/>
    <sheet name=" F-1(b) " sheetId="381" r:id="rId15"/>
    <sheet name="F-2" sheetId="8" r:id="rId16"/>
    <sheet name="F-3" sheetId="9" r:id="rId17"/>
    <sheet name="F-4" sheetId="277" r:id="rId18"/>
    <sheet name="F-4(b)" sheetId="370" r:id="rId19"/>
    <sheet name="F-5" sheetId="13" r:id="rId20"/>
    <sheet name="F-6" sheetId="173" r:id="rId21"/>
    <sheet name="F-7" sheetId="155" r:id="rId22"/>
    <sheet name="F-8" sheetId="139" r:id="rId23"/>
    <sheet name="F-9" sheetId="23" r:id="rId24"/>
    <sheet name="F-9(b)" sheetId="371" r:id="rId25"/>
    <sheet name="F-10" sheetId="157" r:id="rId26"/>
    <sheet name="F-11" sheetId="26" r:id="rId27"/>
    <sheet name="F-12" sheetId="27" r:id="rId28"/>
    <sheet name="F-12(b)" sheetId="372" r:id="rId29"/>
    <sheet name="F-12(c)" sheetId="373" r:id="rId30"/>
    <sheet name="F-12(d)" sheetId="374" r:id="rId31"/>
    <sheet name="F-12(e)" sheetId="382" r:id="rId32"/>
    <sheet name="F-13" sheetId="82" r:id="rId33"/>
    <sheet name="F-13(a)" sheetId="376" r:id="rId34"/>
    <sheet name="F-14" sheetId="83" r:id="rId35"/>
    <sheet name="F-15" sheetId="156" r:id="rId36"/>
    <sheet name="F-16" sheetId="86" r:id="rId37"/>
    <sheet name="F-17" sheetId="87" r:id="rId38"/>
    <sheet name="F-18" sheetId="90" r:id="rId39"/>
    <sheet name="F-19" sheetId="95" r:id="rId40"/>
    <sheet name="F-20" sheetId="96" r:id="rId41"/>
    <sheet name="F-21" sheetId="97" r:id="rId42"/>
    <sheet name="F-22" sheetId="98" r:id="rId43"/>
    <sheet name="F-23 CASHFLOW" sheetId="101" r:id="rId44"/>
    <sheet name="F-24" sheetId="278" r:id="rId45"/>
    <sheet name="F-25" sheetId="274" r:id="rId46"/>
    <sheet name="F-26 " sheetId="283" r:id="rId47"/>
    <sheet name="F-27(22-23)" sheetId="363" r:id="rId48"/>
    <sheet name="F-27(23-24)" sheetId="364" r:id="rId49"/>
    <sheet name="Cost Allocation" sheetId="303" r:id="rId50"/>
    <sheet name="Demography" sheetId="255" r:id="rId51"/>
    <sheet name="Tariff 24-25" sheetId="362" r:id="rId52"/>
    <sheet name="loan&amp;int" sheetId="140" r:id="rId53"/>
    <sheet name="DEPCAL" sheetId="3" r:id="rId54"/>
    <sheet name="CWIP" sheetId="141" r:id="rId55"/>
    <sheet name="ppt-1" sheetId="319" r:id="rId56"/>
    <sheet name="summary" sheetId="307" r:id="rId57"/>
    <sheet name="Sheet1" sheetId="197" r:id="rId58"/>
    <sheet name="Sheet2" sheetId="200" r:id="rId59"/>
    <sheet name="Sheet3" sheetId="204" r:id="rId60"/>
    <sheet name="Sheet4" sheetId="211" r:id="rId61"/>
    <sheet name="Sheet5" sheetId="383" r:id="rId62"/>
    <sheet name="Current yr GAP" sheetId="222" state="hidden" r:id="rId63"/>
    <sheet name="truing 20-21" sheetId="227" state="hidden" r:id="rId64"/>
    <sheet name="PPt-3" sheetId="321" r:id="rId65"/>
    <sheet name="ppt-2" sheetId="320" r:id="rId66"/>
    <sheet name="Revenue gap" sheetId="368" r:id="rId67"/>
  </sheets>
  <externalReferences>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definedNames>
    <definedName name="__xlfn.BAHTTEXT" hidden="1">#NAME?</definedName>
    <definedName name="_xlnm._FilterDatabase" localSheetId="12" hidden="1">'T-9 '!$A$55:$BC$210</definedName>
    <definedName name="a" localSheetId="1">'[1]A&amp;G Expenses'!#REF!</definedName>
    <definedName name="a" localSheetId="3">'[1]A&amp;G Expenses'!#REF!</definedName>
    <definedName name="a" localSheetId="6">'[1]A&amp;G Expenses'!#REF!</definedName>
    <definedName name="a" localSheetId="12">'[1]A&amp;G Expenses'!#REF!</definedName>
    <definedName name="a" localSheetId="51">'[1]A&amp;G Expenses'!#REF!</definedName>
    <definedName name="a">'[1]A&amp;G Expenses'!#REF!</definedName>
    <definedName name="Admn_and_General_Expenses" localSheetId="44">'[2]A&amp;G Expenses'!#REF!</definedName>
    <definedName name="Admn_and_General_Expenses" localSheetId="46">'[2]A&amp;G Expenses'!#REF!</definedName>
    <definedName name="Admn_and_General_Expenses" localSheetId="17">'[3]A&amp;G Expenses'!#REF!</definedName>
    <definedName name="Admn_and_General_Expenses" localSheetId="18">'[3]A&amp;G Expenses'!#REF!</definedName>
    <definedName name="Admn_and_General_Expenses" localSheetId="20">'[4]A&amp;G Expenses'!#REF!</definedName>
    <definedName name="Admn_and_General_Expenses" localSheetId="1">'[5]A&amp;G Expenses'!#REF!</definedName>
    <definedName name="Admn_and_General_Expenses" localSheetId="3">'[5]A&amp;G Expenses'!#REF!</definedName>
    <definedName name="Admn_and_General_Expenses" localSheetId="6">'[5]A&amp;G Expenses'!#REF!</definedName>
    <definedName name="Admn_and_General_Expenses" localSheetId="12">'[6]A&amp;G Expenses'!#REF!</definedName>
    <definedName name="Admn_and_General_Expenses" localSheetId="63">'[4]A&amp;G Expenses'!#REF!</definedName>
    <definedName name="Admn_and_General_Expenses">'[6]A&amp;G Expenses'!#REF!</definedName>
    <definedName name="Allocation_of_expenses" localSheetId="44">'[2]Allocation LT HT EHT'!#REF!</definedName>
    <definedName name="Allocation_of_expenses" localSheetId="46">'[2]Allocation LT HT EHT'!#REF!</definedName>
    <definedName name="Allocation_of_expenses" localSheetId="17">'[3]Allocation LT HT EHT'!#REF!</definedName>
    <definedName name="Allocation_of_expenses" localSheetId="18">'[3]Allocation LT HT EHT'!#REF!</definedName>
    <definedName name="Allocation_of_expenses" localSheetId="20">'[4]Allocation LT HT EHT'!#REF!</definedName>
    <definedName name="Allocation_of_expenses" localSheetId="1">'[5]Allocation LT HT EHT'!#REF!</definedName>
    <definedName name="Allocation_of_expenses" localSheetId="3">'[5]Allocation LT HT EHT'!#REF!</definedName>
    <definedName name="Allocation_of_expenses" localSheetId="6">'[5]Allocation LT HT EHT'!#REF!</definedName>
    <definedName name="Allocation_of_expenses" localSheetId="12">'[6]Allocation LT HT EHT'!#REF!</definedName>
    <definedName name="Allocation_of_expenses" localSheetId="63">'[4]Allocation LT HT EHT'!#REF!</definedName>
    <definedName name="Allocation_of_expenses">'[6]Allocation LT HT EHT'!#REF!</definedName>
    <definedName name="Allocation_of_revenues__expenses" localSheetId="44">'[2]Allocation LT HT EHT'!#REF!</definedName>
    <definedName name="Allocation_of_revenues__expenses" localSheetId="46">'[2]Allocation LT HT EHT'!#REF!</definedName>
    <definedName name="Allocation_of_revenues__expenses" localSheetId="17">'[3]Allocation LT HT EHT'!#REF!</definedName>
    <definedName name="Allocation_of_revenues__expenses" localSheetId="18">'[3]Allocation LT HT EHT'!#REF!</definedName>
    <definedName name="Allocation_of_revenues__expenses" localSheetId="20">'[4]Allocation LT HT EHT'!#REF!</definedName>
    <definedName name="Allocation_of_revenues__expenses" localSheetId="1">'[5]Allocation LT HT EHT'!#REF!</definedName>
    <definedName name="Allocation_of_revenues__expenses" localSheetId="3">'[5]Allocation LT HT EHT'!#REF!</definedName>
    <definedName name="Allocation_of_revenues__expenses" localSheetId="6">'[5]Allocation LT HT EHT'!#REF!</definedName>
    <definedName name="Allocation_of_revenues__expenses" localSheetId="12">'[6]Allocation LT HT EHT'!#REF!</definedName>
    <definedName name="Allocation_of_revenues__expenses" localSheetId="63">'[4]Allocation LT HT EHT'!#REF!</definedName>
    <definedName name="Allocation_of_revenues__expenses">'[6]Allocation LT HT EHT'!#REF!</definedName>
    <definedName name="Bad_Debts" localSheetId="44">#REF!</definedName>
    <definedName name="Bad_Debts" localSheetId="46">#REF!</definedName>
    <definedName name="Bad_Debts" localSheetId="17">#REF!</definedName>
    <definedName name="Bad_Debts" localSheetId="18">#REF!</definedName>
    <definedName name="Bad_Debts" localSheetId="1">#REF!</definedName>
    <definedName name="Bad_Debts" localSheetId="3">#REF!</definedName>
    <definedName name="Bad_Debts" localSheetId="6">#REF!</definedName>
    <definedName name="Bad_Debts" localSheetId="12">#REF!</definedName>
    <definedName name="Bad_Debts" localSheetId="51">#REF!</definedName>
    <definedName name="Bad_Debts">#REF!</definedName>
    <definedName name="Capital__Revenue_subsidies_and_Grants" localSheetId="44">#REF!</definedName>
    <definedName name="Capital__Revenue_subsidies_and_Grants" localSheetId="46">#REF!</definedName>
    <definedName name="Capital__Revenue_subsidies_and_Grants" localSheetId="17">#REF!</definedName>
    <definedName name="Capital__Revenue_subsidies_and_Grants" localSheetId="18">#REF!</definedName>
    <definedName name="Capital__Revenue_subsidies_and_Grants" localSheetId="1">#REF!</definedName>
    <definedName name="Capital__Revenue_subsidies_and_Grants" localSheetId="3">#REF!</definedName>
    <definedName name="Capital__Revenue_subsidies_and_Grants" localSheetId="6">#REF!</definedName>
    <definedName name="Capital__Revenue_subsidies_and_Grants" localSheetId="12">#REF!</definedName>
    <definedName name="Capital__Revenue_subsidies_and_Grants" localSheetId="51">#REF!</definedName>
    <definedName name="Capital__Revenue_subsidies_and_Grants">#REF!</definedName>
    <definedName name="Capital_work_in_progress" localSheetId="44">[2]CWIP!#REF!</definedName>
    <definedName name="Capital_work_in_progress" localSheetId="46">[2]CWIP!#REF!</definedName>
    <definedName name="Capital_work_in_progress" localSheetId="17">[3]CWIP!#REF!</definedName>
    <definedName name="Capital_work_in_progress" localSheetId="18">[3]CWIP!#REF!</definedName>
    <definedName name="Capital_work_in_progress" localSheetId="20">[4]CWIP!#REF!</definedName>
    <definedName name="Capital_work_in_progress" localSheetId="1">[5]CWIP!#REF!</definedName>
    <definedName name="Capital_work_in_progress" localSheetId="3">[5]CWIP!#REF!</definedName>
    <definedName name="Capital_work_in_progress" localSheetId="6">[5]CWIP!#REF!</definedName>
    <definedName name="Capital_work_in_progress" localSheetId="12">[6]CWIP!#REF!</definedName>
    <definedName name="Capital_work_in_progress" localSheetId="51">[6]CWIP!#REF!</definedName>
    <definedName name="Capital_work_in_progress" localSheetId="63">[4]CWIP!#REF!</definedName>
    <definedName name="Capital_work_in_progress">[6]CWIP!#REF!</definedName>
    <definedName name="Consumption_Details" localSheetId="44">'[2]Consumption Data '!#REF!</definedName>
    <definedName name="Consumption_Details" localSheetId="46">'[2]Consumption Data '!#REF!</definedName>
    <definedName name="Consumption_Details" localSheetId="17">'[3]Consumption Data '!#REF!</definedName>
    <definedName name="Consumption_Details" localSheetId="18">'[3]Consumption Data '!#REF!</definedName>
    <definedName name="Consumption_Details" localSheetId="20">'[4]Consumption Data '!#REF!</definedName>
    <definedName name="Consumption_Details" localSheetId="1">'[5]Consumption Data '!#REF!</definedName>
    <definedName name="Consumption_Details" localSheetId="3">'[5]Consumption Data '!#REF!</definedName>
    <definedName name="Consumption_Details" localSheetId="6">'[5]Consumption Data '!#REF!</definedName>
    <definedName name="Consumption_Details" localSheetId="12">'[6]Consumption Data '!#REF!</definedName>
    <definedName name="Consumption_Details" localSheetId="51">'[6]Consumption Data '!#REF!</definedName>
    <definedName name="Consumption_Details" localSheetId="63">'[4]Consumption Data '!#REF!</definedName>
    <definedName name="Consumption_Details">'[6]Consumption Data '!#REF!</definedName>
    <definedName name="Cost_Parameters" localSheetId="44">'[2]Verification of inputs'!#REF!</definedName>
    <definedName name="Cost_Parameters" localSheetId="46">'[2]Verification of inputs'!#REF!</definedName>
    <definedName name="Cost_Parameters" localSheetId="17">'[3]Verification of inputs'!#REF!</definedName>
    <definedName name="Cost_Parameters" localSheetId="18">'[3]Verification of inputs'!#REF!</definedName>
    <definedName name="Cost_Parameters" localSheetId="20">#REF!</definedName>
    <definedName name="Cost_Parameters" localSheetId="1">'[5]Verification of inputs'!#REF!</definedName>
    <definedName name="Cost_Parameters" localSheetId="3">'[5]Verification of inputs'!#REF!</definedName>
    <definedName name="Cost_Parameters" localSheetId="6">'[5]Verification of inputs'!#REF!</definedName>
    <definedName name="Cost_Parameters" localSheetId="12">'[6]Verification of inputs'!#REF!</definedName>
    <definedName name="Cost_Parameters" localSheetId="63">#REF!</definedName>
    <definedName name="Cost_Parameters">'[6]Verification of inputs'!#REF!</definedName>
    <definedName name="Current_Year_Details" localSheetId="44">'[2]Current Year'!#REF!</definedName>
    <definedName name="Current_Year_Details" localSheetId="46">'[2]Current Year'!#REF!</definedName>
    <definedName name="Current_Year_Details" localSheetId="17">'[3]Current Year'!#REF!</definedName>
    <definedName name="Current_Year_Details" localSheetId="18">'[3]Current Year'!#REF!</definedName>
    <definedName name="Current_Year_Details" localSheetId="20">'[4]Current Year'!#REF!</definedName>
    <definedName name="Current_Year_Details" localSheetId="1">'[5]Current Year'!#REF!</definedName>
    <definedName name="Current_Year_Details" localSheetId="3">'[5]Current Year'!#REF!</definedName>
    <definedName name="Current_Year_Details" localSheetId="6">'[5]Current Year'!#REF!</definedName>
    <definedName name="Current_Year_Details" localSheetId="12">'[6]Current Year'!#REF!</definedName>
    <definedName name="Current_Year_Details" localSheetId="63">'[4]Current Year'!#REF!</definedName>
    <definedName name="Current_Year_Details">'[6]Current Year'!#REF!</definedName>
    <definedName name="Debtors" localSheetId="44">#REF!</definedName>
    <definedName name="Debtors" localSheetId="46">#REF!</definedName>
    <definedName name="Debtors" localSheetId="20">#REF!</definedName>
    <definedName name="Debtors" localSheetId="1">#REF!</definedName>
    <definedName name="Debtors" localSheetId="3">#REF!</definedName>
    <definedName name="Debtors" localSheetId="6">#REF!</definedName>
    <definedName name="Debtors" localSheetId="12">#REF!</definedName>
    <definedName name="Debtors" localSheetId="51">#REF!</definedName>
    <definedName name="Debtors" localSheetId="63">#REF!</definedName>
    <definedName name="Debtors">#REF!</definedName>
    <definedName name="Demand_data_for_consumers_with_Connected_Load___100_kVA" localSheetId="44">'[7]Consumer Data &gt;100kVA'!#REF!</definedName>
    <definedName name="Demand_data_for_consumers_with_Connected_Load___100_kVA" localSheetId="46">'[7]Consumer Data &gt;100kVA'!#REF!</definedName>
    <definedName name="Demand_data_for_consumers_with_Connected_Load___100_kVA" localSheetId="17">'[8]Consumer Data &gt;100kVA'!#REF!</definedName>
    <definedName name="Demand_data_for_consumers_with_Connected_Load___100_kVA" localSheetId="18">'[8]Consumer Data &gt;100kVA'!#REF!</definedName>
    <definedName name="Demand_data_for_consumers_with_Connected_Load___100_kVA" localSheetId="1">'[9]Consumer Data &gt;100kVA'!#REF!</definedName>
    <definedName name="Demand_data_for_consumers_with_Connected_Load___100_kVA" localSheetId="3">'[9]Consumer Data &gt;100kVA'!#REF!</definedName>
    <definedName name="Demand_data_for_consumers_with_Connected_Load___100_kVA" localSheetId="6">'[9]Consumer Data &gt;100kVA'!#REF!</definedName>
    <definedName name="Demand_data_for_consumers_with_Connected_Load___100_kVA" localSheetId="12">'[10]Consumer Data &gt;100kVA'!#REF!</definedName>
    <definedName name="Demand_data_for_consumers_with_Connected_Load___100_kVA">'[10]Consumer Data &gt;100kVA'!#REF!</definedName>
    <definedName name="Employees_Cost" localSheetId="44">'[2]Employee Costs'!#REF!</definedName>
    <definedName name="Employees_Cost" localSheetId="46">'[2]Employee Costs'!#REF!</definedName>
    <definedName name="Employees_Cost" localSheetId="17">'[3]Employee Costs'!#REF!</definedName>
    <definedName name="Employees_Cost" localSheetId="18">'[3]Employee Costs'!#REF!</definedName>
    <definedName name="Employees_Cost" localSheetId="20">'[4]Employee Costs'!#REF!</definedName>
    <definedName name="Employees_Cost" localSheetId="1">'[5]Employee Costs'!#REF!</definedName>
    <definedName name="Employees_Cost" localSheetId="3">'[5]Employee Costs'!#REF!</definedName>
    <definedName name="Employees_Cost" localSheetId="6">'[5]Employee Costs'!#REF!</definedName>
    <definedName name="Employees_Cost" localSheetId="12">'[6]Employee Costs'!#REF!</definedName>
    <definedName name="Employees_Cost" localSheetId="63">'[4]Employee Costs'!#REF!</definedName>
    <definedName name="Employees_Cost">'[6]Employee Costs'!#REF!</definedName>
    <definedName name="erheri">'[1]Employee Costs'!#REF!</definedName>
    <definedName name="Existing_Tariff_Structure" localSheetId="44">#REF!</definedName>
    <definedName name="Existing_Tariff_Structure" localSheetId="46">#REF!</definedName>
    <definedName name="Existing_Tariff_Structure" localSheetId="17">#REF!</definedName>
    <definedName name="Existing_Tariff_Structure" localSheetId="18">#REF!</definedName>
    <definedName name="Existing_Tariff_Structure" localSheetId="12">#REF!</definedName>
    <definedName name="Existing_Tariff_Structure" localSheetId="51">#REF!</definedName>
    <definedName name="Existing_Tariff_Structure">#REF!</definedName>
    <definedName name="Information_on_Inventory" localSheetId="44">#REF!</definedName>
    <definedName name="Information_on_Inventory" localSheetId="46">#REF!</definedName>
    <definedName name="Information_on_Inventory" localSheetId="17">#REF!</definedName>
    <definedName name="Information_on_Inventory" localSheetId="18">#REF!</definedName>
    <definedName name="Information_on_Inventory" localSheetId="1">#REF!</definedName>
    <definedName name="Information_on_Inventory" localSheetId="3">#REF!</definedName>
    <definedName name="Information_on_Inventory" localSheetId="6">#REF!</definedName>
    <definedName name="Information_on_Inventory" localSheetId="12">#REF!</definedName>
    <definedName name="Information_on_Inventory" localSheetId="51">#REF!</definedName>
    <definedName name="Information_on_Inventory">#REF!</definedName>
    <definedName name="Interest_and_Finance_Charges" localSheetId="44">#REF!</definedName>
    <definedName name="Interest_and_Finance_Charges" localSheetId="46">#REF!</definedName>
    <definedName name="Interest_and_Finance_Charges" localSheetId="17">#REF!</definedName>
    <definedName name="Interest_and_Finance_Charges" localSheetId="18">#REF!</definedName>
    <definedName name="Interest_and_Finance_Charges" localSheetId="1">#REF!</definedName>
    <definedName name="Interest_and_Finance_Charges" localSheetId="3">#REF!</definedName>
    <definedName name="Interest_and_Finance_Charges" localSheetId="6">#REF!</definedName>
    <definedName name="Interest_and_Finance_Charges" localSheetId="12">#REF!</definedName>
    <definedName name="Interest_and_Finance_Charges" localSheetId="51">#REF!</definedName>
    <definedName name="Interest_and_Finance_Charges">#REF!</definedName>
    <definedName name="Loss" localSheetId="44">#REF!</definedName>
    <definedName name="Loss" localSheetId="46">#REF!</definedName>
    <definedName name="Loss" localSheetId="20">#REF!</definedName>
    <definedName name="Loss" localSheetId="1">#REF!</definedName>
    <definedName name="Loss" localSheetId="3">#REF!</definedName>
    <definedName name="Loss" localSheetId="6">#REF!</definedName>
    <definedName name="Loss" localSheetId="12">#REF!</definedName>
    <definedName name="Loss" localSheetId="51">#REF!</definedName>
    <definedName name="Loss" localSheetId="63">#REF!</definedName>
    <definedName name="Loss">#REF!</definedName>
    <definedName name="Loss_Details" localSheetId="44">'[2]Loss Details'!#REF!</definedName>
    <definedName name="Loss_Details" localSheetId="46">'[2]Loss Details'!#REF!</definedName>
    <definedName name="Loss_Details" localSheetId="17">'[3]Loss Details'!#REF!</definedName>
    <definedName name="Loss_Details" localSheetId="18">'[3]Loss Details'!#REF!</definedName>
    <definedName name="Loss_Details" localSheetId="20">'[4]Loss Details'!#REF!</definedName>
    <definedName name="Loss_Details" localSheetId="1">'[5]Loss Details'!#REF!</definedName>
    <definedName name="Loss_Details" localSheetId="3">'[5]Loss Details'!#REF!</definedName>
    <definedName name="Loss_Details" localSheetId="6">'[5]Loss Details'!#REF!</definedName>
    <definedName name="Loss_Details" localSheetId="12">'[6]Loss Details'!#REF!</definedName>
    <definedName name="Loss_Details" localSheetId="51">'[6]Loss Details'!#REF!</definedName>
    <definedName name="Loss_Details" localSheetId="63">'[4]Loss Details'!#REF!</definedName>
    <definedName name="Loss_Details">'[6]Loss Details'!#REF!</definedName>
    <definedName name="Other_Cost_parameters" localSheetId="44">'[2]Special Appropriations'!#REF!</definedName>
    <definedName name="Other_Cost_parameters" localSheetId="46">'[2]Special Appropriations'!#REF!</definedName>
    <definedName name="Other_Cost_parameters" localSheetId="17">'[3]Special Appropriations'!#REF!</definedName>
    <definedName name="Other_Cost_parameters" localSheetId="18">'[3]Special Appropriations'!#REF!</definedName>
    <definedName name="Other_Cost_parameters" localSheetId="20">'[4]Special Appropriations'!#REF!</definedName>
    <definedName name="Other_Cost_parameters" localSheetId="1">'[5]Special Appropriations'!#REF!</definedName>
    <definedName name="Other_Cost_parameters" localSheetId="3">'[5]Special Appropriations'!#REF!</definedName>
    <definedName name="Other_Cost_parameters" localSheetId="6">'[5]Special Appropriations'!#REF!</definedName>
    <definedName name="Other_Cost_parameters" localSheetId="12">'[6]Special Appropriations'!#REF!</definedName>
    <definedName name="Other_Cost_parameters" localSheetId="51">'[6]Special Appropriations'!#REF!</definedName>
    <definedName name="Other_Cost_parameters" localSheetId="63">'[4]Special Appropriations'!#REF!</definedName>
    <definedName name="Other_Cost_parameters">'[6]Special Appropriations'!#REF!</definedName>
    <definedName name="Output_Sheet" localSheetId="44">#REF!</definedName>
    <definedName name="Output_Sheet" localSheetId="46">#REF!</definedName>
    <definedName name="Output_Sheet" localSheetId="17">#REF!</definedName>
    <definedName name="Output_Sheet" localSheetId="18">#REF!</definedName>
    <definedName name="Output_Sheet" localSheetId="20">#REF!</definedName>
    <definedName name="Output_Sheet" localSheetId="1">#REF!</definedName>
    <definedName name="Output_Sheet" localSheetId="3">#REF!</definedName>
    <definedName name="Output_Sheet" localSheetId="6">#REF!</definedName>
    <definedName name="Output_Sheet" localSheetId="12">#REF!</definedName>
    <definedName name="Output_Sheet" localSheetId="51">#REF!</definedName>
    <definedName name="Output_Sheet" localSheetId="63">#REF!</definedName>
    <definedName name="Output_Sheet">#REF!</definedName>
    <definedName name="Power_Factor" localSheetId="44">#REF!</definedName>
    <definedName name="Power_Factor" localSheetId="46">#REF!</definedName>
    <definedName name="Power_Factor" localSheetId="17">#REF!</definedName>
    <definedName name="Power_Factor" localSheetId="18">#REF!</definedName>
    <definedName name="Power_Factor" localSheetId="1">#REF!</definedName>
    <definedName name="Power_Factor" localSheetId="3">#REF!</definedName>
    <definedName name="Power_Factor" localSheetId="6">#REF!</definedName>
    <definedName name="Power_Factor" localSheetId="12">#REF!</definedName>
    <definedName name="Power_Factor" localSheetId="51">#REF!</definedName>
    <definedName name="Power_Factor">#REF!</definedName>
    <definedName name="Power_Purchase_Details" localSheetId="44">'[2]Power Purchase Cost'!#REF!</definedName>
    <definedName name="Power_Purchase_Details" localSheetId="46">'[2]Power Purchase Cost'!#REF!</definedName>
    <definedName name="Power_Purchase_Details" localSheetId="17">'[3]Power Purchase Cost'!#REF!</definedName>
    <definedName name="Power_Purchase_Details" localSheetId="18">'[3]Power Purchase Cost'!#REF!</definedName>
    <definedName name="Power_Purchase_Details" localSheetId="20">'[4]Power Purchase Cost'!#REF!</definedName>
    <definedName name="Power_Purchase_Details" localSheetId="1">'[5]Power Purchase Cost'!#REF!</definedName>
    <definedName name="Power_Purchase_Details" localSheetId="3">'[5]Power Purchase Cost'!#REF!</definedName>
    <definedName name="Power_Purchase_Details" localSheetId="6">'[5]Power Purchase Cost'!#REF!</definedName>
    <definedName name="Power_Purchase_Details" localSheetId="12">'[6]Power Purchase Cost'!#REF!</definedName>
    <definedName name="Power_Purchase_Details" localSheetId="51">'[6]Power Purchase Cost'!#REF!</definedName>
    <definedName name="Power_Purchase_Details" localSheetId="63">'[4]Power Purchase Cost'!#REF!</definedName>
    <definedName name="Power_Purchase_Details">'[6]Power Purchase Cost'!#REF!</definedName>
    <definedName name="Previous_Year_revenue_details" localSheetId="44">'[2]Revenue-Current and Past Year'!#REF!</definedName>
    <definedName name="Previous_Year_revenue_details" localSheetId="46">'[2]Revenue-Current and Past Year'!#REF!</definedName>
    <definedName name="Previous_Year_revenue_details" localSheetId="17">'[3]Revenue-Current and Past Year'!#REF!</definedName>
    <definedName name="Previous_Year_revenue_details" localSheetId="18">'[3]Revenue-Current and Past Year'!#REF!</definedName>
    <definedName name="Previous_Year_revenue_details" localSheetId="20">'[4]Revenue-Current and Past Year'!#REF!</definedName>
    <definedName name="Previous_Year_revenue_details" localSheetId="1">'[5]Revenue-Current and Past Year'!#REF!</definedName>
    <definedName name="Previous_Year_revenue_details" localSheetId="3">'[5]Revenue-Current and Past Year'!#REF!</definedName>
    <definedName name="Previous_Year_revenue_details" localSheetId="6">'[5]Revenue-Current and Past Year'!#REF!</definedName>
    <definedName name="Previous_Year_revenue_details" localSheetId="12">'[6]Revenue-Current and Past Year'!#REF!</definedName>
    <definedName name="Previous_Year_revenue_details" localSheetId="51">'[6]Revenue-Current and Past Year'!#REF!</definedName>
    <definedName name="Previous_Year_revenue_details" localSheetId="63">'[4]Revenue-Current and Past Year'!#REF!</definedName>
    <definedName name="Previous_Year_revenue_details">'[6]Revenue-Current and Past Year'!#REF!</definedName>
    <definedName name="_xlnm.Print_Area" localSheetId="13">' F-1 '!$A$1:$E$39</definedName>
    <definedName name="_xlnm.Print_Area" localSheetId="14">' F-1(b) '!$A$1:$E$15</definedName>
    <definedName name="_xlnm.Print_Area" localSheetId="49">'Cost Allocation'!$A$1:$G$28</definedName>
    <definedName name="_xlnm.Print_Area" localSheetId="62">'Current yr GAP'!$A$1:$E$22</definedName>
    <definedName name="_xlnm.Print_Area" localSheetId="54">CWIP!$A$2:$AH$45</definedName>
    <definedName name="_xlnm.Print_Area" localSheetId="50">Demography!$A$1:$C$41</definedName>
    <definedName name="_xlnm.Print_Area" localSheetId="53">DEPCAL!$A$1:$H$73</definedName>
    <definedName name="_xlnm.Print_Area" localSheetId="25">'F-10'!$A$1:$P$52</definedName>
    <definedName name="_xlnm.Print_Area" localSheetId="26">'F-11'!$A$1:$G$49</definedName>
    <definedName name="_xlnm.Print_Area" localSheetId="27">'F-12'!$A$1:$AD$40</definedName>
    <definedName name="_xlnm.Print_Area" localSheetId="28">'F-12(b)'!$A$1:$Q$14</definedName>
    <definedName name="_xlnm.Print_Area" localSheetId="29">'F-12(c)'!$A$1:$Q$20</definedName>
    <definedName name="_xlnm.Print_Area" localSheetId="30">'F-12(d)'!$A$1:$C$36</definedName>
    <definedName name="_xlnm.Print_Area" localSheetId="31">'F-12(e)'!$A$1:$C$16</definedName>
    <definedName name="_xlnm.Print_Area" localSheetId="32">'F-13'!$A$1:$F$15</definedName>
    <definedName name="_xlnm.Print_Area" localSheetId="33">'F-13(a)'!$A$1:$D$13</definedName>
    <definedName name="_xlnm.Print_Area" localSheetId="34">'F-14'!$A$1:$G$68</definedName>
    <definedName name="_xlnm.Print_Area" localSheetId="35">'F-15'!$A$1:$L$31</definedName>
    <definedName name="_xlnm.Print_Area" localSheetId="36">'F-16'!$A$1:$E$28</definedName>
    <definedName name="_xlnm.Print_Area" localSheetId="37">'F-17'!$A$1:$S$67</definedName>
    <definedName name="_xlnm.Print_Area" localSheetId="38">'F-18'!$A$1:$F$14</definedName>
    <definedName name="_xlnm.Print_Area" localSheetId="39">'F-19'!$A$1:$M$99</definedName>
    <definedName name="_xlnm.Print_Area" localSheetId="15">'F-2'!$A$1:$R$36</definedName>
    <definedName name="_xlnm.Print_Area" localSheetId="40">'F-20'!$A$1:$E$14</definedName>
    <definedName name="_xlnm.Print_Area" localSheetId="41">'F-21'!$A$1:$E$45</definedName>
    <definedName name="_xlnm.Print_Area" localSheetId="42">'F-22'!$A$1:$D$33</definedName>
    <definedName name="_xlnm.Print_Area" localSheetId="43">'F-23 CASHFLOW'!$A$1:$C$42</definedName>
    <definedName name="_xlnm.Print_Area" localSheetId="44">'F-24'!$A$1:$J$13</definedName>
    <definedName name="_xlnm.Print_Area" localSheetId="45">'F-25'!$A$1:$F$35</definedName>
    <definedName name="_xlnm.Print_Area" localSheetId="46">'F-26 '!$A$1:$F$15</definedName>
    <definedName name="_xlnm.Print_Area" localSheetId="47">'F-27(22-23)'!$A$1:$Q$25</definedName>
    <definedName name="_xlnm.Print_Area" localSheetId="48">'F-27(23-24)'!$A$1:$Q$25</definedName>
    <definedName name="_xlnm.Print_Area" localSheetId="16">'F-3'!$A$1:$L$28</definedName>
    <definedName name="_xlnm.Print_Area" localSheetId="17">'F-4'!$A$1:$J$51</definedName>
    <definedName name="_xlnm.Print_Area" localSheetId="18">'F-4(b)'!$A$1:$J$63</definedName>
    <definedName name="_xlnm.Print_Area" localSheetId="19">'F-5'!$A$1:$O$29</definedName>
    <definedName name="_xlnm.Print_Area" localSheetId="20">'F-6'!$B$1:$P$40</definedName>
    <definedName name="_xlnm.Print_Area" localSheetId="21">'F-7'!$A$1:$M$33</definedName>
    <definedName name="_xlnm.Print_Area" localSheetId="23">'F-9'!$A$1:$E$32</definedName>
    <definedName name="_xlnm.Print_Area" localSheetId="24">'F-9(b)'!$A$1:$O$20</definedName>
    <definedName name="_xlnm.Print_Area" localSheetId="52">'loan&amp;int'!$A$1:$D$121</definedName>
    <definedName name="_xlnm.Print_Area" localSheetId="55">'ppt-1'!$A$1:$I$15</definedName>
    <definedName name="_xlnm.Print_Area" localSheetId="64">'PPt-3'!$A$1:$H$44</definedName>
    <definedName name="_xlnm.Print_Area" localSheetId="57">Sheet1!$A$1:$I$56</definedName>
    <definedName name="_xlnm.Print_Area" localSheetId="58">Sheet2!$A$1:$E$46</definedName>
    <definedName name="_xlnm.Print_Area" localSheetId="59">Sheet3!$A$1:$F$33</definedName>
    <definedName name="_xlnm.Print_Area" localSheetId="56">summary!$A$1:$N$39</definedName>
    <definedName name="_xlnm.Print_Area" localSheetId="0">'T-1'!$A$1:$T$76</definedName>
    <definedName name="_xlnm.Print_Area" localSheetId="2">'T-2(1st six mth)'!$A$1:$N$54</definedName>
    <definedName name="_xlnm.Print_Area" localSheetId="1">'T-2(22-23)'!$A$1:$N$56</definedName>
    <definedName name="_xlnm.Print_Area" localSheetId="4">'T-3(1st six mth)'!$A$1:$N$46</definedName>
    <definedName name="_xlnm.Print_Area" localSheetId="3">'T-3(22-23)'!$A$1:$N$43</definedName>
    <definedName name="_xlnm.Print_Area" localSheetId="5">'T-4 '!$A$1:$M$72</definedName>
    <definedName name="_xlnm.Print_Area" localSheetId="6">'T-5'!$A$1:$M$29</definedName>
    <definedName name="_xlnm.Print_Area" localSheetId="7">'T-6'!$A$1:$J$75</definedName>
    <definedName name="_xlnm.Print_Area" localSheetId="8">'T-6 (six mth)'!$A$1:$J$75</definedName>
    <definedName name="_xlnm.Print_Area" localSheetId="9">'T-7'!$A$1:$AM$67</definedName>
    <definedName name="_xlnm.Print_Area" localSheetId="10">'T-7 (Curr)'!$A$1:$AM$67</definedName>
    <definedName name="_xlnm.Print_Area" localSheetId="11">'T-8'!$A$1:$BX$73</definedName>
    <definedName name="_xlnm.Print_Area" localSheetId="12">'T-9 '!$A$1:$S$210</definedName>
    <definedName name="_xlnm.Print_Area" localSheetId="51">'Tariff 24-25'!$A$1:$I$87</definedName>
    <definedName name="_xlnm.Print_Area" localSheetId="63">'truing 20-21'!$B$1:$D$1</definedName>
    <definedName name="_xlnm.Print_Titles" localSheetId="54">CWIP!$A:$A</definedName>
    <definedName name="_xlnm.Print_Titles" localSheetId="27">'F-12'!$A:$B</definedName>
    <definedName name="_xlnm.Print_Titles" localSheetId="34">'F-14'!$1:$6</definedName>
    <definedName name="_xlnm.Print_Titles" localSheetId="17">'F-4'!$1:$3</definedName>
    <definedName name="_xlnm.Print_Titles" localSheetId="18">'F-4(b)'!$1:$3</definedName>
    <definedName name="_xlnm.Print_Titles" localSheetId="20">'F-6'!$C:$C</definedName>
    <definedName name="_xlnm.Print_Titles" localSheetId="24">'F-9(b)'!$A:$B</definedName>
    <definedName name="_xlnm.Print_Titles" localSheetId="64">'PPt-3'!$1:$2</definedName>
    <definedName name="_xlnm.Print_Titles" localSheetId="0">'T-1'!$A:$C,'T-1'!$1:$9</definedName>
    <definedName name="_xlnm.Print_Titles" localSheetId="5">'T-4 '!$1:$4</definedName>
    <definedName name="_xlnm.Print_Titles" localSheetId="7">'T-6'!$1:$9</definedName>
    <definedName name="_xlnm.Print_Titles" localSheetId="8">'T-6 (six mth)'!$1:$9</definedName>
    <definedName name="_xlnm.Print_Titles" localSheetId="9">'T-7'!$A:$C,'T-7'!$1:$8</definedName>
    <definedName name="_xlnm.Print_Titles" localSheetId="10">'T-7 (Curr)'!$A:$C,'T-7 (Curr)'!$1:$8</definedName>
    <definedName name="_xlnm.Print_Titles" localSheetId="11">'T-8'!$A:$C,'T-8'!$1:$6</definedName>
    <definedName name="_xlnm.Print_Titles" localSheetId="12">'T-9 '!$1:$4</definedName>
    <definedName name="_xlnm.Print_Titles" localSheetId="51">'Tariff 24-25'!$1:$1</definedName>
    <definedName name="Reasonable_Rate_of_Return_on_Equity" localSheetId="44">[2]RoE!#REF!</definedName>
    <definedName name="Reasonable_Rate_of_Return_on_Equity" localSheetId="46">[2]RoE!#REF!</definedName>
    <definedName name="Reasonable_Rate_of_Return_on_Equity" localSheetId="17">[3]RoE!#REF!</definedName>
    <definedName name="Reasonable_Rate_of_Return_on_Equity" localSheetId="18">[3]RoE!#REF!</definedName>
    <definedName name="Reasonable_Rate_of_Return_on_Equity" localSheetId="20">[4]RoE!#REF!</definedName>
    <definedName name="Reasonable_Rate_of_Return_on_Equity" localSheetId="1">[5]RoE!#REF!</definedName>
    <definedName name="Reasonable_Rate_of_Return_on_Equity" localSheetId="3">[5]RoE!#REF!</definedName>
    <definedName name="Reasonable_Rate_of_Return_on_Equity" localSheetId="6">[5]RoE!#REF!</definedName>
    <definedName name="Reasonable_Rate_of_Return_on_Equity" localSheetId="12">[6]RoE!#REF!</definedName>
    <definedName name="Reasonable_Rate_of_Return_on_Equity" localSheetId="63">[4]RoE!#REF!</definedName>
    <definedName name="Reasonable_Rate_of_Return_on_Equity">[6]RoE!#REF!</definedName>
    <definedName name="Repair_and_Maintenance" localSheetId="44">'[2]R&amp;M'!#REF!</definedName>
    <definedName name="Repair_and_Maintenance" localSheetId="46">'[2]R&amp;M'!#REF!</definedName>
    <definedName name="Repair_and_Maintenance" localSheetId="17">'[3]R&amp;M'!#REF!</definedName>
    <definedName name="Repair_and_Maintenance" localSheetId="18">'[3]R&amp;M'!#REF!</definedName>
    <definedName name="Repair_and_Maintenance" localSheetId="20">'[4]R&amp;M'!#REF!</definedName>
    <definedName name="Repair_and_Maintenance" localSheetId="1">'[5]R&amp;M'!#REF!</definedName>
    <definedName name="Repair_and_Maintenance" localSheetId="3">'[5]R&amp;M'!#REF!</definedName>
    <definedName name="Repair_and_Maintenance" localSheetId="6">'[5]R&amp;M'!#REF!</definedName>
    <definedName name="Repair_and_Maintenance" localSheetId="12">'[6]R&amp;M'!#REF!</definedName>
    <definedName name="Repair_and_Maintenance" localSheetId="63">'[4]R&amp;M'!#REF!</definedName>
    <definedName name="Repair_and_Maintenance">'[6]R&amp;M'!#REF!</definedName>
    <definedName name="Sources_of_revenues__other_than_sale_of_energy" localSheetId="44">'[2]Other revenue sources'!#REF!</definedName>
    <definedName name="Sources_of_revenues__other_than_sale_of_energy" localSheetId="46">'[2]Other revenue sources'!#REF!</definedName>
    <definedName name="Sources_of_revenues__other_than_sale_of_energy" localSheetId="17">'[3]Other revenue sources'!#REF!</definedName>
    <definedName name="Sources_of_revenues__other_than_sale_of_energy" localSheetId="18">'[3]Other revenue sources'!#REF!</definedName>
    <definedName name="Sources_of_revenues__other_than_sale_of_energy" localSheetId="20">'[4]Other revenue sources'!#REF!</definedName>
    <definedName name="Sources_of_revenues__other_than_sale_of_energy" localSheetId="1">'[5]Other revenue sources'!#REF!</definedName>
    <definedName name="Sources_of_revenues__other_than_sale_of_energy" localSheetId="3">'[5]Other revenue sources'!#REF!</definedName>
    <definedName name="Sources_of_revenues__other_than_sale_of_energy" localSheetId="6">'[5]Other revenue sources'!#REF!</definedName>
    <definedName name="Sources_of_revenues__other_than_sale_of_energy" localSheetId="12">'[6]Other revenue sources'!#REF!</definedName>
    <definedName name="Sources_of_revenues__other_than_sale_of_energy" localSheetId="51">'[6]Other revenue sources'!#REF!</definedName>
    <definedName name="Sources_of_revenues__other_than_sale_of_energy" localSheetId="63">'[4]Other revenue sources'!#REF!</definedName>
    <definedName name="Sources_of_revenues__other_than_sale_of_energy">'[6]Other revenue sources'!#REF!</definedName>
    <definedName name="Statement_of_Fixed_Assets_and_Depreciation" localSheetId="44">'[2]Depreciation Schedule'!#REF!</definedName>
    <definedName name="Statement_of_Fixed_Assets_and_Depreciation" localSheetId="46">'[2]Depreciation Schedule'!#REF!</definedName>
    <definedName name="Statement_of_Fixed_Assets_and_Depreciation" localSheetId="17">'[3]Depreciation Schedule'!#REF!</definedName>
    <definedName name="Statement_of_Fixed_Assets_and_Depreciation" localSheetId="18">'[3]Depreciation Schedule'!#REF!</definedName>
    <definedName name="Statement_of_Fixed_Assets_and_Depreciation" localSheetId="20">'[4]Depreciation Schedule'!#REF!</definedName>
    <definedName name="Statement_of_Fixed_Assets_and_Depreciation" localSheetId="1">'[5]Depreciation Schedule'!#REF!</definedName>
    <definedName name="Statement_of_Fixed_Assets_and_Depreciation" localSheetId="3">'[5]Depreciation Schedule'!#REF!</definedName>
    <definedName name="Statement_of_Fixed_Assets_and_Depreciation" localSheetId="6">'[5]Depreciation Schedule'!#REF!</definedName>
    <definedName name="Statement_of_Fixed_Assets_and_Depreciation" localSheetId="12">'[6]Depreciation Schedule'!#REF!</definedName>
    <definedName name="Statement_of_Fixed_Assets_and_Depreciation" localSheetId="51">'[6]Depreciation Schedule'!#REF!</definedName>
    <definedName name="Statement_of_Fixed_Assets_and_Depreciation" localSheetId="63">'[4]Depreciation Schedule'!#REF!</definedName>
    <definedName name="Statement_of_Fixed_Assets_and_Depreciation">'[6]Depreciation Schedule'!#REF!</definedName>
    <definedName name="Tariff" localSheetId="44">#REF!</definedName>
    <definedName name="Tariff" localSheetId="46">#REF!</definedName>
    <definedName name="Tariff" localSheetId="20">#REF!</definedName>
    <definedName name="Tariff" localSheetId="1">#REF!</definedName>
    <definedName name="Tariff" localSheetId="3">#REF!</definedName>
    <definedName name="Tariff" localSheetId="6">#REF!</definedName>
    <definedName name="Tariff" localSheetId="12">#REF!</definedName>
    <definedName name="Tariff" localSheetId="51">#REF!</definedName>
    <definedName name="Tariff" localSheetId="63">#REF!</definedName>
    <definedName name="Tariff">#REF!</definedName>
    <definedName name="TarrGrowth" localSheetId="44">#REF!</definedName>
    <definedName name="TarrGrowth" localSheetId="46">#REF!</definedName>
    <definedName name="TarrGrowth" localSheetId="20">#REF!</definedName>
    <definedName name="TarrGrowth" localSheetId="1">#REF!</definedName>
    <definedName name="TarrGrowth" localSheetId="3">#REF!</definedName>
    <definedName name="TarrGrowth" localSheetId="6">#REF!</definedName>
    <definedName name="TarrGrowth" localSheetId="12">#REF!</definedName>
    <definedName name="TarrGrowth" localSheetId="51">#REF!</definedName>
    <definedName name="TarrGrowth" localSheetId="63">#REF!</definedName>
    <definedName name="TarrGrowth">#REF!</definedName>
    <definedName name="wqe" localSheetId="1">'[1]Other revenue sources'!#REF!</definedName>
    <definedName name="wqe" localSheetId="3">'[1]Other revenue sources'!#REF!</definedName>
    <definedName name="wqe" localSheetId="6">'[1]Other revenue sources'!#REF!</definedName>
    <definedName name="wqe" localSheetId="12">'[1]Other revenue sources'!#REF!</definedName>
    <definedName name="wqe" localSheetId="51">'[1]Other revenue sources'!#REF!</definedName>
    <definedName name="wqe">'[1]Other revenue sources'!#REF!</definedName>
    <definedName name="xx" localSheetId="44">#REF!</definedName>
    <definedName name="xx" localSheetId="46">#REF!</definedName>
    <definedName name="xx" localSheetId="20">#REF!</definedName>
    <definedName name="xx" localSheetId="1">#REF!</definedName>
    <definedName name="xx" localSheetId="3">#REF!</definedName>
    <definedName name="xx" localSheetId="6">#REF!</definedName>
    <definedName name="xx" localSheetId="12">#REF!</definedName>
    <definedName name="xx" localSheetId="51">#REF!</definedName>
    <definedName name="xx" localSheetId="63">#REF!</definedName>
    <definedName name="xx">#REF!</definedName>
    <definedName name="xxx" localSheetId="1">#REF!</definedName>
    <definedName name="xxx" localSheetId="3">#REF!</definedName>
    <definedName name="xxx" localSheetId="6">#REF!</definedName>
    <definedName name="xxx" localSheetId="51">#REF!</definedName>
    <definedName name="xxx">#REF!</definedName>
    <definedName name="xyz" localSheetId="1">'[11]Consumer Data &gt;100kVA'!#REF!</definedName>
    <definedName name="xyz" localSheetId="3">'[11]Consumer Data &gt;100kVA'!#REF!</definedName>
    <definedName name="xyz" localSheetId="6">'[11]Consumer Data &gt;100kVA'!#REF!</definedName>
    <definedName name="xyz" localSheetId="12">'[11]Consumer Data &gt;100kVA'!#REF!</definedName>
    <definedName name="xyz" localSheetId="51">'[11]Consumer Data &gt;100kVA'!#REF!</definedName>
    <definedName name="xyz">'[11]Consumer Data &gt;100kVA'!#REF!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373" l="1"/>
  <c r="N42" i="307"/>
  <c r="C25" i="303"/>
  <c r="R26" i="173"/>
  <c r="L29" i="173"/>
  <c r="C13" i="98"/>
  <c r="C12" i="98" s="1"/>
  <c r="I77" i="95"/>
  <c r="I76" i="95"/>
  <c r="I74" i="95"/>
  <c r="I72" i="95"/>
  <c r="E77" i="95"/>
  <c r="E76" i="95"/>
  <c r="E74" i="95"/>
  <c r="E72" i="95"/>
  <c r="B77" i="95"/>
  <c r="B76" i="95"/>
  <c r="B74" i="95"/>
  <c r="B72" i="95"/>
  <c r="I27" i="95"/>
  <c r="I26" i="95"/>
  <c r="I24" i="95"/>
  <c r="I22" i="95"/>
  <c r="E27" i="95"/>
  <c r="E26" i="95"/>
  <c r="E24" i="95"/>
  <c r="E22" i="95"/>
  <c r="C30" i="95"/>
  <c r="B32" i="95"/>
  <c r="B31" i="95"/>
  <c r="B30" i="95"/>
  <c r="B27" i="95"/>
  <c r="B26" i="95"/>
  <c r="B24" i="95"/>
  <c r="B22" i="95"/>
  <c r="E20" i="86"/>
  <c r="K44" i="157"/>
  <c r="N44" i="157"/>
  <c r="J27" i="157"/>
  <c r="K27" i="157"/>
  <c r="O27" i="157" s="1"/>
  <c r="N27" i="157"/>
  <c r="O23" i="157"/>
  <c r="O25" i="157"/>
  <c r="H43" i="173"/>
  <c r="I43" i="173"/>
  <c r="J43" i="173"/>
  <c r="K43" i="173"/>
  <c r="N43" i="173"/>
  <c r="O43" i="173"/>
  <c r="L24" i="9"/>
  <c r="L22" i="9"/>
  <c r="L20" i="9"/>
  <c r="L18" i="9"/>
  <c r="L14" i="9"/>
  <c r="L12" i="9"/>
  <c r="L9" i="9"/>
  <c r="L7" i="9"/>
  <c r="S33" i="141"/>
  <c r="S32" i="141"/>
  <c r="S31" i="141"/>
  <c r="S30" i="141"/>
  <c r="C40" i="7"/>
  <c r="U38" i="198"/>
  <c r="U38" i="163"/>
  <c r="N6" i="371"/>
  <c r="M6" i="371"/>
  <c r="L6" i="371"/>
  <c r="AA58" i="173" l="1"/>
  <c r="Y58" i="173"/>
  <c r="G58" i="83"/>
  <c r="G50" i="140"/>
  <c r="E11" i="381" s="1"/>
  <c r="C9" i="274" l="1"/>
  <c r="C18" i="274"/>
  <c r="C29" i="274" s="1"/>
  <c r="C6" i="274"/>
  <c r="C7" i="274"/>
  <c r="C32" i="274"/>
  <c r="C4" i="274"/>
  <c r="X21" i="141" l="1"/>
  <c r="X19" i="141"/>
  <c r="R53" i="141" l="1"/>
  <c r="M17" i="141"/>
  <c r="M19" i="141"/>
  <c r="I40" i="358"/>
  <c r="F42" i="358"/>
  <c r="I23" i="159"/>
  <c r="I24" i="163"/>
  <c r="I17" i="159"/>
  <c r="I18" i="163"/>
  <c r="I9" i="159"/>
  <c r="I10" i="163"/>
  <c r="E49" i="365"/>
  <c r="G209" i="356" l="1"/>
  <c r="H178" i="356"/>
  <c r="S178" i="356" s="1"/>
  <c r="H179" i="356"/>
  <c r="S179" i="356" s="1"/>
  <c r="H180" i="356"/>
  <c r="S180" i="356" s="1"/>
  <c r="H181" i="356"/>
  <c r="S181" i="356" s="1"/>
  <c r="H182" i="356"/>
  <c r="S182" i="356" s="1"/>
  <c r="H183" i="356"/>
  <c r="S183" i="356" s="1"/>
  <c r="H184" i="356"/>
  <c r="S184" i="356" s="1"/>
  <c r="H185" i="356"/>
  <c r="S185" i="356" s="1"/>
  <c r="H186" i="356"/>
  <c r="S186" i="356" s="1"/>
  <c r="H187" i="356"/>
  <c r="S187" i="356" s="1"/>
  <c r="H188" i="356"/>
  <c r="S188" i="356" s="1"/>
  <c r="H189" i="356"/>
  <c r="S189" i="356" s="1"/>
  <c r="H190" i="356"/>
  <c r="S190" i="356" s="1"/>
  <c r="H191" i="356"/>
  <c r="S191" i="356" s="1"/>
  <c r="H192" i="356"/>
  <c r="S192" i="356" s="1"/>
  <c r="H193" i="356"/>
  <c r="S193" i="356" s="1"/>
  <c r="H194" i="356"/>
  <c r="S194" i="356" s="1"/>
  <c r="H195" i="356"/>
  <c r="S195" i="356" s="1"/>
  <c r="H196" i="356"/>
  <c r="S196" i="356" s="1"/>
  <c r="H197" i="356"/>
  <c r="S197" i="356" s="1"/>
  <c r="H198" i="356"/>
  <c r="S198" i="356" s="1"/>
  <c r="H199" i="356"/>
  <c r="S199" i="356" s="1"/>
  <c r="H200" i="356"/>
  <c r="S200" i="356" s="1"/>
  <c r="H201" i="356"/>
  <c r="S201" i="356" s="1"/>
  <c r="H202" i="356"/>
  <c r="S202" i="356" s="1"/>
  <c r="H203" i="356"/>
  <c r="S203" i="356" s="1"/>
  <c r="H204" i="356"/>
  <c r="S204" i="356" s="1"/>
  <c r="H205" i="356"/>
  <c r="S205" i="356" s="1"/>
  <c r="H206" i="356"/>
  <c r="S206" i="356" s="1"/>
  <c r="H207" i="356"/>
  <c r="S207" i="356" s="1"/>
  <c r="H208" i="356"/>
  <c r="S208" i="356" s="1"/>
  <c r="H177" i="356"/>
  <c r="S177" i="356" s="1"/>
  <c r="S9" i="356" l="1"/>
  <c r="S39" i="356"/>
  <c r="S25" i="356"/>
  <c r="S19" i="356"/>
  <c r="G64" i="83"/>
  <c r="G63" i="83"/>
  <c r="G43" i="83"/>
  <c r="Q70" i="83"/>
  <c r="Q69" i="83"/>
  <c r="Q68" i="83"/>
  <c r="Q67" i="83"/>
  <c r="O71" i="83"/>
  <c r="O70" i="83"/>
  <c r="G59" i="83"/>
  <c r="F48" i="83"/>
  <c r="G54" i="83"/>
  <c r="F54" i="83"/>
  <c r="G48" i="83"/>
  <c r="G34" i="83"/>
  <c r="F34" i="83"/>
  <c r="G28" i="83"/>
  <c r="F28" i="83"/>
  <c r="G21" i="83"/>
  <c r="F21" i="83"/>
  <c r="G14" i="83"/>
  <c r="F14" i="83"/>
  <c r="G60" i="83"/>
  <c r="N99" i="83"/>
  <c r="G57" i="83"/>
  <c r="G62" i="83"/>
  <c r="G61" i="83"/>
  <c r="X107" i="83"/>
  <c r="X108" i="83" s="1"/>
  <c r="X103" i="83"/>
  <c r="X105" i="83"/>
  <c r="X104" i="83"/>
  <c r="W104" i="83"/>
  <c r="W105" i="83"/>
  <c r="W103" i="83"/>
  <c r="V101" i="83"/>
  <c r="X94" i="83"/>
  <c r="W94" i="83"/>
  <c r="X96" i="83"/>
  <c r="X97" i="83"/>
  <c r="X98" i="83"/>
  <c r="X99" i="83"/>
  <c r="X100" i="83"/>
  <c r="X95" i="83"/>
  <c r="W96" i="83"/>
  <c r="W97" i="83"/>
  <c r="W98" i="83"/>
  <c r="W99" i="83"/>
  <c r="W100" i="83"/>
  <c r="W95" i="83"/>
  <c r="F55" i="83" l="1"/>
  <c r="G55" i="83"/>
  <c r="H55" i="83" l="1"/>
  <c r="G109" i="140" l="1"/>
  <c r="G51" i="140"/>
  <c r="G55" i="140"/>
  <c r="G54" i="140"/>
  <c r="V65" i="3"/>
  <c r="U72" i="3"/>
  <c r="U71" i="3"/>
  <c r="U67" i="3"/>
  <c r="U65" i="3"/>
  <c r="T65" i="3"/>
  <c r="V55" i="3" l="1"/>
  <c r="U55" i="3"/>
  <c r="S52" i="3"/>
  <c r="S54" i="3" s="1"/>
  <c r="S55" i="3" s="1"/>
  <c r="T52" i="3"/>
  <c r="T54" i="3" s="1"/>
  <c r="T105" i="83" l="1"/>
  <c r="T104" i="83"/>
  <c r="T103" i="83"/>
  <c r="T100" i="83"/>
  <c r="T99" i="83"/>
  <c r="T98" i="83"/>
  <c r="T97" i="83"/>
  <c r="T96" i="83"/>
  <c r="T95" i="83"/>
  <c r="T94" i="83"/>
  <c r="R114" i="83"/>
  <c r="R113" i="83"/>
  <c r="E14" i="373" l="1"/>
  <c r="X7" i="27"/>
  <c r="Z31" i="27"/>
  <c r="C56" i="319" l="1"/>
  <c r="B58" i="319"/>
  <c r="F108" i="140"/>
  <c r="F107" i="140"/>
  <c r="F109" i="140"/>
  <c r="N143" i="83"/>
  <c r="N142" i="83"/>
  <c r="N141" i="83"/>
  <c r="N140" i="83"/>
  <c r="N139" i="83"/>
  <c r="N138" i="83"/>
  <c r="N137" i="83"/>
  <c r="N136" i="83"/>
  <c r="N144" i="83" s="1"/>
  <c r="C56" i="345"/>
  <c r="C65" i="345" s="1"/>
  <c r="C34" i="345" l="1"/>
  <c r="B10" i="319"/>
  <c r="I15" i="319" l="1"/>
  <c r="H15" i="319"/>
  <c r="F15" i="319"/>
  <c r="E34" i="97"/>
  <c r="E18" i="97"/>
  <c r="B9" i="101"/>
  <c r="O72" i="141"/>
  <c r="C9" i="101" s="1"/>
  <c r="N72" i="141"/>
  <c r="N11" i="157"/>
  <c r="C7" i="157"/>
  <c r="J22" i="364" l="1"/>
  <c r="I22" i="364"/>
  <c r="H22" i="364"/>
  <c r="G22" i="364"/>
  <c r="F22" i="364"/>
  <c r="E22" i="364"/>
  <c r="J13" i="364"/>
  <c r="I13" i="364"/>
  <c r="H13" i="364"/>
  <c r="G13" i="364"/>
  <c r="F13" i="364"/>
  <c r="E13" i="364"/>
  <c r="J8" i="364"/>
  <c r="I8" i="364"/>
  <c r="H8" i="364"/>
  <c r="G8" i="364"/>
  <c r="F8" i="364"/>
  <c r="E8" i="364"/>
  <c r="P22" i="363"/>
  <c r="O22" i="363"/>
  <c r="N22" i="363"/>
  <c r="M22" i="363"/>
  <c r="L22" i="363"/>
  <c r="K22" i="363"/>
  <c r="J22" i="363"/>
  <c r="I22" i="363"/>
  <c r="H22" i="363"/>
  <c r="G22" i="363"/>
  <c r="F22" i="363"/>
  <c r="E22" i="363"/>
  <c r="P13" i="363"/>
  <c r="O13" i="363"/>
  <c r="N13" i="363"/>
  <c r="M13" i="363"/>
  <c r="L13" i="363"/>
  <c r="K13" i="363"/>
  <c r="J13" i="363"/>
  <c r="I13" i="363"/>
  <c r="H13" i="363"/>
  <c r="G13" i="363"/>
  <c r="F13" i="363"/>
  <c r="P8" i="363"/>
  <c r="O8" i="363"/>
  <c r="N8" i="363"/>
  <c r="M8" i="363"/>
  <c r="L8" i="363"/>
  <c r="K8" i="363"/>
  <c r="J8" i="363"/>
  <c r="I8" i="363"/>
  <c r="H8" i="363"/>
  <c r="G8" i="363"/>
  <c r="F8" i="363"/>
  <c r="E8" i="363"/>
  <c r="N132" i="83" l="1"/>
  <c r="N131" i="83"/>
  <c r="N130" i="83"/>
  <c r="N129" i="83"/>
  <c r="N128" i="83"/>
  <c r="N127" i="83"/>
  <c r="N126" i="83"/>
  <c r="N125" i="83"/>
  <c r="N124" i="83"/>
  <c r="N123" i="83"/>
  <c r="N122" i="83"/>
  <c r="N121" i="83"/>
  <c r="N120" i="83"/>
  <c r="N119" i="83"/>
  <c r="N118" i="83"/>
  <c r="N117" i="83"/>
  <c r="N116" i="83"/>
  <c r="N115" i="83"/>
  <c r="N111" i="83"/>
  <c r="N110" i="83"/>
  <c r="N109" i="83"/>
  <c r="N108" i="83"/>
  <c r="N112" i="83" s="1"/>
  <c r="N107" i="83"/>
  <c r="N106" i="83"/>
  <c r="N105" i="83"/>
  <c r="N104" i="83"/>
  <c r="N103" i="83"/>
  <c r="N133" i="83" l="1"/>
  <c r="F15" i="274"/>
  <c r="E15" i="274"/>
  <c r="D8" i="278" l="1"/>
  <c r="E7" i="278"/>
  <c r="D6" i="278"/>
  <c r="D14" i="23"/>
  <c r="C25" i="23" l="1"/>
  <c r="C16" i="23"/>
  <c r="C7" i="23"/>
  <c r="C10" i="23"/>
  <c r="G52" i="83" l="1"/>
  <c r="G25" i="83"/>
  <c r="D46" i="83"/>
  <c r="D25" i="83"/>
  <c r="E46" i="83"/>
  <c r="E25" i="83"/>
  <c r="G9" i="83"/>
  <c r="E10" i="83"/>
  <c r="E11" i="83"/>
  <c r="F8" i="83"/>
  <c r="G8" i="83" s="1"/>
  <c r="N98" i="83"/>
  <c r="N97" i="83"/>
  <c r="N96" i="83"/>
  <c r="N95" i="83"/>
  <c r="N90" i="83"/>
  <c r="N80" i="83"/>
  <c r="N89" i="83"/>
  <c r="N88" i="83"/>
  <c r="N87" i="83"/>
  <c r="N86" i="83"/>
  <c r="N85" i="83"/>
  <c r="N84" i="83"/>
  <c r="N83" i="83"/>
  <c r="N91" i="83" s="1"/>
  <c r="G46" i="83" s="1"/>
  <c r="F46" i="83" s="1"/>
  <c r="N70" i="83"/>
  <c r="M70" i="83"/>
  <c r="N100" i="83" l="1"/>
  <c r="F51" i="140"/>
  <c r="G96" i="140"/>
  <c r="F96" i="140"/>
  <c r="F114" i="140"/>
  <c r="J138" i="140"/>
  <c r="I138" i="140"/>
  <c r="G48" i="140"/>
  <c r="F55" i="140"/>
  <c r="F54" i="140"/>
  <c r="F50" i="140"/>
  <c r="F49" i="140"/>
  <c r="Z58" i="173" l="1"/>
  <c r="Z60" i="173" s="1"/>
  <c r="W49" i="173"/>
  <c r="Y49" i="173" s="1"/>
  <c r="AA49" i="173" s="1"/>
  <c r="AA60" i="173" s="1"/>
  <c r="G21" i="173" l="1"/>
  <c r="G28" i="173"/>
  <c r="B13" i="98"/>
  <c r="G22" i="173" l="1"/>
  <c r="B21" i="98"/>
  <c r="G25" i="173"/>
  <c r="E119" i="140"/>
  <c r="E120" i="140" s="1"/>
  <c r="G18" i="173"/>
  <c r="G19" i="173"/>
  <c r="E43" i="140"/>
  <c r="E99" i="140"/>
  <c r="G62" i="3"/>
  <c r="G61" i="3"/>
  <c r="G59" i="3"/>
  <c r="G58" i="3" s="1"/>
  <c r="G16" i="173"/>
  <c r="B8" i="98"/>
  <c r="G10" i="173"/>
  <c r="B12" i="98" s="1"/>
  <c r="L9" i="173"/>
  <c r="P9" i="173"/>
  <c r="M59" i="277" l="1"/>
  <c r="T35" i="3"/>
  <c r="T32" i="3"/>
  <c r="T31" i="3"/>
  <c r="S34" i="3"/>
  <c r="T34" i="3" s="1"/>
  <c r="S33" i="3"/>
  <c r="T33" i="3" s="1"/>
  <c r="W34" i="3"/>
  <c r="W33" i="3"/>
  <c r="W36" i="3" s="1"/>
  <c r="I50" i="277" l="1"/>
  <c r="M56" i="277" l="1"/>
  <c r="T39" i="277"/>
  <c r="N46" i="277" s="1"/>
  <c r="V9" i="27" l="1"/>
  <c r="D7" i="98" l="1"/>
  <c r="F49" i="198"/>
  <c r="F43" i="198"/>
  <c r="F39" i="198"/>
  <c r="F38" i="198"/>
  <c r="F58" i="198"/>
  <c r="U39" i="198"/>
  <c r="M51" i="58"/>
  <c r="D49" i="198" s="1"/>
  <c r="M50" i="58"/>
  <c r="M49" i="58"/>
  <c r="D47" i="198" s="1"/>
  <c r="M47" i="58"/>
  <c r="D45" i="198" s="1"/>
  <c r="F45" i="198" s="1"/>
  <c r="M45" i="58"/>
  <c r="D43" i="198" s="1"/>
  <c r="M43" i="58"/>
  <c r="D41" i="198" s="1"/>
  <c r="F41" i="198" s="1"/>
  <c r="M42" i="58"/>
  <c r="D40" i="198" s="1"/>
  <c r="M41" i="58"/>
  <c r="D39" i="198" s="1"/>
  <c r="M40" i="58"/>
  <c r="D38" i="198" s="1"/>
  <c r="M39" i="58"/>
  <c r="D37" i="198" s="1"/>
  <c r="F37" i="198" s="1"/>
  <c r="D48" i="198"/>
  <c r="F48" i="198" s="1"/>
  <c r="M62" i="58"/>
  <c r="D59" i="198" s="1"/>
  <c r="F59" i="198" s="1"/>
  <c r="M61" i="58"/>
  <c r="D58" i="198" s="1"/>
  <c r="M60" i="58"/>
  <c r="F40" i="198" l="1"/>
  <c r="U40" i="198"/>
  <c r="U37" i="198"/>
  <c r="F11" i="278"/>
  <c r="E12" i="278"/>
  <c r="G12" i="278"/>
  <c r="C12" i="278"/>
  <c r="D12" i="278"/>
  <c r="C11" i="278"/>
  <c r="D11" i="278"/>
  <c r="C8" i="278"/>
  <c r="C7" i="278"/>
  <c r="C6" i="278" l="1"/>
  <c r="C10" i="274" l="1"/>
  <c r="E24" i="83"/>
  <c r="E23" i="83"/>
  <c r="I19" i="371" l="1"/>
  <c r="H19" i="371"/>
  <c r="T36" i="3" l="1"/>
  <c r="T45" i="3" s="1"/>
  <c r="T47" i="3" s="1"/>
  <c r="S36" i="3"/>
  <c r="C9" i="376" l="1"/>
  <c r="S41" i="3"/>
  <c r="F12" i="82"/>
  <c r="F9" i="82"/>
  <c r="F8" i="82"/>
  <c r="E8" i="82"/>
  <c r="E14" i="82"/>
  <c r="D8" i="82"/>
  <c r="D14" i="82"/>
  <c r="C8" i="82"/>
  <c r="C14" i="82"/>
  <c r="D7" i="82"/>
  <c r="D10" i="82"/>
  <c r="C7" i="82"/>
  <c r="C10" i="82"/>
  <c r="E7" i="82"/>
  <c r="E10" i="82"/>
  <c r="F7" i="82"/>
  <c r="E13" i="82"/>
  <c r="E12" i="82"/>
  <c r="E11" i="82"/>
  <c r="E9" i="82"/>
  <c r="E5" i="82"/>
  <c r="E51" i="82"/>
  <c r="E50" i="82"/>
  <c r="E49" i="82"/>
  <c r="E48" i="82"/>
  <c r="E47" i="82"/>
  <c r="E46" i="82"/>
  <c r="E45" i="82"/>
  <c r="E44" i="82"/>
  <c r="E43" i="82"/>
  <c r="E42" i="82"/>
  <c r="E41" i="82"/>
  <c r="E40" i="82"/>
  <c r="E39" i="82"/>
  <c r="E38" i="82"/>
  <c r="E37" i="82"/>
  <c r="D51" i="82"/>
  <c r="D50" i="82"/>
  <c r="D49" i="82"/>
  <c r="D48" i="82"/>
  <c r="D47" i="82"/>
  <c r="D46" i="82"/>
  <c r="D45" i="82"/>
  <c r="D44" i="82"/>
  <c r="D43" i="82"/>
  <c r="D42" i="82"/>
  <c r="D41" i="82"/>
  <c r="D40" i="82"/>
  <c r="D39" i="82"/>
  <c r="D38" i="82"/>
  <c r="D37" i="82"/>
  <c r="E52" i="82" l="1"/>
  <c r="D52" i="82"/>
  <c r="G60" i="58" l="1"/>
  <c r="O60" i="58" s="1"/>
  <c r="I58" i="347"/>
  <c r="J59" i="347"/>
  <c r="H59" i="347"/>
  <c r="C58" i="347"/>
  <c r="M66" i="58"/>
  <c r="D63" i="198" s="1"/>
  <c r="M65" i="58"/>
  <c r="D62" i="198" s="1"/>
  <c r="M64" i="58"/>
  <c r="D61" i="198" s="1"/>
  <c r="D57" i="198"/>
  <c r="M58" i="58"/>
  <c r="D55" i="198" s="1"/>
  <c r="F55" i="198" s="1"/>
  <c r="R58" i="58"/>
  <c r="D55" i="163" s="1"/>
  <c r="R55" i="163" l="1"/>
  <c r="F55" i="163"/>
  <c r="M58" i="277"/>
  <c r="N48" i="277"/>
  <c r="O48" i="277" s="1"/>
  <c r="M49" i="277"/>
  <c r="E50" i="277" s="1"/>
  <c r="M48" i="277"/>
  <c r="M47" i="277"/>
  <c r="M46" i="277"/>
  <c r="O46" i="277" s="1"/>
  <c r="M44" i="277"/>
  <c r="M45" i="277"/>
  <c r="S39" i="277"/>
  <c r="U39" i="277" s="1"/>
  <c r="V39" i="277" s="1"/>
  <c r="M50" i="277" l="1"/>
  <c r="B22" i="98"/>
  <c r="B23" i="98"/>
  <c r="H32" i="95"/>
  <c r="H31" i="95"/>
  <c r="H30" i="95"/>
  <c r="H26" i="95"/>
  <c r="H27" i="95"/>
  <c r="H24" i="95"/>
  <c r="N19" i="87"/>
  <c r="K19" i="87"/>
  <c r="J21" i="156"/>
  <c r="I21" i="156"/>
  <c r="C21" i="156"/>
  <c r="D21" i="156"/>
  <c r="B21" i="156"/>
  <c r="J9" i="156"/>
  <c r="I9" i="156"/>
  <c r="C9" i="156"/>
  <c r="D9" i="156"/>
  <c r="B9" i="156"/>
  <c r="D15" i="82"/>
  <c r="Y56" i="173"/>
  <c r="Y53" i="173"/>
  <c r="Y51" i="173"/>
  <c r="W57" i="173"/>
  <c r="W56" i="173"/>
  <c r="W55" i="173"/>
  <c r="W59" i="173"/>
  <c r="W54" i="173"/>
  <c r="W53" i="173"/>
  <c r="W51" i="173"/>
  <c r="W50" i="173"/>
  <c r="Y50" i="173" s="1"/>
  <c r="E51" i="277" l="1"/>
  <c r="G37" i="173"/>
  <c r="B7" i="98"/>
  <c r="B6" i="98" l="1"/>
  <c r="G34" i="173"/>
  <c r="B9" i="98"/>
  <c r="C15" i="82"/>
  <c r="G66" i="3"/>
  <c r="G20" i="173"/>
  <c r="E107" i="140" l="1"/>
  <c r="E54" i="140"/>
  <c r="K18" i="9" l="1"/>
  <c r="K16" i="9"/>
  <c r="J24" i="9"/>
  <c r="J22" i="9"/>
  <c r="J20" i="9"/>
  <c r="J18" i="9"/>
  <c r="J16" i="9"/>
  <c r="J14" i="9"/>
  <c r="J9" i="9"/>
  <c r="J7" i="9"/>
  <c r="I22" i="9"/>
  <c r="I20" i="9"/>
  <c r="I18" i="9"/>
  <c r="I16" i="9"/>
  <c r="I14" i="9"/>
  <c r="I12" i="9"/>
  <c r="I9" i="9"/>
  <c r="I7" i="9"/>
  <c r="H20" i="9"/>
  <c r="H18" i="9"/>
  <c r="H16" i="9"/>
  <c r="G24" i="9"/>
  <c r="G22" i="9"/>
  <c r="G20" i="9"/>
  <c r="G18" i="9"/>
  <c r="G16" i="9"/>
  <c r="G14" i="9"/>
  <c r="G9" i="9"/>
  <c r="G7" i="9"/>
  <c r="F22" i="9"/>
  <c r="F20" i="9"/>
  <c r="F18" i="9"/>
  <c r="F16" i="9"/>
  <c r="F14" i="9"/>
  <c r="F9" i="9"/>
  <c r="F7" i="9"/>
  <c r="E24" i="9"/>
  <c r="E22" i="9"/>
  <c r="E20" i="9"/>
  <c r="E18" i="9"/>
  <c r="E16" i="9"/>
  <c r="E14" i="9"/>
  <c r="E12" i="9"/>
  <c r="E9" i="9"/>
  <c r="E7" i="9"/>
  <c r="D22" i="9"/>
  <c r="D20" i="9"/>
  <c r="D18" i="9"/>
  <c r="D16" i="9"/>
  <c r="D14" i="9"/>
  <c r="D12" i="9"/>
  <c r="D9" i="9"/>
  <c r="D7" i="9"/>
  <c r="D24" i="9"/>
  <c r="C24" i="9"/>
  <c r="C22" i="9"/>
  <c r="C20" i="9"/>
  <c r="C18" i="9"/>
  <c r="C16" i="9"/>
  <c r="C14" i="9"/>
  <c r="C12" i="9"/>
  <c r="C9" i="9"/>
  <c r="C7" i="9"/>
  <c r="B24" i="9"/>
  <c r="B22" i="9"/>
  <c r="B20" i="9"/>
  <c r="B18" i="9"/>
  <c r="B16" i="9"/>
  <c r="B14" i="9"/>
  <c r="B12" i="9"/>
  <c r="B9" i="9"/>
  <c r="B7" i="9"/>
  <c r="E17" i="140"/>
  <c r="E32" i="8" l="1"/>
  <c r="E31" i="8"/>
  <c r="E30" i="8"/>
  <c r="E29" i="8"/>
  <c r="E28" i="8"/>
  <c r="E27" i="8"/>
  <c r="E26" i="8"/>
  <c r="E25" i="8"/>
  <c r="E23" i="8"/>
  <c r="E22" i="8"/>
  <c r="E20" i="8"/>
  <c r="E19" i="8"/>
  <c r="E18" i="8"/>
  <c r="E17" i="8"/>
  <c r="E16" i="8"/>
  <c r="E15" i="8"/>
  <c r="E12" i="8"/>
  <c r="E11" i="8"/>
  <c r="E10" i="8"/>
  <c r="E9" i="8"/>
  <c r="E8" i="8"/>
  <c r="D31" i="8"/>
  <c r="D30" i="8"/>
  <c r="D29" i="8"/>
  <c r="D28" i="8"/>
  <c r="D27" i="8"/>
  <c r="D26" i="8"/>
  <c r="D25" i="8"/>
  <c r="D23" i="8"/>
  <c r="D22" i="8"/>
  <c r="D20" i="8"/>
  <c r="D19" i="8"/>
  <c r="D18" i="8"/>
  <c r="D17" i="8"/>
  <c r="D16" i="8"/>
  <c r="D15" i="8"/>
  <c r="D12" i="8"/>
  <c r="D11" i="8"/>
  <c r="D10" i="8"/>
  <c r="D9" i="8"/>
  <c r="D8" i="8"/>
  <c r="I8" i="8"/>
  <c r="I9" i="8"/>
  <c r="I15" i="8"/>
  <c r="I16" i="8"/>
  <c r="I17" i="8"/>
  <c r="I18" i="8"/>
  <c r="I19" i="8"/>
  <c r="I20" i="8"/>
  <c r="I21" i="8"/>
  <c r="I22" i="8"/>
  <c r="I23" i="8"/>
  <c r="I24" i="8"/>
  <c r="I26" i="8"/>
  <c r="I27" i="8"/>
  <c r="I28" i="8"/>
  <c r="I29" i="8"/>
  <c r="I30" i="8"/>
  <c r="I31" i="8"/>
  <c r="L30" i="141"/>
  <c r="C28" i="8"/>
  <c r="C29" i="8"/>
  <c r="C30" i="8"/>
  <c r="C31" i="8"/>
  <c r="C27" i="8"/>
  <c r="C11" i="381"/>
  <c r="AC9" i="27"/>
  <c r="AC7" i="27"/>
  <c r="V7" i="27"/>
  <c r="V30" i="27"/>
  <c r="V21" i="27"/>
  <c r="S72" i="58"/>
  <c r="S48" i="58"/>
  <c r="K37" i="307"/>
  <c r="K28" i="307"/>
  <c r="H27" i="8" l="1"/>
  <c r="G19" i="371"/>
  <c r="F19" i="371"/>
  <c r="D19" i="371"/>
  <c r="C19" i="371"/>
  <c r="E19" i="371"/>
  <c r="N14" i="371"/>
  <c r="M14" i="371"/>
  <c r="L14" i="371"/>
  <c r="K14" i="371"/>
  <c r="J14" i="371"/>
  <c r="I14" i="371"/>
  <c r="H14" i="371"/>
  <c r="G14" i="371"/>
  <c r="F14" i="371"/>
  <c r="E14" i="371"/>
  <c r="D14" i="371"/>
  <c r="C14" i="371"/>
  <c r="O14" i="371" l="1"/>
  <c r="C19" i="101"/>
  <c r="C14" i="101"/>
  <c r="C13" i="101"/>
  <c r="B14" i="101"/>
  <c r="B13" i="101"/>
  <c r="B12" i="101"/>
  <c r="C11" i="101"/>
  <c r="B11" i="101"/>
  <c r="AG31" i="141" l="1"/>
  <c r="AG32" i="141"/>
  <c r="AG33" i="141"/>
  <c r="AG30" i="141"/>
  <c r="Z31" i="141"/>
  <c r="Z32" i="141"/>
  <c r="Z33" i="141"/>
  <c r="Z34" i="141"/>
  <c r="Z30" i="141"/>
  <c r="Y31" i="141"/>
  <c r="Y32" i="141"/>
  <c r="Y33" i="141"/>
  <c r="Y34" i="141"/>
  <c r="Y30" i="141"/>
  <c r="X31" i="141"/>
  <c r="X32" i="141"/>
  <c r="X33" i="141"/>
  <c r="X34" i="141"/>
  <c r="X30" i="141"/>
  <c r="U102" i="141"/>
  <c r="V30" i="141"/>
  <c r="R30" i="141"/>
  <c r="M31" i="141"/>
  <c r="M32" i="141"/>
  <c r="M33" i="141"/>
  <c r="M34" i="141"/>
  <c r="M30" i="141"/>
  <c r="M21" i="141"/>
  <c r="Q30" i="141"/>
  <c r="O31" i="141"/>
  <c r="O32" i="141"/>
  <c r="O33" i="141"/>
  <c r="O34" i="141"/>
  <c r="O30" i="141"/>
  <c r="N31" i="141"/>
  <c r="N32" i="141"/>
  <c r="N33" i="141"/>
  <c r="N34" i="141"/>
  <c r="N30" i="141"/>
  <c r="P101" i="141"/>
  <c r="P102" i="141" s="1"/>
  <c r="P100" i="141"/>
  <c r="P99" i="141"/>
  <c r="R99" i="141" s="1"/>
  <c r="P98" i="141"/>
  <c r="R98" i="141" s="1"/>
  <c r="P97" i="141"/>
  <c r="R97" i="141" s="1"/>
  <c r="T102" i="141"/>
  <c r="R100" i="141"/>
  <c r="Q102" i="141"/>
  <c r="O98" i="141"/>
  <c r="O99" i="141"/>
  <c r="O100" i="141"/>
  <c r="O101" i="141"/>
  <c r="O97" i="141"/>
  <c r="M102" i="141"/>
  <c r="N102" i="141"/>
  <c r="C37" i="97"/>
  <c r="C38" i="97" s="1"/>
  <c r="C12" i="7"/>
  <c r="F9" i="3"/>
  <c r="F8" i="3"/>
  <c r="C40" i="141"/>
  <c r="C35" i="141"/>
  <c r="F35" i="141"/>
  <c r="K12" i="141"/>
  <c r="B26" i="141"/>
  <c r="B12" i="141"/>
  <c r="K33" i="141"/>
  <c r="K19" i="141"/>
  <c r="B17" i="141"/>
  <c r="B19" i="141"/>
  <c r="B22" i="141"/>
  <c r="K21" i="141"/>
  <c r="R101" i="141" l="1"/>
  <c r="S101" i="141" s="1"/>
  <c r="S100" i="141"/>
  <c r="S99" i="141"/>
  <c r="S98" i="141"/>
  <c r="R102" i="141"/>
  <c r="S97" i="141"/>
  <c r="O102" i="141"/>
  <c r="S102" i="141" l="1"/>
  <c r="N7" i="372" l="1"/>
  <c r="M7" i="372"/>
  <c r="Q7" i="372"/>
  <c r="G7" i="372"/>
  <c r="L7" i="372"/>
  <c r="S29" i="27" l="1"/>
  <c r="Q26" i="27"/>
  <c r="Q11" i="27"/>
  <c r="Q10" i="27"/>
  <c r="Q7" i="27"/>
  <c r="V42" i="27"/>
  <c r="W43" i="27"/>
  <c r="S42" i="27"/>
  <c r="F7" i="156" l="1"/>
  <c r="O174" i="356" l="1"/>
  <c r="Q174" i="356" s="1"/>
  <c r="H174" i="356"/>
  <c r="O144" i="356"/>
  <c r="Q144" i="356" s="1"/>
  <c r="H144" i="356"/>
  <c r="O125" i="356"/>
  <c r="Q125" i="356" s="1"/>
  <c r="H125" i="356"/>
  <c r="O109" i="356"/>
  <c r="Q109" i="356" s="1"/>
  <c r="H109" i="356"/>
  <c r="R109" i="356" l="1"/>
  <c r="S109" i="356"/>
  <c r="R125" i="356"/>
  <c r="S125" i="356"/>
  <c r="R144" i="356"/>
  <c r="S144" i="356"/>
  <c r="R174" i="356"/>
  <c r="S174" i="356"/>
  <c r="D8" i="366"/>
  <c r="D27" i="366"/>
  <c r="D12" i="366"/>
  <c r="D9" i="366"/>
  <c r="D26" i="366"/>
  <c r="D25" i="366"/>
  <c r="C12" i="366"/>
  <c r="E9" i="345"/>
  <c r="H9" i="345"/>
  <c r="H29" i="360"/>
  <c r="H14" i="360"/>
  <c r="H27" i="366"/>
  <c r="H12" i="366"/>
  <c r="K37" i="358"/>
  <c r="K28" i="358"/>
  <c r="J18" i="358"/>
  <c r="J37" i="358"/>
  <c r="E38" i="358"/>
  <c r="E19" i="358"/>
  <c r="E21" i="358" s="1"/>
  <c r="K14" i="365" l="1"/>
  <c r="K33" i="365"/>
  <c r="K38" i="365"/>
  <c r="K19" i="365"/>
  <c r="K39" i="365"/>
  <c r="K12" i="365"/>
  <c r="K11" i="365"/>
  <c r="K10" i="365"/>
  <c r="K31" i="365"/>
  <c r="K30" i="365"/>
  <c r="K29" i="365"/>
  <c r="K13" i="365"/>
  <c r="J39" i="365"/>
  <c r="I13" i="58" l="1"/>
  <c r="H13" i="58"/>
  <c r="E13" i="58"/>
  <c r="D13" i="58"/>
  <c r="J32" i="358"/>
  <c r="J29" i="358"/>
  <c r="J30" i="358"/>
  <c r="J31" i="358"/>
  <c r="J28" i="358"/>
  <c r="J29" i="365"/>
  <c r="J30" i="365"/>
  <c r="J31" i="365"/>
  <c r="J32" i="365"/>
  <c r="J33" i="365"/>
  <c r="AC26" i="27" l="1"/>
  <c r="AB81" i="27"/>
  <c r="N63" i="58"/>
  <c r="M63" i="58" s="1"/>
  <c r="D60" i="198" s="1"/>
  <c r="F60" i="198" s="1"/>
  <c r="N48" i="58"/>
  <c r="M48" i="58" s="1"/>
  <c r="D46" i="198" s="1"/>
  <c r="F46" i="198" s="1"/>
  <c r="N50" i="307"/>
  <c r="N49" i="307"/>
  <c r="T58" i="58"/>
  <c r="Q63" i="58"/>
  <c r="O36" i="356"/>
  <c r="Q36" i="356" s="1"/>
  <c r="R36" i="356" s="1"/>
  <c r="O37" i="356"/>
  <c r="Q37" i="356" s="1"/>
  <c r="R37" i="356" s="1"/>
  <c r="H37" i="356"/>
  <c r="H36" i="356"/>
  <c r="G53" i="356"/>
  <c r="F53" i="356"/>
  <c r="O145" i="356"/>
  <c r="Q145" i="356" s="1"/>
  <c r="H145" i="356"/>
  <c r="N59" i="58"/>
  <c r="M59" i="58" s="1"/>
  <c r="D56" i="198" s="1"/>
  <c r="F56" i="198" s="1"/>
  <c r="E58" i="346"/>
  <c r="D58" i="346"/>
  <c r="C58" i="346"/>
  <c r="R145" i="356" l="1"/>
  <c r="S145" i="356"/>
  <c r="O76" i="356"/>
  <c r="Q76" i="356" s="1"/>
  <c r="H76" i="356"/>
  <c r="O74" i="356"/>
  <c r="Q74" i="356" s="1"/>
  <c r="H74" i="356"/>
  <c r="O62" i="356"/>
  <c r="Q62" i="356" s="1"/>
  <c r="O63" i="356"/>
  <c r="Q63" i="356" s="1"/>
  <c r="H63" i="356"/>
  <c r="H62" i="356"/>
  <c r="O58" i="356"/>
  <c r="Q58" i="356" s="1"/>
  <c r="H58" i="356"/>
  <c r="O46" i="356"/>
  <c r="Q46" i="356" s="1"/>
  <c r="R46" i="356" s="1"/>
  <c r="H46" i="356"/>
  <c r="O16" i="356"/>
  <c r="Q16" i="356" s="1"/>
  <c r="R16" i="356" s="1"/>
  <c r="O17" i="356"/>
  <c r="Q17" i="356" s="1"/>
  <c r="R17" i="356" s="1"/>
  <c r="H17" i="356"/>
  <c r="H16" i="356"/>
  <c r="R63" i="356" l="1"/>
  <c r="S63" i="356"/>
  <c r="R74" i="356"/>
  <c r="S74" i="356"/>
  <c r="R62" i="356"/>
  <c r="S62" i="356"/>
  <c r="R58" i="356"/>
  <c r="S58" i="356"/>
  <c r="R76" i="356"/>
  <c r="S76" i="356"/>
  <c r="P15" i="27"/>
  <c r="O16" i="27"/>
  <c r="V16" i="27" s="1"/>
  <c r="O15" i="27"/>
  <c r="V15" i="27" s="1"/>
  <c r="U15" i="27" s="1"/>
  <c r="G16" i="27"/>
  <c r="G15" i="27"/>
  <c r="AJ5" i="27"/>
  <c r="AI5" i="27"/>
  <c r="W16" i="27" l="1"/>
  <c r="AC16" i="27"/>
  <c r="AD16" i="27" s="1"/>
  <c r="P16" i="27"/>
  <c r="N16" i="27"/>
  <c r="U16" i="27"/>
  <c r="C14" i="382"/>
  <c r="C15" i="382" s="1"/>
  <c r="C16" i="374"/>
  <c r="C19" i="374" s="1"/>
  <c r="U58" i="27"/>
  <c r="U64" i="27" s="1"/>
  <c r="C23" i="374" l="1"/>
  <c r="C22" i="374"/>
  <c r="C24" i="374" s="1"/>
  <c r="I29" i="27"/>
  <c r="E10" i="27"/>
  <c r="I10" i="27" s="1"/>
  <c r="H9" i="27"/>
  <c r="I9" i="27" s="1"/>
  <c r="P33" i="27" l="1"/>
  <c r="L31" i="27"/>
  <c r="S31" i="27" s="1"/>
  <c r="O31" i="27"/>
  <c r="V31" i="27" s="1"/>
  <c r="AC31" i="27" s="1"/>
  <c r="O30" i="27"/>
  <c r="P29" i="27"/>
  <c r="O27" i="27"/>
  <c r="V27" i="27" s="1"/>
  <c r="AC27" i="27" s="1"/>
  <c r="O26" i="27"/>
  <c r="P26" i="27" s="1"/>
  <c r="O23" i="27"/>
  <c r="V23" i="27" s="1"/>
  <c r="O21" i="27"/>
  <c r="O20" i="27"/>
  <c r="L27" i="27"/>
  <c r="L26" i="27"/>
  <c r="L24" i="27"/>
  <c r="S24" i="27" s="1"/>
  <c r="Z24" i="27" s="1"/>
  <c r="L23" i="27"/>
  <c r="L21" i="27"/>
  <c r="O18" i="27"/>
  <c r="O11" i="27"/>
  <c r="O10" i="27"/>
  <c r="O9" i="27"/>
  <c r="O7" i="27"/>
  <c r="L12" i="27"/>
  <c r="L11" i="27"/>
  <c r="X11" i="27" s="1"/>
  <c r="L10" i="27"/>
  <c r="X10" i="27" s="1"/>
  <c r="L7" i="27"/>
  <c r="AC23" i="27" l="1"/>
  <c r="O28" i="27"/>
  <c r="L28" i="27"/>
  <c r="I33" i="27"/>
  <c r="E31" i="27"/>
  <c r="H26" i="27"/>
  <c r="H21" i="27"/>
  <c r="H20" i="27"/>
  <c r="I20" i="27" s="1"/>
  <c r="E26" i="27"/>
  <c r="E24" i="27"/>
  <c r="E23" i="27"/>
  <c r="E21" i="27"/>
  <c r="H11" i="27"/>
  <c r="H7" i="27"/>
  <c r="E12" i="27"/>
  <c r="E11" i="27"/>
  <c r="E7" i="27"/>
  <c r="C13" i="382"/>
  <c r="C36" i="374"/>
  <c r="I7" i="27" l="1"/>
  <c r="I11" i="27"/>
  <c r="H58" i="346" l="1"/>
  <c r="H13" i="346"/>
  <c r="K59" i="58" l="1"/>
  <c r="E48" i="346"/>
  <c r="I62" i="346"/>
  <c r="I63" i="347" l="1"/>
  <c r="I62" i="347" l="1"/>
  <c r="K38" i="358" l="1"/>
  <c r="D13" i="307"/>
  <c r="D7" i="307"/>
  <c r="C40" i="200"/>
  <c r="C13" i="307" l="1"/>
  <c r="C24" i="307" s="1"/>
  <c r="C7" i="307"/>
  <c r="C32" i="307" l="1"/>
  <c r="E13" i="307"/>
  <c r="E24" i="307" s="1"/>
  <c r="E32" i="307" s="1"/>
  <c r="F13" i="307"/>
  <c r="F24" i="307" s="1"/>
  <c r="F32" i="307" s="1"/>
  <c r="I59" i="345" l="1"/>
  <c r="H59" i="345"/>
  <c r="G59" i="345"/>
  <c r="F59" i="345"/>
  <c r="E59" i="345"/>
  <c r="D59" i="345"/>
  <c r="I27" i="347"/>
  <c r="E48" i="347"/>
  <c r="G31" i="347"/>
  <c r="F31" i="347"/>
  <c r="E31" i="347"/>
  <c r="C31" i="347"/>
  <c r="F26" i="347"/>
  <c r="E26" i="347"/>
  <c r="D26" i="347"/>
  <c r="C26" i="347"/>
  <c r="G13" i="347"/>
  <c r="F13" i="347"/>
  <c r="E13" i="347"/>
  <c r="D13" i="347"/>
  <c r="C13" i="347"/>
  <c r="D20" i="365" l="1"/>
  <c r="C20" i="365"/>
  <c r="Q46" i="58" l="1"/>
  <c r="L59" i="58"/>
  <c r="P46" i="58"/>
  <c r="I46" i="58"/>
  <c r="H46" i="58"/>
  <c r="E63" i="58" l="1"/>
  <c r="E62" i="58"/>
  <c r="E61" i="58"/>
  <c r="E59" i="58"/>
  <c r="E48" i="58"/>
  <c r="E47" i="58"/>
  <c r="E46" i="58"/>
  <c r="E45" i="58"/>
  <c r="E44" i="58"/>
  <c r="E43" i="58"/>
  <c r="E42" i="58"/>
  <c r="E41" i="58"/>
  <c r="E40" i="58"/>
  <c r="E39" i="58"/>
  <c r="E35" i="58"/>
  <c r="E34" i="58"/>
  <c r="E33" i="58"/>
  <c r="E31" i="58"/>
  <c r="D48" i="58"/>
  <c r="D46" i="58"/>
  <c r="D45" i="58"/>
  <c r="D40" i="58"/>
  <c r="D39" i="58"/>
  <c r="D33" i="58"/>
  <c r="D31" i="58"/>
  <c r="C34" i="97"/>
  <c r="C33" i="97"/>
  <c r="C32" i="97"/>
  <c r="C31" i="97"/>
  <c r="G28" i="97"/>
  <c r="C41" i="97" l="1"/>
  <c r="E103" i="140"/>
  <c r="E106" i="140" s="1"/>
  <c r="C18" i="97" s="1"/>
  <c r="E50" i="140"/>
  <c r="E101" i="140"/>
  <c r="E97" i="140"/>
  <c r="G105" i="140" l="1"/>
  <c r="G104" i="140"/>
  <c r="G108" i="140" s="1"/>
  <c r="E109" i="140" l="1"/>
  <c r="F103" i="140"/>
  <c r="B107" i="140"/>
  <c r="G93" i="140"/>
  <c r="E93" i="140"/>
  <c r="F90" i="140"/>
  <c r="G90" i="140"/>
  <c r="E90" i="140"/>
  <c r="E86" i="140"/>
  <c r="F83" i="140" s="1"/>
  <c r="F86" i="140" s="1"/>
  <c r="G83" i="140" s="1"/>
  <c r="G86" i="140" s="1"/>
  <c r="F79" i="140"/>
  <c r="G79" i="140"/>
  <c r="E79" i="140"/>
  <c r="E75" i="140"/>
  <c r="F72" i="140" s="1"/>
  <c r="F75" i="140" s="1"/>
  <c r="G72" i="140" s="1"/>
  <c r="G75" i="140" s="1"/>
  <c r="F61" i="140"/>
  <c r="F64" i="140" s="1"/>
  <c r="G61" i="140" s="1"/>
  <c r="G64" i="140" s="1"/>
  <c r="F68" i="140"/>
  <c r="G68" i="140"/>
  <c r="E68" i="140"/>
  <c r="E64" i="140"/>
  <c r="F45" i="140" l="1"/>
  <c r="G45" i="140"/>
  <c r="E45" i="140"/>
  <c r="E110" i="140" s="1"/>
  <c r="B17" i="98" s="1"/>
  <c r="E41" i="140"/>
  <c r="F38" i="140" s="1"/>
  <c r="F41" i="140" s="1"/>
  <c r="G38" i="140" s="1"/>
  <c r="G41" i="140" s="1"/>
  <c r="F35" i="140"/>
  <c r="G35" i="140"/>
  <c r="E35" i="140"/>
  <c r="E31" i="140"/>
  <c r="F28" i="140" s="1"/>
  <c r="F31" i="140" s="1"/>
  <c r="G28" i="140" s="1"/>
  <c r="G31" i="140" s="1"/>
  <c r="F24" i="140"/>
  <c r="G24" i="140"/>
  <c r="E24" i="140"/>
  <c r="E20" i="140"/>
  <c r="F17" i="140" s="1"/>
  <c r="F20" i="140" s="1"/>
  <c r="G17" i="140" s="1"/>
  <c r="G20" i="140" s="1"/>
  <c r="F14" i="140"/>
  <c r="G14" i="140"/>
  <c r="E14" i="140"/>
  <c r="E10" i="140"/>
  <c r="F7" i="140" s="1"/>
  <c r="F10" i="140" s="1"/>
  <c r="G7" i="140" s="1"/>
  <c r="G10" i="140" s="1"/>
  <c r="I66" i="3"/>
  <c r="H66" i="3"/>
  <c r="D19" i="97" s="1"/>
  <c r="E19" i="97" s="1"/>
  <c r="C19" i="97" l="1"/>
  <c r="C10" i="97"/>
  <c r="P90" i="141" l="1"/>
  <c r="O89" i="141"/>
  <c r="C22" i="23" l="1"/>
  <c r="C29" i="23" s="1"/>
  <c r="C119" i="140"/>
  <c r="G23" i="173"/>
  <c r="C107" i="140"/>
  <c r="C104" i="140"/>
  <c r="G60" i="3"/>
  <c r="G57" i="3"/>
  <c r="F56" i="3"/>
  <c r="G50" i="3"/>
  <c r="H46" i="3" s="1"/>
  <c r="G46" i="3"/>
  <c r="H50" i="3"/>
  <c r="I50" i="3"/>
  <c r="J50" i="3"/>
  <c r="K50" i="3"/>
  <c r="L50" i="3"/>
  <c r="M50" i="3"/>
  <c r="G27" i="3"/>
  <c r="G26" i="3" s="1"/>
  <c r="G25" i="3"/>
  <c r="G23" i="3"/>
  <c r="G22" i="3" s="1"/>
  <c r="G24" i="3"/>
  <c r="C8" i="381"/>
  <c r="D7" i="381"/>
  <c r="D6" i="381"/>
  <c r="C7" i="381"/>
  <c r="C6" i="381"/>
  <c r="Z21" i="141" l="1"/>
  <c r="Z20" i="141"/>
  <c r="Y20" i="141"/>
  <c r="X20" i="141"/>
  <c r="X15" i="141"/>
  <c r="Q21" i="141"/>
  <c r="Q15" i="141"/>
  <c r="P11" i="141"/>
  <c r="O21" i="141"/>
  <c r="O15" i="141"/>
  <c r="N22" i="141"/>
  <c r="N21" i="141"/>
  <c r="N15" i="141"/>
  <c r="M22" i="141"/>
  <c r="M15" i="141"/>
  <c r="S56" i="141" l="1"/>
  <c r="Q53" i="141"/>
  <c r="R51" i="141"/>
  <c r="S51" i="141" s="1"/>
  <c r="X17" i="141" s="1"/>
  <c r="AB17" i="141" s="1"/>
  <c r="O69" i="141"/>
  <c r="M92" i="141"/>
  <c r="P92" i="141"/>
  <c r="P91" i="141"/>
  <c r="P89" i="141"/>
  <c r="P88" i="141"/>
  <c r="O92" i="141"/>
  <c r="O91" i="141"/>
  <c r="O90" i="141"/>
  <c r="O88" i="141"/>
  <c r="N92" i="141"/>
  <c r="N90" i="141"/>
  <c r="N89" i="141"/>
  <c r="N91" i="141"/>
  <c r="N88" i="141"/>
  <c r="M91" i="141"/>
  <c r="M90" i="141"/>
  <c r="M89" i="141"/>
  <c r="M88" i="141"/>
  <c r="Q32" i="141" l="1"/>
  <c r="N93" i="141"/>
  <c r="Y21" i="141"/>
  <c r="S53" i="141"/>
  <c r="M93" i="141"/>
  <c r="O93" i="141"/>
  <c r="P93" i="141"/>
  <c r="O17" i="141"/>
  <c r="N17" i="141"/>
  <c r="O20" i="141"/>
  <c r="M20" i="141"/>
  <c r="Q20" i="141" s="1"/>
  <c r="N20" i="141"/>
  <c r="N19" i="141"/>
  <c r="O19" i="141"/>
  <c r="Q19" i="141"/>
  <c r="F39" i="141"/>
  <c r="H39" i="141" s="1"/>
  <c r="J39" i="141" s="1"/>
  <c r="L39" i="141" s="1"/>
  <c r="F38" i="141"/>
  <c r="H38" i="141" s="1"/>
  <c r="J38" i="141" s="1"/>
  <c r="L38" i="141" s="1"/>
  <c r="F37" i="141"/>
  <c r="H37" i="141" s="1"/>
  <c r="J37" i="141" s="1"/>
  <c r="L37" i="141" s="1"/>
  <c r="F29" i="141"/>
  <c r="H29" i="141" s="1"/>
  <c r="J29" i="141" s="1"/>
  <c r="L29" i="141" s="1"/>
  <c r="U29" i="141" s="1"/>
  <c r="F28" i="141"/>
  <c r="H28" i="141" s="1"/>
  <c r="J28" i="141" s="1"/>
  <c r="L28" i="141" s="1"/>
  <c r="U28" i="141" s="1"/>
  <c r="F27" i="141"/>
  <c r="H27" i="141" s="1"/>
  <c r="J27" i="141" s="1"/>
  <c r="L27" i="141" s="1"/>
  <c r="U27" i="141" s="1"/>
  <c r="F26" i="141"/>
  <c r="H26" i="141" s="1"/>
  <c r="J26" i="141" s="1"/>
  <c r="L26" i="141" s="1"/>
  <c r="U26" i="141" s="1"/>
  <c r="F25" i="141"/>
  <c r="H25" i="141" s="1"/>
  <c r="J25" i="141" s="1"/>
  <c r="L25" i="141" s="1"/>
  <c r="U25" i="141" s="1"/>
  <c r="F24" i="141"/>
  <c r="H24" i="141" s="1"/>
  <c r="J24" i="141" s="1"/>
  <c r="L24" i="141" s="1"/>
  <c r="U24" i="141" s="1"/>
  <c r="F23" i="141"/>
  <c r="H23" i="141" s="1"/>
  <c r="J23" i="141" s="1"/>
  <c r="L23" i="141" s="1"/>
  <c r="U23" i="141" s="1"/>
  <c r="F22" i="141"/>
  <c r="H22" i="141" s="1"/>
  <c r="J22" i="141" s="1"/>
  <c r="L22" i="141" s="1"/>
  <c r="U22" i="141" s="1"/>
  <c r="F20" i="141"/>
  <c r="H20" i="141" s="1"/>
  <c r="J20" i="141" s="1"/>
  <c r="L20" i="141" s="1"/>
  <c r="U20" i="141" s="1"/>
  <c r="F18" i="141"/>
  <c r="H18" i="141" s="1"/>
  <c r="J18" i="141" s="1"/>
  <c r="L18" i="141" s="1"/>
  <c r="U18" i="141" s="1"/>
  <c r="F17" i="141"/>
  <c r="H17" i="141" s="1"/>
  <c r="J17" i="141" s="1"/>
  <c r="L17" i="141" s="1"/>
  <c r="U17" i="141" s="1"/>
  <c r="F16" i="141"/>
  <c r="H16" i="141" s="1"/>
  <c r="J16" i="141" s="1"/>
  <c r="L16" i="141" s="1"/>
  <c r="U16" i="141" s="1"/>
  <c r="F15" i="141"/>
  <c r="H15" i="141" s="1"/>
  <c r="J15" i="141" s="1"/>
  <c r="L15" i="141" s="1"/>
  <c r="U15" i="141" s="1"/>
  <c r="F14" i="141"/>
  <c r="H14" i="141" s="1"/>
  <c r="J14" i="141" s="1"/>
  <c r="L14" i="141" s="1"/>
  <c r="U14" i="141" s="1"/>
  <c r="F12" i="141"/>
  <c r="H12" i="141" s="1"/>
  <c r="J12" i="141" s="1"/>
  <c r="L12" i="141" s="1"/>
  <c r="U12" i="141" s="1"/>
  <c r="F11" i="141"/>
  <c r="H11" i="141" s="1"/>
  <c r="J11" i="141" s="1"/>
  <c r="L11" i="141" s="1"/>
  <c r="U11" i="141" s="1"/>
  <c r="F34" i="141"/>
  <c r="H34" i="141" s="1"/>
  <c r="J34" i="141" s="1"/>
  <c r="L34" i="141" s="1"/>
  <c r="U34" i="141" s="1"/>
  <c r="F33" i="141"/>
  <c r="H33" i="141" s="1"/>
  <c r="J33" i="141" s="1"/>
  <c r="L33" i="141" s="1"/>
  <c r="U33" i="141" s="1"/>
  <c r="F32" i="141"/>
  <c r="H32" i="141" s="1"/>
  <c r="J32" i="141" s="1"/>
  <c r="L32" i="141" s="1"/>
  <c r="U32" i="141" s="1"/>
  <c r="F31" i="141"/>
  <c r="H31" i="141" s="1"/>
  <c r="J31" i="141" s="1"/>
  <c r="L31" i="141" s="1"/>
  <c r="U31" i="141" s="1"/>
  <c r="F30" i="141"/>
  <c r="H30" i="141" s="1"/>
  <c r="J30" i="141" s="1"/>
  <c r="U30" i="141" s="1"/>
  <c r="F21" i="141"/>
  <c r="H21" i="141" s="1"/>
  <c r="J21" i="141" s="1"/>
  <c r="L21" i="141" s="1"/>
  <c r="U21" i="141" s="1"/>
  <c r="F19" i="141"/>
  <c r="H19" i="141" s="1"/>
  <c r="J19" i="141" s="1"/>
  <c r="L19" i="141" s="1"/>
  <c r="U19" i="141" s="1"/>
  <c r="S60" i="141" l="1"/>
  <c r="AB19" i="141"/>
  <c r="AA30" i="141"/>
  <c r="P34" i="141"/>
  <c r="P17" i="141"/>
  <c r="Q17" i="141"/>
  <c r="M50" i="141"/>
  <c r="N50" i="141"/>
  <c r="O50" i="141"/>
  <c r="R17" i="141" l="1"/>
  <c r="O6" i="371" l="1"/>
  <c r="F27" i="3" l="1"/>
  <c r="C15" i="381" l="1"/>
  <c r="X53" i="141" l="1"/>
  <c r="T72" i="3" l="1"/>
  <c r="R72" i="3"/>
  <c r="F41" i="3"/>
  <c r="G15" i="3" s="1"/>
  <c r="S72" i="3" s="1"/>
  <c r="F26" i="3"/>
  <c r="G41" i="3" l="1"/>
  <c r="H15" i="3" s="1"/>
  <c r="H41" i="3" s="1"/>
  <c r="I15" i="3" s="1"/>
  <c r="I41" i="3" l="1"/>
  <c r="I64" i="3"/>
  <c r="V72" i="3"/>
  <c r="H64" i="3" l="1"/>
  <c r="K54" i="3" l="1"/>
  <c r="L54" i="3"/>
  <c r="J46" i="3"/>
  <c r="K46" i="3"/>
  <c r="L46" i="3"/>
  <c r="J30" i="3"/>
  <c r="K30" i="3"/>
  <c r="L30" i="3"/>
  <c r="H37" i="173"/>
  <c r="R101" i="83" l="1"/>
  <c r="C16" i="222"/>
  <c r="G38" i="173"/>
  <c r="T106" i="83" l="1"/>
  <c r="T101" i="83"/>
  <c r="T107" i="83" l="1"/>
  <c r="T108" i="83" s="1"/>
  <c r="C11" i="376"/>
  <c r="D11" i="376"/>
  <c r="N10" i="371"/>
  <c r="H10" i="371"/>
  <c r="M10" i="371"/>
  <c r="L10" i="371"/>
  <c r="K10" i="371"/>
  <c r="J10" i="371"/>
  <c r="I10" i="371"/>
  <c r="G10" i="371"/>
  <c r="F10" i="371"/>
  <c r="E10" i="371"/>
  <c r="D10" i="371"/>
  <c r="C10" i="371"/>
  <c r="O10" i="371" l="1"/>
  <c r="O19" i="371"/>
  <c r="O20" i="371" s="1"/>
  <c r="I53" i="370" l="1"/>
  <c r="I54" i="370"/>
  <c r="I55" i="370"/>
  <c r="I57" i="370"/>
  <c r="I58" i="370"/>
  <c r="I59" i="370"/>
  <c r="I60" i="370"/>
  <c r="I51" i="370"/>
  <c r="I34" i="370"/>
  <c r="I35" i="370"/>
  <c r="I36" i="370"/>
  <c r="I37" i="370"/>
  <c r="I38" i="370"/>
  <c r="I39" i="370"/>
  <c r="I41" i="370"/>
  <c r="I43" i="370"/>
  <c r="I44" i="370"/>
  <c r="I45" i="370"/>
  <c r="I46" i="370"/>
  <c r="I47" i="370"/>
  <c r="I48" i="370"/>
  <c r="I33" i="370"/>
  <c r="I21" i="370"/>
  <c r="I22" i="370"/>
  <c r="I23" i="370"/>
  <c r="I24" i="370"/>
  <c r="I25" i="370"/>
  <c r="I26" i="370"/>
  <c r="I27" i="370"/>
  <c r="I28" i="370"/>
  <c r="I29" i="370"/>
  <c r="I30" i="370"/>
  <c r="I7" i="370"/>
  <c r="G53" i="370"/>
  <c r="G55" i="370"/>
  <c r="G57" i="370"/>
  <c r="G58" i="370"/>
  <c r="G59" i="370"/>
  <c r="G60" i="370"/>
  <c r="G51" i="370"/>
  <c r="G34" i="370"/>
  <c r="G35" i="370"/>
  <c r="G36" i="370"/>
  <c r="G37" i="370"/>
  <c r="G38" i="370"/>
  <c r="G39" i="370"/>
  <c r="G40" i="370"/>
  <c r="G41" i="370"/>
  <c r="G43" i="370"/>
  <c r="G44" i="370"/>
  <c r="G45" i="370"/>
  <c r="G46" i="370"/>
  <c r="G47" i="370"/>
  <c r="G48" i="370"/>
  <c r="G33" i="370"/>
  <c r="G21" i="370"/>
  <c r="G22" i="370"/>
  <c r="G23" i="370"/>
  <c r="G24" i="370"/>
  <c r="G25" i="370"/>
  <c r="G26" i="370"/>
  <c r="G27" i="370"/>
  <c r="G28" i="370"/>
  <c r="G29" i="370"/>
  <c r="G30" i="370"/>
  <c r="G20" i="370"/>
  <c r="G7" i="370"/>
  <c r="C53" i="370"/>
  <c r="C38" i="370"/>
  <c r="C43" i="370"/>
  <c r="C67" i="197" l="1"/>
  <c r="E67" i="197" s="1"/>
  <c r="C66" i="197"/>
  <c r="E66" i="197" s="1"/>
  <c r="C60" i="197"/>
  <c r="D64" i="197"/>
  <c r="C64" i="197"/>
  <c r="C63" i="197"/>
  <c r="E63" i="197" s="1"/>
  <c r="E61" i="197"/>
  <c r="D60" i="197"/>
  <c r="D59" i="197"/>
  <c r="C59" i="197"/>
  <c r="M46" i="345"/>
  <c r="L46" i="345"/>
  <c r="L56" i="345"/>
  <c r="M56" i="345"/>
  <c r="M60" i="345"/>
  <c r="L60" i="345"/>
  <c r="H16" i="27"/>
  <c r="H15" i="27"/>
  <c r="P27" i="27"/>
  <c r="P30" i="27"/>
  <c r="D7" i="278"/>
  <c r="B31" i="101"/>
  <c r="F105" i="140" s="1"/>
  <c r="B8" i="101"/>
  <c r="F104" i="140" s="1"/>
  <c r="L20" i="173" l="1"/>
  <c r="F106" i="140"/>
  <c r="G103" i="140" s="1"/>
  <c r="G107" i="140" s="1"/>
  <c r="E64" i="197"/>
  <c r="C62" i="197"/>
  <c r="C65" i="197" s="1"/>
  <c r="E60" i="197"/>
  <c r="D62" i="197"/>
  <c r="D65" i="197" s="1"/>
  <c r="D68" i="197" s="1"/>
  <c r="E59" i="197"/>
  <c r="H17" i="173"/>
  <c r="I7" i="368"/>
  <c r="G31" i="368"/>
  <c r="G29" i="368"/>
  <c r="D35" i="97"/>
  <c r="E35" i="97" s="1"/>
  <c r="E62" i="197" l="1"/>
  <c r="G106" i="140"/>
  <c r="P20" i="173"/>
  <c r="E65" i="197"/>
  <c r="E68" i="197" s="1"/>
  <c r="C68" i="197"/>
  <c r="D26" i="139"/>
  <c r="D25" i="139"/>
  <c r="D24" i="139"/>
  <c r="D23" i="139"/>
  <c r="T19" i="3" l="1"/>
  <c r="S19" i="3"/>
  <c r="T13" i="3"/>
  <c r="S13" i="3"/>
  <c r="C49" i="140" l="1"/>
  <c r="L36" i="83"/>
  <c r="M37" i="307"/>
  <c r="D93" i="140"/>
  <c r="C93" i="140"/>
  <c r="B93" i="140"/>
  <c r="D48" i="140"/>
  <c r="D55" i="140" s="1"/>
  <c r="D114" i="140" s="1"/>
  <c r="C48" i="140"/>
  <c r="C55" i="140" s="1"/>
  <c r="I56" i="370" l="1"/>
  <c r="I38" i="277"/>
  <c r="C51" i="140"/>
  <c r="P38" i="173"/>
  <c r="D9" i="98"/>
  <c r="C54" i="140"/>
  <c r="J155" i="140"/>
  <c r="I159" i="140"/>
  <c r="J159" i="140" s="1"/>
  <c r="I157" i="140"/>
  <c r="J157" i="140" s="1"/>
  <c r="I155" i="140"/>
  <c r="G151" i="140"/>
  <c r="F155" i="140"/>
  <c r="F154" i="140"/>
  <c r="I144" i="140"/>
  <c r="I146" i="140" s="1"/>
  <c r="F145" i="140"/>
  <c r="F144" i="140"/>
  <c r="G146" i="140"/>
  <c r="J148" i="140"/>
  <c r="G148" i="140"/>
  <c r="I148" i="140" s="1"/>
  <c r="F148" i="140"/>
  <c r="G138" i="140"/>
  <c r="F138" i="140"/>
  <c r="F133" i="140"/>
  <c r="J144" i="140" l="1"/>
  <c r="J146" i="140" s="1"/>
  <c r="F156" i="140"/>
  <c r="I154" i="140" s="1"/>
  <c r="I158" i="140" s="1"/>
  <c r="I160" i="140" s="1"/>
  <c r="I161" i="140" s="1"/>
  <c r="F158" i="140"/>
  <c r="F160" i="140" s="1"/>
  <c r="F161" i="140" s="1"/>
  <c r="F146" i="140"/>
  <c r="I156" i="140" l="1"/>
  <c r="J154" i="140" s="1"/>
  <c r="J156" i="140" s="1"/>
  <c r="G168" i="140"/>
  <c r="G169" i="140" s="1"/>
  <c r="G171" i="140" s="1"/>
  <c r="I168" i="140"/>
  <c r="I169" i="140" s="1"/>
  <c r="I171" i="140" s="1"/>
  <c r="J168" i="140"/>
  <c r="J169" i="140" s="1"/>
  <c r="J171" i="140" s="1"/>
  <c r="F168" i="140"/>
  <c r="F169" i="140" s="1"/>
  <c r="F171" i="140" s="1"/>
  <c r="G147" i="140"/>
  <c r="G149" i="140" s="1"/>
  <c r="I147" i="140"/>
  <c r="I149" i="140" s="1"/>
  <c r="J147" i="140"/>
  <c r="J149" i="140" s="1"/>
  <c r="F147" i="140"/>
  <c r="F149" i="140" s="1"/>
  <c r="J158" i="140" l="1"/>
  <c r="J160" i="140" s="1"/>
  <c r="J161" i="140" s="1"/>
  <c r="F134" i="140"/>
  <c r="B29" i="156" l="1"/>
  <c r="C14" i="274" l="1"/>
  <c r="C13" i="274"/>
  <c r="O11" i="157" l="1"/>
  <c r="O9" i="157"/>
  <c r="C22" i="26" l="1"/>
  <c r="C16" i="26"/>
  <c r="C25" i="26"/>
  <c r="H20" i="173"/>
  <c r="H18" i="173" s="1"/>
  <c r="G133" i="140"/>
  <c r="G134" i="140" s="1"/>
  <c r="H34" i="173"/>
  <c r="W52" i="173"/>
  <c r="H24" i="173"/>
  <c r="H21" i="173"/>
  <c r="H16" i="173"/>
  <c r="M66" i="277"/>
  <c r="R7" i="27"/>
  <c r="I16" i="27"/>
  <c r="H117" i="27"/>
  <c r="H134" i="27"/>
  <c r="F134" i="27"/>
  <c r="D134" i="27"/>
  <c r="F117" i="27"/>
  <c r="D109" i="27"/>
  <c r="D108" i="27"/>
  <c r="D107" i="27"/>
  <c r="D106" i="27"/>
  <c r="D105" i="27"/>
  <c r="W58" i="173" l="1"/>
  <c r="W60" i="173" s="1"/>
  <c r="C23" i="26"/>
  <c r="D140" i="27"/>
  <c r="D117" i="27"/>
  <c r="D139" i="27" s="1"/>
  <c r="D141" i="27"/>
  <c r="B13" i="307"/>
  <c r="B24" i="307" s="1"/>
  <c r="B32" i="307" s="1"/>
  <c r="G41" i="83"/>
  <c r="M63" i="83"/>
  <c r="E140" i="27" l="1"/>
  <c r="E141" i="27"/>
  <c r="G51" i="83" l="1"/>
  <c r="G37" i="83"/>
  <c r="G38" i="83"/>
  <c r="G39" i="83"/>
  <c r="G40" i="83"/>
  <c r="G42" i="83"/>
  <c r="G44" i="83"/>
  <c r="G56" i="83" s="1"/>
  <c r="G45" i="83"/>
  <c r="G47" i="83"/>
  <c r="G36" i="83"/>
  <c r="G31" i="83"/>
  <c r="G32" i="83"/>
  <c r="G30" i="83"/>
  <c r="G27" i="83"/>
  <c r="G26" i="83"/>
  <c r="G24" i="83"/>
  <c r="G23" i="83"/>
  <c r="G17" i="83"/>
  <c r="G16" i="83"/>
  <c r="G12" i="83"/>
  <c r="G11" i="83"/>
  <c r="G10" i="83"/>
  <c r="D64" i="83"/>
  <c r="S21" i="27" l="1"/>
  <c r="Z21" i="27" s="1"/>
  <c r="M21" i="27"/>
  <c r="S23" i="27"/>
  <c r="W23" i="27" l="1"/>
  <c r="Z23" i="27"/>
  <c r="U84" i="27"/>
  <c r="P31" i="27" l="1"/>
  <c r="I22" i="27"/>
  <c r="I26" i="27"/>
  <c r="G17" i="27"/>
  <c r="E15" i="27"/>
  <c r="I15" i="27" s="1"/>
  <c r="C20" i="274"/>
  <c r="I12" i="27"/>
  <c r="I13" i="27" s="1"/>
  <c r="E13" i="27" l="1"/>
  <c r="E27" i="27" s="1"/>
  <c r="H18" i="27"/>
  <c r="I31" i="27"/>
  <c r="I23" i="27"/>
  <c r="I24" i="27"/>
  <c r="S20" i="27"/>
  <c r="I25" i="27"/>
  <c r="C7" i="27"/>
  <c r="J7" i="27" s="1"/>
  <c r="I17" i="27"/>
  <c r="I18" i="27" s="1"/>
  <c r="D17" i="27"/>
  <c r="C10" i="27"/>
  <c r="D10" i="27" s="1"/>
  <c r="C11" i="27"/>
  <c r="D11" i="27" s="1"/>
  <c r="I30" i="27"/>
  <c r="AC30" i="27" s="1"/>
  <c r="C21" i="274"/>
  <c r="H13" i="27"/>
  <c r="H27" i="27" s="1"/>
  <c r="H28" i="27" s="1"/>
  <c r="E18" i="27"/>
  <c r="I21" i="27"/>
  <c r="G10" i="372" l="1"/>
  <c r="C25" i="274"/>
  <c r="C13" i="27"/>
  <c r="D7" i="27"/>
  <c r="D13" i="27" s="1"/>
  <c r="D15" i="367"/>
  <c r="C15" i="367"/>
  <c r="E26" i="58" s="1"/>
  <c r="B15" i="367"/>
  <c r="D26" i="58" s="1"/>
  <c r="N6" i="307"/>
  <c r="C17" i="200"/>
  <c r="I24" i="198"/>
  <c r="I18" i="198"/>
  <c r="I10" i="198"/>
  <c r="I27" i="27" l="1"/>
  <c r="I28" i="27" s="1"/>
  <c r="I32" i="27" s="1"/>
  <c r="E28" i="27"/>
  <c r="P66" i="277"/>
  <c r="N13" i="307"/>
  <c r="N24" i="307" s="1"/>
  <c r="N32" i="307" s="1"/>
  <c r="H62" i="346"/>
  <c r="BH46" i="159"/>
  <c r="BE46" i="159"/>
  <c r="BH57" i="159"/>
  <c r="BE57" i="159"/>
  <c r="BH61" i="159"/>
  <c r="BE61" i="159"/>
  <c r="R51" i="58"/>
  <c r="R50" i="58"/>
  <c r="R40" i="58"/>
  <c r="R41" i="58"/>
  <c r="R42" i="58"/>
  <c r="R45" i="58"/>
  <c r="R47" i="58"/>
  <c r="R49" i="58"/>
  <c r="D47" i="163" s="1"/>
  <c r="E47" i="163" s="1"/>
  <c r="U47" i="163" s="1"/>
  <c r="R67" i="58"/>
  <c r="R66" i="58"/>
  <c r="R65" i="58"/>
  <c r="R64" i="58"/>
  <c r="D61" i="159" s="1"/>
  <c r="E61" i="159" s="1"/>
  <c r="R63" i="58"/>
  <c r="R62" i="58"/>
  <c r="R61" i="58"/>
  <c r="R60" i="58"/>
  <c r="D57" i="163" s="1"/>
  <c r="E57" i="163" s="1"/>
  <c r="U57" i="163" s="1"/>
  <c r="D61" i="163"/>
  <c r="E61" i="163" s="1"/>
  <c r="U61" i="163" s="1"/>
  <c r="M54" i="58"/>
  <c r="M67" i="58"/>
  <c r="C28" i="274" l="1"/>
  <c r="AF57" i="163"/>
  <c r="X57" i="163"/>
  <c r="R57" i="163" s="1"/>
  <c r="AF47" i="163"/>
  <c r="X47" i="163"/>
  <c r="D46" i="159"/>
  <c r="E46" i="159" s="1"/>
  <c r="D57" i="159"/>
  <c r="E57" i="159" s="1"/>
  <c r="U61" i="159"/>
  <c r="X61" i="159" s="1"/>
  <c r="AT61" i="159"/>
  <c r="AF61" i="163"/>
  <c r="X61" i="163"/>
  <c r="M44" i="58"/>
  <c r="I35" i="277"/>
  <c r="T60" i="58"/>
  <c r="H59" i="346"/>
  <c r="T64" i="58"/>
  <c r="H63" i="347"/>
  <c r="H63" i="346"/>
  <c r="T49" i="58"/>
  <c r="I28" i="277"/>
  <c r="O49" i="58"/>
  <c r="H49" i="346"/>
  <c r="I49" i="346" s="1"/>
  <c r="I48" i="346" s="1"/>
  <c r="T23" i="3"/>
  <c r="S23" i="3"/>
  <c r="S39" i="3" l="1"/>
  <c r="I59" i="346"/>
  <c r="J60" i="345"/>
  <c r="K49" i="58"/>
  <c r="J49" i="58" s="1"/>
  <c r="G52" i="370"/>
  <c r="G42" i="370"/>
  <c r="R48" i="58"/>
  <c r="I42" i="370"/>
  <c r="G56" i="370"/>
  <c r="R59" i="58"/>
  <c r="S69" i="58"/>
  <c r="I52" i="370"/>
  <c r="I61" i="370" s="1"/>
  <c r="AC57" i="163"/>
  <c r="Z57" i="163" s="1"/>
  <c r="AG57" i="163" s="1"/>
  <c r="C60" i="345"/>
  <c r="J63" i="347"/>
  <c r="K60" i="58"/>
  <c r="J56" i="345"/>
  <c r="T37" i="3"/>
  <c r="S37" i="3"/>
  <c r="R47" i="163"/>
  <c r="AC47" i="163"/>
  <c r="G64" i="58"/>
  <c r="E57" i="198"/>
  <c r="AT46" i="159"/>
  <c r="U46" i="159"/>
  <c r="X46" i="159" s="1"/>
  <c r="E61" i="198"/>
  <c r="U61" i="198" s="1"/>
  <c r="AF61" i="198" s="1"/>
  <c r="E47" i="198"/>
  <c r="U47" i="198" s="1"/>
  <c r="AF47" i="198" s="1"/>
  <c r="K64" i="58"/>
  <c r="AT57" i="159"/>
  <c r="U57" i="159"/>
  <c r="X57" i="159" s="1"/>
  <c r="R57" i="159" s="1"/>
  <c r="BT61" i="159"/>
  <c r="BF61" i="159"/>
  <c r="AW61" i="159"/>
  <c r="AC61" i="159"/>
  <c r="R61" i="163"/>
  <c r="AC61" i="163"/>
  <c r="U57" i="198" l="1"/>
  <c r="X57" i="198" s="1"/>
  <c r="E43" i="370"/>
  <c r="F4" i="303"/>
  <c r="AF57" i="198"/>
  <c r="G49" i="370"/>
  <c r="AL57" i="163"/>
  <c r="J64" i="58"/>
  <c r="E57" i="370"/>
  <c r="O64" i="58"/>
  <c r="C57" i="370"/>
  <c r="J60" i="58"/>
  <c r="E53" i="370"/>
  <c r="X61" i="198"/>
  <c r="AC61" i="198" s="1"/>
  <c r="Z47" i="163"/>
  <c r="AG47" i="163" s="1"/>
  <c r="AL47" i="163"/>
  <c r="R46" i="159"/>
  <c r="AC46" i="159"/>
  <c r="BF46" i="159"/>
  <c r="BT46" i="159"/>
  <c r="AW46" i="159"/>
  <c r="BM46" i="159" s="1"/>
  <c r="X47" i="198"/>
  <c r="AC47" i="198" s="1"/>
  <c r="J59" i="346"/>
  <c r="J63" i="346"/>
  <c r="BC61" i="159"/>
  <c r="AH61" i="159"/>
  <c r="BB61" i="159"/>
  <c r="BI61" i="159"/>
  <c r="AC57" i="159"/>
  <c r="AW57" i="159"/>
  <c r="BT57" i="159"/>
  <c r="BF57" i="159"/>
  <c r="AL61" i="163"/>
  <c r="Z61" i="163"/>
  <c r="AG61" i="163" s="1"/>
  <c r="J49" i="346"/>
  <c r="S27" i="27"/>
  <c r="Z27" i="27" s="1"/>
  <c r="X27" i="27" s="1"/>
  <c r="Y27" i="27" s="1"/>
  <c r="P18" i="27"/>
  <c r="AC57" i="198" l="1"/>
  <c r="R57" i="198"/>
  <c r="R47" i="198"/>
  <c r="R61" i="198"/>
  <c r="W27" i="27"/>
  <c r="W24" i="27"/>
  <c r="Z46" i="159"/>
  <c r="AH46" i="159"/>
  <c r="BC46" i="159"/>
  <c r="AQ46" i="159"/>
  <c r="BI46" i="159"/>
  <c r="BB46" i="159"/>
  <c r="BD61" i="159"/>
  <c r="AQ57" i="159"/>
  <c r="BB57" i="159"/>
  <c r="BI57" i="159"/>
  <c r="Z57" i="159"/>
  <c r="AH57" i="159"/>
  <c r="BC57" i="159"/>
  <c r="Z61" i="198"/>
  <c r="AG61" i="198" s="1"/>
  <c r="AL61" i="198"/>
  <c r="C7" i="98" s="1"/>
  <c r="L38" i="173" s="1"/>
  <c r="Z57" i="198"/>
  <c r="AG57" i="198" s="1"/>
  <c r="AL57" i="198"/>
  <c r="Z47" i="198"/>
  <c r="AG47" i="198" s="1"/>
  <c r="AL47" i="198"/>
  <c r="N15" i="27"/>
  <c r="N18" i="27" s="1"/>
  <c r="P9" i="27"/>
  <c r="M31" i="27"/>
  <c r="N31" i="27" s="1"/>
  <c r="M30" i="27"/>
  <c r="N30" i="27" s="1"/>
  <c r="P20" i="27"/>
  <c r="M20" i="27"/>
  <c r="N21" i="27"/>
  <c r="M22" i="27"/>
  <c r="N22" i="27" s="1"/>
  <c r="M23" i="27"/>
  <c r="N23" i="27" s="1"/>
  <c r="P23" i="27"/>
  <c r="M24" i="27"/>
  <c r="N24" i="27" s="1"/>
  <c r="P25" i="27"/>
  <c r="M25" i="27"/>
  <c r="N25" i="27" s="1"/>
  <c r="P12" i="27"/>
  <c r="M11" i="27"/>
  <c r="N11" i="27" s="1"/>
  <c r="M10" i="27"/>
  <c r="N10" i="27" s="1"/>
  <c r="L13" i="27" l="1"/>
  <c r="M7" i="27"/>
  <c r="O13" i="27"/>
  <c r="J10" i="27"/>
  <c r="J11" i="27"/>
  <c r="K11" i="27" s="1"/>
  <c r="AC15" i="27"/>
  <c r="AY46" i="159"/>
  <c r="BD46" i="159"/>
  <c r="BQ46" i="159"/>
  <c r="AY57" i="159"/>
  <c r="BQ57" i="159"/>
  <c r="BJ61" i="159"/>
  <c r="BD57" i="159"/>
  <c r="P24" i="27"/>
  <c r="P21" i="27"/>
  <c r="N20" i="27"/>
  <c r="P7" i="27"/>
  <c r="M9" i="27"/>
  <c r="N9" i="27" s="1"/>
  <c r="P11" i="27"/>
  <c r="P10" i="27"/>
  <c r="P28" i="27" l="1"/>
  <c r="P13" i="27"/>
  <c r="P32" i="27" s="1"/>
  <c r="N7" i="27"/>
  <c r="N13" i="27" s="1"/>
  <c r="M13" i="27"/>
  <c r="K10" i="27"/>
  <c r="K13" i="27" s="1"/>
  <c r="J13" i="27"/>
  <c r="BJ46" i="159"/>
  <c r="BK46" i="159" s="1"/>
  <c r="BS46" i="159"/>
  <c r="BJ57" i="159"/>
  <c r="BS57" i="159"/>
  <c r="G29" i="82"/>
  <c r="G28" i="82"/>
  <c r="G27" i="82"/>
  <c r="G26" i="82"/>
  <c r="G25" i="82"/>
  <c r="G24" i="82"/>
  <c r="G23" i="82"/>
  <c r="G22" i="82"/>
  <c r="C25" i="82"/>
  <c r="C24" i="82"/>
  <c r="C23" i="82"/>
  <c r="C21" i="82"/>
  <c r="W21" i="27" l="1"/>
  <c r="AC21" i="27"/>
  <c r="I20" i="370"/>
  <c r="H9" i="173" l="1"/>
  <c r="H8" i="173"/>
  <c r="G54" i="370"/>
  <c r="M5" i="307"/>
  <c r="G72" i="58"/>
  <c r="K16" i="368" s="1"/>
  <c r="K21" i="368" s="1"/>
  <c r="G61" i="370" l="1"/>
  <c r="R44" i="58"/>
  <c r="L44" i="58" l="1"/>
  <c r="S53" i="356" l="1"/>
  <c r="F19" i="358"/>
  <c r="C33" i="358"/>
  <c r="F56" i="365"/>
  <c r="E56" i="365"/>
  <c r="E54" i="358"/>
  <c r="M56" i="365" l="1"/>
  <c r="F35" i="358"/>
  <c r="G35" i="358"/>
  <c r="H35" i="358"/>
  <c r="I35" i="358"/>
  <c r="K14" i="358"/>
  <c r="K21" i="358" l="1"/>
  <c r="K33" i="358"/>
  <c r="I28" i="366"/>
  <c r="I32" i="366" l="1"/>
  <c r="K40" i="358"/>
  <c r="N56" i="365"/>
  <c r="C43" i="366" l="1"/>
  <c r="L56" i="365"/>
  <c r="K56" i="365"/>
  <c r="D56" i="365"/>
  <c r="C56" i="365"/>
  <c r="K34" i="365"/>
  <c r="K41" i="365" l="1"/>
  <c r="E32" i="360"/>
  <c r="D32" i="360"/>
  <c r="F32" i="360"/>
  <c r="G32" i="360"/>
  <c r="H32" i="360"/>
  <c r="I32" i="360"/>
  <c r="J32" i="360"/>
  <c r="C32" i="360"/>
  <c r="D17" i="360"/>
  <c r="E17" i="360"/>
  <c r="F17" i="360"/>
  <c r="G17" i="360"/>
  <c r="H17" i="360"/>
  <c r="I17" i="360"/>
  <c r="J17" i="360"/>
  <c r="C17" i="360"/>
  <c r="I30" i="366"/>
  <c r="J30" i="366"/>
  <c r="D30" i="366"/>
  <c r="E30" i="366"/>
  <c r="F30" i="366"/>
  <c r="G30" i="366"/>
  <c r="C30" i="366"/>
  <c r="H30" i="366"/>
  <c r="D28" i="366"/>
  <c r="E28" i="366"/>
  <c r="F28" i="366"/>
  <c r="G28" i="366"/>
  <c r="J28" i="366"/>
  <c r="C28" i="366"/>
  <c r="D15" i="366"/>
  <c r="E15" i="366"/>
  <c r="F15" i="366"/>
  <c r="G15" i="366"/>
  <c r="I15" i="366"/>
  <c r="J15" i="366"/>
  <c r="C15" i="366"/>
  <c r="H15" i="366"/>
  <c r="H8" i="366"/>
  <c r="C13" i="366"/>
  <c r="G38" i="358"/>
  <c r="H38" i="358"/>
  <c r="I38" i="358"/>
  <c r="F38" i="358"/>
  <c r="J38" i="358"/>
  <c r="K35" i="358"/>
  <c r="L35" i="358"/>
  <c r="D35" i="358"/>
  <c r="C35" i="358"/>
  <c r="J35" i="358"/>
  <c r="G19" i="358"/>
  <c r="H19" i="358"/>
  <c r="I19" i="358"/>
  <c r="J19" i="358"/>
  <c r="K19" i="358"/>
  <c r="I12" i="346" s="1"/>
  <c r="L19" i="358"/>
  <c r="K16" i="358"/>
  <c r="L16" i="358"/>
  <c r="I16" i="358"/>
  <c r="D16" i="358"/>
  <c r="C16" i="358"/>
  <c r="J16" i="358"/>
  <c r="J13" i="358"/>
  <c r="J12" i="358"/>
  <c r="J11" i="358"/>
  <c r="G39" i="365"/>
  <c r="H39" i="365"/>
  <c r="I39" i="365"/>
  <c r="F39" i="365"/>
  <c r="C32" i="366" l="1"/>
  <c r="K42" i="358"/>
  <c r="I18" i="346" s="1"/>
  <c r="G32" i="366"/>
  <c r="E32" i="366"/>
  <c r="F32" i="366"/>
  <c r="C16" i="366"/>
  <c r="J32" i="366"/>
  <c r="D32" i="366"/>
  <c r="L36" i="365"/>
  <c r="K36" i="365"/>
  <c r="J35" i="365"/>
  <c r="J36" i="365" s="1"/>
  <c r="I36" i="365"/>
  <c r="D36" i="365"/>
  <c r="C36" i="365"/>
  <c r="L20" i="365"/>
  <c r="K20" i="365"/>
  <c r="I12" i="347" s="1"/>
  <c r="G20" i="365"/>
  <c r="H20" i="365"/>
  <c r="I20" i="365"/>
  <c r="F20" i="365"/>
  <c r="J20" i="365"/>
  <c r="L17" i="365"/>
  <c r="K17" i="365"/>
  <c r="I17" i="365"/>
  <c r="D17" i="365"/>
  <c r="C17" i="365"/>
  <c r="J16" i="365"/>
  <c r="J17" i="365" s="1"/>
  <c r="C33" i="366" l="1"/>
  <c r="D25" i="58" s="1"/>
  <c r="H35" i="8"/>
  <c r="H34" i="8"/>
  <c r="G28" i="8"/>
  <c r="G29" i="8"/>
  <c r="G30" i="8"/>
  <c r="G31" i="8"/>
  <c r="G27" i="8"/>
  <c r="V38" i="27"/>
  <c r="V39" i="27"/>
  <c r="W31" i="27" s="1"/>
  <c r="S39" i="27"/>
  <c r="G40" i="27"/>
  <c r="U37" i="27" s="1"/>
  <c r="U40" i="27" s="1"/>
  <c r="AB37" i="27" s="1"/>
  <c r="F40" i="27"/>
  <c r="T37" i="27" s="1"/>
  <c r="H38" i="27"/>
  <c r="H39" i="27"/>
  <c r="H37" i="27"/>
  <c r="D40" i="27"/>
  <c r="R37" i="27" s="1"/>
  <c r="C40" i="27"/>
  <c r="Q37" i="27" s="1"/>
  <c r="E38" i="27"/>
  <c r="E39" i="27"/>
  <c r="E37" i="27"/>
  <c r="F23" i="27" l="1"/>
  <c r="G23" i="27" s="1"/>
  <c r="F26" i="27"/>
  <c r="C26" i="27"/>
  <c r="S37" i="27"/>
  <c r="V37" i="27"/>
  <c r="T40" i="27"/>
  <c r="AA37" i="27" s="1"/>
  <c r="C27" i="27"/>
  <c r="C31" i="27"/>
  <c r="C24" i="27"/>
  <c r="C23" i="27"/>
  <c r="J23" i="27" s="1"/>
  <c r="K23" i="27" s="1"/>
  <c r="C21" i="27"/>
  <c r="C25" i="27"/>
  <c r="F7" i="27"/>
  <c r="F10" i="27"/>
  <c r="G10" i="27" s="1"/>
  <c r="F27" i="27"/>
  <c r="F9" i="27"/>
  <c r="G9" i="27" s="1"/>
  <c r="F20" i="27"/>
  <c r="G20" i="27" s="1"/>
  <c r="F31" i="27"/>
  <c r="G31" i="27" s="1"/>
  <c r="F21" i="27"/>
  <c r="G21" i="27" s="1"/>
  <c r="F11" i="27"/>
  <c r="G11" i="27" s="1"/>
  <c r="F30" i="27"/>
  <c r="G30" i="27" s="1"/>
  <c r="H40" i="27"/>
  <c r="I37" i="27"/>
  <c r="I38" i="27"/>
  <c r="Q40" i="27"/>
  <c r="X37" i="27" s="1"/>
  <c r="U77" i="27"/>
  <c r="U81" i="27" s="1"/>
  <c r="I39" i="27"/>
  <c r="W39" i="27"/>
  <c r="S38" i="27"/>
  <c r="W38" i="27" s="1"/>
  <c r="R40" i="27"/>
  <c r="Y37" i="27" s="1"/>
  <c r="E40" i="27"/>
  <c r="D26" i="27" l="1"/>
  <c r="J26" i="27"/>
  <c r="K26" i="27" s="1"/>
  <c r="E29" i="27"/>
  <c r="H29" i="27"/>
  <c r="H33" i="27"/>
  <c r="E33" i="27"/>
  <c r="G27" i="27"/>
  <c r="M27" i="27"/>
  <c r="N27" i="27" s="1"/>
  <c r="G26" i="27"/>
  <c r="M26" i="27"/>
  <c r="V40" i="27"/>
  <c r="T26" i="27"/>
  <c r="U26" i="27" s="1"/>
  <c r="T23" i="27"/>
  <c r="U23" i="27" s="1"/>
  <c r="Q27" i="27"/>
  <c r="R27" i="27" s="1"/>
  <c r="Q20" i="27"/>
  <c r="R20" i="27" s="1"/>
  <c r="T31" i="27"/>
  <c r="T30" i="27"/>
  <c r="U30" i="27" s="1"/>
  <c r="Q24" i="27"/>
  <c r="R24" i="27" s="1"/>
  <c r="W37" i="27"/>
  <c r="W40" i="27" s="1"/>
  <c r="Q21" i="27"/>
  <c r="R21" i="27" s="1"/>
  <c r="Q23" i="27"/>
  <c r="R23" i="27" s="1"/>
  <c r="D11" i="373"/>
  <c r="C10" i="374"/>
  <c r="C7" i="374"/>
  <c r="C11" i="373"/>
  <c r="C8" i="374"/>
  <c r="C12" i="373"/>
  <c r="C6" i="374"/>
  <c r="C10" i="373"/>
  <c r="D12" i="373"/>
  <c r="C11" i="374"/>
  <c r="G7" i="27"/>
  <c r="G13" i="27" s="1"/>
  <c r="D21" i="27"/>
  <c r="J21" i="27"/>
  <c r="I40" i="27"/>
  <c r="D24" i="27"/>
  <c r="J24" i="27"/>
  <c r="K24" i="27" s="1"/>
  <c r="D23" i="27"/>
  <c r="D31" i="27"/>
  <c r="J31" i="27"/>
  <c r="K31" i="27" s="1"/>
  <c r="D25" i="27"/>
  <c r="D27" i="27"/>
  <c r="J27" i="27"/>
  <c r="K27" i="27" s="1"/>
  <c r="S40" i="27"/>
  <c r="H15" i="227"/>
  <c r="H17" i="227" s="1"/>
  <c r="H19" i="227" s="1"/>
  <c r="H21" i="227" s="1"/>
  <c r="H23" i="227" s="1"/>
  <c r="F16" i="227"/>
  <c r="F15" i="227"/>
  <c r="F8" i="227"/>
  <c r="C11" i="227"/>
  <c r="C15" i="227" s="1"/>
  <c r="C17" i="227" s="1"/>
  <c r="C19" i="227" s="1"/>
  <c r="C8" i="227"/>
  <c r="O33" i="27" l="1"/>
  <c r="F33" i="27"/>
  <c r="L29" i="27"/>
  <c r="E32" i="27"/>
  <c r="G11" i="372"/>
  <c r="G12" i="372" s="1"/>
  <c r="G14" i="372" s="1"/>
  <c r="C29" i="27"/>
  <c r="O29" i="27"/>
  <c r="H32" i="27"/>
  <c r="H34" i="27" s="1"/>
  <c r="F29" i="27"/>
  <c r="N26" i="27"/>
  <c r="N28" i="27" s="1"/>
  <c r="M28" i="27"/>
  <c r="L33" i="27"/>
  <c r="G13" i="372"/>
  <c r="C33" i="27"/>
  <c r="K21" i="27"/>
  <c r="K28" i="27" s="1"/>
  <c r="J28" i="27"/>
  <c r="C9" i="374"/>
  <c r="C12" i="374" s="1"/>
  <c r="F17" i="227"/>
  <c r="F19" i="227" s="1"/>
  <c r="F21" i="227" s="1"/>
  <c r="F23" i="227" s="1"/>
  <c r="C13" i="373"/>
  <c r="D10" i="373" s="1"/>
  <c r="D13" i="373" s="1"/>
  <c r="E10" i="373" s="1"/>
  <c r="C21" i="227"/>
  <c r="C23" i="227" s="1"/>
  <c r="V29" i="27" l="1"/>
  <c r="O32" i="27"/>
  <c r="D33" i="27"/>
  <c r="J33" i="27"/>
  <c r="K33" i="27" s="1"/>
  <c r="J29" i="27"/>
  <c r="K29" i="27" s="1"/>
  <c r="K32" i="27" s="1"/>
  <c r="D29" i="27"/>
  <c r="M32" i="27"/>
  <c r="Z29" i="27"/>
  <c r="L32" i="27"/>
  <c r="G33" i="27"/>
  <c r="M33" i="27"/>
  <c r="N33" i="27" s="1"/>
  <c r="E34" i="27"/>
  <c r="G9" i="372"/>
  <c r="G29" i="27"/>
  <c r="M29" i="27"/>
  <c r="N29" i="27" s="1"/>
  <c r="N32" i="27" s="1"/>
  <c r="C14" i="373"/>
  <c r="D14" i="373"/>
  <c r="H146" i="356"/>
  <c r="H147" i="356"/>
  <c r="H148" i="356"/>
  <c r="H149" i="356"/>
  <c r="H150" i="356"/>
  <c r="H151" i="356"/>
  <c r="H152" i="356"/>
  <c r="H153" i="356"/>
  <c r="H154" i="356"/>
  <c r="H155" i="356"/>
  <c r="H156" i="356"/>
  <c r="H157" i="356"/>
  <c r="H158" i="356"/>
  <c r="H159" i="356"/>
  <c r="H160" i="356"/>
  <c r="H161" i="356"/>
  <c r="H162" i="356"/>
  <c r="H163" i="356"/>
  <c r="H164" i="356"/>
  <c r="H165" i="356"/>
  <c r="H166" i="356"/>
  <c r="H167" i="356"/>
  <c r="H168" i="356"/>
  <c r="H169" i="356"/>
  <c r="H170" i="356"/>
  <c r="H171" i="356"/>
  <c r="H172" i="356"/>
  <c r="H173" i="356"/>
  <c r="H140" i="356"/>
  <c r="H141" i="356"/>
  <c r="H142" i="356"/>
  <c r="H143" i="356"/>
  <c r="H127" i="356"/>
  <c r="H128" i="356"/>
  <c r="H129" i="356"/>
  <c r="H130" i="356"/>
  <c r="H131" i="356"/>
  <c r="H132" i="356"/>
  <c r="H133" i="356"/>
  <c r="H134" i="356"/>
  <c r="H135" i="356"/>
  <c r="H136" i="356"/>
  <c r="H137" i="356"/>
  <c r="H138" i="356"/>
  <c r="H139" i="356"/>
  <c r="H126" i="356"/>
  <c r="H78" i="356"/>
  <c r="H79" i="356"/>
  <c r="H80" i="356"/>
  <c r="H81" i="356"/>
  <c r="H82" i="356"/>
  <c r="H83" i="356"/>
  <c r="H84" i="356"/>
  <c r="H85" i="356"/>
  <c r="H86" i="356"/>
  <c r="H87" i="356"/>
  <c r="H88" i="356"/>
  <c r="H89" i="356"/>
  <c r="H90" i="356"/>
  <c r="H91" i="356"/>
  <c r="H92" i="356"/>
  <c r="H93" i="356"/>
  <c r="H94" i="356"/>
  <c r="H95" i="356"/>
  <c r="H96" i="356"/>
  <c r="H97" i="356"/>
  <c r="H98" i="356"/>
  <c r="H99" i="356"/>
  <c r="H100" i="356"/>
  <c r="H101" i="356"/>
  <c r="H102" i="356"/>
  <c r="H103" i="356"/>
  <c r="H104" i="356"/>
  <c r="H105" i="356"/>
  <c r="H106" i="356"/>
  <c r="H107" i="356"/>
  <c r="H108" i="356"/>
  <c r="H110" i="356"/>
  <c r="H111" i="356"/>
  <c r="H112" i="356"/>
  <c r="H113" i="356"/>
  <c r="H114" i="356"/>
  <c r="H115" i="356"/>
  <c r="H116" i="356"/>
  <c r="H117" i="356"/>
  <c r="H118" i="356"/>
  <c r="H119" i="356"/>
  <c r="H120" i="356"/>
  <c r="H121" i="356"/>
  <c r="H122" i="356"/>
  <c r="H123" i="356"/>
  <c r="H124" i="356"/>
  <c r="H75" i="356"/>
  <c r="H77" i="356"/>
  <c r="H64" i="356"/>
  <c r="H65" i="356"/>
  <c r="H66" i="356"/>
  <c r="H67" i="356"/>
  <c r="H68" i="356"/>
  <c r="H69" i="356"/>
  <c r="H70" i="356"/>
  <c r="H71" i="356"/>
  <c r="H72" i="356"/>
  <c r="H73" i="356"/>
  <c r="H59" i="356"/>
  <c r="H60" i="356"/>
  <c r="H61" i="356"/>
  <c r="H49" i="356"/>
  <c r="H57" i="356"/>
  <c r="H56" i="356"/>
  <c r="H52" i="356"/>
  <c r="H19" i="356"/>
  <c r="H20" i="356"/>
  <c r="H21" i="356"/>
  <c r="H22" i="356"/>
  <c r="H23" i="356"/>
  <c r="H24" i="356"/>
  <c r="H25" i="356"/>
  <c r="H26" i="356"/>
  <c r="H27" i="356"/>
  <c r="H28" i="356"/>
  <c r="H29" i="356"/>
  <c r="H30" i="356"/>
  <c r="H31" i="356"/>
  <c r="H32" i="356"/>
  <c r="H33" i="356"/>
  <c r="H34" i="356"/>
  <c r="H35" i="356"/>
  <c r="H18" i="356"/>
  <c r="H6" i="356"/>
  <c r="Q29" i="27" l="1"/>
  <c r="R29" i="27" s="1"/>
  <c r="AC29" i="27"/>
  <c r="W29" i="27"/>
  <c r="J32" i="27"/>
  <c r="O148" i="356"/>
  <c r="O152" i="356"/>
  <c r="O156" i="356"/>
  <c r="O160" i="356"/>
  <c r="O164" i="356"/>
  <c r="Q164" i="356" s="1"/>
  <c r="S164" i="356" s="1"/>
  <c r="O168" i="356"/>
  <c r="Q168" i="356" s="1"/>
  <c r="S168" i="356" s="1"/>
  <c r="O172" i="356"/>
  <c r="Q172" i="356" s="1"/>
  <c r="S172" i="356" s="1"/>
  <c r="O147" i="356"/>
  <c r="O151" i="356"/>
  <c r="O155" i="356"/>
  <c r="O159" i="356"/>
  <c r="O163" i="356"/>
  <c r="Q163" i="356" s="1"/>
  <c r="S163" i="356" s="1"/>
  <c r="O167" i="356"/>
  <c r="Q167" i="356" s="1"/>
  <c r="S167" i="356" s="1"/>
  <c r="O171" i="356"/>
  <c r="Q171" i="356" s="1"/>
  <c r="S171" i="356" s="1"/>
  <c r="O146" i="356"/>
  <c r="O150" i="356"/>
  <c r="O154" i="356"/>
  <c r="O158" i="356"/>
  <c r="O162" i="356"/>
  <c r="Q162" i="356" s="1"/>
  <c r="S162" i="356" s="1"/>
  <c r="O166" i="356"/>
  <c r="Q166" i="356" s="1"/>
  <c r="S166" i="356" s="1"/>
  <c r="O170" i="356"/>
  <c r="Q170" i="356" s="1"/>
  <c r="S170" i="356" s="1"/>
  <c r="O149" i="356"/>
  <c r="O153" i="356"/>
  <c r="O157" i="356"/>
  <c r="O161" i="356"/>
  <c r="Q161" i="356" s="1"/>
  <c r="S161" i="356" s="1"/>
  <c r="O165" i="356"/>
  <c r="Q165" i="356" s="1"/>
  <c r="S165" i="356" s="1"/>
  <c r="O169" i="356"/>
  <c r="Q169" i="356" s="1"/>
  <c r="S169" i="356" s="1"/>
  <c r="O173" i="356"/>
  <c r="Q173" i="356" s="1"/>
  <c r="S173" i="356" s="1"/>
  <c r="O56" i="356"/>
  <c r="O27" i="356"/>
  <c r="Q27" i="356" s="1"/>
  <c r="R27" i="356" s="1"/>
  <c r="O31" i="356"/>
  <c r="Q31" i="356" s="1"/>
  <c r="R31" i="356" s="1"/>
  <c r="O23" i="356"/>
  <c r="Q23" i="356" s="1"/>
  <c r="R23" i="356" s="1"/>
  <c r="O19" i="356"/>
  <c r="Q19" i="356" s="1"/>
  <c r="R19" i="356" s="1"/>
  <c r="O35" i="356"/>
  <c r="Q35" i="356" s="1"/>
  <c r="R35" i="356" s="1"/>
  <c r="O26" i="356"/>
  <c r="Q26" i="356" s="1"/>
  <c r="R26" i="356" s="1"/>
  <c r="O49" i="356"/>
  <c r="O18" i="356"/>
  <c r="Q18" i="356" s="1"/>
  <c r="R18" i="356" s="1"/>
  <c r="O21" i="356"/>
  <c r="Q21" i="356" s="1"/>
  <c r="R21" i="356" s="1"/>
  <c r="O22" i="356"/>
  <c r="Q22" i="356" s="1"/>
  <c r="R22" i="356" s="1"/>
  <c r="O25" i="356"/>
  <c r="Q25" i="356" s="1"/>
  <c r="R25" i="356" s="1"/>
  <c r="O29" i="356"/>
  <c r="Q29" i="356" s="1"/>
  <c r="R29" i="356" s="1"/>
  <c r="O30" i="356"/>
  <c r="Q30" i="356" s="1"/>
  <c r="R30" i="356" s="1"/>
  <c r="O33" i="356"/>
  <c r="Q33" i="356" s="1"/>
  <c r="R33" i="356" s="1"/>
  <c r="O34" i="356"/>
  <c r="Q34" i="356" s="1"/>
  <c r="R34" i="356" s="1"/>
  <c r="O20" i="356"/>
  <c r="Q20" i="356" s="1"/>
  <c r="R20" i="356" s="1"/>
  <c r="O24" i="356"/>
  <c r="Q24" i="356" s="1"/>
  <c r="R24" i="356" s="1"/>
  <c r="O28" i="356"/>
  <c r="Q28" i="356" s="1"/>
  <c r="R28" i="356" s="1"/>
  <c r="O32" i="356"/>
  <c r="Q32" i="356" s="1"/>
  <c r="R32" i="356" s="1"/>
  <c r="O15" i="356"/>
  <c r="O6" i="356"/>
  <c r="Q15" i="356" l="1"/>
  <c r="R15" i="356" s="1"/>
  <c r="Q49" i="356"/>
  <c r="R49" i="356" s="1"/>
  <c r="Q6" i="356"/>
  <c r="R6" i="356" s="1"/>
  <c r="T6" i="356"/>
  <c r="R170" i="356"/>
  <c r="R173" i="356"/>
  <c r="R169" i="356"/>
  <c r="R162" i="356"/>
  <c r="R164" i="356"/>
  <c r="R166" i="356"/>
  <c r="R165" i="356"/>
  <c r="R171" i="356"/>
  <c r="R168" i="356"/>
  <c r="R161" i="356"/>
  <c r="R167" i="356"/>
  <c r="R163" i="356"/>
  <c r="R172" i="356"/>
  <c r="D65" i="345"/>
  <c r="E9" i="307" s="1"/>
  <c r="N4" i="307"/>
  <c r="M4" i="307"/>
  <c r="K71" i="345"/>
  <c r="H36" i="346"/>
  <c r="L25" i="58" l="1"/>
  <c r="L30" i="58"/>
  <c r="L29" i="58"/>
  <c r="L28" i="58"/>
  <c r="L27" i="58"/>
  <c r="L31" i="58" l="1"/>
  <c r="L12" i="58"/>
  <c r="F54" i="3" l="1"/>
  <c r="F23" i="3"/>
  <c r="F22" i="3" s="1"/>
  <c r="F24" i="3"/>
  <c r="F25" i="3"/>
  <c r="F21" i="3"/>
  <c r="N69" i="58"/>
  <c r="H13" i="307"/>
  <c r="H24" i="307" s="1"/>
  <c r="H32" i="307" s="1"/>
  <c r="I13" i="307"/>
  <c r="I24" i="307" s="1"/>
  <c r="I32" i="307" s="1"/>
  <c r="J13" i="307"/>
  <c r="J24" i="307" s="1"/>
  <c r="J32" i="307" s="1"/>
  <c r="M9" i="307" l="1"/>
  <c r="L9" i="307"/>
  <c r="K6" i="307"/>
  <c r="N66" i="277" s="1"/>
  <c r="G13" i="307"/>
  <c r="G24" i="307" s="1"/>
  <c r="G32" i="307" s="1"/>
  <c r="K13" i="307"/>
  <c r="K24" i="307" s="1"/>
  <c r="K32" i="307" s="1"/>
  <c r="L6" i="307" l="1"/>
  <c r="M6" i="307" s="1"/>
  <c r="F43" i="200"/>
  <c r="L13" i="307" l="1"/>
  <c r="L24" i="307" s="1"/>
  <c r="L32" i="307" s="1"/>
  <c r="M7" i="307"/>
  <c r="O66" i="277"/>
  <c r="M13" i="307"/>
  <c r="M24" i="307" s="1"/>
  <c r="M32" i="307" s="1"/>
  <c r="P28" i="173"/>
  <c r="C29" i="307"/>
  <c r="C28" i="307"/>
  <c r="J5" i="345" l="1"/>
  <c r="D68" i="346"/>
  <c r="G68" i="346"/>
  <c r="C68" i="346"/>
  <c r="I68" i="346"/>
  <c r="F68" i="346"/>
  <c r="H61" i="346"/>
  <c r="H54" i="346"/>
  <c r="G19" i="346"/>
  <c r="C19" i="346"/>
  <c r="D52" i="198" l="1"/>
  <c r="E52" i="198" s="1"/>
  <c r="I54" i="346"/>
  <c r="J54" i="346" s="1"/>
  <c r="E68" i="346"/>
  <c r="H67" i="346"/>
  <c r="D64" i="198" s="1"/>
  <c r="G68" i="347"/>
  <c r="D68" i="347"/>
  <c r="C68" i="347"/>
  <c r="H67" i="347"/>
  <c r="H66" i="347"/>
  <c r="C63" i="345" s="1"/>
  <c r="G55" i="347"/>
  <c r="F55" i="347"/>
  <c r="D55" i="347"/>
  <c r="C55" i="347"/>
  <c r="G25" i="347"/>
  <c r="F25" i="347"/>
  <c r="E25" i="347"/>
  <c r="D25" i="347"/>
  <c r="C25" i="347"/>
  <c r="G19" i="347"/>
  <c r="F19" i="347"/>
  <c r="E19" i="347"/>
  <c r="D19" i="347"/>
  <c r="C19" i="347"/>
  <c r="C64" i="345" l="1"/>
  <c r="I67" i="347"/>
  <c r="I68" i="347" s="1"/>
  <c r="F37" i="347"/>
  <c r="G37" i="347"/>
  <c r="G69" i="347" s="1"/>
  <c r="K67" i="58"/>
  <c r="D37" i="347"/>
  <c r="D69" i="347" s="1"/>
  <c r="J67" i="346"/>
  <c r="F68" i="347"/>
  <c r="F69" i="347" s="1"/>
  <c r="G67" i="58"/>
  <c r="C60" i="370" s="1"/>
  <c r="J67" i="347"/>
  <c r="J64" i="345"/>
  <c r="H25" i="347"/>
  <c r="E68" i="347"/>
  <c r="C37" i="347"/>
  <c r="C69" i="347" s="1"/>
  <c r="I55" i="347"/>
  <c r="E37" i="347"/>
  <c r="E55" i="347"/>
  <c r="H65" i="347"/>
  <c r="H64" i="347"/>
  <c r="H62" i="347"/>
  <c r="G63" i="58" s="1"/>
  <c r="H61" i="347"/>
  <c r="H60" i="347"/>
  <c r="H58" i="347"/>
  <c r="H57" i="347"/>
  <c r="H54" i="347"/>
  <c r="J54" i="347" s="1"/>
  <c r="H52" i="347"/>
  <c r="H51" i="347"/>
  <c r="H50" i="347"/>
  <c r="H48" i="347"/>
  <c r="H47" i="347"/>
  <c r="H46" i="347"/>
  <c r="H45" i="347"/>
  <c r="H43" i="347"/>
  <c r="H42" i="347"/>
  <c r="H41" i="347"/>
  <c r="H40" i="347"/>
  <c r="C37" i="345" s="1"/>
  <c r="H39" i="347"/>
  <c r="H35" i="347"/>
  <c r="H34" i="347"/>
  <c r="H33" i="347"/>
  <c r="H32" i="347"/>
  <c r="H31" i="347"/>
  <c r="H30" i="347"/>
  <c r="H29" i="347"/>
  <c r="H28" i="347"/>
  <c r="H27" i="347"/>
  <c r="H26" i="347" s="1"/>
  <c r="C23" i="345" s="1"/>
  <c r="C56" i="370" l="1"/>
  <c r="C38" i="277"/>
  <c r="J67" i="58"/>
  <c r="E60" i="370"/>
  <c r="E69" i="347"/>
  <c r="H68" i="347"/>
  <c r="G40" i="58"/>
  <c r="H55" i="347"/>
  <c r="F40" i="58" l="1"/>
  <c r="C34" i="370"/>
  <c r="F66" i="3" l="1"/>
  <c r="F50" i="3" l="1"/>
  <c r="F10" i="3"/>
  <c r="F14" i="3"/>
  <c r="F11" i="3"/>
  <c r="F12" i="3"/>
  <c r="F57" i="3"/>
  <c r="B23" i="140"/>
  <c r="B22" i="140" s="1"/>
  <c r="B94" i="140"/>
  <c r="B97" i="140" s="1"/>
  <c r="B29" i="140"/>
  <c r="B28" i="140"/>
  <c r="B18" i="140"/>
  <c r="B109" i="140"/>
  <c r="B106" i="140"/>
  <c r="B99" i="140"/>
  <c r="B101" i="140" s="1"/>
  <c r="B55" i="140"/>
  <c r="B38" i="140"/>
  <c r="B43" i="140" s="1"/>
  <c r="B17" i="140"/>
  <c r="B7" i="140"/>
  <c r="B10" i="140" s="1"/>
  <c r="G6" i="173"/>
  <c r="C12" i="274" s="1"/>
  <c r="C16" i="274" s="1"/>
  <c r="C7" i="140" l="1"/>
  <c r="T68" i="3"/>
  <c r="R68" i="3"/>
  <c r="R71" i="3"/>
  <c r="T71" i="3"/>
  <c r="T66" i="3"/>
  <c r="R66" i="3"/>
  <c r="R67" i="3"/>
  <c r="T67" i="3"/>
  <c r="R69" i="3"/>
  <c r="T69" i="3"/>
  <c r="R65" i="3"/>
  <c r="F38" i="3"/>
  <c r="F37" i="3"/>
  <c r="F34" i="3"/>
  <c r="G8" i="3" s="1"/>
  <c r="F63" i="3"/>
  <c r="F35" i="3"/>
  <c r="F36" i="3"/>
  <c r="D27" i="95" s="1"/>
  <c r="B20" i="140"/>
  <c r="F59" i="3"/>
  <c r="F58" i="3" s="1"/>
  <c r="F60" i="3"/>
  <c r="F61" i="3"/>
  <c r="F13" i="3"/>
  <c r="B10" i="98"/>
  <c r="F40" i="3"/>
  <c r="F16" i="3" l="1"/>
  <c r="S65" i="3"/>
  <c r="T70" i="3"/>
  <c r="T73" i="3" s="1"/>
  <c r="R70" i="3"/>
  <c r="R73" i="3" s="1"/>
  <c r="G27" i="95"/>
  <c r="M27" i="95"/>
  <c r="F62" i="3"/>
  <c r="F65" i="3" s="1"/>
  <c r="F39" i="3"/>
  <c r="H60" i="346" l="1"/>
  <c r="H64" i="346"/>
  <c r="H65" i="346"/>
  <c r="H66" i="346"/>
  <c r="H57" i="346"/>
  <c r="D55" i="346"/>
  <c r="E55" i="346"/>
  <c r="F55" i="346"/>
  <c r="G55" i="346"/>
  <c r="I55" i="346"/>
  <c r="C55" i="346"/>
  <c r="H40" i="346"/>
  <c r="H41" i="346"/>
  <c r="E39" i="198" s="1"/>
  <c r="H42" i="346"/>
  <c r="E40" i="198" s="1"/>
  <c r="H43" i="346"/>
  <c r="H44" i="346"/>
  <c r="H45" i="346"/>
  <c r="H46" i="346"/>
  <c r="H47" i="346"/>
  <c r="H48" i="346"/>
  <c r="H50" i="346"/>
  <c r="H51" i="346"/>
  <c r="H39" i="346"/>
  <c r="H27" i="346"/>
  <c r="H28" i="346"/>
  <c r="H29" i="346"/>
  <c r="H30" i="346"/>
  <c r="H31" i="346"/>
  <c r="H32" i="346"/>
  <c r="H33" i="346"/>
  <c r="J33" i="346" s="1"/>
  <c r="H34" i="346"/>
  <c r="J34" i="346" s="1"/>
  <c r="H35" i="346"/>
  <c r="D25" i="346"/>
  <c r="E25" i="346"/>
  <c r="F25" i="346"/>
  <c r="G25" i="346"/>
  <c r="G37" i="346" s="1"/>
  <c r="C25" i="346"/>
  <c r="D19" i="346"/>
  <c r="E19" i="346"/>
  <c r="F19" i="346"/>
  <c r="K58" i="58" l="1"/>
  <c r="E38" i="198"/>
  <c r="K46" i="58"/>
  <c r="E40" i="370" s="1"/>
  <c r="D44" i="198"/>
  <c r="K44" i="58"/>
  <c r="D42" i="198"/>
  <c r="E35" i="277"/>
  <c r="G35" i="277" s="1"/>
  <c r="C37" i="346"/>
  <c r="H25" i="346"/>
  <c r="K40" i="58"/>
  <c r="J63" i="345"/>
  <c r="K63" i="345" s="1"/>
  <c r="K63" i="58"/>
  <c r="E38" i="277" s="1"/>
  <c r="G38" i="277" s="1"/>
  <c r="F37" i="346"/>
  <c r="H55" i="346"/>
  <c r="H68" i="346"/>
  <c r="E37" i="346"/>
  <c r="D37" i="346"/>
  <c r="J27" i="346"/>
  <c r="J32" i="346"/>
  <c r="J28" i="346"/>
  <c r="J31" i="346"/>
  <c r="J30" i="346"/>
  <c r="J29" i="346"/>
  <c r="E51" i="370" l="1"/>
  <c r="J58" i="58"/>
  <c r="J59" i="58"/>
  <c r="E52" i="370"/>
  <c r="J63" i="58"/>
  <c r="E56" i="370"/>
  <c r="J44" i="58"/>
  <c r="E38" i="370"/>
  <c r="J40" i="58"/>
  <c r="E34" i="370"/>
  <c r="D14" i="83"/>
  <c r="I34" i="27"/>
  <c r="F44" i="200" l="1"/>
  <c r="F42" i="200"/>
  <c r="F40" i="200"/>
  <c r="F38" i="200"/>
  <c r="F37" i="200"/>
  <c r="F36" i="200"/>
  <c r="F33" i="200"/>
  <c r="F32" i="200"/>
  <c r="D7" i="204"/>
  <c r="C7" i="204"/>
  <c r="I33" i="358"/>
  <c r="H33" i="358"/>
  <c r="H40" i="358" s="1"/>
  <c r="G33" i="358"/>
  <c r="G40" i="358" s="1"/>
  <c r="F33" i="358"/>
  <c r="J10" i="358"/>
  <c r="J9" i="358"/>
  <c r="H13" i="360"/>
  <c r="H12" i="360"/>
  <c r="H11" i="360"/>
  <c r="H10" i="360"/>
  <c r="H26" i="360"/>
  <c r="H27" i="360"/>
  <c r="H28" i="360"/>
  <c r="H25" i="360"/>
  <c r="C33" i="26"/>
  <c r="C9" i="26"/>
  <c r="C10" i="26"/>
  <c r="F10" i="26" s="1"/>
  <c r="Y59" i="173"/>
  <c r="Y55" i="173"/>
  <c r="Y57" i="173"/>
  <c r="Y54" i="173"/>
  <c r="Y52" i="173"/>
  <c r="F40" i="358" l="1"/>
  <c r="G13" i="173"/>
  <c r="C9" i="98"/>
  <c r="G47" i="277"/>
  <c r="C21" i="222"/>
  <c r="C18" i="222"/>
  <c r="C17" i="222"/>
  <c r="C15" i="222"/>
  <c r="C12" i="222"/>
  <c r="C9" i="222"/>
  <c r="F35" i="200"/>
  <c r="C7" i="222"/>
  <c r="G11" i="278"/>
  <c r="N49" i="277" l="1"/>
  <c r="F34" i="200"/>
  <c r="C13" i="23"/>
  <c r="B41" i="140"/>
  <c r="B31" i="140"/>
  <c r="AB34" i="141"/>
  <c r="AB33" i="141"/>
  <c r="AB32" i="141"/>
  <c r="AB31" i="141"/>
  <c r="AB30" i="141"/>
  <c r="N81" i="141"/>
  <c r="AA18" i="95"/>
  <c r="AA19" i="95"/>
  <c r="AA20" i="95"/>
  <c r="AA21" i="95"/>
  <c r="AA22" i="95"/>
  <c r="AA23" i="95"/>
  <c r="AA24" i="95"/>
  <c r="AA25" i="95"/>
  <c r="AA26" i="95"/>
  <c r="AA17" i="95"/>
  <c r="Z27" i="95"/>
  <c r="Y27" i="95"/>
  <c r="S9" i="27"/>
  <c r="Z9" i="27"/>
  <c r="O49" i="277" l="1"/>
  <c r="G50" i="277"/>
  <c r="AA27" i="95"/>
  <c r="AG9" i="27"/>
  <c r="C34" i="26"/>
  <c r="J20" i="173"/>
  <c r="I20" i="173"/>
  <c r="N20" i="173"/>
  <c r="M20" i="173"/>
  <c r="AG10" i="27" l="1"/>
  <c r="AG11" i="27" s="1"/>
  <c r="B41" i="319"/>
  <c r="D41" i="319"/>
  <c r="C41" i="319"/>
  <c r="B36" i="319"/>
  <c r="D36" i="319"/>
  <c r="C36" i="319"/>
  <c r="D24" i="319"/>
  <c r="C24" i="319"/>
  <c r="B12" i="319"/>
  <c r="D12" i="319"/>
  <c r="C6" i="319"/>
  <c r="C4" i="319"/>
  <c r="B40" i="101"/>
  <c r="AK5" i="27" l="1"/>
  <c r="D43" i="319"/>
  <c r="D45" i="319" s="1"/>
  <c r="D49" i="319" s="1"/>
  <c r="C43" i="319"/>
  <c r="C45" i="319" s="1"/>
  <c r="C49" i="319" s="1"/>
  <c r="B43" i="319"/>
  <c r="B45" i="319" s="1"/>
  <c r="B49" i="319" s="1"/>
  <c r="K64" i="198"/>
  <c r="K63" i="198"/>
  <c r="L62" i="198"/>
  <c r="K62" i="198"/>
  <c r="L60" i="198"/>
  <c r="K60" i="198"/>
  <c r="L59" i="198"/>
  <c r="K59" i="198"/>
  <c r="L58" i="198"/>
  <c r="K58" i="198"/>
  <c r="L56" i="198"/>
  <c r="K56" i="198"/>
  <c r="L55" i="198"/>
  <c r="K55" i="198"/>
  <c r="K52" i="198"/>
  <c r="K51" i="198"/>
  <c r="L50" i="198"/>
  <c r="K50" i="198"/>
  <c r="L49" i="198"/>
  <c r="K49" i="198"/>
  <c r="L48" i="198"/>
  <c r="K48" i="198"/>
  <c r="L46" i="198"/>
  <c r="K46" i="198"/>
  <c r="L45" i="198"/>
  <c r="K45" i="198"/>
  <c r="L44" i="198"/>
  <c r="K44" i="198"/>
  <c r="L43" i="198"/>
  <c r="K43" i="198"/>
  <c r="L42" i="198"/>
  <c r="K42" i="198"/>
  <c r="L41" i="198"/>
  <c r="K41" i="198"/>
  <c r="K37" i="198"/>
  <c r="K34" i="198"/>
  <c r="K33" i="198"/>
  <c r="K32" i="198"/>
  <c r="K31" i="198"/>
  <c r="K30" i="198"/>
  <c r="K29" i="198"/>
  <c r="K28" i="198"/>
  <c r="K27" i="198"/>
  <c r="K22" i="198"/>
  <c r="K21" i="198"/>
  <c r="K20" i="198"/>
  <c r="K16" i="198"/>
  <c r="K15" i="198"/>
  <c r="K14" i="198"/>
  <c r="K13" i="198"/>
  <c r="D65" i="198"/>
  <c r="D60" i="159"/>
  <c r="F60" i="159" s="1"/>
  <c r="D59" i="159"/>
  <c r="F59" i="159" s="1"/>
  <c r="D58" i="159"/>
  <c r="F58" i="159" s="1"/>
  <c r="D63" i="159"/>
  <c r="D62" i="159"/>
  <c r="D56" i="159"/>
  <c r="F56" i="159" s="1"/>
  <c r="D65" i="159"/>
  <c r="D64" i="159"/>
  <c r="D50" i="159"/>
  <c r="D49" i="159"/>
  <c r="D48" i="159"/>
  <c r="F48" i="159" s="1"/>
  <c r="D47" i="159"/>
  <c r="F47" i="159" s="1"/>
  <c r="D41" i="159"/>
  <c r="R54" i="58"/>
  <c r="D51" i="159" s="1"/>
  <c r="D45" i="159"/>
  <c r="F45" i="159" s="1"/>
  <c r="D44" i="159"/>
  <c r="F44" i="159" s="1"/>
  <c r="D43" i="159"/>
  <c r="F43" i="159" s="1"/>
  <c r="R43" i="58"/>
  <c r="D40" i="159" s="1"/>
  <c r="F40" i="159" s="1"/>
  <c r="D39" i="159"/>
  <c r="D38" i="159"/>
  <c r="D37" i="159"/>
  <c r="R39" i="58"/>
  <c r="D36" i="159" s="1"/>
  <c r="F39" i="159" l="1"/>
  <c r="AT39" i="159"/>
  <c r="U39" i="159"/>
  <c r="F36" i="159"/>
  <c r="F37" i="159"/>
  <c r="U38" i="159"/>
  <c r="F38" i="159"/>
  <c r="AT38" i="159"/>
  <c r="E41" i="159"/>
  <c r="S38" i="3"/>
  <c r="G30" i="82" l="1"/>
  <c r="C30" i="82"/>
  <c r="AB78" i="27"/>
  <c r="AB77" i="27"/>
  <c r="AB59" i="27"/>
  <c r="AB65" i="27" s="1"/>
  <c r="AB58" i="27"/>
  <c r="AB64" i="27" s="1"/>
  <c r="U78" i="27"/>
  <c r="U82" i="27" s="1"/>
  <c r="U59" i="27"/>
  <c r="U65" i="27" s="1"/>
  <c r="U66" i="27" s="1"/>
  <c r="AC39" i="27"/>
  <c r="AC38" i="27"/>
  <c r="Z39" i="27"/>
  <c r="Z38" i="27"/>
  <c r="AB40" i="27"/>
  <c r="AA40" i="27"/>
  <c r="AD27" i="27"/>
  <c r="AD25" i="27"/>
  <c r="AD24" i="27"/>
  <c r="AD23" i="27"/>
  <c r="AD21" i="27"/>
  <c r="M53" i="58"/>
  <c r="D51" i="198" s="1"/>
  <c r="M52" i="58"/>
  <c r="D50" i="198" s="1"/>
  <c r="AJ64" i="159"/>
  <c r="AJ63" i="159"/>
  <c r="AK62" i="159"/>
  <c r="AJ62" i="159"/>
  <c r="AK60" i="159"/>
  <c r="AJ60" i="159"/>
  <c r="AK59" i="159"/>
  <c r="AJ59" i="159"/>
  <c r="AK58" i="159"/>
  <c r="AJ58" i="159"/>
  <c r="AK56" i="159"/>
  <c r="AJ56" i="159"/>
  <c r="AK55" i="159"/>
  <c r="AJ55" i="159"/>
  <c r="AJ51" i="159"/>
  <c r="AJ50" i="159"/>
  <c r="AK49" i="159"/>
  <c r="AJ49" i="159"/>
  <c r="AK48" i="159"/>
  <c r="AJ48" i="159"/>
  <c r="AK47" i="159"/>
  <c r="AJ47" i="159"/>
  <c r="AK45" i="159"/>
  <c r="AJ45" i="159"/>
  <c r="AK44" i="159"/>
  <c r="AJ44" i="159"/>
  <c r="AK43" i="159"/>
  <c r="AJ43" i="159"/>
  <c r="AK42" i="159"/>
  <c r="AJ42" i="159"/>
  <c r="AK41" i="159"/>
  <c r="AJ41" i="159"/>
  <c r="AK40" i="159"/>
  <c r="AJ40" i="159"/>
  <c r="AJ36" i="159"/>
  <c r="AT36" i="159" s="1"/>
  <c r="AJ33" i="159"/>
  <c r="AJ32" i="159"/>
  <c r="AJ31" i="159"/>
  <c r="AJ30" i="159"/>
  <c r="AJ29" i="159"/>
  <c r="AJ28" i="159"/>
  <c r="AJ27" i="159"/>
  <c r="AJ26" i="159"/>
  <c r="AJ21" i="159"/>
  <c r="AJ20" i="159"/>
  <c r="AJ19" i="159"/>
  <c r="AJ15" i="159"/>
  <c r="AJ14" i="159"/>
  <c r="AJ13" i="159"/>
  <c r="AJ12" i="159"/>
  <c r="D37" i="163"/>
  <c r="K55" i="159"/>
  <c r="L55" i="159"/>
  <c r="K56" i="159"/>
  <c r="L56" i="159"/>
  <c r="K58" i="159"/>
  <c r="L58" i="159"/>
  <c r="K59" i="159"/>
  <c r="L59" i="159"/>
  <c r="K60" i="159"/>
  <c r="L60" i="159"/>
  <c r="K62" i="159"/>
  <c r="L62" i="159"/>
  <c r="K63" i="159"/>
  <c r="K64" i="159"/>
  <c r="K40" i="159"/>
  <c r="L40" i="159"/>
  <c r="K41" i="159"/>
  <c r="U37" i="159" s="1"/>
  <c r="L41" i="159"/>
  <c r="K42" i="159"/>
  <c r="L42" i="159"/>
  <c r="K43" i="159"/>
  <c r="L43" i="159"/>
  <c r="K44" i="159"/>
  <c r="L44" i="159"/>
  <c r="K45" i="159"/>
  <c r="L45" i="159"/>
  <c r="K47" i="159"/>
  <c r="L47" i="159"/>
  <c r="K48" i="159"/>
  <c r="L48" i="159"/>
  <c r="K49" i="159"/>
  <c r="L49" i="159"/>
  <c r="K50" i="159"/>
  <c r="K51" i="159"/>
  <c r="K36" i="159"/>
  <c r="U36" i="159" s="1"/>
  <c r="K26" i="159"/>
  <c r="K27" i="159"/>
  <c r="K28" i="159"/>
  <c r="K29" i="159"/>
  <c r="K30" i="159"/>
  <c r="K31" i="159"/>
  <c r="K32" i="159"/>
  <c r="K33" i="159"/>
  <c r="K19" i="159"/>
  <c r="K20" i="159"/>
  <c r="K21" i="159"/>
  <c r="K12" i="159"/>
  <c r="K13" i="159"/>
  <c r="K14" i="159"/>
  <c r="K15" i="159"/>
  <c r="M25" i="141"/>
  <c r="AT41" i="159" l="1"/>
  <c r="AT37" i="159"/>
  <c r="U37" i="163"/>
  <c r="F37" i="163"/>
  <c r="AB82" i="27"/>
  <c r="AB83" i="27" s="1"/>
  <c r="U41" i="159"/>
  <c r="I30" i="82"/>
  <c r="AD39" i="27"/>
  <c r="E12" i="373" s="1"/>
  <c r="U31" i="27"/>
  <c r="T11" i="27"/>
  <c r="U11" i="27" s="1"/>
  <c r="T21" i="27"/>
  <c r="U21" i="27" s="1"/>
  <c r="T29" i="27"/>
  <c r="U29" i="27" s="1"/>
  <c r="T27" i="27"/>
  <c r="U27" i="27" s="1"/>
  <c r="T24" i="27"/>
  <c r="U24" i="27" s="1"/>
  <c r="AD29" i="27"/>
  <c r="AD38" i="27"/>
  <c r="E11" i="373" s="1"/>
  <c r="E13" i="373" s="1"/>
  <c r="AC37" i="27"/>
  <c r="U83" i="27"/>
  <c r="S7" i="27" s="1"/>
  <c r="Z18" i="27"/>
  <c r="M56" i="58"/>
  <c r="M69" i="58"/>
  <c r="AA29" i="27" l="1"/>
  <c r="AB29" i="27" s="1"/>
  <c r="AA21" i="27"/>
  <c r="AB21" i="27" s="1"/>
  <c r="AA26" i="27"/>
  <c r="AB26" i="27" s="1"/>
  <c r="AA16" i="27"/>
  <c r="AB16" i="27" s="1"/>
  <c r="AA27" i="27"/>
  <c r="AB27" i="27" s="1"/>
  <c r="AA23" i="27"/>
  <c r="AB23" i="27" s="1"/>
  <c r="J30" i="82"/>
  <c r="I31" i="82"/>
  <c r="AC40" i="27"/>
  <c r="E15" i="367"/>
  <c r="I26" i="347" s="1"/>
  <c r="M29" i="367"/>
  <c r="L29" i="367"/>
  <c r="I29" i="367"/>
  <c r="H29" i="367"/>
  <c r="G29" i="367"/>
  <c r="F29" i="367"/>
  <c r="C29" i="367"/>
  <c r="B29" i="367"/>
  <c r="K15" i="367"/>
  <c r="J15" i="367"/>
  <c r="I26" i="346" s="1"/>
  <c r="I15" i="367"/>
  <c r="H26" i="346" s="1"/>
  <c r="H15" i="367"/>
  <c r="I26" i="58" s="1"/>
  <c r="G15" i="367"/>
  <c r="H26" i="58" s="1"/>
  <c r="F15" i="367"/>
  <c r="N43" i="366"/>
  <c r="M43" i="366"/>
  <c r="L43" i="366"/>
  <c r="K43" i="366"/>
  <c r="F43" i="366"/>
  <c r="E43" i="366"/>
  <c r="D43" i="366"/>
  <c r="H26" i="366"/>
  <c r="H25" i="366"/>
  <c r="H24" i="366"/>
  <c r="H23" i="366"/>
  <c r="J13" i="366"/>
  <c r="J16" i="366" s="1"/>
  <c r="F13" i="366"/>
  <c r="F16" i="366" s="1"/>
  <c r="E13" i="366"/>
  <c r="D13" i="366"/>
  <c r="D16" i="366" s="1"/>
  <c r="I13" i="366"/>
  <c r="G13" i="366"/>
  <c r="G16" i="366" s="1"/>
  <c r="H11" i="366"/>
  <c r="H10" i="366"/>
  <c r="H9" i="366"/>
  <c r="E41" i="365"/>
  <c r="L34" i="365"/>
  <c r="L41" i="365" s="1"/>
  <c r="D34" i="365"/>
  <c r="D41" i="365" s="1"/>
  <c r="C34" i="365"/>
  <c r="C41" i="365" s="1"/>
  <c r="I34" i="365"/>
  <c r="I41" i="365" s="1"/>
  <c r="H34" i="365"/>
  <c r="H41" i="365" s="1"/>
  <c r="G34" i="365"/>
  <c r="G41" i="365" s="1"/>
  <c r="L15" i="365"/>
  <c r="L22" i="365" s="1"/>
  <c r="D15" i="365"/>
  <c r="D22" i="365" s="1"/>
  <c r="C15" i="365"/>
  <c r="C22" i="365" s="1"/>
  <c r="I15" i="365"/>
  <c r="I22" i="365" s="1"/>
  <c r="H15" i="365"/>
  <c r="H22" i="365" s="1"/>
  <c r="G15" i="365"/>
  <c r="G22" i="365" s="1"/>
  <c r="J13" i="365"/>
  <c r="J12" i="365"/>
  <c r="J11" i="365"/>
  <c r="J10" i="365"/>
  <c r="F32" i="8"/>
  <c r="K32" i="8"/>
  <c r="P32" i="8"/>
  <c r="AC30" i="141"/>
  <c r="AA31" i="141"/>
  <c r="AC31" i="141" s="1"/>
  <c r="AC32" i="141"/>
  <c r="AA33" i="141"/>
  <c r="AC33" i="141" s="1"/>
  <c r="AC34" i="141"/>
  <c r="E16" i="197" s="1"/>
  <c r="G35" i="141"/>
  <c r="I35" i="141"/>
  <c r="K35" i="141"/>
  <c r="O57" i="356"/>
  <c r="Q57" i="356" s="1"/>
  <c r="S57" i="356" s="1"/>
  <c r="O59" i="356"/>
  <c r="Q59" i="356" s="1"/>
  <c r="O60" i="356"/>
  <c r="Q60" i="356" s="1"/>
  <c r="S60" i="356" s="1"/>
  <c r="O61" i="356"/>
  <c r="Q61" i="356" s="1"/>
  <c r="S61" i="356" s="1"/>
  <c r="O64" i="356"/>
  <c r="Q64" i="356" s="1"/>
  <c r="S64" i="356" s="1"/>
  <c r="O65" i="356"/>
  <c r="Q65" i="356" s="1"/>
  <c r="S65" i="356" s="1"/>
  <c r="O66" i="356"/>
  <c r="Q66" i="356" s="1"/>
  <c r="S66" i="356" s="1"/>
  <c r="O67" i="356"/>
  <c r="Q67" i="356" s="1"/>
  <c r="S67" i="356" s="1"/>
  <c r="O68" i="356"/>
  <c r="Q68" i="356" s="1"/>
  <c r="S68" i="356" s="1"/>
  <c r="O69" i="356"/>
  <c r="Q69" i="356" s="1"/>
  <c r="S69" i="356" s="1"/>
  <c r="O70" i="356"/>
  <c r="Q70" i="356" s="1"/>
  <c r="S70" i="356" s="1"/>
  <c r="O71" i="356"/>
  <c r="Q71" i="356" s="1"/>
  <c r="S71" i="356" s="1"/>
  <c r="O72" i="356"/>
  <c r="Q72" i="356" s="1"/>
  <c r="S72" i="356" s="1"/>
  <c r="O73" i="356"/>
  <c r="Q73" i="356" s="1"/>
  <c r="S73" i="356" s="1"/>
  <c r="O75" i="356"/>
  <c r="Q75" i="356" s="1"/>
  <c r="O77" i="356"/>
  <c r="Q77" i="356" s="1"/>
  <c r="S77" i="356" s="1"/>
  <c r="O78" i="356"/>
  <c r="Q78" i="356" s="1"/>
  <c r="S78" i="356" s="1"/>
  <c r="O79" i="356"/>
  <c r="Q79" i="356" s="1"/>
  <c r="S79" i="356" s="1"/>
  <c r="O80" i="356"/>
  <c r="Q80" i="356" s="1"/>
  <c r="S80" i="356" s="1"/>
  <c r="O81" i="356"/>
  <c r="Q81" i="356" s="1"/>
  <c r="S81" i="356" s="1"/>
  <c r="O82" i="356"/>
  <c r="Q82" i="356" s="1"/>
  <c r="S82" i="356" s="1"/>
  <c r="O83" i="356"/>
  <c r="Q83" i="356" s="1"/>
  <c r="S83" i="356" s="1"/>
  <c r="O84" i="356"/>
  <c r="Q84" i="356" s="1"/>
  <c r="S84" i="356" s="1"/>
  <c r="O85" i="356"/>
  <c r="Q85" i="356" s="1"/>
  <c r="S85" i="356" s="1"/>
  <c r="O86" i="356"/>
  <c r="Q86" i="356" s="1"/>
  <c r="S86" i="356" s="1"/>
  <c r="O87" i="356"/>
  <c r="Q87" i="356" s="1"/>
  <c r="S87" i="356" s="1"/>
  <c r="O88" i="356"/>
  <c r="Q88" i="356" s="1"/>
  <c r="S88" i="356" s="1"/>
  <c r="O89" i="356"/>
  <c r="Q89" i="356" s="1"/>
  <c r="S89" i="356" s="1"/>
  <c r="O90" i="356"/>
  <c r="Q90" i="356" s="1"/>
  <c r="S90" i="356" s="1"/>
  <c r="O91" i="356"/>
  <c r="Q91" i="356" s="1"/>
  <c r="S91" i="356" s="1"/>
  <c r="O92" i="356"/>
  <c r="Q92" i="356" s="1"/>
  <c r="S92" i="356" s="1"/>
  <c r="O93" i="356"/>
  <c r="Q93" i="356" s="1"/>
  <c r="S93" i="356" s="1"/>
  <c r="O94" i="356"/>
  <c r="Q94" i="356" s="1"/>
  <c r="S94" i="356" s="1"/>
  <c r="O95" i="356"/>
  <c r="Q95" i="356" s="1"/>
  <c r="S95" i="356" s="1"/>
  <c r="O96" i="356"/>
  <c r="Q96" i="356" s="1"/>
  <c r="S96" i="356" s="1"/>
  <c r="O97" i="356"/>
  <c r="Q97" i="356" s="1"/>
  <c r="S97" i="356" s="1"/>
  <c r="O98" i="356"/>
  <c r="Q98" i="356" s="1"/>
  <c r="S98" i="356" s="1"/>
  <c r="O99" i="356"/>
  <c r="Q99" i="356" s="1"/>
  <c r="S99" i="356" s="1"/>
  <c r="O100" i="356"/>
  <c r="Q100" i="356" s="1"/>
  <c r="S100" i="356" s="1"/>
  <c r="O101" i="356"/>
  <c r="Q101" i="356" s="1"/>
  <c r="S101" i="356" s="1"/>
  <c r="O102" i="356"/>
  <c r="Q102" i="356" s="1"/>
  <c r="S102" i="356" s="1"/>
  <c r="O103" i="356"/>
  <c r="Q103" i="356" s="1"/>
  <c r="S103" i="356" s="1"/>
  <c r="O104" i="356"/>
  <c r="Q104" i="356" s="1"/>
  <c r="S104" i="356" s="1"/>
  <c r="O105" i="356"/>
  <c r="Q105" i="356" s="1"/>
  <c r="S105" i="356" s="1"/>
  <c r="O106" i="356"/>
  <c r="Q106" i="356" s="1"/>
  <c r="S106" i="356" s="1"/>
  <c r="O107" i="356"/>
  <c r="Q107" i="356" s="1"/>
  <c r="S107" i="356" s="1"/>
  <c r="O108" i="356"/>
  <c r="Q108" i="356" s="1"/>
  <c r="S108" i="356" s="1"/>
  <c r="O110" i="356"/>
  <c r="Q110" i="356" s="1"/>
  <c r="S110" i="356" s="1"/>
  <c r="O111" i="356"/>
  <c r="Q111" i="356" s="1"/>
  <c r="S111" i="356" s="1"/>
  <c r="O112" i="356"/>
  <c r="Q112" i="356" s="1"/>
  <c r="S112" i="356" s="1"/>
  <c r="O113" i="356"/>
  <c r="Q113" i="356" s="1"/>
  <c r="S113" i="356" s="1"/>
  <c r="O114" i="356"/>
  <c r="Q114" i="356" s="1"/>
  <c r="S114" i="356" s="1"/>
  <c r="O115" i="356"/>
  <c r="Q115" i="356" s="1"/>
  <c r="S115" i="356" s="1"/>
  <c r="O116" i="356"/>
  <c r="Q116" i="356" s="1"/>
  <c r="S116" i="356" s="1"/>
  <c r="O117" i="356"/>
  <c r="Q117" i="356" s="1"/>
  <c r="S117" i="356" s="1"/>
  <c r="O118" i="356"/>
  <c r="Q118" i="356" s="1"/>
  <c r="S118" i="356" s="1"/>
  <c r="O119" i="356"/>
  <c r="Q119" i="356" s="1"/>
  <c r="S119" i="356" s="1"/>
  <c r="O120" i="356"/>
  <c r="Q120" i="356" s="1"/>
  <c r="S120" i="356" s="1"/>
  <c r="O121" i="356"/>
  <c r="Q121" i="356" s="1"/>
  <c r="S121" i="356" s="1"/>
  <c r="O122" i="356"/>
  <c r="Q122" i="356" s="1"/>
  <c r="S122" i="356" s="1"/>
  <c r="O123" i="356"/>
  <c r="Q123" i="356" s="1"/>
  <c r="S123" i="356" s="1"/>
  <c r="O124" i="356"/>
  <c r="Q124" i="356" s="1"/>
  <c r="S124" i="356" s="1"/>
  <c r="O126" i="356"/>
  <c r="Q126" i="356" s="1"/>
  <c r="S126" i="356" s="1"/>
  <c r="O127" i="356"/>
  <c r="Q127" i="356" s="1"/>
  <c r="S127" i="356" s="1"/>
  <c r="O128" i="356"/>
  <c r="Q128" i="356" s="1"/>
  <c r="S128" i="356" s="1"/>
  <c r="O129" i="356"/>
  <c r="Q129" i="356" s="1"/>
  <c r="S129" i="356" s="1"/>
  <c r="O130" i="356"/>
  <c r="Q130" i="356" s="1"/>
  <c r="S130" i="356" s="1"/>
  <c r="O131" i="356"/>
  <c r="Q131" i="356" s="1"/>
  <c r="S131" i="356" s="1"/>
  <c r="O132" i="356"/>
  <c r="Q132" i="356" s="1"/>
  <c r="S132" i="356" s="1"/>
  <c r="O133" i="356"/>
  <c r="Q133" i="356" s="1"/>
  <c r="S133" i="356" s="1"/>
  <c r="O134" i="356"/>
  <c r="Q134" i="356" s="1"/>
  <c r="S134" i="356" s="1"/>
  <c r="O135" i="356"/>
  <c r="Q135" i="356" s="1"/>
  <c r="S135" i="356" s="1"/>
  <c r="O136" i="356"/>
  <c r="Q136" i="356" s="1"/>
  <c r="S136" i="356" s="1"/>
  <c r="O137" i="356"/>
  <c r="Q137" i="356" s="1"/>
  <c r="S137" i="356" s="1"/>
  <c r="O138" i="356"/>
  <c r="Q138" i="356" s="1"/>
  <c r="S138" i="356" s="1"/>
  <c r="O139" i="356"/>
  <c r="Q139" i="356" s="1"/>
  <c r="S139" i="356" s="1"/>
  <c r="O140" i="356"/>
  <c r="Q140" i="356" s="1"/>
  <c r="S140" i="356" s="1"/>
  <c r="O141" i="356"/>
  <c r="Q141" i="356" s="1"/>
  <c r="S141" i="356" s="1"/>
  <c r="O142" i="356"/>
  <c r="Q142" i="356" s="1"/>
  <c r="S142" i="356" s="1"/>
  <c r="O143" i="356"/>
  <c r="Q143" i="356" s="1"/>
  <c r="S143" i="356" s="1"/>
  <c r="Q146" i="356"/>
  <c r="S146" i="356" s="1"/>
  <c r="Q147" i="356"/>
  <c r="S147" i="356" s="1"/>
  <c r="Q148" i="356"/>
  <c r="S148" i="356" s="1"/>
  <c r="Q149" i="356"/>
  <c r="S149" i="356" s="1"/>
  <c r="Q150" i="356"/>
  <c r="S150" i="356" s="1"/>
  <c r="Q151" i="356"/>
  <c r="S151" i="356" s="1"/>
  <c r="Q152" i="356"/>
  <c r="S152" i="356" s="1"/>
  <c r="Q153" i="356"/>
  <c r="S153" i="356" s="1"/>
  <c r="Q154" i="356"/>
  <c r="S154" i="356" s="1"/>
  <c r="Q155" i="356"/>
  <c r="S155" i="356" s="1"/>
  <c r="Q156" i="356"/>
  <c r="S156" i="356" s="1"/>
  <c r="Q157" i="356"/>
  <c r="S157" i="356" s="1"/>
  <c r="Q158" i="356"/>
  <c r="S158" i="356" s="1"/>
  <c r="Q159" i="356"/>
  <c r="S159" i="356" s="1"/>
  <c r="Q160" i="356"/>
  <c r="S160" i="356" s="1"/>
  <c r="P209" i="356"/>
  <c r="P53" i="356"/>
  <c r="Q52" i="356"/>
  <c r="H7" i="356"/>
  <c r="H8" i="356"/>
  <c r="H9" i="356"/>
  <c r="H10" i="356"/>
  <c r="H11" i="356"/>
  <c r="H12" i="356"/>
  <c r="H13" i="356"/>
  <c r="H14" i="356"/>
  <c r="H15" i="356"/>
  <c r="H41" i="356"/>
  <c r="H42" i="356"/>
  <c r="H43" i="356"/>
  <c r="H44" i="356"/>
  <c r="H45" i="356"/>
  <c r="H47" i="356"/>
  <c r="H38" i="356"/>
  <c r="H39" i="356"/>
  <c r="H40" i="356"/>
  <c r="H48" i="356"/>
  <c r="D65" i="163"/>
  <c r="D64" i="163"/>
  <c r="D63" i="163"/>
  <c r="D62" i="163"/>
  <c r="D58" i="163"/>
  <c r="F58" i="163" s="1"/>
  <c r="D60" i="163"/>
  <c r="F60" i="163" s="1"/>
  <c r="D59" i="163"/>
  <c r="F59" i="163" s="1"/>
  <c r="D56" i="163"/>
  <c r="F56" i="163" s="1"/>
  <c r="D48" i="163"/>
  <c r="F48" i="163" s="1"/>
  <c r="R46" i="58"/>
  <c r="D44" i="163" s="1"/>
  <c r="D52" i="163"/>
  <c r="D51" i="163"/>
  <c r="D50" i="163"/>
  <c r="D49" i="163"/>
  <c r="F49" i="163" s="1"/>
  <c r="D46" i="163"/>
  <c r="F46" i="163" s="1"/>
  <c r="D45" i="163"/>
  <c r="F45" i="163" s="1"/>
  <c r="D43" i="163"/>
  <c r="F43" i="163" s="1"/>
  <c r="D42" i="163"/>
  <c r="E42" i="163" s="1"/>
  <c r="D41" i="163"/>
  <c r="F41" i="163" s="1"/>
  <c r="D40" i="163"/>
  <c r="D39" i="163"/>
  <c r="D38" i="163"/>
  <c r="H24" i="163"/>
  <c r="D28" i="83"/>
  <c r="K64" i="163"/>
  <c r="K63" i="163"/>
  <c r="L62" i="163"/>
  <c r="K62" i="163"/>
  <c r="L60" i="163"/>
  <c r="K60" i="163"/>
  <c r="L59" i="163"/>
  <c r="K59" i="163"/>
  <c r="L58" i="163"/>
  <c r="K58" i="163"/>
  <c r="L56" i="163"/>
  <c r="K56" i="163"/>
  <c r="L55" i="163"/>
  <c r="K55" i="163"/>
  <c r="K52" i="163"/>
  <c r="K51" i="163"/>
  <c r="L50" i="163"/>
  <c r="K50" i="163"/>
  <c r="L49" i="163"/>
  <c r="K49" i="163"/>
  <c r="L48" i="163"/>
  <c r="K48" i="163"/>
  <c r="L46" i="163"/>
  <c r="K46" i="163"/>
  <c r="L45" i="163"/>
  <c r="K45" i="163"/>
  <c r="L44" i="163"/>
  <c r="K44" i="163"/>
  <c r="L43" i="163"/>
  <c r="K43" i="163"/>
  <c r="L42" i="163"/>
  <c r="K42" i="163"/>
  <c r="L41" i="163"/>
  <c r="K41" i="163"/>
  <c r="K37" i="163"/>
  <c r="K34" i="163"/>
  <c r="K33" i="163"/>
  <c r="K32" i="163"/>
  <c r="K31" i="163"/>
  <c r="K30" i="163"/>
  <c r="K29" i="163"/>
  <c r="K28" i="163"/>
  <c r="K27" i="163"/>
  <c r="K22" i="163"/>
  <c r="K21" i="163"/>
  <c r="K20" i="163"/>
  <c r="K16" i="163"/>
  <c r="K15" i="163"/>
  <c r="K14" i="163"/>
  <c r="K13" i="163"/>
  <c r="B35" i="141"/>
  <c r="B40" i="141" s="1"/>
  <c r="G45" i="3" s="1"/>
  <c r="B4" i="307"/>
  <c r="C5" i="345"/>
  <c r="B5" i="307" s="1"/>
  <c r="B7" i="307" s="1"/>
  <c r="F38" i="163" l="1"/>
  <c r="U39" i="163"/>
  <c r="F39" i="163"/>
  <c r="U40" i="163"/>
  <c r="F40" i="163"/>
  <c r="S75" i="356"/>
  <c r="R75" i="356"/>
  <c r="S59" i="356"/>
  <c r="E16" i="366"/>
  <c r="E33" i="366" s="1"/>
  <c r="H22" i="347" s="1"/>
  <c r="I16" i="366"/>
  <c r="I33" i="366" s="1"/>
  <c r="I20" i="347" s="1"/>
  <c r="E43" i="365"/>
  <c r="H12" i="347" s="1"/>
  <c r="E15" i="197"/>
  <c r="U42" i="163"/>
  <c r="L26" i="58"/>
  <c r="H53" i="356"/>
  <c r="C43" i="365"/>
  <c r="D33" i="366"/>
  <c r="E25" i="58" s="1"/>
  <c r="F33" i="366"/>
  <c r="H23" i="347" s="1"/>
  <c r="J33" i="366"/>
  <c r="G33" i="366"/>
  <c r="H24" i="347" s="1"/>
  <c r="H28" i="366"/>
  <c r="AD31" i="141"/>
  <c r="O28" i="8" s="1"/>
  <c r="E13" i="197"/>
  <c r="AD30" i="141"/>
  <c r="E12" i="197"/>
  <c r="AD32" i="141"/>
  <c r="O29" i="8" s="1"/>
  <c r="E14" i="197"/>
  <c r="R56" i="58"/>
  <c r="D42" i="159"/>
  <c r="W15" i="27"/>
  <c r="P210" i="356"/>
  <c r="R160" i="356"/>
  <c r="AD33" i="141"/>
  <c r="O30" i="8" s="1"/>
  <c r="L43" i="365"/>
  <c r="J34" i="365"/>
  <c r="H13" i="366"/>
  <c r="H16" i="366" s="1"/>
  <c r="K15" i="365"/>
  <c r="K22" i="365" s="1"/>
  <c r="H43" i="365"/>
  <c r="H16" i="347" s="1"/>
  <c r="I43" i="365"/>
  <c r="H17" i="347" s="1"/>
  <c r="G43" i="365"/>
  <c r="H15" i="347" s="1"/>
  <c r="D43" i="365"/>
  <c r="F15" i="365"/>
  <c r="F34" i="365"/>
  <c r="J14" i="365"/>
  <c r="N31" i="8"/>
  <c r="N30" i="8"/>
  <c r="N29" i="8"/>
  <c r="N28" i="8"/>
  <c r="N27" i="8"/>
  <c r="J84" i="141"/>
  <c r="F22" i="365" l="1"/>
  <c r="J15" i="365"/>
  <c r="J22" i="365" s="1"/>
  <c r="F41" i="365"/>
  <c r="J41" i="365"/>
  <c r="H32" i="366"/>
  <c r="H33" i="366" s="1"/>
  <c r="H20" i="347" s="1"/>
  <c r="E12" i="58"/>
  <c r="D12" i="58"/>
  <c r="K43" i="365"/>
  <c r="I18" i="347" s="1"/>
  <c r="P32" i="141"/>
  <c r="Q34" i="141"/>
  <c r="P30" i="141"/>
  <c r="Q31" i="141"/>
  <c r="P31" i="141"/>
  <c r="J43" i="365"/>
  <c r="AE31" i="141"/>
  <c r="H28" i="8"/>
  <c r="H29" i="8"/>
  <c r="H30" i="8"/>
  <c r="H31" i="8"/>
  <c r="J12" i="347"/>
  <c r="F43" i="365"/>
  <c r="H14" i="347" s="1"/>
  <c r="H18" i="347" s="1"/>
  <c r="I25" i="347"/>
  <c r="O27" i="8"/>
  <c r="E17" i="197"/>
  <c r="AE30" i="141"/>
  <c r="AE32" i="141"/>
  <c r="I16" i="368"/>
  <c r="I21" i="368" s="1"/>
  <c r="AA15" i="27"/>
  <c r="AB15" i="27" s="1"/>
  <c r="AD15" i="27"/>
  <c r="AE33" i="141"/>
  <c r="R31" i="141" l="1"/>
  <c r="H19" i="347"/>
  <c r="J18" i="347"/>
  <c r="T30" i="141"/>
  <c r="C9" i="381"/>
  <c r="D12" i="197"/>
  <c r="J28" i="8"/>
  <c r="D13" i="197"/>
  <c r="R34" i="141"/>
  <c r="R32" i="141"/>
  <c r="J20" i="347"/>
  <c r="Q21" i="364"/>
  <c r="Q20" i="364"/>
  <c r="Q19" i="364"/>
  <c r="Q15" i="364"/>
  <c r="Q14" i="364"/>
  <c r="Q11" i="364"/>
  <c r="J9" i="364"/>
  <c r="J10" i="364" s="1"/>
  <c r="H9" i="364"/>
  <c r="H10" i="364" s="1"/>
  <c r="G9" i="364"/>
  <c r="G10" i="364" s="1"/>
  <c r="F9" i="364"/>
  <c r="F10" i="364" s="1"/>
  <c r="Q7" i="364"/>
  <c r="Q6" i="364"/>
  <c r="Q5" i="364"/>
  <c r="Q21" i="363"/>
  <c r="Q20" i="363"/>
  <c r="Q19" i="363"/>
  <c r="Q15" i="363"/>
  <c r="Q14" i="363"/>
  <c r="Q11" i="363"/>
  <c r="P9" i="363"/>
  <c r="P10" i="363" s="1"/>
  <c r="N9" i="363"/>
  <c r="N10" i="363" s="1"/>
  <c r="H9" i="363"/>
  <c r="H10" i="363" s="1"/>
  <c r="Q7" i="363"/>
  <c r="Q6" i="363"/>
  <c r="Q5" i="363"/>
  <c r="I19" i="347" l="1"/>
  <c r="V31" i="141"/>
  <c r="L28" i="8" s="1"/>
  <c r="M28" i="8" s="1"/>
  <c r="T31" i="141"/>
  <c r="D14" i="197"/>
  <c r="T32" i="141"/>
  <c r="J27" i="8"/>
  <c r="D16" i="197"/>
  <c r="Q33" i="141"/>
  <c r="P33" i="141"/>
  <c r="Q22" i="364"/>
  <c r="J16" i="364"/>
  <c r="J23" i="364" s="1"/>
  <c r="J24" i="364" s="1"/>
  <c r="Q8" i="363"/>
  <c r="Q9" i="363" s="1"/>
  <c r="Q10" i="363" s="1"/>
  <c r="N16" i="363"/>
  <c r="N23" i="363" s="1"/>
  <c r="N24" i="363" s="1"/>
  <c r="H16" i="363"/>
  <c r="H23" i="363" s="1"/>
  <c r="H24" i="363" s="1"/>
  <c r="P16" i="363"/>
  <c r="P17" i="363" s="1"/>
  <c r="P18" i="363" s="1"/>
  <c r="L9" i="363"/>
  <c r="L10" i="363" s="1"/>
  <c r="F9" i="363"/>
  <c r="F10" i="363" s="1"/>
  <c r="Q22" i="363"/>
  <c r="F16" i="364"/>
  <c r="F17" i="364" s="1"/>
  <c r="F18" i="364" s="1"/>
  <c r="J9" i="363"/>
  <c r="J10" i="363" s="1"/>
  <c r="H16" i="364"/>
  <c r="H23" i="364" s="1"/>
  <c r="H24" i="364" s="1"/>
  <c r="Q13" i="364"/>
  <c r="Q12" i="364" s="1"/>
  <c r="E9" i="363"/>
  <c r="E10" i="363" s="1"/>
  <c r="I9" i="363"/>
  <c r="I10" i="363" s="1"/>
  <c r="M9" i="363"/>
  <c r="M10" i="363" s="1"/>
  <c r="E9" i="364"/>
  <c r="E10" i="364" s="1"/>
  <c r="I9" i="364"/>
  <c r="I10" i="364" s="1"/>
  <c r="Q8" i="364"/>
  <c r="G16" i="364"/>
  <c r="G23" i="364" s="1"/>
  <c r="G24" i="364" s="1"/>
  <c r="G9" i="363"/>
  <c r="G10" i="363" s="1"/>
  <c r="K9" i="363"/>
  <c r="K10" i="363" s="1"/>
  <c r="O9" i="363"/>
  <c r="O10" i="363" s="1"/>
  <c r="V32" i="141" l="1"/>
  <c r="L29" i="8" s="1"/>
  <c r="W30" i="141"/>
  <c r="AF30" i="141" s="1"/>
  <c r="L27" i="8"/>
  <c r="M27" i="8" s="1"/>
  <c r="W31" i="141"/>
  <c r="AF31" i="141" s="1"/>
  <c r="J29" i="8"/>
  <c r="R33" i="141"/>
  <c r="I37" i="347"/>
  <c r="I69" i="347" s="1"/>
  <c r="J17" i="364"/>
  <c r="J18" i="364" s="1"/>
  <c r="F23" i="364"/>
  <c r="F24" i="364" s="1"/>
  <c r="H17" i="364"/>
  <c r="H18" i="364" s="1"/>
  <c r="P23" i="363"/>
  <c r="P24" i="363" s="1"/>
  <c r="N17" i="363"/>
  <c r="N18" i="363" s="1"/>
  <c r="G17" i="364"/>
  <c r="G18" i="364" s="1"/>
  <c r="K16" i="363"/>
  <c r="K23" i="363" s="1"/>
  <c r="K24" i="363" s="1"/>
  <c r="H17" i="363"/>
  <c r="H18" i="363" s="1"/>
  <c r="F16" i="363"/>
  <c r="J16" i="363"/>
  <c r="L16" i="363"/>
  <c r="I16" i="363"/>
  <c r="E16" i="364"/>
  <c r="M16" i="363"/>
  <c r="I16" i="364"/>
  <c r="Q9" i="364"/>
  <c r="Q10" i="364" s="1"/>
  <c r="G16" i="363"/>
  <c r="O16" i="363"/>
  <c r="Q27" i="8" l="1"/>
  <c r="R27" i="8" s="1"/>
  <c r="AH30" i="141"/>
  <c r="AH31" i="141"/>
  <c r="Q28" i="8"/>
  <c r="R28" i="8" s="1"/>
  <c r="M29" i="8"/>
  <c r="W32" i="141"/>
  <c r="AF32" i="141" s="1"/>
  <c r="D15" i="197"/>
  <c r="D17" i="197" s="1"/>
  <c r="T33" i="141"/>
  <c r="K17" i="363"/>
  <c r="K18" i="363" s="1"/>
  <c r="L23" i="363"/>
  <c r="L24" i="363" s="1"/>
  <c r="L17" i="363"/>
  <c r="L18" i="363" s="1"/>
  <c r="J17" i="363"/>
  <c r="J18" i="363" s="1"/>
  <c r="J23" i="363"/>
  <c r="J24" i="363" s="1"/>
  <c r="F23" i="363"/>
  <c r="F24" i="363" s="1"/>
  <c r="F17" i="363"/>
  <c r="F18" i="363" s="1"/>
  <c r="G23" i="363"/>
  <c r="G24" i="363" s="1"/>
  <c r="G17" i="363"/>
  <c r="G18" i="363" s="1"/>
  <c r="E23" i="364"/>
  <c r="E24" i="364" s="1"/>
  <c r="Q16" i="364"/>
  <c r="E17" i="364"/>
  <c r="E18" i="364" s="1"/>
  <c r="O23" i="363"/>
  <c r="O24" i="363" s="1"/>
  <c r="O17" i="363"/>
  <c r="O18" i="363" s="1"/>
  <c r="M23" i="363"/>
  <c r="M24" i="363" s="1"/>
  <c r="M17" i="363"/>
  <c r="M18" i="363" s="1"/>
  <c r="I23" i="363"/>
  <c r="I24" i="363" s="1"/>
  <c r="I17" i="363"/>
  <c r="I18" i="363" s="1"/>
  <c r="I23" i="364"/>
  <c r="I24" i="364" s="1"/>
  <c r="I17" i="364"/>
  <c r="I18" i="364" s="1"/>
  <c r="V33" i="141" l="1"/>
  <c r="L30" i="8" s="1"/>
  <c r="AH32" i="141"/>
  <c r="Q29" i="8"/>
  <c r="R29" i="8" s="1"/>
  <c r="J30" i="8"/>
  <c r="Q23" i="364"/>
  <c r="Q24" i="364" s="1"/>
  <c r="Q17" i="364"/>
  <c r="Q18" i="364" s="1"/>
  <c r="W33" i="141" l="1"/>
  <c r="AF33" i="141" s="1"/>
  <c r="AH33" i="141" s="1"/>
  <c r="M30" i="8"/>
  <c r="AA45" i="198"/>
  <c r="AA45" i="163"/>
  <c r="AA44" i="159"/>
  <c r="AA38" i="159"/>
  <c r="AA39" i="163"/>
  <c r="AA39" i="198"/>
  <c r="AA38" i="198"/>
  <c r="AA38" i="163"/>
  <c r="AA37" i="159"/>
  <c r="AA36" i="159"/>
  <c r="AA37" i="163"/>
  <c r="AA37" i="198"/>
  <c r="AA32" i="198"/>
  <c r="AA32" i="163"/>
  <c r="AA31" i="159"/>
  <c r="AA30" i="159"/>
  <c r="AA31" i="163"/>
  <c r="AA31" i="198"/>
  <c r="AA28" i="198"/>
  <c r="AA28" i="163"/>
  <c r="AA27" i="159"/>
  <c r="AA25" i="159"/>
  <c r="AA26" i="163"/>
  <c r="AA26" i="198"/>
  <c r="AA25" i="198"/>
  <c r="AA25" i="163"/>
  <c r="AA24" i="159"/>
  <c r="AA23" i="159"/>
  <c r="AA24" i="163"/>
  <c r="AA24" i="198"/>
  <c r="AA18" i="198"/>
  <c r="AA18" i="163"/>
  <c r="AA17" i="159"/>
  <c r="AA9" i="159"/>
  <c r="AA10" i="163"/>
  <c r="AA10" i="198"/>
  <c r="L86" i="141"/>
  <c r="I66" i="141"/>
  <c r="AJ51" i="27"/>
  <c r="AJ59" i="27"/>
  <c r="AJ58" i="27"/>
  <c r="AJ50" i="27"/>
  <c r="AJ48" i="27"/>
  <c r="AJ55" i="27"/>
  <c r="AJ57" i="27"/>
  <c r="Q30" i="8" l="1"/>
  <c r="R30" i="8" s="1"/>
  <c r="G55" i="198"/>
  <c r="W55" i="198" s="1"/>
  <c r="R159" i="356"/>
  <c r="N46" i="360" l="1"/>
  <c r="M46" i="360"/>
  <c r="L46" i="360"/>
  <c r="K46" i="360"/>
  <c r="F46" i="360"/>
  <c r="E46" i="360"/>
  <c r="D46" i="360"/>
  <c r="C46" i="360"/>
  <c r="J30" i="360"/>
  <c r="J34" i="360" s="1"/>
  <c r="I30" i="360"/>
  <c r="G30" i="360"/>
  <c r="G34" i="360" s="1"/>
  <c r="F30" i="360"/>
  <c r="F34" i="360" s="1"/>
  <c r="E30" i="360"/>
  <c r="D30" i="360"/>
  <c r="D34" i="360" s="1"/>
  <c r="C30" i="360"/>
  <c r="C34" i="360" s="1"/>
  <c r="J15" i="360"/>
  <c r="J18" i="360" s="1"/>
  <c r="I15" i="360"/>
  <c r="G15" i="360"/>
  <c r="G18" i="360" s="1"/>
  <c r="F15" i="360"/>
  <c r="F18" i="360" s="1"/>
  <c r="E15" i="360"/>
  <c r="D15" i="360"/>
  <c r="D18" i="360" s="1"/>
  <c r="C15" i="360"/>
  <c r="C18" i="360" s="1"/>
  <c r="N54" i="358"/>
  <c r="M54" i="358"/>
  <c r="L54" i="358"/>
  <c r="K54" i="358"/>
  <c r="F54" i="358"/>
  <c r="D54" i="358"/>
  <c r="C54" i="358"/>
  <c r="E40" i="358"/>
  <c r="L33" i="358"/>
  <c r="D33" i="358"/>
  <c r="D40" i="358" s="1"/>
  <c r="C40" i="358"/>
  <c r="L14" i="358"/>
  <c r="L21" i="358" s="1"/>
  <c r="I14" i="358"/>
  <c r="I21" i="358" s="1"/>
  <c r="H14" i="358"/>
  <c r="H21" i="358" s="1"/>
  <c r="G14" i="358"/>
  <c r="G21" i="358" s="1"/>
  <c r="F14" i="358"/>
  <c r="D14" i="358"/>
  <c r="D21" i="358" s="1"/>
  <c r="C14" i="358"/>
  <c r="C21" i="358" s="1"/>
  <c r="C30" i="204"/>
  <c r="F21" i="358" l="1"/>
  <c r="H14" i="346" s="1"/>
  <c r="E34" i="360"/>
  <c r="E18" i="360"/>
  <c r="E35" i="360" s="1"/>
  <c r="H22" i="346" s="1"/>
  <c r="K22" i="58" s="1"/>
  <c r="I34" i="360"/>
  <c r="I18" i="360"/>
  <c r="I35" i="360" s="1"/>
  <c r="I20" i="346" s="1"/>
  <c r="D42" i="358"/>
  <c r="I12" i="58" s="1"/>
  <c r="L40" i="358"/>
  <c r="L42" i="358" s="1"/>
  <c r="C35" i="360"/>
  <c r="H25" i="58" s="1"/>
  <c r="E42" i="358"/>
  <c r="H12" i="346" s="1"/>
  <c r="H42" i="358"/>
  <c r="H16" i="346" s="1"/>
  <c r="G42" i="358"/>
  <c r="H15" i="346" s="1"/>
  <c r="I42" i="358"/>
  <c r="H17" i="346" s="1"/>
  <c r="J35" i="360"/>
  <c r="F35" i="360"/>
  <c r="H23" i="346" s="1"/>
  <c r="D35" i="360"/>
  <c r="G35" i="360"/>
  <c r="H24" i="346" s="1"/>
  <c r="C42" i="358"/>
  <c r="H12" i="58" s="1"/>
  <c r="J14" i="358"/>
  <c r="H30" i="360"/>
  <c r="H34" i="360" s="1"/>
  <c r="J33" i="358"/>
  <c r="H15" i="360"/>
  <c r="H18" i="360" s="1"/>
  <c r="N209" i="356"/>
  <c r="M209" i="356"/>
  <c r="L209" i="356"/>
  <c r="K209" i="356"/>
  <c r="J209" i="356"/>
  <c r="I209" i="356"/>
  <c r="H209" i="356"/>
  <c r="F209" i="356"/>
  <c r="R158" i="356"/>
  <c r="R157" i="356"/>
  <c r="R156" i="356"/>
  <c r="R155" i="356"/>
  <c r="R154" i="356"/>
  <c r="R153" i="356"/>
  <c r="R152" i="356"/>
  <c r="R151" i="356"/>
  <c r="R150" i="356"/>
  <c r="R149" i="356"/>
  <c r="R148" i="356"/>
  <c r="R147" i="356"/>
  <c r="R146" i="356"/>
  <c r="R143" i="356"/>
  <c r="R142" i="356"/>
  <c r="R141" i="356"/>
  <c r="R140" i="356"/>
  <c r="R139" i="356"/>
  <c r="R138" i="356"/>
  <c r="R137" i="356"/>
  <c r="R136" i="356"/>
  <c r="R135" i="356"/>
  <c r="R134" i="356"/>
  <c r="R133" i="356"/>
  <c r="R132" i="356"/>
  <c r="R131" i="356"/>
  <c r="R130" i="356"/>
  <c r="R129" i="356"/>
  <c r="R128" i="356"/>
  <c r="R127" i="356"/>
  <c r="R126" i="356"/>
  <c r="R124" i="356"/>
  <c r="R123" i="356"/>
  <c r="R122" i="356"/>
  <c r="R121" i="356"/>
  <c r="R120" i="356"/>
  <c r="R119" i="356"/>
  <c r="R118" i="356"/>
  <c r="R117" i="356"/>
  <c r="R116" i="356"/>
  <c r="R115" i="356"/>
  <c r="R114" i="356"/>
  <c r="R113" i="356"/>
  <c r="R112" i="356"/>
  <c r="R111" i="356"/>
  <c r="R110" i="356"/>
  <c r="R108" i="356"/>
  <c r="R107" i="356"/>
  <c r="R106" i="356"/>
  <c r="R105" i="356"/>
  <c r="R104" i="356"/>
  <c r="R103" i="356"/>
  <c r="R102" i="356"/>
  <c r="R101" i="356"/>
  <c r="R100" i="356"/>
  <c r="R99" i="356"/>
  <c r="R98" i="356"/>
  <c r="R97" i="356"/>
  <c r="R96" i="356"/>
  <c r="R95" i="356"/>
  <c r="R94" i="356"/>
  <c r="R93" i="356"/>
  <c r="R92" i="356"/>
  <c r="R91" i="356"/>
  <c r="R90" i="356"/>
  <c r="R89" i="356"/>
  <c r="R88" i="356"/>
  <c r="R87" i="356"/>
  <c r="R86" i="356"/>
  <c r="R85" i="356"/>
  <c r="R84" i="356"/>
  <c r="R83" i="356"/>
  <c r="R82" i="356"/>
  <c r="R81" i="356"/>
  <c r="R79" i="356"/>
  <c r="R78" i="356"/>
  <c r="R77" i="356"/>
  <c r="R73" i="356"/>
  <c r="R72" i="356"/>
  <c r="R71" i="356"/>
  <c r="R70" i="356"/>
  <c r="R69" i="356"/>
  <c r="R68" i="356"/>
  <c r="R67" i="356"/>
  <c r="R66" i="356"/>
  <c r="R65" i="356"/>
  <c r="R64" i="356"/>
  <c r="R61" i="356"/>
  <c r="R60" i="356"/>
  <c r="R59" i="356"/>
  <c r="R57" i="356"/>
  <c r="N53" i="356"/>
  <c r="M53" i="356"/>
  <c r="L53" i="356"/>
  <c r="K53" i="356"/>
  <c r="J53" i="356"/>
  <c r="I53" i="356"/>
  <c r="R80" i="356"/>
  <c r="O48" i="356"/>
  <c r="O40" i="356"/>
  <c r="O39" i="356"/>
  <c r="O38" i="356"/>
  <c r="Q38" i="356" s="1"/>
  <c r="R38" i="356" s="1"/>
  <c r="O47" i="356"/>
  <c r="O45" i="356"/>
  <c r="Q45" i="356" s="1"/>
  <c r="R45" i="356" s="1"/>
  <c r="O44" i="356"/>
  <c r="O43" i="356"/>
  <c r="O42" i="356"/>
  <c r="O41" i="356"/>
  <c r="O14" i="356"/>
  <c r="Q14" i="356" s="1"/>
  <c r="R14" i="356" s="1"/>
  <c r="O13" i="356"/>
  <c r="Q13" i="356" s="1"/>
  <c r="R13" i="356" s="1"/>
  <c r="O12" i="356"/>
  <c r="Q12" i="356" s="1"/>
  <c r="R12" i="356" s="1"/>
  <c r="O11" i="356"/>
  <c r="O10" i="356"/>
  <c r="Q10" i="356" s="1"/>
  <c r="R10" i="356" s="1"/>
  <c r="O9" i="356"/>
  <c r="Q9" i="356" s="1"/>
  <c r="R9" i="356" s="1"/>
  <c r="O8" i="356"/>
  <c r="O7" i="356"/>
  <c r="Q7" i="356" s="1"/>
  <c r="R7" i="356" s="1"/>
  <c r="Q8" i="356" l="1"/>
  <c r="R8" i="356" s="1"/>
  <c r="Q42" i="356"/>
  <c r="R42" i="356" s="1"/>
  <c r="Q40" i="356"/>
  <c r="R40" i="356" s="1"/>
  <c r="Q43" i="356"/>
  <c r="R43" i="356" s="1"/>
  <c r="Q44" i="356"/>
  <c r="Q41" i="356"/>
  <c r="R41" i="356" s="1"/>
  <c r="Q39" i="356"/>
  <c r="R39" i="356" s="1"/>
  <c r="Q11" i="356"/>
  <c r="R11" i="356" s="1"/>
  <c r="Q47" i="356"/>
  <c r="R47" i="356" s="1"/>
  <c r="J21" i="358"/>
  <c r="J40" i="358"/>
  <c r="I25" i="58"/>
  <c r="Q48" i="356"/>
  <c r="R48" i="356" s="1"/>
  <c r="H18" i="346"/>
  <c r="J18" i="346" s="1"/>
  <c r="H35" i="360"/>
  <c r="H20" i="346" s="1"/>
  <c r="I19" i="346"/>
  <c r="K16" i="58"/>
  <c r="N16" i="58" s="1"/>
  <c r="K24" i="58"/>
  <c r="K15" i="58"/>
  <c r="N15" i="58" s="1"/>
  <c r="I25" i="346"/>
  <c r="K17" i="58"/>
  <c r="N17" i="58" s="1"/>
  <c r="K18" i="58"/>
  <c r="K23" i="58"/>
  <c r="Q56" i="356"/>
  <c r="O209" i="356"/>
  <c r="J210" i="356"/>
  <c r="I210" i="356"/>
  <c r="N210" i="356"/>
  <c r="G210" i="356"/>
  <c r="M210" i="356"/>
  <c r="K210" i="356"/>
  <c r="F210" i="356"/>
  <c r="H210" i="356"/>
  <c r="L210" i="356"/>
  <c r="O53" i="356"/>
  <c r="E17" i="370" l="1"/>
  <c r="N23" i="58"/>
  <c r="E18" i="370"/>
  <c r="N24" i="58"/>
  <c r="S24" i="58" s="1"/>
  <c r="S16" i="58"/>
  <c r="R44" i="356"/>
  <c r="Q209" i="356"/>
  <c r="R56" i="356"/>
  <c r="S56" i="356"/>
  <c r="S209" i="356" s="1"/>
  <c r="S210" i="356" s="1"/>
  <c r="K25" i="58"/>
  <c r="N18" i="58"/>
  <c r="N22" i="58"/>
  <c r="S22" i="58" s="1"/>
  <c r="Q53" i="356"/>
  <c r="E9" i="370"/>
  <c r="E10" i="370"/>
  <c r="E12" i="370"/>
  <c r="E11" i="370"/>
  <c r="H19" i="346"/>
  <c r="J9" i="345"/>
  <c r="D11" i="198"/>
  <c r="J12" i="346"/>
  <c r="J42" i="358"/>
  <c r="I37" i="346"/>
  <c r="J20" i="346"/>
  <c r="O210" i="356"/>
  <c r="S23" i="58" l="1"/>
  <c r="G12" i="370"/>
  <c r="S18" i="58"/>
  <c r="S15" i="58"/>
  <c r="S17" i="58"/>
  <c r="I11" i="370" s="1"/>
  <c r="Q210" i="356"/>
  <c r="I9" i="370"/>
  <c r="G10" i="370"/>
  <c r="I10" i="370"/>
  <c r="G11" i="370"/>
  <c r="I12" i="370"/>
  <c r="G17" i="370"/>
  <c r="E16" i="370"/>
  <c r="N19" i="58"/>
  <c r="G9" i="370"/>
  <c r="D16" i="198"/>
  <c r="U16" i="198" s="1"/>
  <c r="G18" i="370"/>
  <c r="J19" i="346"/>
  <c r="D15" i="198"/>
  <c r="D13" i="198"/>
  <c r="D14" i="198"/>
  <c r="L12" i="345"/>
  <c r="I65" i="345"/>
  <c r="J9" i="307" s="1"/>
  <c r="E65" i="345"/>
  <c r="F9" i="307" s="1"/>
  <c r="F65" i="345"/>
  <c r="G9" i="307" s="1"/>
  <c r="G65" i="345"/>
  <c r="H9" i="307" s="1"/>
  <c r="H65" i="345"/>
  <c r="I9" i="307" s="1"/>
  <c r="D21" i="198" l="1"/>
  <c r="I16" i="370"/>
  <c r="D22" i="198"/>
  <c r="U22" i="198" s="1"/>
  <c r="N25" i="58"/>
  <c r="I17" i="370"/>
  <c r="G16" i="370"/>
  <c r="G13" i="370"/>
  <c r="E19" i="370"/>
  <c r="I13" i="370"/>
  <c r="S19" i="58"/>
  <c r="I18" i="370"/>
  <c r="H37" i="346"/>
  <c r="J22" i="345"/>
  <c r="D20" i="198"/>
  <c r="I19" i="370" l="1"/>
  <c r="I31" i="370" s="1"/>
  <c r="G19" i="370"/>
  <c r="G31" i="370" l="1"/>
  <c r="G62" i="370" s="1"/>
  <c r="H19" i="370" s="1"/>
  <c r="G21" i="156"/>
  <c r="G11" i="156"/>
  <c r="G7" i="156"/>
  <c r="F8" i="204"/>
  <c r="E8" i="204"/>
  <c r="C8" i="204"/>
  <c r="J5" i="307"/>
  <c r="J7" i="307" s="1"/>
  <c r="I5" i="307"/>
  <c r="I7" i="307" s="1"/>
  <c r="H5" i="307"/>
  <c r="H7" i="307" s="1"/>
  <c r="G5" i="307"/>
  <c r="G7" i="307" s="1"/>
  <c r="F5" i="307"/>
  <c r="F7" i="307" s="1"/>
  <c r="J4" i="307"/>
  <c r="I4" i="307"/>
  <c r="H4" i="307"/>
  <c r="G4" i="307"/>
  <c r="F4" i="307"/>
  <c r="E5" i="307"/>
  <c r="E7" i="307" s="1"/>
  <c r="E4" i="307"/>
  <c r="G28" i="156"/>
  <c r="G27" i="156"/>
  <c r="G25" i="156"/>
  <c r="G24" i="156"/>
  <c r="G22" i="156"/>
  <c r="G20" i="156"/>
  <c r="G19" i="156"/>
  <c r="G18" i="156"/>
  <c r="G17" i="156"/>
  <c r="G16" i="156"/>
  <c r="G15" i="156"/>
  <c r="G14" i="156"/>
  <c r="G13" i="156"/>
  <c r="G9" i="156"/>
  <c r="H31" i="370" l="1"/>
  <c r="H27" i="370"/>
  <c r="H37" i="370"/>
  <c r="H38" i="370"/>
  <c r="H43" i="370"/>
  <c r="H51" i="370"/>
  <c r="H29" i="370"/>
  <c r="H26" i="370"/>
  <c r="H36" i="370"/>
  <c r="H45" i="370"/>
  <c r="H55" i="370"/>
  <c r="H7" i="370"/>
  <c r="H58" i="370"/>
  <c r="H53" i="370"/>
  <c r="H57" i="370"/>
  <c r="H24" i="370"/>
  <c r="H20" i="370"/>
  <c r="H35" i="370"/>
  <c r="H44" i="370"/>
  <c r="H48" i="370"/>
  <c r="H23" i="370"/>
  <c r="H46" i="370"/>
  <c r="H25" i="370"/>
  <c r="H30" i="370"/>
  <c r="H39" i="370"/>
  <c r="H28" i="370"/>
  <c r="H59" i="370"/>
  <c r="H33" i="370"/>
  <c r="H41" i="370"/>
  <c r="H40" i="370"/>
  <c r="H22" i="370"/>
  <c r="H34" i="370"/>
  <c r="H21" i="370"/>
  <c r="H60" i="370"/>
  <c r="H47" i="370"/>
  <c r="H42" i="370"/>
  <c r="H52" i="370"/>
  <c r="H56" i="370"/>
  <c r="H49" i="370"/>
  <c r="H54" i="370"/>
  <c r="H61" i="370"/>
  <c r="H12" i="370"/>
  <c r="H10" i="370"/>
  <c r="H11" i="370"/>
  <c r="H9" i="370"/>
  <c r="H17" i="370"/>
  <c r="H18" i="370"/>
  <c r="H13" i="370"/>
  <c r="H16" i="370"/>
  <c r="K4" i="307"/>
  <c r="L4" i="307" s="1"/>
  <c r="K5" i="307"/>
  <c r="K7" i="307" s="1"/>
  <c r="G12" i="156"/>
  <c r="G24" i="58"/>
  <c r="C18" i="370" s="1"/>
  <c r="G23" i="58"/>
  <c r="C17" i="370" s="1"/>
  <c r="G22" i="58"/>
  <c r="G25" i="58" s="1"/>
  <c r="G18" i="58"/>
  <c r="G17" i="58"/>
  <c r="C11" i="370" s="1"/>
  <c r="G16" i="58"/>
  <c r="C10" i="370" s="1"/>
  <c r="G15" i="58"/>
  <c r="C9" i="370" s="1"/>
  <c r="G13" i="58"/>
  <c r="M64" i="345"/>
  <c r="M62" i="345"/>
  <c r="M61" i="345"/>
  <c r="M59" i="345"/>
  <c r="M58" i="345"/>
  <c r="M57" i="345"/>
  <c r="M55" i="345"/>
  <c r="L64" i="345"/>
  <c r="L62" i="345"/>
  <c r="L61" i="345"/>
  <c r="L59" i="345"/>
  <c r="L58" i="345"/>
  <c r="L57" i="345"/>
  <c r="L55" i="345"/>
  <c r="L54" i="345"/>
  <c r="M51" i="345"/>
  <c r="M50" i="345"/>
  <c r="M49" i="345"/>
  <c r="M48" i="345"/>
  <c r="L51" i="345"/>
  <c r="L50" i="345"/>
  <c r="L49" i="345"/>
  <c r="L48" i="345"/>
  <c r="L47" i="345"/>
  <c r="M47" i="345"/>
  <c r="M45" i="345"/>
  <c r="L45" i="345"/>
  <c r="M44" i="345"/>
  <c r="L44" i="345"/>
  <c r="L43" i="345"/>
  <c r="L42" i="345"/>
  <c r="M42" i="345"/>
  <c r="M41" i="345"/>
  <c r="L41" i="345"/>
  <c r="M40" i="345"/>
  <c r="L40" i="345"/>
  <c r="M39" i="345"/>
  <c r="L39" i="345"/>
  <c r="M38" i="345"/>
  <c r="L38" i="345"/>
  <c r="M37" i="345"/>
  <c r="L37" i="345"/>
  <c r="M36" i="345"/>
  <c r="L36" i="345"/>
  <c r="L33" i="345"/>
  <c r="L32" i="345"/>
  <c r="M33" i="345"/>
  <c r="M32" i="345"/>
  <c r="M31" i="345"/>
  <c r="L31" i="345"/>
  <c r="M30" i="345"/>
  <c r="L30" i="345"/>
  <c r="M29" i="345"/>
  <c r="L29" i="345"/>
  <c r="M28" i="345"/>
  <c r="L28" i="345"/>
  <c r="M27" i="345"/>
  <c r="L27" i="345"/>
  <c r="M26" i="345"/>
  <c r="L26" i="345"/>
  <c r="M25" i="345"/>
  <c r="L25" i="345"/>
  <c r="L24" i="345"/>
  <c r="L23" i="345"/>
  <c r="M24" i="345"/>
  <c r="M23" i="345"/>
  <c r="L9" i="345"/>
  <c r="M5" i="345"/>
  <c r="L5" i="345"/>
  <c r="K13" i="58"/>
  <c r="G10" i="156"/>
  <c r="G8" i="156"/>
  <c r="C9" i="345"/>
  <c r="B20" i="307"/>
  <c r="J65" i="347"/>
  <c r="J62" i="347"/>
  <c r="G62" i="58"/>
  <c r="C55" i="370" s="1"/>
  <c r="J60" i="347"/>
  <c r="G59" i="58"/>
  <c r="C52" i="370" s="1"/>
  <c r="G53" i="58"/>
  <c r="C47" i="370" s="1"/>
  <c r="J51" i="347"/>
  <c r="J50" i="347"/>
  <c r="G48" i="58"/>
  <c r="J47" i="347"/>
  <c r="G46" i="58"/>
  <c r="C40" i="370" s="1"/>
  <c r="J45" i="347"/>
  <c r="G43" i="58"/>
  <c r="C37" i="370" s="1"/>
  <c r="G42" i="58"/>
  <c r="C36" i="370" s="1"/>
  <c r="J41" i="347"/>
  <c r="J40" i="347"/>
  <c r="G39" i="58"/>
  <c r="C33" i="370" s="1"/>
  <c r="J34" i="347"/>
  <c r="G33" i="58"/>
  <c r="C27" i="370" s="1"/>
  <c r="J32" i="347"/>
  <c r="G31" i="58"/>
  <c r="C25" i="370" s="1"/>
  <c r="J30" i="347"/>
  <c r="J29" i="347"/>
  <c r="J28" i="347"/>
  <c r="K53" i="58"/>
  <c r="E47" i="370" s="1"/>
  <c r="J44" i="345"/>
  <c r="F42" i="198"/>
  <c r="D34" i="198"/>
  <c r="D32" i="198"/>
  <c r="U32" i="198" s="1"/>
  <c r="D30" i="198"/>
  <c r="U30" i="198" s="1"/>
  <c r="D28" i="198"/>
  <c r="U28" i="198" s="1"/>
  <c r="D27" i="198"/>
  <c r="D26" i="198"/>
  <c r="U26" i="198" s="1"/>
  <c r="D25" i="198"/>
  <c r="U25" i="198" s="1"/>
  <c r="C54" i="345"/>
  <c r="I52" i="345"/>
  <c r="J10" i="307" s="1"/>
  <c r="H52" i="345"/>
  <c r="I10" i="307" s="1"/>
  <c r="G52" i="345"/>
  <c r="H10" i="307" s="1"/>
  <c r="F52" i="345"/>
  <c r="G10" i="307" s="1"/>
  <c r="E52" i="345"/>
  <c r="F10" i="307" s="1"/>
  <c r="D52" i="345"/>
  <c r="E10" i="307" s="1"/>
  <c r="J50" i="345"/>
  <c r="C50" i="345"/>
  <c r="C41" i="345"/>
  <c r="C33" i="345"/>
  <c r="J31" i="345"/>
  <c r="C27" i="345"/>
  <c r="J21" i="345"/>
  <c r="C21" i="345"/>
  <c r="J20" i="345"/>
  <c r="C20" i="345"/>
  <c r="J19" i="345"/>
  <c r="C19" i="345"/>
  <c r="I16" i="345"/>
  <c r="I34" i="345" s="1"/>
  <c r="J11" i="307" s="1"/>
  <c r="H16" i="345"/>
  <c r="H34" i="345" s="1"/>
  <c r="I11" i="307" s="1"/>
  <c r="G16" i="345"/>
  <c r="G34" i="345" s="1"/>
  <c r="H11" i="307" s="1"/>
  <c r="F16" i="345"/>
  <c r="F34" i="345" s="1"/>
  <c r="G11" i="307" s="1"/>
  <c r="E16" i="345"/>
  <c r="E34" i="345" s="1"/>
  <c r="F11" i="307" s="1"/>
  <c r="D16" i="345"/>
  <c r="J14" i="345"/>
  <c r="C14" i="345"/>
  <c r="J13" i="345"/>
  <c r="C13" i="345"/>
  <c r="J12" i="345"/>
  <c r="C12" i="345"/>
  <c r="J11" i="345"/>
  <c r="C11" i="345"/>
  <c r="C15" i="345" s="1"/>
  <c r="K9" i="345"/>
  <c r="E44" i="277"/>
  <c r="K72" i="58" l="1"/>
  <c r="G44" i="277"/>
  <c r="G46" i="277" s="1"/>
  <c r="C22" i="345"/>
  <c r="C12" i="370"/>
  <c r="G19" i="58"/>
  <c r="C16" i="370"/>
  <c r="C19" i="370" s="1"/>
  <c r="C7" i="370"/>
  <c r="C42" i="370"/>
  <c r="C28" i="277"/>
  <c r="K19" i="58"/>
  <c r="E7" i="370"/>
  <c r="K20" i="345"/>
  <c r="K50" i="345"/>
  <c r="K14" i="345"/>
  <c r="K12" i="345"/>
  <c r="K21" i="345"/>
  <c r="K19" i="345"/>
  <c r="K13" i="345"/>
  <c r="K31" i="345"/>
  <c r="K44" i="345"/>
  <c r="D34" i="345"/>
  <c r="E11" i="307" s="1"/>
  <c r="J36" i="345"/>
  <c r="C42" i="345"/>
  <c r="J25" i="345"/>
  <c r="J26" i="345"/>
  <c r="C47" i="345"/>
  <c r="C29" i="345"/>
  <c r="J61" i="345"/>
  <c r="J43" i="345"/>
  <c r="J42" i="345"/>
  <c r="J28" i="345"/>
  <c r="D29" i="198"/>
  <c r="U29" i="198" s="1"/>
  <c r="J32" i="345"/>
  <c r="D33" i="198"/>
  <c r="U33" i="198" s="1"/>
  <c r="C28" i="345"/>
  <c r="AK30" i="198"/>
  <c r="AI30" i="198"/>
  <c r="J57" i="346"/>
  <c r="J30" i="345"/>
  <c r="D31" i="198"/>
  <c r="U31" i="198" s="1"/>
  <c r="J55" i="345"/>
  <c r="C44" i="345"/>
  <c r="C39" i="345"/>
  <c r="D24" i="198"/>
  <c r="U24" i="198" s="1"/>
  <c r="G35" i="58"/>
  <c r="C29" i="370" s="1"/>
  <c r="J27" i="345"/>
  <c r="C31" i="345"/>
  <c r="J25" i="347"/>
  <c r="G54" i="58"/>
  <c r="C48" i="370" s="1"/>
  <c r="C25" i="345"/>
  <c r="C43" i="345"/>
  <c r="J38" i="345"/>
  <c r="C26" i="345"/>
  <c r="J41" i="345"/>
  <c r="K42" i="58"/>
  <c r="J39" i="345"/>
  <c r="K33" i="58"/>
  <c r="E27" i="370" s="1"/>
  <c r="K51" i="58"/>
  <c r="J49" i="345"/>
  <c r="F50" i="198"/>
  <c r="K61" i="58"/>
  <c r="K35" i="58"/>
  <c r="E29" i="370" s="1"/>
  <c r="K45" i="58"/>
  <c r="K62" i="58"/>
  <c r="K36" i="58"/>
  <c r="E30" i="370" s="1"/>
  <c r="U34" i="198"/>
  <c r="K29" i="58"/>
  <c r="E23" i="370" s="1"/>
  <c r="U27" i="198"/>
  <c r="K39" i="58"/>
  <c r="J47" i="345"/>
  <c r="K48" i="58"/>
  <c r="E28" i="277" s="1"/>
  <c r="G28" i="277" s="1"/>
  <c r="K66" i="58"/>
  <c r="J29" i="345"/>
  <c r="K31" i="58"/>
  <c r="E25" i="370" s="1"/>
  <c r="J54" i="345"/>
  <c r="L65" i="345"/>
  <c r="C58" i="345"/>
  <c r="C38" i="345"/>
  <c r="K5" i="345"/>
  <c r="J15" i="345"/>
  <c r="J33" i="345"/>
  <c r="J25" i="346"/>
  <c r="J37" i="345"/>
  <c r="G58" i="58"/>
  <c r="J57" i="347"/>
  <c r="C30" i="345"/>
  <c r="C32" i="345"/>
  <c r="C36" i="345"/>
  <c r="C59" i="345"/>
  <c r="J61" i="347"/>
  <c r="G27" i="58"/>
  <c r="C21" i="370" s="1"/>
  <c r="G26" i="58"/>
  <c r="C20" i="370" s="1"/>
  <c r="C24" i="345"/>
  <c r="C62" i="345"/>
  <c r="J48" i="345"/>
  <c r="J51" i="345"/>
  <c r="K64" i="345"/>
  <c r="J57" i="345"/>
  <c r="K65" i="58"/>
  <c r="J42" i="346"/>
  <c r="J62" i="345"/>
  <c r="J60" i="346"/>
  <c r="J62" i="346"/>
  <c r="J65" i="346"/>
  <c r="J59" i="345"/>
  <c r="J64" i="346"/>
  <c r="J47" i="346"/>
  <c r="K47" i="58"/>
  <c r="J50" i="346"/>
  <c r="K50" i="58"/>
  <c r="J41" i="346"/>
  <c r="K41" i="58"/>
  <c r="K52" i="58"/>
  <c r="E46" i="370" s="1"/>
  <c r="K54" i="58"/>
  <c r="J40" i="346"/>
  <c r="J45" i="346"/>
  <c r="J51" i="346"/>
  <c r="G26" i="156"/>
  <c r="C57" i="345"/>
  <c r="G65" i="58"/>
  <c r="C58" i="370" s="1"/>
  <c r="G61" i="58"/>
  <c r="C54" i="370" s="1"/>
  <c r="G66" i="58"/>
  <c r="C59" i="370" s="1"/>
  <c r="C49" i="345"/>
  <c r="C48" i="345"/>
  <c r="J39" i="347"/>
  <c r="J42" i="347"/>
  <c r="G41" i="58"/>
  <c r="C35" i="370" s="1"/>
  <c r="G51" i="58"/>
  <c r="C45" i="370" s="1"/>
  <c r="G45" i="58"/>
  <c r="C39" i="370" s="1"/>
  <c r="G50" i="58"/>
  <c r="C44" i="370" s="1"/>
  <c r="G47" i="58"/>
  <c r="C41" i="370" s="1"/>
  <c r="G52" i="58"/>
  <c r="C46" i="370" s="1"/>
  <c r="J27" i="347"/>
  <c r="J31" i="347"/>
  <c r="J33" i="347"/>
  <c r="G30" i="58"/>
  <c r="C24" i="370" s="1"/>
  <c r="G34" i="58"/>
  <c r="C28" i="370" s="1"/>
  <c r="G29" i="58"/>
  <c r="C23" i="370" s="1"/>
  <c r="G28" i="58"/>
  <c r="C22" i="370" s="1"/>
  <c r="G32" i="58"/>
  <c r="C26" i="370" s="1"/>
  <c r="G36" i="58"/>
  <c r="C30" i="370" s="1"/>
  <c r="K34" i="58"/>
  <c r="E28" i="370" s="1"/>
  <c r="K32" i="58"/>
  <c r="E26" i="370" s="1"/>
  <c r="K30" i="58"/>
  <c r="E24" i="370" s="1"/>
  <c r="K28" i="58"/>
  <c r="E22" i="370" s="1"/>
  <c r="K27" i="58"/>
  <c r="E21" i="370" s="1"/>
  <c r="J24" i="345"/>
  <c r="G69" i="346"/>
  <c r="D69" i="346"/>
  <c r="L52" i="345"/>
  <c r="I66" i="345"/>
  <c r="H66" i="345"/>
  <c r="E66" i="345"/>
  <c r="K11" i="345"/>
  <c r="E69" i="346"/>
  <c r="G66" i="345"/>
  <c r="C69" i="346"/>
  <c r="J61" i="346"/>
  <c r="J58" i="345"/>
  <c r="F66" i="345"/>
  <c r="J48" i="346"/>
  <c r="J45" i="345"/>
  <c r="C45" i="345"/>
  <c r="J48" i="347"/>
  <c r="C61" i="345"/>
  <c r="J64" i="347"/>
  <c r="F69" i="346"/>
  <c r="C40" i="345"/>
  <c r="J43" i="347"/>
  <c r="C51" i="345"/>
  <c r="C55" i="345"/>
  <c r="J58" i="347"/>
  <c r="J39" i="346"/>
  <c r="J58" i="346"/>
  <c r="G48" i="277" l="1"/>
  <c r="N47" i="277"/>
  <c r="O47" i="277" s="1"/>
  <c r="L8" i="173" s="1"/>
  <c r="C13" i="370"/>
  <c r="C51" i="370"/>
  <c r="C61" i="370" s="1"/>
  <c r="O58" i="58"/>
  <c r="C49" i="370"/>
  <c r="E13" i="370"/>
  <c r="J48" i="58"/>
  <c r="E42" i="370"/>
  <c r="J45" i="58"/>
  <c r="E39" i="370"/>
  <c r="J51" i="58"/>
  <c r="E45" i="370"/>
  <c r="J41" i="58"/>
  <c r="E35" i="370"/>
  <c r="J50" i="58"/>
  <c r="E44" i="370"/>
  <c r="J42" i="58"/>
  <c r="E36" i="370"/>
  <c r="J39" i="58"/>
  <c r="E33" i="370"/>
  <c r="J66" i="58"/>
  <c r="E59" i="370"/>
  <c r="J47" i="58"/>
  <c r="E41" i="370"/>
  <c r="J61" i="58"/>
  <c r="E54" i="370"/>
  <c r="J62" i="58"/>
  <c r="E55" i="370"/>
  <c r="J65" i="58"/>
  <c r="E58" i="370"/>
  <c r="J54" i="58"/>
  <c r="E48" i="370"/>
  <c r="G37" i="58"/>
  <c r="C31" i="370"/>
  <c r="L5" i="307"/>
  <c r="K22" i="345"/>
  <c r="K15" i="345"/>
  <c r="K16" i="345" s="1"/>
  <c r="K39" i="345"/>
  <c r="D66" i="345"/>
  <c r="K32" i="345"/>
  <c r="K29" i="345"/>
  <c r="K57" i="345"/>
  <c r="K38" i="345"/>
  <c r="K30" i="345"/>
  <c r="K43" i="345"/>
  <c r="K45" i="345"/>
  <c r="K24" i="345"/>
  <c r="K51" i="345"/>
  <c r="K26" i="345"/>
  <c r="K49" i="345"/>
  <c r="K48" i="345"/>
  <c r="K62" i="345"/>
  <c r="K25" i="345"/>
  <c r="K41" i="345"/>
  <c r="K42" i="345"/>
  <c r="K47" i="345"/>
  <c r="K59" i="345"/>
  <c r="K37" i="345"/>
  <c r="K54" i="345"/>
  <c r="K27" i="345"/>
  <c r="K36" i="345"/>
  <c r="K28" i="345"/>
  <c r="K61" i="345"/>
  <c r="K58" i="345"/>
  <c r="K55" i="345"/>
  <c r="K33" i="345"/>
  <c r="J16" i="345"/>
  <c r="G69" i="58"/>
  <c r="K26" i="58"/>
  <c r="E20" i="370" s="1"/>
  <c r="K20" i="307"/>
  <c r="K43" i="58"/>
  <c r="B9" i="307"/>
  <c r="J65" i="345"/>
  <c r="J68" i="346"/>
  <c r="E54" i="197" s="1"/>
  <c r="D37" i="173"/>
  <c r="G23" i="156"/>
  <c r="C52" i="345"/>
  <c r="B10" i="307" s="1"/>
  <c r="J23" i="345"/>
  <c r="J68" i="347"/>
  <c r="C54" i="197" s="1"/>
  <c r="J26" i="346"/>
  <c r="J26" i="347"/>
  <c r="J40" i="345"/>
  <c r="J43" i="346"/>
  <c r="B21" i="307"/>
  <c r="N45" i="277" l="1"/>
  <c r="O45" i="277" s="1"/>
  <c r="L7" i="173" s="1"/>
  <c r="N44" i="277"/>
  <c r="J69" i="58"/>
  <c r="E31" i="370"/>
  <c r="E61" i="370"/>
  <c r="C62" i="370"/>
  <c r="D61" i="370" s="1"/>
  <c r="J43" i="58"/>
  <c r="J56" i="58" s="1"/>
  <c r="E37" i="370"/>
  <c r="F44" i="197"/>
  <c r="L7" i="307"/>
  <c r="K65" i="345"/>
  <c r="J52" i="345"/>
  <c r="K23" i="345"/>
  <c r="K34" i="345" s="1"/>
  <c r="J34" i="345"/>
  <c r="K21" i="307"/>
  <c r="J55" i="347"/>
  <c r="C53" i="197" s="1"/>
  <c r="E37" i="173"/>
  <c r="H69" i="346"/>
  <c r="J55" i="346"/>
  <c r="E53" i="197" s="1"/>
  <c r="B22" i="307"/>
  <c r="K40" i="345"/>
  <c r="K52" i="345" s="1"/>
  <c r="K22" i="307"/>
  <c r="N50" i="277" l="1"/>
  <c r="O44" i="277"/>
  <c r="O50" i="277" s="1"/>
  <c r="D31" i="370"/>
  <c r="D53" i="370"/>
  <c r="D38" i="370"/>
  <c r="D43" i="370"/>
  <c r="D57" i="370"/>
  <c r="D56" i="370"/>
  <c r="D60" i="370"/>
  <c r="D34" i="370"/>
  <c r="D36" i="370"/>
  <c r="D55" i="370"/>
  <c r="D47" i="370"/>
  <c r="D18" i="370"/>
  <c r="D7" i="370"/>
  <c r="D11" i="370"/>
  <c r="D16" i="370"/>
  <c r="D52" i="370"/>
  <c r="D27" i="370"/>
  <c r="D42" i="370"/>
  <c r="D9" i="370"/>
  <c r="D10" i="370"/>
  <c r="D12" i="370"/>
  <c r="D17" i="370"/>
  <c r="D33" i="370"/>
  <c r="D25" i="370"/>
  <c r="D40" i="370"/>
  <c r="D37" i="370"/>
  <c r="D49" i="370"/>
  <c r="D30" i="370"/>
  <c r="D41" i="370"/>
  <c r="D58" i="370"/>
  <c r="D59" i="370"/>
  <c r="D28" i="370"/>
  <c r="D13" i="370"/>
  <c r="D23" i="370"/>
  <c r="D22" i="370"/>
  <c r="D45" i="370"/>
  <c r="D39" i="370"/>
  <c r="D19" i="370"/>
  <c r="D54" i="370"/>
  <c r="D26" i="370"/>
  <c r="D20" i="370"/>
  <c r="D21" i="370"/>
  <c r="D24" i="370"/>
  <c r="D35" i="370"/>
  <c r="D46" i="370"/>
  <c r="D51" i="370"/>
  <c r="D29" i="370"/>
  <c r="D48" i="370"/>
  <c r="D44" i="370"/>
  <c r="E49" i="370"/>
  <c r="E62" i="370" s="1"/>
  <c r="F31" i="370" s="1"/>
  <c r="K66" i="345"/>
  <c r="J66" i="345"/>
  <c r="J37" i="346"/>
  <c r="E52" i="197" s="1"/>
  <c r="I69" i="346"/>
  <c r="J69" i="346" s="1"/>
  <c r="E55" i="197" s="1"/>
  <c r="G49" i="277" l="1"/>
  <c r="G51" i="277"/>
  <c r="L10" i="173" s="1"/>
  <c r="F51" i="370"/>
  <c r="F43" i="370"/>
  <c r="F53" i="370"/>
  <c r="F57" i="370"/>
  <c r="F60" i="370"/>
  <c r="F40" i="370"/>
  <c r="F56" i="370"/>
  <c r="F52" i="370"/>
  <c r="F38" i="370"/>
  <c r="F34" i="370"/>
  <c r="F18" i="370"/>
  <c r="F17" i="370"/>
  <c r="F11" i="370"/>
  <c r="F10" i="370"/>
  <c r="F12" i="370"/>
  <c r="F9" i="370"/>
  <c r="F16" i="370"/>
  <c r="F19" i="370"/>
  <c r="F47" i="370"/>
  <c r="F26" i="370"/>
  <c r="F7" i="370"/>
  <c r="F46" i="370"/>
  <c r="F29" i="370"/>
  <c r="F30" i="370"/>
  <c r="F22" i="370"/>
  <c r="F27" i="370"/>
  <c r="F23" i="370"/>
  <c r="F28" i="370"/>
  <c r="F21" i="370"/>
  <c r="F25" i="370"/>
  <c r="F24" i="370"/>
  <c r="F20" i="370"/>
  <c r="F55" i="370"/>
  <c r="F36" i="370"/>
  <c r="F13" i="370"/>
  <c r="F33" i="370"/>
  <c r="F42" i="370"/>
  <c r="F58" i="370"/>
  <c r="F39" i="370"/>
  <c r="F35" i="370"/>
  <c r="F59" i="370"/>
  <c r="F41" i="370"/>
  <c r="F54" i="370"/>
  <c r="F48" i="370"/>
  <c r="F44" i="370"/>
  <c r="F45" i="370"/>
  <c r="F37" i="370"/>
  <c r="F49" i="370"/>
  <c r="F61" i="370"/>
  <c r="J48" i="141"/>
  <c r="L6" i="173" l="1"/>
  <c r="I133" i="140"/>
  <c r="I134" i="140" s="1"/>
  <c r="D34" i="321"/>
  <c r="D32" i="321"/>
  <c r="D24" i="321"/>
  <c r="D15" i="321"/>
  <c r="D18" i="321" s="1"/>
  <c r="D20" i="321" s="1"/>
  <c r="D7" i="321"/>
  <c r="B34" i="321"/>
  <c r="B32" i="321"/>
  <c r="B24" i="321"/>
  <c r="B15" i="321"/>
  <c r="B18" i="321" s="1"/>
  <c r="B20" i="321" s="1"/>
  <c r="B7" i="321"/>
  <c r="B25" i="321" l="1"/>
  <c r="B33" i="321" s="1"/>
  <c r="B35" i="321" s="1"/>
  <c r="D25" i="321"/>
  <c r="D33" i="321" s="1"/>
  <c r="D35" i="321" s="1"/>
  <c r="H7" i="204" l="1"/>
  <c r="D6" i="204"/>
  <c r="W102" i="27"/>
  <c r="Z22" i="141" l="1"/>
  <c r="Y22" i="141"/>
  <c r="X22" i="141"/>
  <c r="O22" i="141"/>
  <c r="AE56" i="58" l="1"/>
  <c r="AD56" i="58"/>
  <c r="AC56" i="58"/>
  <c r="AE38" i="58"/>
  <c r="AD38" i="58"/>
  <c r="AC38" i="58"/>
  <c r="U42" i="159" l="1"/>
  <c r="U44" i="163"/>
  <c r="L85" i="141" l="1"/>
  <c r="AZ38" i="159" l="1"/>
  <c r="BA38" i="159" s="1"/>
  <c r="AZ37" i="159"/>
  <c r="BA37" i="159" s="1"/>
  <c r="AB39" i="163"/>
  <c r="AB38" i="163"/>
  <c r="AB39" i="198"/>
  <c r="AB38" i="198"/>
  <c r="AB26" i="198"/>
  <c r="H10" i="173" l="1"/>
  <c r="H6" i="173" s="1"/>
  <c r="AD13" i="58"/>
  <c r="L39" i="58"/>
  <c r="M9" i="345" l="1"/>
  <c r="AD15" i="58"/>
  <c r="D22" i="307"/>
  <c r="D21" i="307"/>
  <c r="D29" i="307" s="1"/>
  <c r="D20" i="307"/>
  <c r="D28" i="307" s="1"/>
  <c r="D11" i="307"/>
  <c r="D10" i="307"/>
  <c r="D9" i="307"/>
  <c r="D44" i="197" l="1"/>
  <c r="I91" i="27" l="1"/>
  <c r="I90" i="27"/>
  <c r="F8" i="156" l="1"/>
  <c r="F9" i="156"/>
  <c r="F10" i="156"/>
  <c r="F11" i="156"/>
  <c r="F12" i="156"/>
  <c r="F13" i="156"/>
  <c r="F14" i="156"/>
  <c r="F15" i="156"/>
  <c r="F16" i="156"/>
  <c r="F17" i="156"/>
  <c r="F18" i="156"/>
  <c r="F19" i="156"/>
  <c r="F20" i="156"/>
  <c r="F21" i="156"/>
  <c r="F22" i="156"/>
  <c r="F23" i="156"/>
  <c r="F24" i="156"/>
  <c r="F25" i="156"/>
  <c r="F26" i="156"/>
  <c r="F27" i="156"/>
  <c r="F28" i="156"/>
  <c r="C44" i="277" l="1"/>
  <c r="O21" i="8"/>
  <c r="J21" i="8"/>
  <c r="H21" i="8"/>
  <c r="O23" i="141"/>
  <c r="X23" i="141"/>
  <c r="Z23" i="141"/>
  <c r="Y23" i="141"/>
  <c r="N23" i="141"/>
  <c r="M23" i="141"/>
  <c r="AB95" i="27" l="1"/>
  <c r="AB92" i="27"/>
  <c r="AB94" i="27" s="1"/>
  <c r="C59" i="27"/>
  <c r="D59" i="27"/>
  <c r="N37" i="307" l="1"/>
  <c r="E15" i="319" l="1"/>
  <c r="E8" i="319"/>
  <c r="E7" i="319"/>
  <c r="E6" i="319"/>
  <c r="E4" i="319"/>
  <c r="C8" i="319"/>
  <c r="C7" i="319"/>
  <c r="D13" i="319"/>
  <c r="D9" i="319"/>
  <c r="D10" i="319" s="1"/>
  <c r="B13" i="319"/>
  <c r="B9" i="319"/>
  <c r="C23" i="307"/>
  <c r="C25" i="307" s="1"/>
  <c r="C12" i="307"/>
  <c r="L63" i="58"/>
  <c r="L62" i="58"/>
  <c r="L61" i="58"/>
  <c r="H55" i="198"/>
  <c r="T55" i="198" s="1"/>
  <c r="L53" i="58"/>
  <c r="L52" i="58"/>
  <c r="L51" i="58"/>
  <c r="L66" i="58"/>
  <c r="L65" i="58"/>
  <c r="L50" i="58"/>
  <c r="L48" i="58"/>
  <c r="L47" i="58"/>
  <c r="L45" i="58"/>
  <c r="L43" i="58"/>
  <c r="L42" i="58"/>
  <c r="L32" i="58"/>
  <c r="L33" i="58"/>
  <c r="L35" i="58"/>
  <c r="L40" i="58"/>
  <c r="L41" i="58"/>
  <c r="C36" i="307" l="1"/>
  <c r="C38" i="307" s="1"/>
  <c r="C14" i="307"/>
  <c r="C42" i="307" s="1"/>
  <c r="C11" i="319"/>
  <c r="C31" i="307"/>
  <c r="C33" i="307" s="1"/>
  <c r="C43" i="307" s="1"/>
  <c r="D14" i="319"/>
  <c r="B14" i="319"/>
  <c r="C44" i="307" l="1"/>
  <c r="C12" i="319"/>
  <c r="C30" i="307"/>
  <c r="E34" i="321"/>
  <c r="C34" i="321"/>
  <c r="G35" i="156" l="1"/>
  <c r="G34" i="156"/>
  <c r="E44" i="321" l="1"/>
  <c r="D44" i="321"/>
  <c r="C44" i="321"/>
  <c r="B44" i="321"/>
  <c r="F41" i="321"/>
  <c r="E41" i="321"/>
  <c r="D41" i="321"/>
  <c r="C41" i="321"/>
  <c r="B41" i="321"/>
  <c r="E32" i="321"/>
  <c r="C32" i="321"/>
  <c r="E24" i="321"/>
  <c r="C24" i="321"/>
  <c r="F23" i="321"/>
  <c r="F24" i="321" s="1"/>
  <c r="E7" i="321"/>
  <c r="C7" i="321"/>
  <c r="F19" i="321"/>
  <c r="E15" i="321"/>
  <c r="E18" i="321" s="1"/>
  <c r="E20" i="321" s="1"/>
  <c r="C15" i="321"/>
  <c r="C18" i="321" s="1"/>
  <c r="C20" i="321" s="1"/>
  <c r="F11" i="321"/>
  <c r="F6" i="321"/>
  <c r="F5" i="321"/>
  <c r="F4" i="321"/>
  <c r="B5" i="320"/>
  <c r="B4" i="320"/>
  <c r="E9" i="319"/>
  <c r="E10" i="319" s="1"/>
  <c r="C13" i="319"/>
  <c r="C9" i="319"/>
  <c r="C10" i="319" s="1"/>
  <c r="AB24" i="141"/>
  <c r="Z24" i="141"/>
  <c r="Y24" i="141"/>
  <c r="X24" i="141"/>
  <c r="O24" i="141"/>
  <c r="N24" i="141"/>
  <c r="M24" i="141"/>
  <c r="O22" i="8"/>
  <c r="J22" i="8"/>
  <c r="G22" i="8"/>
  <c r="C22" i="8"/>
  <c r="Z25" i="141"/>
  <c r="Y25" i="141"/>
  <c r="X25" i="141"/>
  <c r="O25" i="141"/>
  <c r="N25" i="141"/>
  <c r="F7" i="321" l="1"/>
  <c r="C14" i="319"/>
  <c r="C25" i="321"/>
  <c r="C33" i="321" s="1"/>
  <c r="C35" i="321" s="1"/>
  <c r="E25" i="321"/>
  <c r="E33" i="321" s="1"/>
  <c r="E35" i="321" s="1"/>
  <c r="J31" i="307" l="1"/>
  <c r="J33" i="307" s="1"/>
  <c r="I31" i="307"/>
  <c r="I33" i="307" s="1"/>
  <c r="H31" i="307"/>
  <c r="H33" i="307" s="1"/>
  <c r="G31" i="307"/>
  <c r="G33" i="307" s="1"/>
  <c r="F31" i="307"/>
  <c r="F33" i="307" s="1"/>
  <c r="E31" i="307"/>
  <c r="E33" i="307" s="1"/>
  <c r="E43" i="307" s="1"/>
  <c r="B31" i="307"/>
  <c r="D23" i="307"/>
  <c r="C6" i="222" s="1"/>
  <c r="J23" i="307"/>
  <c r="J25" i="307" s="1"/>
  <c r="I23" i="307"/>
  <c r="I25" i="307" s="1"/>
  <c r="H23" i="307"/>
  <c r="H25" i="307" s="1"/>
  <c r="G23" i="307"/>
  <c r="G25" i="307" s="1"/>
  <c r="F23" i="307"/>
  <c r="F25" i="307" s="1"/>
  <c r="E23" i="307"/>
  <c r="E25" i="307" s="1"/>
  <c r="D12" i="307"/>
  <c r="C4" i="222" l="1"/>
  <c r="D14" i="307"/>
  <c r="F43" i="307"/>
  <c r="G43" i="307"/>
  <c r="B33" i="307"/>
  <c r="H43" i="307"/>
  <c r="I43" i="307"/>
  <c r="J43" i="307"/>
  <c r="F12" i="319"/>
  <c r="E11" i="319"/>
  <c r="D31" i="307"/>
  <c r="E12" i="319" l="1"/>
  <c r="D30" i="307"/>
  <c r="E13" i="319"/>
  <c r="E14" i="319" s="1"/>
  <c r="C27" i="97"/>
  <c r="R16" i="157" s="1"/>
  <c r="F20" i="3"/>
  <c r="F33" i="3" s="1"/>
  <c r="F42" i="3" s="1"/>
  <c r="C13" i="97"/>
  <c r="C11" i="96" s="1"/>
  <c r="C12" i="97"/>
  <c r="C11" i="97" s="1"/>
  <c r="G7" i="3" l="1"/>
  <c r="G56" i="3" s="1"/>
  <c r="B27" i="98"/>
  <c r="G15" i="319" l="1"/>
  <c r="N5" i="307"/>
  <c r="N7" i="307" s="1"/>
  <c r="H4" i="319"/>
  <c r="T41" i="58"/>
  <c r="T40" i="58"/>
  <c r="I4" i="319" l="1"/>
  <c r="B9" i="320" s="1"/>
  <c r="I3" i="368"/>
  <c r="I9" i="368" s="1"/>
  <c r="K29" i="307"/>
  <c r="K30" i="307"/>
  <c r="H37" i="307"/>
  <c r="F37" i="307"/>
  <c r="J37" i="307"/>
  <c r="D36" i="307"/>
  <c r="C26" i="8"/>
  <c r="F46" i="3"/>
  <c r="C5" i="222"/>
  <c r="C8" i="222"/>
  <c r="C10" i="222" s="1"/>
  <c r="C11" i="222"/>
  <c r="D12" i="222"/>
  <c r="E12" i="222" s="1"/>
  <c r="C13" i="222"/>
  <c r="C19" i="222"/>
  <c r="E29" i="222"/>
  <c r="E30" i="222"/>
  <c r="E31" i="222"/>
  <c r="E32" i="222"/>
  <c r="E33" i="222"/>
  <c r="E34" i="222"/>
  <c r="E35" i="222"/>
  <c r="E36" i="222"/>
  <c r="E37" i="222"/>
  <c r="E38" i="222"/>
  <c r="E39" i="222"/>
  <c r="C40" i="222"/>
  <c r="E40" i="222" s="1"/>
  <c r="D42" i="222"/>
  <c r="C6" i="204"/>
  <c r="C11" i="204" s="1"/>
  <c r="E6" i="204"/>
  <c r="D11" i="204"/>
  <c r="C17" i="204"/>
  <c r="E17" i="204"/>
  <c r="E27" i="204"/>
  <c r="F27" i="204"/>
  <c r="B15" i="211"/>
  <c r="F15" i="211"/>
  <c r="B17" i="211"/>
  <c r="D5" i="200"/>
  <c r="E5" i="200" s="1"/>
  <c r="C10" i="200"/>
  <c r="D52" i="197"/>
  <c r="C18" i="200"/>
  <c r="D53" i="197" s="1"/>
  <c r="C19" i="200"/>
  <c r="D54" i="197" s="1"/>
  <c r="C25" i="200"/>
  <c r="C28" i="200" s="1"/>
  <c r="C6" i="200"/>
  <c r="C39" i="200"/>
  <c r="E42" i="200"/>
  <c r="C34" i="197"/>
  <c r="D34" i="197"/>
  <c r="D39" i="197"/>
  <c r="E39" i="197"/>
  <c r="C44" i="197"/>
  <c r="G44" i="197"/>
  <c r="G47" i="197"/>
  <c r="H47" i="197"/>
  <c r="B9" i="3"/>
  <c r="B10" i="3"/>
  <c r="G10" i="3"/>
  <c r="G11" i="3"/>
  <c r="S68" i="3" s="1"/>
  <c r="G14" i="3"/>
  <c r="I46" i="3"/>
  <c r="C9" i="140"/>
  <c r="B14" i="140"/>
  <c r="C14" i="140"/>
  <c r="D14" i="140"/>
  <c r="C17" i="140"/>
  <c r="C20" i="140" s="1"/>
  <c r="D17" i="140" s="1"/>
  <c r="C23" i="140"/>
  <c r="D23" i="140"/>
  <c r="B24" i="140"/>
  <c r="C34" i="140"/>
  <c r="C35" i="140" s="1"/>
  <c r="D34" i="140"/>
  <c r="B35" i="140"/>
  <c r="C38" i="140"/>
  <c r="B45" i="140"/>
  <c r="B52" i="140"/>
  <c r="B56" i="140"/>
  <c r="B64" i="140"/>
  <c r="C62" i="140"/>
  <c r="C67" i="140" s="1"/>
  <c r="D62" i="140"/>
  <c r="D67" i="140" s="1"/>
  <c r="B68" i="140"/>
  <c r="C73" i="140"/>
  <c r="C78" i="140" s="1"/>
  <c r="D73" i="140"/>
  <c r="D78" i="140" s="1"/>
  <c r="B75" i="140"/>
  <c r="C72" i="140" s="1"/>
  <c r="N29" i="87" s="1"/>
  <c r="B79" i="140"/>
  <c r="C84" i="140"/>
  <c r="D84" i="140"/>
  <c r="D89" i="140" s="1"/>
  <c r="B86" i="140"/>
  <c r="C83" i="140" s="1"/>
  <c r="B90" i="140"/>
  <c r="D100" i="140"/>
  <c r="D104" i="140"/>
  <c r="D18" i="97"/>
  <c r="D105" i="140"/>
  <c r="B112" i="140"/>
  <c r="C112" i="140"/>
  <c r="D112" i="140"/>
  <c r="C113" i="140"/>
  <c r="D113" i="140"/>
  <c r="B115" i="140"/>
  <c r="B116" i="140"/>
  <c r="B117" i="140"/>
  <c r="B118" i="140"/>
  <c r="F263" i="140"/>
  <c r="F264" i="140"/>
  <c r="F265" i="140"/>
  <c r="C266" i="140"/>
  <c r="C269" i="140"/>
  <c r="F269" i="140" s="1"/>
  <c r="E269" i="140"/>
  <c r="C270" i="140"/>
  <c r="F270" i="140" s="1"/>
  <c r="E270" i="140"/>
  <c r="C271" i="140"/>
  <c r="F271" i="140" s="1"/>
  <c r="E271" i="140"/>
  <c r="C272" i="140"/>
  <c r="F272" i="140" s="1"/>
  <c r="E272" i="140"/>
  <c r="C273" i="140"/>
  <c r="F273" i="140" s="1"/>
  <c r="E273" i="140"/>
  <c r="C274" i="140"/>
  <c r="F274" i="140" s="1"/>
  <c r="E274" i="140"/>
  <c r="C275" i="140"/>
  <c r="F275" i="140" s="1"/>
  <c r="E275" i="140"/>
  <c r="C276" i="140"/>
  <c r="F276" i="140" s="1"/>
  <c r="E276" i="140"/>
  <c r="C277" i="140"/>
  <c r="F277" i="140" s="1"/>
  <c r="E277" i="140"/>
  <c r="C278" i="140"/>
  <c r="F278" i="140" s="1"/>
  <c r="E278" i="140"/>
  <c r="C279" i="140"/>
  <c r="F279" i="140" s="1"/>
  <c r="E279" i="140"/>
  <c r="C280" i="140"/>
  <c r="F280" i="140" s="1"/>
  <c r="E280" i="140"/>
  <c r="C281" i="140"/>
  <c r="F281" i="140" s="1"/>
  <c r="E281" i="140"/>
  <c r="C282" i="140"/>
  <c r="F282" i="140" s="1"/>
  <c r="E282" i="140"/>
  <c r="C283" i="140"/>
  <c r="F283" i="140" s="1"/>
  <c r="E283" i="140"/>
  <c r="C284" i="140"/>
  <c r="F284" i="140" s="1"/>
  <c r="E284" i="140"/>
  <c r="C285" i="140"/>
  <c r="F285" i="140" s="1"/>
  <c r="E285" i="140"/>
  <c r="R11" i="141"/>
  <c r="AA11" i="141"/>
  <c r="AC11" i="141" s="1"/>
  <c r="N8" i="8" s="1"/>
  <c r="P12" i="141"/>
  <c r="AA12" i="141"/>
  <c r="AC12" i="141" s="1"/>
  <c r="N9" i="8" s="1"/>
  <c r="P14" i="141"/>
  <c r="AA14" i="141"/>
  <c r="E40" i="141"/>
  <c r="E45" i="141" s="1"/>
  <c r="P16" i="141"/>
  <c r="R16" i="141" s="1"/>
  <c r="T16" i="141" s="1"/>
  <c r="AA16" i="141"/>
  <c r="AC16" i="141" s="1"/>
  <c r="AE16" i="141" s="1"/>
  <c r="R18" i="141"/>
  <c r="T18" i="141" s="1"/>
  <c r="AA18" i="141"/>
  <c r="AC18" i="141" s="1"/>
  <c r="AE18" i="141" s="1"/>
  <c r="AB20" i="141"/>
  <c r="P22" i="141"/>
  <c r="R22" i="141" s="1"/>
  <c r="P23" i="141"/>
  <c r="R23" i="141" s="1"/>
  <c r="AA23" i="141"/>
  <c r="P24" i="141"/>
  <c r="AA24" i="141"/>
  <c r="P25" i="141"/>
  <c r="R25" i="141" s="1"/>
  <c r="T25" i="141" s="1"/>
  <c r="V25" i="141" s="1"/>
  <c r="AB25" i="141"/>
  <c r="X26" i="141"/>
  <c r="Y26" i="141"/>
  <c r="Z26" i="141"/>
  <c r="N27" i="141"/>
  <c r="O27" i="141"/>
  <c r="Y27" i="141"/>
  <c r="Z27" i="141"/>
  <c r="O28" i="141"/>
  <c r="M29" i="141"/>
  <c r="N29" i="141"/>
  <c r="O29" i="141"/>
  <c r="Y29" i="141"/>
  <c r="Z29" i="141"/>
  <c r="D40" i="141"/>
  <c r="D45" i="141" s="1"/>
  <c r="G40" i="141"/>
  <c r="I40" i="141"/>
  <c r="I45" i="141" s="1"/>
  <c r="P37" i="141"/>
  <c r="R37" i="141" s="1"/>
  <c r="I10" i="8" s="1"/>
  <c r="AA37" i="141"/>
  <c r="AC37" i="141" s="1"/>
  <c r="N10" i="8" s="1"/>
  <c r="P38" i="141"/>
  <c r="R38" i="141" s="1"/>
  <c r="I11" i="8" s="1"/>
  <c r="AA38" i="141"/>
  <c r="AC38" i="141" s="1"/>
  <c r="AE38" i="141" s="1"/>
  <c r="P39" i="141"/>
  <c r="R39" i="141" s="1"/>
  <c r="I12" i="8" s="1"/>
  <c r="AA39" i="141"/>
  <c r="AC39" i="141" s="1"/>
  <c r="N12" i="8" s="1"/>
  <c r="R56" i="141"/>
  <c r="M72" i="141"/>
  <c r="M28" i="141"/>
  <c r="X29" i="141"/>
  <c r="D10" i="274"/>
  <c r="D16" i="274"/>
  <c r="D33" i="274" s="1"/>
  <c r="C23" i="274"/>
  <c r="H6" i="278"/>
  <c r="I6" i="278"/>
  <c r="F12" i="278"/>
  <c r="B6" i="101"/>
  <c r="E6" i="278"/>
  <c r="D13" i="97"/>
  <c r="D9" i="140"/>
  <c r="L45" i="87" s="1"/>
  <c r="B34" i="101"/>
  <c r="B5" i="211"/>
  <c r="D12" i="97"/>
  <c r="D5" i="96" s="1"/>
  <c r="D27" i="97"/>
  <c r="E27" i="97"/>
  <c r="C5" i="96"/>
  <c r="D12" i="96"/>
  <c r="E12" i="96" s="1"/>
  <c r="C17" i="96"/>
  <c r="F33" i="95"/>
  <c r="H33" i="95"/>
  <c r="J33" i="95"/>
  <c r="F83" i="95"/>
  <c r="J83" i="95"/>
  <c r="F12" i="87"/>
  <c r="P13" i="87"/>
  <c r="Q13" i="87"/>
  <c r="Q32" i="87" s="1"/>
  <c r="L14" i="87"/>
  <c r="F16" i="87"/>
  <c r="P16" i="87"/>
  <c r="H21" i="87"/>
  <c r="H22" i="87" s="1"/>
  <c r="F24" i="87"/>
  <c r="H25" i="87"/>
  <c r="K25" i="87"/>
  <c r="L25" i="87"/>
  <c r="F26" i="87"/>
  <c r="H26" i="87"/>
  <c r="M26" i="87"/>
  <c r="H28" i="87"/>
  <c r="K28" i="87"/>
  <c r="L28" i="87"/>
  <c r="H29" i="87"/>
  <c r="M29" i="87"/>
  <c r="H45" i="87"/>
  <c r="P46" i="87"/>
  <c r="Q46" i="87"/>
  <c r="F48" i="87"/>
  <c r="P48" i="87"/>
  <c r="Q49" i="87"/>
  <c r="H54" i="87"/>
  <c r="H55" i="87" s="1"/>
  <c r="F57" i="87"/>
  <c r="H58" i="87"/>
  <c r="L58" i="87"/>
  <c r="F59" i="87"/>
  <c r="H59" i="87"/>
  <c r="Q60" i="87"/>
  <c r="Q63" i="87" s="1"/>
  <c r="H61" i="87"/>
  <c r="L61" i="87"/>
  <c r="H62" i="87"/>
  <c r="F64" i="87"/>
  <c r="E17" i="86"/>
  <c r="E19" i="86"/>
  <c r="E21" i="86"/>
  <c r="E22" i="86"/>
  <c r="H16" i="156"/>
  <c r="H22" i="156"/>
  <c r="H24" i="156"/>
  <c r="C29" i="156"/>
  <c r="D29" i="156"/>
  <c r="E29" i="156"/>
  <c r="I29" i="156"/>
  <c r="J29" i="156"/>
  <c r="K29" i="156"/>
  <c r="L29" i="156"/>
  <c r="J39" i="156"/>
  <c r="J41" i="156"/>
  <c r="J44" i="156"/>
  <c r="C14" i="83"/>
  <c r="E14" i="83"/>
  <c r="C21" i="83"/>
  <c r="D21" i="83"/>
  <c r="E21" i="83"/>
  <c r="C28" i="83"/>
  <c r="E28" i="83"/>
  <c r="C32" i="83"/>
  <c r="C34" i="83" s="1"/>
  <c r="D34" i="83"/>
  <c r="E34" i="83"/>
  <c r="C45" i="83"/>
  <c r="C48" i="83" s="1"/>
  <c r="C51" i="83"/>
  <c r="D54" i="83"/>
  <c r="C53" i="83"/>
  <c r="E54" i="83"/>
  <c r="E64" i="83"/>
  <c r="F64" i="83"/>
  <c r="F135" i="140"/>
  <c r="F136" i="140" s="1"/>
  <c r="F12" i="27"/>
  <c r="F13" i="27" s="1"/>
  <c r="C18" i="27"/>
  <c r="D18" i="27"/>
  <c r="G18" i="27"/>
  <c r="R18" i="27"/>
  <c r="Y18" i="27"/>
  <c r="C22" i="274"/>
  <c r="C33" i="274" s="1"/>
  <c r="X40" i="27"/>
  <c r="Y40" i="27"/>
  <c r="C58" i="27"/>
  <c r="D58" i="27"/>
  <c r="U69" i="27"/>
  <c r="U71" i="27" s="1"/>
  <c r="AB69" i="27"/>
  <c r="AB71" i="27" s="1"/>
  <c r="U70" i="27"/>
  <c r="AB70" i="27"/>
  <c r="AB72" i="27" s="1"/>
  <c r="AB18" i="27"/>
  <c r="F9" i="26"/>
  <c r="F33" i="26"/>
  <c r="F34" i="26"/>
  <c r="O7" i="157"/>
  <c r="C16" i="157"/>
  <c r="D7" i="157" s="1"/>
  <c r="D16" i="157" s="1"/>
  <c r="O42" i="157"/>
  <c r="O44" i="157"/>
  <c r="C34" i="23"/>
  <c r="L29" i="155"/>
  <c r="D30" i="155"/>
  <c r="G27" i="173"/>
  <c r="G31" i="173" s="1"/>
  <c r="E30" i="173"/>
  <c r="F30" i="173" s="1"/>
  <c r="F31" i="173" s="1"/>
  <c r="D31" i="173"/>
  <c r="I31" i="173"/>
  <c r="I9" i="277"/>
  <c r="I10" i="277"/>
  <c r="I11" i="277"/>
  <c r="I12" i="277"/>
  <c r="I13" i="277"/>
  <c r="I14" i="277"/>
  <c r="I15" i="277"/>
  <c r="I16" i="277"/>
  <c r="I17" i="277"/>
  <c r="I18" i="277"/>
  <c r="I19" i="277"/>
  <c r="I20" i="277"/>
  <c r="I21" i="277"/>
  <c r="I22" i="277"/>
  <c r="I23" i="277"/>
  <c r="C24" i="277"/>
  <c r="E24" i="277"/>
  <c r="G24" i="277" s="1"/>
  <c r="I24" i="277"/>
  <c r="I25" i="277"/>
  <c r="I27" i="277"/>
  <c r="I29" i="277"/>
  <c r="I30" i="277"/>
  <c r="I31" i="277"/>
  <c r="I32" i="277"/>
  <c r="I33" i="277"/>
  <c r="I36" i="277"/>
  <c r="I39" i="277"/>
  <c r="I40" i="277"/>
  <c r="I41" i="277"/>
  <c r="H6" i="321"/>
  <c r="C8" i="8"/>
  <c r="G8" i="8"/>
  <c r="C9" i="8"/>
  <c r="G9" i="8"/>
  <c r="G10" i="8"/>
  <c r="G11" i="8"/>
  <c r="C12" i="8"/>
  <c r="G12" i="8"/>
  <c r="E13" i="8"/>
  <c r="F13" i="8"/>
  <c r="F36" i="8" s="1"/>
  <c r="J13" i="8"/>
  <c r="K13" i="8"/>
  <c r="O13" i="8"/>
  <c r="P13" i="8"/>
  <c r="C15" i="8"/>
  <c r="G15" i="8"/>
  <c r="J15" i="8"/>
  <c r="O15" i="8"/>
  <c r="C16" i="8"/>
  <c r="G16" i="8"/>
  <c r="C17" i="8"/>
  <c r="G17" i="8"/>
  <c r="C18" i="8"/>
  <c r="G18" i="8"/>
  <c r="C19" i="8"/>
  <c r="G19" i="8"/>
  <c r="C20" i="8"/>
  <c r="G20" i="8"/>
  <c r="C23" i="8"/>
  <c r="G23" i="8"/>
  <c r="J23" i="8"/>
  <c r="O23" i="8"/>
  <c r="H24" i="8"/>
  <c r="J24" i="8"/>
  <c r="O24" i="8"/>
  <c r="C25" i="8"/>
  <c r="G25" i="8"/>
  <c r="J25" i="8"/>
  <c r="O25" i="8"/>
  <c r="G26" i="8"/>
  <c r="C34" i="8"/>
  <c r="M34" i="8"/>
  <c r="R34" i="8"/>
  <c r="C35" i="8"/>
  <c r="M35" i="8"/>
  <c r="R35" i="8"/>
  <c r="D10" i="159"/>
  <c r="G10" i="159"/>
  <c r="AS10" i="159" s="1"/>
  <c r="AW10" i="159" s="1"/>
  <c r="BB10" i="159" s="1"/>
  <c r="BQ10" i="159" s="1"/>
  <c r="F16" i="159"/>
  <c r="I16" i="159"/>
  <c r="W16" i="159"/>
  <c r="AE16" i="159"/>
  <c r="AF16" i="159"/>
  <c r="AG16" i="159"/>
  <c r="AV16" i="159"/>
  <c r="BH16" i="159"/>
  <c r="BN16" i="159"/>
  <c r="BO16" i="159"/>
  <c r="H17" i="159"/>
  <c r="I22" i="159"/>
  <c r="AB17" i="159"/>
  <c r="AB22" i="159" s="1"/>
  <c r="AZ17" i="159"/>
  <c r="AZ22" i="159" s="1"/>
  <c r="F22" i="159"/>
  <c r="T22" i="159"/>
  <c r="W22" i="159"/>
  <c r="AA22" i="159"/>
  <c r="AE22" i="159"/>
  <c r="AF22" i="159"/>
  <c r="AG22" i="159"/>
  <c r="AS22" i="159"/>
  <c r="AV22" i="159"/>
  <c r="BH22" i="159"/>
  <c r="BN22" i="159"/>
  <c r="BO22" i="159"/>
  <c r="G23" i="159"/>
  <c r="H23" i="159"/>
  <c r="AB23" i="159"/>
  <c r="D24" i="159"/>
  <c r="G24" i="159"/>
  <c r="H24" i="159"/>
  <c r="AB24" i="159"/>
  <c r="AZ24" i="159"/>
  <c r="BA24" i="159" s="1"/>
  <c r="D25" i="159"/>
  <c r="G25" i="159"/>
  <c r="AB25" i="159"/>
  <c r="AZ25" i="159"/>
  <c r="BA25" i="159" s="1"/>
  <c r="BH25" i="159"/>
  <c r="D26" i="159"/>
  <c r="G26" i="159"/>
  <c r="AV26" i="159" s="1"/>
  <c r="BH26" i="159" s="1"/>
  <c r="H26" i="159"/>
  <c r="D27" i="159"/>
  <c r="G27" i="159"/>
  <c r="H27" i="159"/>
  <c r="AB27" i="159"/>
  <c r="AZ27" i="159"/>
  <c r="BA27" i="159" s="1"/>
  <c r="D28" i="159"/>
  <c r="G28" i="159"/>
  <c r="H28" i="159"/>
  <c r="D29" i="159"/>
  <c r="G29" i="159"/>
  <c r="AV29" i="159" s="1"/>
  <c r="D30" i="159"/>
  <c r="G30" i="159"/>
  <c r="H30" i="159"/>
  <c r="D31" i="159"/>
  <c r="G31" i="159"/>
  <c r="W31" i="159" s="1"/>
  <c r="AB31" i="159"/>
  <c r="AZ31" i="159"/>
  <c r="BA31" i="159" s="1"/>
  <c r="D32" i="159"/>
  <c r="G32" i="159"/>
  <c r="AV32" i="159" s="1"/>
  <c r="H32" i="159"/>
  <c r="T32" i="159" s="1"/>
  <c r="D33" i="159"/>
  <c r="G33" i="159"/>
  <c r="AV33" i="159" s="1"/>
  <c r="H33" i="159"/>
  <c r="T33" i="159" s="1"/>
  <c r="E34" i="159"/>
  <c r="G36" i="159"/>
  <c r="AB36" i="159"/>
  <c r="AZ36" i="159"/>
  <c r="BA36" i="159" s="1"/>
  <c r="G37" i="159"/>
  <c r="W37" i="159" s="1"/>
  <c r="H37" i="159"/>
  <c r="AB37" i="159"/>
  <c r="G38" i="159"/>
  <c r="W38" i="159" s="1"/>
  <c r="H38" i="159"/>
  <c r="AS38" i="159" s="1"/>
  <c r="AB38" i="159"/>
  <c r="G39" i="159"/>
  <c r="H39" i="159"/>
  <c r="AS39" i="159" s="1"/>
  <c r="G40" i="159"/>
  <c r="H40" i="159"/>
  <c r="G41" i="159"/>
  <c r="H41" i="159"/>
  <c r="AS41" i="159" s="1"/>
  <c r="AB41" i="159"/>
  <c r="G43" i="159"/>
  <c r="W43" i="159" s="1"/>
  <c r="H43" i="159"/>
  <c r="G44" i="159"/>
  <c r="W44" i="159" s="1"/>
  <c r="H44" i="159"/>
  <c r="AB44" i="159"/>
  <c r="AZ44" i="159"/>
  <c r="G45" i="159"/>
  <c r="W45" i="159" s="1"/>
  <c r="H45" i="159"/>
  <c r="G47" i="159"/>
  <c r="W47" i="159" s="1"/>
  <c r="H47" i="159"/>
  <c r="T47" i="159" s="1"/>
  <c r="G48" i="159"/>
  <c r="W48" i="159" s="1"/>
  <c r="H48" i="159"/>
  <c r="T48" i="159" s="1"/>
  <c r="F49" i="159"/>
  <c r="G49" i="159"/>
  <c r="W49" i="159" s="1"/>
  <c r="H49" i="159"/>
  <c r="T49" i="159" s="1"/>
  <c r="E50" i="159"/>
  <c r="G50" i="159"/>
  <c r="AV50" i="159" s="1"/>
  <c r="H50" i="159"/>
  <c r="T50" i="159" s="1"/>
  <c r="E51" i="159"/>
  <c r="G51" i="159"/>
  <c r="AV51" i="159" s="1"/>
  <c r="H51" i="159"/>
  <c r="AS51" i="159" s="1"/>
  <c r="BH52" i="159"/>
  <c r="BI52" i="159"/>
  <c r="BJ52" i="159"/>
  <c r="BK52" i="159" s="1"/>
  <c r="BQ52" i="159"/>
  <c r="BW52" i="159"/>
  <c r="AA53" i="159"/>
  <c r="AU53" i="159"/>
  <c r="BG53" i="159"/>
  <c r="G55" i="159"/>
  <c r="H55" i="159"/>
  <c r="G56" i="159"/>
  <c r="W56" i="159" s="1"/>
  <c r="H56" i="159"/>
  <c r="G58" i="159"/>
  <c r="W58" i="159" s="1"/>
  <c r="H58" i="159"/>
  <c r="G59" i="159"/>
  <c r="W59" i="159" s="1"/>
  <c r="H59" i="159"/>
  <c r="G60" i="159"/>
  <c r="H60" i="159"/>
  <c r="F62" i="159"/>
  <c r="G62" i="159"/>
  <c r="E63" i="159"/>
  <c r="G63" i="159"/>
  <c r="W63" i="159" s="1"/>
  <c r="H63" i="159"/>
  <c r="E64" i="159"/>
  <c r="U64" i="159" s="1"/>
  <c r="G64" i="159"/>
  <c r="W64" i="159" s="1"/>
  <c r="H64" i="159"/>
  <c r="T64" i="159" s="1"/>
  <c r="E65" i="159"/>
  <c r="G65" i="159"/>
  <c r="W65" i="159" s="1"/>
  <c r="H65" i="159"/>
  <c r="BE65" i="159"/>
  <c r="BJ65" i="159"/>
  <c r="I66" i="159"/>
  <c r="V66" i="159"/>
  <c r="AA66" i="159"/>
  <c r="AB66" i="159"/>
  <c r="AU66" i="159"/>
  <c r="AZ66" i="159"/>
  <c r="BA66" i="159"/>
  <c r="BG66" i="159"/>
  <c r="H10" i="163"/>
  <c r="V10" i="163" s="1"/>
  <c r="I17" i="163"/>
  <c r="AB10" i="163"/>
  <c r="AB17" i="163" s="1"/>
  <c r="D11" i="163"/>
  <c r="AF11" i="163" s="1"/>
  <c r="G11" i="163"/>
  <c r="T11" i="163" s="1"/>
  <c r="T17" i="163" s="1"/>
  <c r="W17" i="163"/>
  <c r="AA17" i="163"/>
  <c r="AI17" i="163"/>
  <c r="AJ17" i="163"/>
  <c r="AK17" i="163"/>
  <c r="G18" i="163"/>
  <c r="I23" i="163"/>
  <c r="AB18" i="163"/>
  <c r="AB23" i="163" s="1"/>
  <c r="T23" i="163"/>
  <c r="W23" i="163"/>
  <c r="AA23" i="163"/>
  <c r="AI23" i="163"/>
  <c r="AJ23" i="163"/>
  <c r="AK23" i="163"/>
  <c r="G24" i="163"/>
  <c r="V24" i="163"/>
  <c r="AB24" i="163"/>
  <c r="D25" i="163"/>
  <c r="U25" i="163" s="1"/>
  <c r="G25" i="163"/>
  <c r="H25" i="163"/>
  <c r="AB25" i="163"/>
  <c r="D26" i="163"/>
  <c r="U26" i="163" s="1"/>
  <c r="G26" i="163"/>
  <c r="AB26" i="163"/>
  <c r="D27" i="163"/>
  <c r="G27" i="163"/>
  <c r="H27" i="163"/>
  <c r="D28" i="163"/>
  <c r="U28" i="163" s="1"/>
  <c r="G28" i="163"/>
  <c r="H28" i="163"/>
  <c r="AB28" i="163"/>
  <c r="D29" i="163"/>
  <c r="U29" i="163" s="1"/>
  <c r="G29" i="163"/>
  <c r="H29" i="163"/>
  <c r="D30" i="163"/>
  <c r="U30" i="163" s="1"/>
  <c r="G30" i="163"/>
  <c r="D31" i="163"/>
  <c r="U31" i="163" s="1"/>
  <c r="G31" i="163"/>
  <c r="H31" i="163"/>
  <c r="AB31" i="163"/>
  <c r="D32" i="163"/>
  <c r="U32" i="163" s="1"/>
  <c r="G32" i="163"/>
  <c r="W32" i="163" s="1"/>
  <c r="AB32" i="163"/>
  <c r="D33" i="163"/>
  <c r="G33" i="163"/>
  <c r="W33" i="163" s="1"/>
  <c r="H33" i="163"/>
  <c r="T33" i="163" s="1"/>
  <c r="D34" i="163"/>
  <c r="G34" i="163"/>
  <c r="W34" i="163" s="1"/>
  <c r="H34" i="163"/>
  <c r="T34" i="163" s="1"/>
  <c r="E35" i="163"/>
  <c r="F35" i="163"/>
  <c r="G37" i="163"/>
  <c r="AB37" i="163"/>
  <c r="G38" i="163"/>
  <c r="H38" i="163"/>
  <c r="T38" i="163" s="1"/>
  <c r="G39" i="163"/>
  <c r="W39" i="163" s="1"/>
  <c r="H39" i="163"/>
  <c r="T39" i="163" s="1"/>
  <c r="G40" i="163"/>
  <c r="W40" i="163" s="1"/>
  <c r="H40" i="163"/>
  <c r="T40" i="163" s="1"/>
  <c r="G41" i="163"/>
  <c r="W41" i="163" s="1"/>
  <c r="G42" i="163"/>
  <c r="W42" i="163" s="1"/>
  <c r="H42" i="163"/>
  <c r="T42" i="163" s="1"/>
  <c r="G43" i="163"/>
  <c r="W43" i="163" s="1"/>
  <c r="H43" i="163"/>
  <c r="T43" i="163" s="1"/>
  <c r="G45" i="163"/>
  <c r="W45" i="163" s="1"/>
  <c r="H45" i="163"/>
  <c r="T45" i="163" s="1"/>
  <c r="AB45" i="163"/>
  <c r="G46" i="163"/>
  <c r="W46" i="163" s="1"/>
  <c r="H46" i="163"/>
  <c r="T46" i="163" s="1"/>
  <c r="G48" i="163"/>
  <c r="W48" i="163" s="1"/>
  <c r="H48" i="163"/>
  <c r="T48" i="163" s="1"/>
  <c r="G49" i="163"/>
  <c r="W49" i="163" s="1"/>
  <c r="H49" i="163"/>
  <c r="T49" i="163" s="1"/>
  <c r="F50" i="163"/>
  <c r="G50" i="163"/>
  <c r="W50" i="163" s="1"/>
  <c r="H50" i="163"/>
  <c r="T50" i="163" s="1"/>
  <c r="E51" i="163"/>
  <c r="U51" i="163" s="1"/>
  <c r="AK51" i="163" s="1"/>
  <c r="G51" i="163"/>
  <c r="W51" i="163" s="1"/>
  <c r="H51" i="163"/>
  <c r="E52" i="163"/>
  <c r="U52" i="163" s="1"/>
  <c r="AK52" i="163" s="1"/>
  <c r="G52" i="163"/>
  <c r="W52" i="163" s="1"/>
  <c r="H52" i="163"/>
  <c r="V53" i="163"/>
  <c r="AA53" i="163"/>
  <c r="G55" i="163"/>
  <c r="H55" i="163"/>
  <c r="T55" i="163" s="1"/>
  <c r="G56" i="163"/>
  <c r="W56" i="163" s="1"/>
  <c r="H56" i="163"/>
  <c r="T56" i="163" s="1"/>
  <c r="G58" i="163"/>
  <c r="W58" i="163" s="1"/>
  <c r="H58" i="163"/>
  <c r="T58" i="163" s="1"/>
  <c r="G59" i="163"/>
  <c r="W59" i="163" s="1"/>
  <c r="H59" i="163"/>
  <c r="T59" i="163" s="1"/>
  <c r="G60" i="163"/>
  <c r="W60" i="163" s="1"/>
  <c r="H60" i="163"/>
  <c r="T60" i="163" s="1"/>
  <c r="F62" i="163"/>
  <c r="G62" i="163"/>
  <c r="W62" i="163" s="1"/>
  <c r="E63" i="163"/>
  <c r="U63" i="163" s="1"/>
  <c r="G63" i="163"/>
  <c r="W63" i="163" s="1"/>
  <c r="H63" i="163"/>
  <c r="T63" i="163" s="1"/>
  <c r="E64" i="163"/>
  <c r="U64" i="163" s="1"/>
  <c r="AK64" i="163" s="1"/>
  <c r="G64" i="163"/>
  <c r="W64" i="163" s="1"/>
  <c r="H64" i="163"/>
  <c r="E65" i="163"/>
  <c r="U65" i="163" s="1"/>
  <c r="G65" i="163"/>
  <c r="W65" i="163" s="1"/>
  <c r="H65" i="163"/>
  <c r="I66" i="163"/>
  <c r="AA66" i="163"/>
  <c r="AB66" i="163"/>
  <c r="AA17" i="198"/>
  <c r="AF11" i="198"/>
  <c r="I17" i="198"/>
  <c r="W17" i="198"/>
  <c r="AI17" i="198"/>
  <c r="AJ17" i="198"/>
  <c r="AK17" i="198"/>
  <c r="I23" i="198"/>
  <c r="AB18" i="198"/>
  <c r="AB23" i="198" s="1"/>
  <c r="T23" i="198"/>
  <c r="W23" i="198"/>
  <c r="AI23" i="198"/>
  <c r="AJ23" i="198"/>
  <c r="AK23" i="198"/>
  <c r="AB24" i="198"/>
  <c r="G25" i="198"/>
  <c r="H25" i="198"/>
  <c r="AB25" i="198"/>
  <c r="G26" i="198"/>
  <c r="H26" i="198"/>
  <c r="G27" i="198"/>
  <c r="H27" i="198"/>
  <c r="G28" i="198"/>
  <c r="H28" i="198"/>
  <c r="AB28" i="198"/>
  <c r="G29" i="198"/>
  <c r="H29" i="198"/>
  <c r="G30" i="198"/>
  <c r="H30" i="198"/>
  <c r="G31" i="198"/>
  <c r="H31" i="198"/>
  <c r="AB31" i="198"/>
  <c r="G32" i="198"/>
  <c r="W32" i="198" s="1"/>
  <c r="AB32" i="198"/>
  <c r="G33" i="198"/>
  <c r="W33" i="198" s="1"/>
  <c r="G34" i="198"/>
  <c r="W34" i="198" s="1"/>
  <c r="H34" i="198"/>
  <c r="T34" i="198" s="1"/>
  <c r="F35" i="198"/>
  <c r="G37" i="198"/>
  <c r="W37" i="198" s="1"/>
  <c r="AB37" i="198"/>
  <c r="G38" i="198"/>
  <c r="W38" i="198" s="1"/>
  <c r="H38" i="198"/>
  <c r="T38" i="198" s="1"/>
  <c r="AI38" i="198" s="1"/>
  <c r="G39" i="198"/>
  <c r="W39" i="198" s="1"/>
  <c r="H39" i="198"/>
  <c r="T39" i="198" s="1"/>
  <c r="G40" i="198"/>
  <c r="W40" i="198" s="1"/>
  <c r="H40" i="198"/>
  <c r="T40" i="198" s="1"/>
  <c r="G41" i="198"/>
  <c r="W41" i="198" s="1"/>
  <c r="H41" i="198"/>
  <c r="T41" i="198" s="1"/>
  <c r="G42" i="198"/>
  <c r="W42" i="198" s="1"/>
  <c r="H42" i="198"/>
  <c r="T42" i="198" s="1"/>
  <c r="G43" i="198"/>
  <c r="W43" i="198" s="1"/>
  <c r="G45" i="198"/>
  <c r="W45" i="198" s="1"/>
  <c r="H45" i="198"/>
  <c r="T45" i="198" s="1"/>
  <c r="AB45" i="198"/>
  <c r="G46" i="198"/>
  <c r="W46" i="198" s="1"/>
  <c r="H46" i="198"/>
  <c r="T46" i="198" s="1"/>
  <c r="G48" i="198"/>
  <c r="W48" i="198" s="1"/>
  <c r="H48" i="198"/>
  <c r="T48" i="198" s="1"/>
  <c r="G49" i="198"/>
  <c r="W49" i="198" s="1"/>
  <c r="H49" i="198"/>
  <c r="T49" i="198" s="1"/>
  <c r="G50" i="198"/>
  <c r="W50" i="198" s="1"/>
  <c r="H50" i="198"/>
  <c r="T50" i="198" s="1"/>
  <c r="E51" i="198"/>
  <c r="U51" i="198" s="1"/>
  <c r="AK51" i="198" s="1"/>
  <c r="G51" i="198"/>
  <c r="W51" i="198" s="1"/>
  <c r="H51" i="198"/>
  <c r="U52" i="198"/>
  <c r="AK52" i="198" s="1"/>
  <c r="G52" i="198"/>
  <c r="W52" i="198" s="1"/>
  <c r="H52" i="198"/>
  <c r="V53" i="198"/>
  <c r="G56" i="198"/>
  <c r="W56" i="198" s="1"/>
  <c r="H56" i="198"/>
  <c r="T56" i="198" s="1"/>
  <c r="G58" i="198"/>
  <c r="W58" i="198" s="1"/>
  <c r="H58" i="198"/>
  <c r="T58" i="198" s="1"/>
  <c r="G59" i="198"/>
  <c r="W59" i="198" s="1"/>
  <c r="H59" i="198"/>
  <c r="T59" i="198" s="1"/>
  <c r="G60" i="198"/>
  <c r="W60" i="198" s="1"/>
  <c r="H60" i="198"/>
  <c r="T60" i="198" s="1"/>
  <c r="F62" i="198"/>
  <c r="G62" i="198"/>
  <c r="W62" i="198" s="1"/>
  <c r="H62" i="198"/>
  <c r="T62" i="198" s="1"/>
  <c r="G63" i="198"/>
  <c r="W63" i="198" s="1"/>
  <c r="H63" i="198"/>
  <c r="T63" i="198" s="1"/>
  <c r="E64" i="198"/>
  <c r="U64" i="198" s="1"/>
  <c r="AK64" i="198" s="1"/>
  <c r="G64" i="198"/>
  <c r="W64" i="198" s="1"/>
  <c r="H64" i="198"/>
  <c r="E65" i="198"/>
  <c r="U65" i="198" s="1"/>
  <c r="G65" i="198"/>
  <c r="W65" i="198" s="1"/>
  <c r="H65" i="198"/>
  <c r="I66" i="198"/>
  <c r="AA66" i="198"/>
  <c r="AB66" i="198"/>
  <c r="E12" i="277"/>
  <c r="G12" i="277" s="1"/>
  <c r="O28" i="58"/>
  <c r="C14" i="277"/>
  <c r="H10" i="156"/>
  <c r="H24" i="198"/>
  <c r="V24" i="198" s="1"/>
  <c r="G18" i="198"/>
  <c r="D19" i="58"/>
  <c r="H9" i="159"/>
  <c r="AU9" i="159" s="1"/>
  <c r="G11" i="198"/>
  <c r="T11" i="198" s="1"/>
  <c r="L19" i="58"/>
  <c r="H11" i="163"/>
  <c r="T13" i="58"/>
  <c r="P19" i="58"/>
  <c r="P37" i="58" s="1"/>
  <c r="H18" i="198"/>
  <c r="V18" i="198" s="1"/>
  <c r="G17" i="159"/>
  <c r="H18" i="163"/>
  <c r="E9" i="277"/>
  <c r="G9" i="277" s="1"/>
  <c r="T27" i="58"/>
  <c r="C10" i="277"/>
  <c r="E10" i="277"/>
  <c r="G10" i="277" s="1"/>
  <c r="T28" i="58"/>
  <c r="T29" i="58"/>
  <c r="O30" i="58"/>
  <c r="T30" i="58"/>
  <c r="O31" i="58"/>
  <c r="T31" i="58"/>
  <c r="E14" i="277"/>
  <c r="G14" i="277" s="1"/>
  <c r="H30" i="163"/>
  <c r="T32" i="58"/>
  <c r="C15" i="277"/>
  <c r="E15" i="277"/>
  <c r="G15" i="277" s="1"/>
  <c r="T33" i="58"/>
  <c r="E16" i="277"/>
  <c r="G16" i="277" s="1"/>
  <c r="H31" i="159"/>
  <c r="T31" i="159" s="1"/>
  <c r="T34" i="58"/>
  <c r="C17" i="277"/>
  <c r="H33" i="198"/>
  <c r="T33" i="198" s="1"/>
  <c r="AK33" i="198" s="1"/>
  <c r="T35" i="58"/>
  <c r="C18" i="277"/>
  <c r="E18" i="277"/>
  <c r="G18" i="277" s="1"/>
  <c r="O36" i="58"/>
  <c r="T36" i="58"/>
  <c r="O39" i="58"/>
  <c r="T39" i="58"/>
  <c r="E20" i="277"/>
  <c r="G20" i="277" s="1"/>
  <c r="E21" i="277"/>
  <c r="G21" i="277" s="1"/>
  <c r="C22" i="277"/>
  <c r="T42" i="58"/>
  <c r="E23" i="277"/>
  <c r="G23" i="277" s="1"/>
  <c r="H41" i="163"/>
  <c r="T41" i="163" s="1"/>
  <c r="T43" i="58"/>
  <c r="H43" i="198"/>
  <c r="T43" i="198" s="1"/>
  <c r="E25" i="277"/>
  <c r="G25" i="277" s="1"/>
  <c r="T45" i="58"/>
  <c r="D56" i="58"/>
  <c r="H56" i="58"/>
  <c r="H44" i="198"/>
  <c r="T44" i="198" s="1"/>
  <c r="E26" i="277"/>
  <c r="G26" i="277" s="1"/>
  <c r="G44" i="163"/>
  <c r="W44" i="163" s="1"/>
  <c r="Q56" i="58"/>
  <c r="S46" i="58"/>
  <c r="C27" i="277"/>
  <c r="E27" i="277"/>
  <c r="G27" i="277" s="1"/>
  <c r="T47" i="58"/>
  <c r="N56" i="58"/>
  <c r="M10" i="307" s="1"/>
  <c r="C29" i="277"/>
  <c r="E29" i="277"/>
  <c r="G29" i="277" s="1"/>
  <c r="T50" i="58"/>
  <c r="C30" i="277"/>
  <c r="E30" i="277"/>
  <c r="G30" i="277" s="1"/>
  <c r="O51" i="58"/>
  <c r="T51" i="58"/>
  <c r="C32" i="277"/>
  <c r="E32" i="277"/>
  <c r="G32" i="277" s="1"/>
  <c r="C33" i="277"/>
  <c r="T54" i="58"/>
  <c r="E56" i="58"/>
  <c r="L56" i="58"/>
  <c r="E34" i="277"/>
  <c r="G34" i="277" s="1"/>
  <c r="T59" i="58"/>
  <c r="T61" i="58"/>
  <c r="E37" i="277"/>
  <c r="G37" i="277" s="1"/>
  <c r="T63" i="58"/>
  <c r="C39" i="277"/>
  <c r="E39" i="277"/>
  <c r="G39" i="277" s="1"/>
  <c r="T65" i="58"/>
  <c r="C40" i="277"/>
  <c r="E40" i="277"/>
  <c r="G40" i="277" s="1"/>
  <c r="T66" i="58"/>
  <c r="E41" i="277"/>
  <c r="G41" i="277" s="1"/>
  <c r="T67" i="58"/>
  <c r="D69" i="58"/>
  <c r="E69" i="58"/>
  <c r="H69" i="58"/>
  <c r="I69" i="58"/>
  <c r="L69" i="58"/>
  <c r="P69" i="58"/>
  <c r="H23" i="156"/>
  <c r="AF31" i="198"/>
  <c r="AJ30" i="198"/>
  <c r="H7" i="156"/>
  <c r="D32" i="95"/>
  <c r="G13" i="3"/>
  <c r="E13" i="277"/>
  <c r="G13" i="277" s="1"/>
  <c r="E11" i="277"/>
  <c r="T60" i="159" l="1"/>
  <c r="AS60" i="159"/>
  <c r="T55" i="159"/>
  <c r="AS55" i="159"/>
  <c r="AS56" i="159"/>
  <c r="BE56" i="159" s="1"/>
  <c r="T56" i="159"/>
  <c r="T45" i="159"/>
  <c r="AS45" i="159"/>
  <c r="BE45" i="159" s="1"/>
  <c r="U31" i="159"/>
  <c r="AT31" i="159"/>
  <c r="AT28" i="159"/>
  <c r="U28" i="159"/>
  <c r="AT26" i="159"/>
  <c r="U26" i="159"/>
  <c r="U34" i="163"/>
  <c r="AK34" i="163" s="1"/>
  <c r="U33" i="163"/>
  <c r="AF33" i="163" s="1"/>
  <c r="T40" i="159"/>
  <c r="AS40" i="159"/>
  <c r="T37" i="159"/>
  <c r="AS37" i="159"/>
  <c r="U33" i="159"/>
  <c r="AG33" i="159" s="1"/>
  <c r="AT33" i="159"/>
  <c r="AT25" i="159"/>
  <c r="U25" i="159"/>
  <c r="T44" i="159"/>
  <c r="AS44" i="159"/>
  <c r="U24" i="159"/>
  <c r="AT24" i="159"/>
  <c r="BT24" i="159" s="1"/>
  <c r="U29" i="159"/>
  <c r="AT29" i="159"/>
  <c r="U30" i="159"/>
  <c r="AT30" i="159"/>
  <c r="AT27" i="159"/>
  <c r="U27" i="159"/>
  <c r="U27" i="163"/>
  <c r="AF27" i="163" s="1"/>
  <c r="T43" i="159"/>
  <c r="AS43" i="159"/>
  <c r="U32" i="159"/>
  <c r="AE32" i="159" s="1"/>
  <c r="AT32" i="159"/>
  <c r="B110" i="140"/>
  <c r="B121" i="140"/>
  <c r="S71" i="3"/>
  <c r="K27" i="95"/>
  <c r="H77" i="95" s="1"/>
  <c r="S67" i="3"/>
  <c r="M43" i="345"/>
  <c r="M52" i="345" s="1"/>
  <c r="I40" i="370"/>
  <c r="S70" i="3"/>
  <c r="C22" i="222"/>
  <c r="G40" i="3"/>
  <c r="H14" i="3" s="1"/>
  <c r="H40" i="3" s="1"/>
  <c r="I14" i="3" s="1"/>
  <c r="G135" i="140"/>
  <c r="G136" i="140" s="1"/>
  <c r="H14" i="173"/>
  <c r="C89" i="140"/>
  <c r="P26" i="87" s="1"/>
  <c r="AK42" i="163"/>
  <c r="X42" i="163"/>
  <c r="AC42" i="163" s="1"/>
  <c r="AS47" i="159"/>
  <c r="BE47" i="159" s="1"/>
  <c r="AV63" i="159"/>
  <c r="BH63" i="159" s="1"/>
  <c r="AV59" i="159"/>
  <c r="BH59" i="159" s="1"/>
  <c r="B127" i="140"/>
  <c r="H8" i="8"/>
  <c r="G12" i="3"/>
  <c r="O16" i="157"/>
  <c r="C41" i="200"/>
  <c r="C45" i="200" s="1"/>
  <c r="F39" i="200"/>
  <c r="F22" i="87"/>
  <c r="N11" i="8"/>
  <c r="N13" i="8" s="1"/>
  <c r="AK33" i="163"/>
  <c r="D9" i="200"/>
  <c r="AV48" i="159"/>
  <c r="BH48" i="159" s="1"/>
  <c r="D11" i="200"/>
  <c r="AK40" i="198"/>
  <c r="AJ40" i="198"/>
  <c r="AJ39" i="198"/>
  <c r="AK39" i="198"/>
  <c r="D38" i="307"/>
  <c r="I19" i="368"/>
  <c r="Z37" i="27"/>
  <c r="AJ39" i="163"/>
  <c r="AK39" i="163"/>
  <c r="AK30" i="163"/>
  <c r="AI30" i="163"/>
  <c r="D66" i="140"/>
  <c r="D68" i="140" s="1"/>
  <c r="C66" i="140"/>
  <c r="P21" i="87" s="1"/>
  <c r="AV56" i="159"/>
  <c r="BH56" i="159" s="1"/>
  <c r="F14" i="274"/>
  <c r="F34" i="159"/>
  <c r="C6" i="303"/>
  <c r="F6" i="303" s="1"/>
  <c r="G6" i="303" s="1"/>
  <c r="AV64" i="159"/>
  <c r="BH64" i="159" s="1"/>
  <c r="C28" i="140"/>
  <c r="N24" i="87" s="1"/>
  <c r="AV31" i="159"/>
  <c r="BH31" i="159" s="1"/>
  <c r="AV38" i="159"/>
  <c r="BH38" i="159" s="1"/>
  <c r="AJ63" i="163"/>
  <c r="AK63" i="163"/>
  <c r="AK40" i="163"/>
  <c r="AJ40" i="163"/>
  <c r="AI38" i="163"/>
  <c r="E48" i="83"/>
  <c r="E55" i="83" s="1"/>
  <c r="E66" i="83" s="1"/>
  <c r="D31" i="95"/>
  <c r="M31" i="95" s="1"/>
  <c r="Q18" i="27"/>
  <c r="S18" i="27"/>
  <c r="W50" i="159"/>
  <c r="BH50" i="159" s="1"/>
  <c r="C32" i="8"/>
  <c r="G32" i="8"/>
  <c r="E36" i="8"/>
  <c r="R14" i="141"/>
  <c r="AT64" i="159"/>
  <c r="BT64" i="159" s="1"/>
  <c r="B25" i="9"/>
  <c r="N28" i="87"/>
  <c r="C61" i="140"/>
  <c r="F62" i="87"/>
  <c r="G36" i="3"/>
  <c r="H10" i="8"/>
  <c r="H12" i="8"/>
  <c r="S56" i="58"/>
  <c r="T56" i="58" s="1"/>
  <c r="AV43" i="159"/>
  <c r="BH43" i="159" s="1"/>
  <c r="W51" i="159"/>
  <c r="BH51" i="159" s="1"/>
  <c r="AA21" i="141"/>
  <c r="AA20" i="141"/>
  <c r="AC20" i="141" s="1"/>
  <c r="AE20" i="141" s="1"/>
  <c r="D116" i="140"/>
  <c r="X52" i="198"/>
  <c r="AH52" i="198" s="1"/>
  <c r="E31" i="173"/>
  <c r="P20" i="141"/>
  <c r="R20" i="141" s="1"/>
  <c r="C116" i="140"/>
  <c r="C286" i="140"/>
  <c r="BT36" i="159"/>
  <c r="AV49" i="159"/>
  <c r="BH49" i="159" s="1"/>
  <c r="E49" i="159"/>
  <c r="AT49" i="159" s="1"/>
  <c r="L34" i="58"/>
  <c r="H32" i="163"/>
  <c r="T32" i="163" s="1"/>
  <c r="X32" i="163" s="1"/>
  <c r="AH32" i="163" s="1"/>
  <c r="AE31" i="159"/>
  <c r="BT31" i="159"/>
  <c r="L11" i="87"/>
  <c r="M11" i="87" s="1"/>
  <c r="K45" i="87" s="1"/>
  <c r="M45" i="87" s="1"/>
  <c r="AB21" i="141"/>
  <c r="AI63" i="163"/>
  <c r="BT38" i="159"/>
  <c r="Q65" i="87"/>
  <c r="AA26" i="141"/>
  <c r="AC26" i="141" s="1"/>
  <c r="E20" i="197"/>
  <c r="H23" i="8"/>
  <c r="C54" i="83"/>
  <c r="C66" i="83" s="1"/>
  <c r="AB53" i="198"/>
  <c r="AB53" i="159"/>
  <c r="D24" i="95"/>
  <c r="M24" i="95" s="1"/>
  <c r="D28" i="27"/>
  <c r="AD57" i="58"/>
  <c r="AD58" i="58" s="1"/>
  <c r="F55" i="87"/>
  <c r="F29" i="87"/>
  <c r="AF34" i="198"/>
  <c r="AJ34" i="198"/>
  <c r="T41" i="159"/>
  <c r="AK34" i="198"/>
  <c r="E55" i="198"/>
  <c r="AS49" i="159"/>
  <c r="BE49" i="159" s="1"/>
  <c r="F53" i="159"/>
  <c r="AJ51" i="198"/>
  <c r="W33" i="159"/>
  <c r="BH33" i="159" s="1"/>
  <c r="AJ51" i="163"/>
  <c r="AJ33" i="163"/>
  <c r="AI33" i="163"/>
  <c r="E50" i="163"/>
  <c r="U50" i="163" s="1"/>
  <c r="AI50" i="163" s="1"/>
  <c r="AV44" i="159"/>
  <c r="BH44" i="159" s="1"/>
  <c r="E38" i="159"/>
  <c r="AK38" i="163"/>
  <c r="E37" i="159"/>
  <c r="E58" i="163"/>
  <c r="U58" i="163" s="1"/>
  <c r="AI58" i="163" s="1"/>
  <c r="E50" i="198"/>
  <c r="U50" i="198" s="1"/>
  <c r="AI50" i="198" s="1"/>
  <c r="AK38" i="198"/>
  <c r="AI33" i="198"/>
  <c r="AJ33" i="198"/>
  <c r="H19" i="8"/>
  <c r="H22" i="8"/>
  <c r="AF52" i="198"/>
  <c r="T23" i="141"/>
  <c r="V23" i="141" s="1"/>
  <c r="AB53" i="163"/>
  <c r="U60" i="27"/>
  <c r="E49" i="163"/>
  <c r="U49" i="163" s="1"/>
  <c r="AV45" i="159"/>
  <c r="BH45" i="159" s="1"/>
  <c r="C53" i="200"/>
  <c r="X65" i="163"/>
  <c r="AC65" i="163" s="1"/>
  <c r="AL65" i="163" s="1"/>
  <c r="AF65" i="163"/>
  <c r="AG65" i="163" s="1"/>
  <c r="AF32" i="163"/>
  <c r="AT63" i="159"/>
  <c r="U63" i="159"/>
  <c r="G66" i="163"/>
  <c r="O66" i="58"/>
  <c r="O47" i="58"/>
  <c r="AV58" i="159"/>
  <c r="BH58" i="159" s="1"/>
  <c r="T51" i="159"/>
  <c r="AF42" i="163"/>
  <c r="E39" i="163"/>
  <c r="AT50" i="159"/>
  <c r="U50" i="159"/>
  <c r="O63" i="58"/>
  <c r="I30" i="163"/>
  <c r="V30" i="163" s="1"/>
  <c r="X30" i="163" s="1"/>
  <c r="AH30" i="163" s="1"/>
  <c r="H23" i="198"/>
  <c r="O35" i="58"/>
  <c r="AJ30" i="163"/>
  <c r="AY10" i="159"/>
  <c r="BS10" i="159" s="1"/>
  <c r="E17" i="277"/>
  <c r="G17" i="277" s="1"/>
  <c r="E8" i="277"/>
  <c r="G8" i="277" s="1"/>
  <c r="C12" i="277"/>
  <c r="G45" i="141"/>
  <c r="E38" i="163"/>
  <c r="I28" i="198"/>
  <c r="V28" i="198" s="1"/>
  <c r="I28" i="163"/>
  <c r="V28" i="163" s="1"/>
  <c r="X28" i="163" s="1"/>
  <c r="AV27" i="159"/>
  <c r="BH27" i="159" s="1"/>
  <c r="I27" i="159"/>
  <c r="AU23" i="159"/>
  <c r="V23" i="159"/>
  <c r="H23" i="163"/>
  <c r="V18" i="163"/>
  <c r="H22" i="159"/>
  <c r="V17" i="159"/>
  <c r="X17" i="159" s="1"/>
  <c r="AU17" i="159"/>
  <c r="V9" i="159"/>
  <c r="P29" i="141"/>
  <c r="R29" i="141" s="1"/>
  <c r="F45" i="3"/>
  <c r="U72" i="27"/>
  <c r="F34" i="321"/>
  <c r="F30" i="321"/>
  <c r="E40" i="159"/>
  <c r="E41" i="163"/>
  <c r="U41" i="163" s="1"/>
  <c r="K31" i="307"/>
  <c r="T66" i="198"/>
  <c r="AS50" i="159"/>
  <c r="BE50" i="159" s="1"/>
  <c r="AV65" i="159"/>
  <c r="BH65" i="159" s="1"/>
  <c r="AV37" i="159"/>
  <c r="BH37" i="159" s="1"/>
  <c r="AS33" i="159"/>
  <c r="BE33" i="159" s="1"/>
  <c r="AS32" i="159"/>
  <c r="BE32" i="159" s="1"/>
  <c r="X39" i="163"/>
  <c r="R39" i="163" s="1"/>
  <c r="BE44" i="159"/>
  <c r="E48" i="159"/>
  <c r="E48" i="163"/>
  <c r="U48" i="163" s="1"/>
  <c r="E47" i="159"/>
  <c r="E44" i="159"/>
  <c r="E45" i="163"/>
  <c r="U45" i="163" s="1"/>
  <c r="E31" i="277"/>
  <c r="G31" i="277" s="1"/>
  <c r="B2" i="320"/>
  <c r="B3" i="320" s="1"/>
  <c r="H21" i="156"/>
  <c r="H15" i="156"/>
  <c r="H14" i="156"/>
  <c r="AF29" i="163"/>
  <c r="AF25" i="163"/>
  <c r="E62" i="163"/>
  <c r="U62" i="163" s="1"/>
  <c r="E62" i="159"/>
  <c r="AF24" i="198"/>
  <c r="AF32" i="198"/>
  <c r="AF40" i="198"/>
  <c r="E43" i="198"/>
  <c r="U43" i="198" s="1"/>
  <c r="H11" i="8"/>
  <c r="AA29" i="141"/>
  <c r="AC29" i="141" s="1"/>
  <c r="H28" i="156"/>
  <c r="H11" i="156"/>
  <c r="H17" i="156"/>
  <c r="H27" i="156"/>
  <c r="H12" i="156"/>
  <c r="AC24" i="141"/>
  <c r="G9" i="3"/>
  <c r="S66" i="3" s="1"/>
  <c r="D26" i="95"/>
  <c r="M26" i="95" s="1"/>
  <c r="F30" i="3"/>
  <c r="F48" i="3" s="1"/>
  <c r="B45" i="141"/>
  <c r="AE12" i="141"/>
  <c r="AG12" i="141" s="1"/>
  <c r="AJ12" i="141" s="1"/>
  <c r="D21" i="197"/>
  <c r="T39" i="141"/>
  <c r="V39" i="141" s="1"/>
  <c r="AI39" i="141" s="1"/>
  <c r="K23" i="307"/>
  <c r="G37" i="307"/>
  <c r="E37" i="307"/>
  <c r="I37" i="307"/>
  <c r="AB96" i="27"/>
  <c r="AB66" i="27"/>
  <c r="D108" i="140"/>
  <c r="M28" i="87"/>
  <c r="K61" i="87" s="1"/>
  <c r="M61" i="87" s="1"/>
  <c r="C115" i="140"/>
  <c r="P22" i="87"/>
  <c r="M25" i="87"/>
  <c r="K58" i="87" s="1"/>
  <c r="M58" i="87" s="1"/>
  <c r="H9" i="9"/>
  <c r="E12" i="97"/>
  <c r="E5" i="96" s="1"/>
  <c r="G14" i="173"/>
  <c r="B119" i="140"/>
  <c r="G13" i="8"/>
  <c r="C9" i="277"/>
  <c r="G24" i="198"/>
  <c r="AF51" i="163"/>
  <c r="AI51" i="163"/>
  <c r="X51" i="163"/>
  <c r="AH51" i="163" s="1"/>
  <c r="X11" i="163"/>
  <c r="AC11" i="163" s="1"/>
  <c r="AT51" i="159"/>
  <c r="AW51" i="159" s="1"/>
  <c r="U51" i="159"/>
  <c r="I25" i="163"/>
  <c r="V25" i="163" s="1"/>
  <c r="X25" i="163" s="1"/>
  <c r="I27" i="198"/>
  <c r="V27" i="198" s="1"/>
  <c r="AF28" i="198"/>
  <c r="BH29" i="159"/>
  <c r="I30" i="198"/>
  <c r="V30" i="198" s="1"/>
  <c r="I31" i="198"/>
  <c r="V31" i="198" s="1"/>
  <c r="W32" i="159"/>
  <c r="AJ38" i="198"/>
  <c r="I40" i="163"/>
  <c r="AS48" i="159"/>
  <c r="E56" i="163"/>
  <c r="U56" i="163" s="1"/>
  <c r="H9" i="156"/>
  <c r="H62" i="159"/>
  <c r="H66" i="159" s="1"/>
  <c r="Q69" i="58"/>
  <c r="H62" i="163"/>
  <c r="T49" i="27"/>
  <c r="D121" i="83"/>
  <c r="D30" i="197"/>
  <c r="I11" i="13"/>
  <c r="H42" i="159"/>
  <c r="H44" i="163"/>
  <c r="T44" i="163" s="1"/>
  <c r="AK44" i="163" s="1"/>
  <c r="H37" i="198"/>
  <c r="T37" i="198" s="1"/>
  <c r="AI37" i="198" s="1"/>
  <c r="I56" i="58"/>
  <c r="I8" i="277"/>
  <c r="T26" i="58"/>
  <c r="D24" i="163"/>
  <c r="U24" i="163" s="1"/>
  <c r="H11" i="198"/>
  <c r="AF28" i="163"/>
  <c r="AV62" i="159"/>
  <c r="W62" i="159"/>
  <c r="D37" i="58"/>
  <c r="D71" i="58" s="1"/>
  <c r="C17" i="373" s="1"/>
  <c r="AA23" i="198"/>
  <c r="AA35" i="198" s="1"/>
  <c r="E22" i="277"/>
  <c r="G22" i="277" s="1"/>
  <c r="X64" i="198"/>
  <c r="AH64" i="198" s="1"/>
  <c r="AF64" i="198"/>
  <c r="AJ42" i="163"/>
  <c r="AV39" i="159"/>
  <c r="W39" i="159"/>
  <c r="O52" i="58"/>
  <c r="C31" i="277"/>
  <c r="C26" i="277"/>
  <c r="O46" i="58"/>
  <c r="E63" i="198"/>
  <c r="U63" i="198" s="1"/>
  <c r="D66" i="198"/>
  <c r="E40" i="163"/>
  <c r="AF37" i="163"/>
  <c r="E37" i="163"/>
  <c r="X33" i="163"/>
  <c r="AH33" i="163" s="1"/>
  <c r="AF30" i="163"/>
  <c r="E45" i="159"/>
  <c r="AV28" i="159"/>
  <c r="BH28" i="159" s="1"/>
  <c r="U18" i="27"/>
  <c r="E16" i="173"/>
  <c r="F16" i="173" s="1"/>
  <c r="AA35" i="163"/>
  <c r="AA67" i="163" s="1"/>
  <c r="E36" i="277"/>
  <c r="G36" i="277" s="1"/>
  <c r="K69" i="58"/>
  <c r="X51" i="198"/>
  <c r="AH51" i="198" s="1"/>
  <c r="I38" i="163"/>
  <c r="W38" i="163"/>
  <c r="X38" i="163" s="1"/>
  <c r="G53" i="163"/>
  <c r="G23" i="163"/>
  <c r="U65" i="159"/>
  <c r="X65" i="159" s="1"/>
  <c r="AC65" i="159" s="1"/>
  <c r="BC65" i="159" s="1"/>
  <c r="AT65" i="159"/>
  <c r="E36" i="159"/>
  <c r="AZ30" i="159"/>
  <c r="BA30" i="159" s="1"/>
  <c r="AB30" i="159"/>
  <c r="U79" i="27"/>
  <c r="AJ49" i="27"/>
  <c r="AJ52" i="27" s="1"/>
  <c r="AJ60" i="27"/>
  <c r="M32" i="95"/>
  <c r="D32" i="197"/>
  <c r="D35" i="197" s="1"/>
  <c r="H11" i="13"/>
  <c r="R49" i="27"/>
  <c r="X33" i="198"/>
  <c r="AH33" i="198" s="1"/>
  <c r="G22" i="159"/>
  <c r="AF63" i="163"/>
  <c r="AF39" i="163"/>
  <c r="X40" i="163"/>
  <c r="E19" i="58"/>
  <c r="AB35" i="163"/>
  <c r="D23" i="159"/>
  <c r="T22" i="141"/>
  <c r="V22" i="141" s="1"/>
  <c r="E34" i="197"/>
  <c r="H44" i="197"/>
  <c r="F6" i="204"/>
  <c r="F17" i="204"/>
  <c r="I44" i="277"/>
  <c r="I46" i="277" s="1"/>
  <c r="AF44" i="163"/>
  <c r="T46" i="58"/>
  <c r="I26" i="277"/>
  <c r="O29" i="58"/>
  <c r="C11" i="277"/>
  <c r="W60" i="159"/>
  <c r="AV60" i="159"/>
  <c r="AZ53" i="159"/>
  <c r="BA44" i="159"/>
  <c r="BA53" i="159" s="1"/>
  <c r="W41" i="159"/>
  <c r="AV41" i="159"/>
  <c r="AW41" i="159" s="1"/>
  <c r="BB41" i="159" s="1"/>
  <c r="W30" i="159"/>
  <c r="AV30" i="159"/>
  <c r="E7" i="157"/>
  <c r="E16" i="157" s="1"/>
  <c r="F7" i="157" s="1"/>
  <c r="F16" i="157" s="1"/>
  <c r="G7" i="157" s="1"/>
  <c r="G16" i="157" s="1"/>
  <c r="H7" i="157" s="1"/>
  <c r="H16" i="157" s="1"/>
  <c r="I7" i="157" s="1"/>
  <c r="I16" i="157" s="1"/>
  <c r="J7" i="157" s="1"/>
  <c r="J16" i="157" s="1"/>
  <c r="K7" i="157" s="1"/>
  <c r="K16" i="157" s="1"/>
  <c r="L7" i="157" s="1"/>
  <c r="L16" i="157" s="1"/>
  <c r="M7" i="157" s="1"/>
  <c r="M16" i="157" s="1"/>
  <c r="N7" i="157" s="1"/>
  <c r="N16" i="157" s="1"/>
  <c r="F29" i="156"/>
  <c r="H8" i="156"/>
  <c r="C21" i="197"/>
  <c r="U39" i="141"/>
  <c r="H26" i="3" s="1"/>
  <c r="E32" i="95" s="1"/>
  <c r="V18" i="141"/>
  <c r="AI18" i="141" s="1"/>
  <c r="C103" i="140"/>
  <c r="D43" i="173"/>
  <c r="X63" i="163"/>
  <c r="AH63" i="163" s="1"/>
  <c r="I29" i="163"/>
  <c r="H29" i="159"/>
  <c r="H25" i="8"/>
  <c r="T11" i="141"/>
  <c r="V11" i="141" s="1"/>
  <c r="H20" i="3" s="1"/>
  <c r="C43" i="140"/>
  <c r="N14" i="87"/>
  <c r="D40" i="140"/>
  <c r="C41" i="140"/>
  <c r="N16" i="87"/>
  <c r="D53" i="163"/>
  <c r="W40" i="159"/>
  <c r="AV40" i="159"/>
  <c r="AA16" i="159"/>
  <c r="AA34" i="159" s="1"/>
  <c r="AA67" i="159" s="1"/>
  <c r="AZ9" i="159"/>
  <c r="C30" i="274"/>
  <c r="F14" i="173"/>
  <c r="E14" i="173"/>
  <c r="M14" i="87"/>
  <c r="L16" i="87"/>
  <c r="M16" i="87" s="1"/>
  <c r="D34" i="97"/>
  <c r="T38" i="141"/>
  <c r="D20" i="197"/>
  <c r="T37" i="141"/>
  <c r="D19" i="197"/>
  <c r="P29" i="87"/>
  <c r="C118" i="140"/>
  <c r="O48" i="58"/>
  <c r="G44" i="198"/>
  <c r="W44" i="198" s="1"/>
  <c r="I25" i="198"/>
  <c r="V25" i="198" s="1"/>
  <c r="H17" i="163"/>
  <c r="I30" i="159"/>
  <c r="AU30" i="159" s="1"/>
  <c r="AZ23" i="159"/>
  <c r="BA23" i="159" s="1"/>
  <c r="AS16" i="159"/>
  <c r="H10" i="159"/>
  <c r="H16" i="159" s="1"/>
  <c r="F28" i="27"/>
  <c r="D48" i="83"/>
  <c r="H13" i="156"/>
  <c r="P56" i="58"/>
  <c r="P71" i="58" s="1"/>
  <c r="E17" i="373" s="1"/>
  <c r="E18" i="373" s="1"/>
  <c r="E20" i="373" s="1"/>
  <c r="G42" i="159"/>
  <c r="G53" i="159" s="1"/>
  <c r="O45" i="58"/>
  <c r="C25" i="277"/>
  <c r="H36" i="159"/>
  <c r="H37" i="163"/>
  <c r="T37" i="163" s="1"/>
  <c r="AI37" i="163" s="1"/>
  <c r="H25" i="159"/>
  <c r="H26" i="163"/>
  <c r="G9" i="159"/>
  <c r="G10" i="163"/>
  <c r="O34" i="58"/>
  <c r="E33" i="277"/>
  <c r="G33" i="277" s="1"/>
  <c r="T59" i="159"/>
  <c r="AS59" i="159"/>
  <c r="C61" i="27"/>
  <c r="D61" i="27" s="1"/>
  <c r="F59" i="27"/>
  <c r="C60" i="27" s="1"/>
  <c r="E13" i="97"/>
  <c r="E11" i="96" s="1"/>
  <c r="C40" i="101"/>
  <c r="F6" i="278"/>
  <c r="AG16" i="141"/>
  <c r="AJ16" i="141" s="1"/>
  <c r="C45" i="141"/>
  <c r="R12" i="141"/>
  <c r="T62" i="58"/>
  <c r="O53" i="58"/>
  <c r="T48" i="58"/>
  <c r="O43" i="58"/>
  <c r="Q19" i="58"/>
  <c r="Q37" i="58" s="1"/>
  <c r="AB10" i="198"/>
  <c r="AB17" i="198" s="1"/>
  <c r="AB35" i="198" s="1"/>
  <c r="I27" i="163"/>
  <c r="G66" i="159"/>
  <c r="AS31" i="159"/>
  <c r="BA17" i="159"/>
  <c r="BA22" i="159" s="1"/>
  <c r="T10" i="159"/>
  <c r="AB9" i="159"/>
  <c r="AB16" i="159" s="1"/>
  <c r="I37" i="277"/>
  <c r="AC23" i="141"/>
  <c r="AB79" i="27"/>
  <c r="AA18" i="27"/>
  <c r="N26" i="141"/>
  <c r="M26" i="141"/>
  <c r="O26" i="141"/>
  <c r="E43" i="159"/>
  <c r="I28" i="159"/>
  <c r="V28" i="159" s="1"/>
  <c r="I26" i="159"/>
  <c r="AU26" i="159" s="1"/>
  <c r="AB60" i="27"/>
  <c r="AA31" i="27" s="1"/>
  <c r="AA22" i="141"/>
  <c r="AC22" i="141" s="1"/>
  <c r="B14" i="211"/>
  <c r="D7" i="23"/>
  <c r="AI25" i="141"/>
  <c r="V16" i="141"/>
  <c r="AI16" i="141" s="1"/>
  <c r="C88" i="140"/>
  <c r="N25" i="87"/>
  <c r="N26" i="87"/>
  <c r="P62" i="87"/>
  <c r="D118" i="140"/>
  <c r="AD17" i="141" s="1"/>
  <c r="C22" i="140"/>
  <c r="C24" i="140" s="1"/>
  <c r="O11" i="87"/>
  <c r="N11" i="87"/>
  <c r="F67" i="3"/>
  <c r="F71" i="3" s="1"/>
  <c r="X24" i="198"/>
  <c r="AC24" i="198" s="1"/>
  <c r="P36" i="8"/>
  <c r="Y17" i="141"/>
  <c r="AG38" i="141"/>
  <c r="AJ38" i="141" s="1"/>
  <c r="C20" i="197"/>
  <c r="U38" i="141"/>
  <c r="C19" i="197"/>
  <c r="U37" i="141"/>
  <c r="C8" i="197"/>
  <c r="AC14" i="141"/>
  <c r="AE11" i="141"/>
  <c r="C12" i="200"/>
  <c r="C14" i="200"/>
  <c r="H15" i="8"/>
  <c r="K36" i="8"/>
  <c r="G28" i="27"/>
  <c r="K40" i="141"/>
  <c r="K45" i="141" s="1"/>
  <c r="E21" i="197"/>
  <c r="AE39" i="141"/>
  <c r="E19" i="197"/>
  <c r="AE37" i="141"/>
  <c r="AG18" i="141"/>
  <c r="AJ18" i="141" s="1"/>
  <c r="C77" i="140"/>
  <c r="P28" i="87" s="1"/>
  <c r="C75" i="140"/>
  <c r="O29" i="87" s="1"/>
  <c r="C28" i="27"/>
  <c r="H18" i="156"/>
  <c r="AA25" i="141"/>
  <c r="AC25" i="141" s="1"/>
  <c r="R24" i="141"/>
  <c r="P21" i="141"/>
  <c r="R21" i="141" s="1"/>
  <c r="Z17" i="141"/>
  <c r="F286" i="140"/>
  <c r="C14" i="96"/>
  <c r="C18" i="96" s="1"/>
  <c r="N28" i="141"/>
  <c r="P28" i="141" s="1"/>
  <c r="R28" i="141" s="1"/>
  <c r="C86" i="140"/>
  <c r="D83" i="140" s="1"/>
  <c r="E21" i="204"/>
  <c r="C42" i="222"/>
  <c r="E42" i="222" s="1"/>
  <c r="H25" i="156"/>
  <c r="H20" i="156"/>
  <c r="K24" i="95"/>
  <c r="H74" i="95" s="1"/>
  <c r="G11" i="277"/>
  <c r="X65" i="198"/>
  <c r="AF65" i="198"/>
  <c r="AG65" i="198" s="1"/>
  <c r="T17" i="198"/>
  <c r="X11" i="198"/>
  <c r="G23" i="198"/>
  <c r="AF39" i="198"/>
  <c r="AF25" i="198"/>
  <c r="AF52" i="163"/>
  <c r="X52" i="163"/>
  <c r="AH52" i="163" s="1"/>
  <c r="W35" i="198"/>
  <c r="X34" i="198"/>
  <c r="AH34" i="198" s="1"/>
  <c r="AF64" i="163"/>
  <c r="X64" i="163"/>
  <c r="AH64" i="163" s="1"/>
  <c r="W66" i="163"/>
  <c r="W66" i="198"/>
  <c r="I40" i="198"/>
  <c r="I39" i="163"/>
  <c r="I31" i="163"/>
  <c r="V31" i="163" s="1"/>
  <c r="W31" i="163"/>
  <c r="W35" i="163" s="1"/>
  <c r="E39" i="159"/>
  <c r="AV36" i="159"/>
  <c r="W36" i="159"/>
  <c r="M19" i="87"/>
  <c r="O50" i="58"/>
  <c r="O42" i="58"/>
  <c r="C19" i="277"/>
  <c r="C16" i="277"/>
  <c r="O33" i="58"/>
  <c r="O32" i="58"/>
  <c r="O27" i="58"/>
  <c r="H66" i="198"/>
  <c r="I29" i="198"/>
  <c r="V29" i="198" s="1"/>
  <c r="I26" i="198"/>
  <c r="V26" i="198" s="1"/>
  <c r="E60" i="163"/>
  <c r="U60" i="163" s="1"/>
  <c r="AV47" i="159"/>
  <c r="C13" i="8"/>
  <c r="X38" i="198"/>
  <c r="AF29" i="198"/>
  <c r="AF26" i="198"/>
  <c r="W37" i="163"/>
  <c r="E58" i="159"/>
  <c r="I37" i="159"/>
  <c r="P58" i="87"/>
  <c r="P59" i="87"/>
  <c r="D117" i="140"/>
  <c r="E60" i="198"/>
  <c r="U60" i="198" s="1"/>
  <c r="AI51" i="198"/>
  <c r="AF51" i="198"/>
  <c r="E48" i="198"/>
  <c r="U48" i="198" s="1"/>
  <c r="I39" i="198"/>
  <c r="AF31" i="163"/>
  <c r="AS64" i="159"/>
  <c r="AG64" i="159"/>
  <c r="AS63" i="159"/>
  <c r="T63" i="159"/>
  <c r="E60" i="159"/>
  <c r="I24" i="159"/>
  <c r="AU24" i="159" s="1"/>
  <c r="AV24" i="159"/>
  <c r="BH24" i="159" s="1"/>
  <c r="AV23" i="159"/>
  <c r="O65" i="58"/>
  <c r="O54" i="58"/>
  <c r="C13" i="277"/>
  <c r="E62" i="198"/>
  <c r="U62" i="198" s="1"/>
  <c r="E59" i="198"/>
  <c r="U59" i="198" s="1"/>
  <c r="E49" i="198"/>
  <c r="U49" i="198" s="1"/>
  <c r="I38" i="198"/>
  <c r="E44" i="198"/>
  <c r="E42" i="198"/>
  <c r="U42" i="198" s="1"/>
  <c r="AK42" i="198" s="1"/>
  <c r="AA42" i="198"/>
  <c r="AA53" i="198" s="1"/>
  <c r="AF30" i="198"/>
  <c r="AF27" i="198"/>
  <c r="AF26" i="163"/>
  <c r="AS58" i="159"/>
  <c r="T58" i="159"/>
  <c r="T39" i="159"/>
  <c r="I39" i="159"/>
  <c r="T38" i="159"/>
  <c r="I38" i="159"/>
  <c r="P55" i="87"/>
  <c r="D115" i="140"/>
  <c r="E56" i="198"/>
  <c r="U56" i="198" s="1"/>
  <c r="G66" i="198"/>
  <c r="E45" i="198"/>
  <c r="U45" i="198" s="1"/>
  <c r="BF26" i="159" l="1"/>
  <c r="AJ34" i="163"/>
  <c r="AF34" i="163"/>
  <c r="X34" i="163"/>
  <c r="AH34" i="163" s="1"/>
  <c r="M57" i="277"/>
  <c r="P8" i="173" s="1"/>
  <c r="M55" i="277"/>
  <c r="BT26" i="159"/>
  <c r="AT23" i="159"/>
  <c r="AW23" i="159" s="1"/>
  <c r="U23" i="159"/>
  <c r="AT62" i="159"/>
  <c r="BT62" i="159" s="1"/>
  <c r="U62" i="159"/>
  <c r="C20" i="373"/>
  <c r="G54" i="3"/>
  <c r="F73" i="3"/>
  <c r="C23" i="157"/>
  <c r="S16" i="157"/>
  <c r="U48" i="159"/>
  <c r="AT48" i="159"/>
  <c r="BT48" i="159" s="1"/>
  <c r="AT47" i="159"/>
  <c r="AW47" i="159" s="1"/>
  <c r="U47" i="159"/>
  <c r="U45" i="159"/>
  <c r="AG45" i="159" s="1"/>
  <c r="AT45" i="159"/>
  <c r="AT44" i="159"/>
  <c r="AW44" i="159" s="1"/>
  <c r="U44" i="159"/>
  <c r="AT43" i="159"/>
  <c r="U43" i="159"/>
  <c r="AF43" i="159" s="1"/>
  <c r="AT40" i="159"/>
  <c r="AW40" i="159" s="1"/>
  <c r="U40" i="159"/>
  <c r="AG40" i="159" s="1"/>
  <c r="U60" i="159"/>
  <c r="AE60" i="159" s="1"/>
  <c r="AT60" i="159"/>
  <c r="U55" i="198"/>
  <c r="AJ55" i="198" s="1"/>
  <c r="X24" i="27"/>
  <c r="Y24" i="27" s="1"/>
  <c r="X21" i="27"/>
  <c r="Y21" i="27" s="1"/>
  <c r="X23" i="27"/>
  <c r="Y23" i="27" s="1"/>
  <c r="Y49" i="27"/>
  <c r="AB57" i="58"/>
  <c r="I40" i="3"/>
  <c r="J14" i="3" s="1"/>
  <c r="J40" i="3" s="1"/>
  <c r="K14" i="3" s="1"/>
  <c r="K40" i="3" s="1"/>
  <c r="L14" i="3" s="1"/>
  <c r="L40" i="3" s="1"/>
  <c r="B120" i="140"/>
  <c r="B125" i="140" s="1"/>
  <c r="K19" i="368"/>
  <c r="E37" i="58"/>
  <c r="E71" i="58" s="1"/>
  <c r="AB34" i="159"/>
  <c r="AB67" i="159" s="1"/>
  <c r="C117" i="140"/>
  <c r="S26" i="141" s="1"/>
  <c r="J18" i="8" s="1"/>
  <c r="J50" i="173"/>
  <c r="J6" i="173" s="1"/>
  <c r="F17" i="321"/>
  <c r="I15" i="173"/>
  <c r="I50" i="173"/>
  <c r="I6" i="173" s="1"/>
  <c r="G16" i="3"/>
  <c r="V71" i="3"/>
  <c r="H63" i="3"/>
  <c r="L27" i="95"/>
  <c r="S69" i="3"/>
  <c r="S73" i="3" s="1"/>
  <c r="I49" i="370"/>
  <c r="C10" i="197"/>
  <c r="K26" i="95"/>
  <c r="H76" i="95" s="1"/>
  <c r="H10" i="3"/>
  <c r="D77" i="95"/>
  <c r="G12" i="319"/>
  <c r="K33" i="307"/>
  <c r="H18" i="8"/>
  <c r="K15" i="173"/>
  <c r="H15" i="173"/>
  <c r="X29" i="27"/>
  <c r="Y29" i="27" s="1"/>
  <c r="G11" i="319"/>
  <c r="K25" i="307"/>
  <c r="AW60" i="159"/>
  <c r="AC18" i="27"/>
  <c r="BE41" i="159"/>
  <c r="X41" i="159"/>
  <c r="AC41" i="159" s="1"/>
  <c r="BC41" i="159" s="1"/>
  <c r="BD41" i="159" s="1"/>
  <c r="AG41" i="159"/>
  <c r="E30" i="197"/>
  <c r="K20" i="9"/>
  <c r="AD37" i="27"/>
  <c r="AD40" i="27" s="1"/>
  <c r="Z40" i="27"/>
  <c r="C7" i="197"/>
  <c r="H20" i="8"/>
  <c r="M11" i="13"/>
  <c r="H53" i="159"/>
  <c r="D129" i="83"/>
  <c r="H53" i="198"/>
  <c r="T35" i="163"/>
  <c r="H16" i="8"/>
  <c r="C9" i="197"/>
  <c r="H17" i="8"/>
  <c r="D32" i="27"/>
  <c r="C68" i="140"/>
  <c r="G36" i="8"/>
  <c r="AB67" i="163"/>
  <c r="Q60" i="141"/>
  <c r="C46" i="200"/>
  <c r="F46" i="200" s="1"/>
  <c r="F41" i="200"/>
  <c r="C36" i="8"/>
  <c r="H22" i="9"/>
  <c r="K22" i="9" s="1"/>
  <c r="AC51" i="198"/>
  <c r="Z51" i="198" s="1"/>
  <c r="AG51" i="198" s="1"/>
  <c r="AJ60" i="163"/>
  <c r="BT43" i="159"/>
  <c r="AB73" i="27"/>
  <c r="AB75" i="27" s="1"/>
  <c r="AF49" i="163"/>
  <c r="H8" i="319"/>
  <c r="AK45" i="163"/>
  <c r="AJ41" i="163"/>
  <c r="AJ58" i="163"/>
  <c r="H7" i="319"/>
  <c r="P54" i="87"/>
  <c r="P56" i="87" s="1"/>
  <c r="C32" i="23"/>
  <c r="C35" i="23" s="1"/>
  <c r="J38" i="156"/>
  <c r="AW45" i="159"/>
  <c r="AK48" i="163"/>
  <c r="AB31" i="27"/>
  <c r="AG32" i="159"/>
  <c r="BP32" i="159" s="1"/>
  <c r="V22" i="159"/>
  <c r="AK63" i="198"/>
  <c r="AJ63" i="198"/>
  <c r="AK56" i="198"/>
  <c r="AJ56" i="198"/>
  <c r="AK62" i="198"/>
  <c r="AK56" i="163"/>
  <c r="AE57" i="58"/>
  <c r="AE58" i="58" s="1"/>
  <c r="AE29" i="159"/>
  <c r="AE34" i="159" s="1"/>
  <c r="AG29" i="159"/>
  <c r="BP29" i="159" s="1"/>
  <c r="AB67" i="198"/>
  <c r="E14" i="96"/>
  <c r="AF32" i="159"/>
  <c r="BO32" i="159" s="1"/>
  <c r="C31" i="140"/>
  <c r="O24" i="87" s="1"/>
  <c r="AK58" i="163"/>
  <c r="BF24" i="159"/>
  <c r="AF63" i="159"/>
  <c r="BO63" i="159" s="1"/>
  <c r="AG63" i="159"/>
  <c r="BP63" i="159" s="1"/>
  <c r="AE37" i="159"/>
  <c r="BN37" i="159" s="1"/>
  <c r="AF31" i="159"/>
  <c r="BO31" i="159" s="1"/>
  <c r="AG39" i="159"/>
  <c r="BP39" i="159" s="1"/>
  <c r="AF39" i="159"/>
  <c r="BO39" i="159" s="1"/>
  <c r="T20" i="141"/>
  <c r="V20" i="141" s="1"/>
  <c r="AI20" i="141" s="1"/>
  <c r="AW31" i="159"/>
  <c r="BB31" i="159" s="1"/>
  <c r="AG31" i="159"/>
  <c r="BP31" i="159" s="1"/>
  <c r="AF38" i="159"/>
  <c r="BO38" i="159" s="1"/>
  <c r="AG38" i="159"/>
  <c r="BP38" i="159" s="1"/>
  <c r="AK32" i="163"/>
  <c r="AK35" i="163" s="1"/>
  <c r="AJ32" i="163"/>
  <c r="AJ35" i="163" s="1"/>
  <c r="AI32" i="163"/>
  <c r="AI35" i="163" s="1"/>
  <c r="AD26" i="141"/>
  <c r="R52" i="198"/>
  <c r="AC52" i="198"/>
  <c r="Z52" i="198" s="1"/>
  <c r="AG52" i="198" s="1"/>
  <c r="U49" i="159"/>
  <c r="AE49" i="159" s="1"/>
  <c r="BN49" i="159" s="1"/>
  <c r="Q35" i="141"/>
  <c r="Q40" i="141" s="1"/>
  <c r="T14" i="141"/>
  <c r="F40" i="141"/>
  <c r="F45" i="141" s="1"/>
  <c r="O20" i="8"/>
  <c r="C10" i="140"/>
  <c r="D7" i="140" s="1"/>
  <c r="BF25" i="159"/>
  <c r="C16" i="7"/>
  <c r="BF38" i="159"/>
  <c r="BF64" i="159"/>
  <c r="W53" i="198"/>
  <c r="W67" i="198" s="1"/>
  <c r="G53" i="198"/>
  <c r="AW50" i="159"/>
  <c r="AC21" i="141"/>
  <c r="AE21" i="141" s="1"/>
  <c r="AG21" i="141" s="1"/>
  <c r="AJ21" i="141" s="1"/>
  <c r="H14" i="9"/>
  <c r="K14" i="9" s="1"/>
  <c r="P23" i="87"/>
  <c r="BE59" i="159"/>
  <c r="T29" i="141"/>
  <c r="V29" i="141" s="1"/>
  <c r="L23" i="8" s="1"/>
  <c r="U73" i="27"/>
  <c r="U75" i="27" s="1"/>
  <c r="N10" i="307"/>
  <c r="I7" i="319" s="1"/>
  <c r="B12" i="320" s="1"/>
  <c r="X51" i="159"/>
  <c r="AD51" i="159" s="1"/>
  <c r="BM51" i="159" s="1"/>
  <c r="AI56" i="198"/>
  <c r="AI63" i="198"/>
  <c r="X50" i="159"/>
  <c r="AC50" i="159" s="1"/>
  <c r="AG50" i="159"/>
  <c r="L37" i="58"/>
  <c r="L71" i="58" s="1"/>
  <c r="H32" i="198"/>
  <c r="X23" i="159"/>
  <c r="N18" i="8"/>
  <c r="R65" i="163"/>
  <c r="X30" i="198"/>
  <c r="AK55" i="198"/>
  <c r="AI55" i="198"/>
  <c r="BF36" i="159"/>
  <c r="X27" i="198"/>
  <c r="R27" i="198" s="1"/>
  <c r="X28" i="198"/>
  <c r="AC28" i="198" s="1"/>
  <c r="X28" i="159"/>
  <c r="AD28" i="159" s="1"/>
  <c r="E11" i="200"/>
  <c r="AK50" i="163"/>
  <c r="X31" i="198"/>
  <c r="R31" i="198" s="1"/>
  <c r="D7" i="197"/>
  <c r="BE51" i="159"/>
  <c r="AG51" i="159"/>
  <c r="BP51" i="159" s="1"/>
  <c r="AK50" i="198"/>
  <c r="AE63" i="159"/>
  <c r="BN63" i="159" s="1"/>
  <c r="U44" i="198"/>
  <c r="AF44" i="198" s="1"/>
  <c r="F53" i="163"/>
  <c r="BO28" i="159"/>
  <c r="H53" i="163"/>
  <c r="H34" i="159"/>
  <c r="F66" i="83"/>
  <c r="BN28" i="159"/>
  <c r="E17" i="96"/>
  <c r="BF31" i="159"/>
  <c r="D72" i="140"/>
  <c r="N62" i="87" s="1"/>
  <c r="O25" i="87"/>
  <c r="R42" i="163"/>
  <c r="AF55" i="198"/>
  <c r="X55" i="198"/>
  <c r="AH55" i="198" s="1"/>
  <c r="X64" i="159"/>
  <c r="AD64" i="159" s="1"/>
  <c r="BP64" i="159"/>
  <c r="AF50" i="159"/>
  <c r="AJ42" i="198"/>
  <c r="G32" i="27"/>
  <c r="W34" i="159"/>
  <c r="X50" i="163"/>
  <c r="AH50" i="163" s="1"/>
  <c r="AF50" i="163"/>
  <c r="AJ50" i="163"/>
  <c r="AK37" i="163"/>
  <c r="X58" i="163"/>
  <c r="AH58" i="163" s="1"/>
  <c r="AF58" i="163"/>
  <c r="AF50" i="198"/>
  <c r="X50" i="198"/>
  <c r="AH50" i="198" s="1"/>
  <c r="AJ50" i="198"/>
  <c r="E59" i="159"/>
  <c r="C13" i="200"/>
  <c r="D45" i="197"/>
  <c r="D46" i="197" s="1"/>
  <c r="D48" i="197" s="1"/>
  <c r="N21" i="8"/>
  <c r="AI23" i="141"/>
  <c r="L21" i="8"/>
  <c r="M21" i="8" s="1"/>
  <c r="AA67" i="198"/>
  <c r="R51" i="198"/>
  <c r="AC39" i="163"/>
  <c r="AL39" i="163" s="1"/>
  <c r="K10" i="307"/>
  <c r="G4" i="319"/>
  <c r="I26" i="163"/>
  <c r="I35" i="163" s="1"/>
  <c r="BE31" i="159"/>
  <c r="BE34" i="159" s="1"/>
  <c r="D11" i="96"/>
  <c r="D14" i="96" s="1"/>
  <c r="I36" i="159"/>
  <c r="I53" i="159" s="1"/>
  <c r="BH62" i="159"/>
  <c r="V24" i="159"/>
  <c r="X24" i="159" s="1"/>
  <c r="V30" i="159"/>
  <c r="X30" i="159" s="1"/>
  <c r="V26" i="159"/>
  <c r="X26" i="159" s="1"/>
  <c r="R26" i="159" s="1"/>
  <c r="I25" i="159"/>
  <c r="V25" i="159" s="1"/>
  <c r="X25" i="159" s="1"/>
  <c r="AD25" i="159" s="1"/>
  <c r="I29" i="159"/>
  <c r="AU29" i="159" s="1"/>
  <c r="D17" i="96"/>
  <c r="V27" i="163"/>
  <c r="X27" i="163" s="1"/>
  <c r="X25" i="198"/>
  <c r="C37" i="277"/>
  <c r="O62" i="58"/>
  <c r="C36" i="277"/>
  <c r="O61" i="58"/>
  <c r="C23" i="277"/>
  <c r="F31" i="87"/>
  <c r="G24" i="173"/>
  <c r="O28" i="87"/>
  <c r="O26" i="87"/>
  <c r="BT51" i="159"/>
  <c r="AU28" i="159"/>
  <c r="BG28" i="159" s="1"/>
  <c r="X29" i="198"/>
  <c r="AH29" i="198" s="1"/>
  <c r="V29" i="163"/>
  <c r="X29" i="163" s="1"/>
  <c r="AH29" i="163" s="1"/>
  <c r="V27" i="159"/>
  <c r="X27" i="159" s="1"/>
  <c r="AC27" i="159" s="1"/>
  <c r="AU27" i="159"/>
  <c r="AW27" i="159" s="1"/>
  <c r="F31" i="321"/>
  <c r="F32" i="321" s="1"/>
  <c r="F9" i="321"/>
  <c r="K9" i="307"/>
  <c r="AF33" i="198"/>
  <c r="BE43" i="159"/>
  <c r="G12" i="307"/>
  <c r="G14" i="307" s="1"/>
  <c r="G42" i="307" s="1"/>
  <c r="G44" i="307" s="1"/>
  <c r="E12" i="307"/>
  <c r="I12" i="307"/>
  <c r="BH41" i="159"/>
  <c r="AJ38" i="163"/>
  <c r="AF38" i="163"/>
  <c r="BF50" i="159"/>
  <c r="BT50" i="159"/>
  <c r="AE50" i="159"/>
  <c r="AF38" i="198"/>
  <c r="C21" i="277"/>
  <c r="O41" i="58"/>
  <c r="C20" i="277"/>
  <c r="O40" i="58"/>
  <c r="BF29" i="159"/>
  <c r="BT29" i="159"/>
  <c r="AF29" i="159"/>
  <c r="BO29" i="159" s="1"/>
  <c r="X32" i="159"/>
  <c r="AD32" i="159" s="1"/>
  <c r="X31" i="159"/>
  <c r="AD31" i="159" s="1"/>
  <c r="BF30" i="159"/>
  <c r="BT30" i="159"/>
  <c r="AF62" i="163"/>
  <c r="BF63" i="159"/>
  <c r="BT63" i="159"/>
  <c r="F4" i="319"/>
  <c r="X59" i="198"/>
  <c r="AH59" i="198" s="1"/>
  <c r="AF37" i="198"/>
  <c r="AF43" i="198"/>
  <c r="X43" i="198"/>
  <c r="AH43" i="198" s="1"/>
  <c r="E46" i="198"/>
  <c r="U46" i="198" s="1"/>
  <c r="N23" i="8"/>
  <c r="AE29" i="141"/>
  <c r="AG29" i="141" s="1"/>
  <c r="AE24" i="141"/>
  <c r="N22" i="8"/>
  <c r="T24" i="141"/>
  <c r="V24" i="141" s="1"/>
  <c r="W25" i="141"/>
  <c r="AF25" i="141" s="1"/>
  <c r="C20" i="200"/>
  <c r="D55" i="197" s="1"/>
  <c r="P16" i="157"/>
  <c r="C100" i="140"/>
  <c r="C32" i="27"/>
  <c r="D55" i="83"/>
  <c r="D66" i="83" s="1"/>
  <c r="AC51" i="163"/>
  <c r="R51" i="163"/>
  <c r="AL11" i="163"/>
  <c r="Z11" i="163"/>
  <c r="BF51" i="159"/>
  <c r="E53" i="159"/>
  <c r="BH32" i="159"/>
  <c r="C7" i="277"/>
  <c r="BH39" i="159"/>
  <c r="BE48" i="159"/>
  <c r="F66" i="198"/>
  <c r="R30" i="163"/>
  <c r="AC30" i="163"/>
  <c r="T28" i="141"/>
  <c r="V28" i="141" s="1"/>
  <c r="V38" i="141"/>
  <c r="AI38" i="141" s="1"/>
  <c r="AI11" i="141"/>
  <c r="AG37" i="141"/>
  <c r="AJ37" i="141" s="1"/>
  <c r="AE14" i="141"/>
  <c r="AE22" i="141"/>
  <c r="N16" i="8"/>
  <c r="X10" i="159"/>
  <c r="T16" i="159"/>
  <c r="T34" i="159" s="1"/>
  <c r="C41" i="277"/>
  <c r="O14" i="87"/>
  <c r="D38" i="140"/>
  <c r="AT42" i="159"/>
  <c r="BT33" i="159"/>
  <c r="BF33" i="159"/>
  <c r="AC33" i="198"/>
  <c r="R33" i="198"/>
  <c r="BT49" i="159"/>
  <c r="AW49" i="159"/>
  <c r="AQ49" i="159" s="1"/>
  <c r="L13" i="345"/>
  <c r="E19" i="277"/>
  <c r="G19" i="277" s="1"/>
  <c r="K56" i="58"/>
  <c r="X24" i="163"/>
  <c r="AF24" i="163"/>
  <c r="I37" i="198"/>
  <c r="I53" i="198" s="1"/>
  <c r="T62" i="163"/>
  <c r="AK62" i="163" s="1"/>
  <c r="H66" i="163"/>
  <c r="C79" i="140"/>
  <c r="R24" i="198"/>
  <c r="P30" i="87"/>
  <c r="W18" i="141"/>
  <c r="AF18" i="141" s="1"/>
  <c r="AH18" i="141" s="1"/>
  <c r="W39" i="141"/>
  <c r="AF39" i="141" s="1"/>
  <c r="BH30" i="159"/>
  <c r="BH60" i="159"/>
  <c r="D53" i="198"/>
  <c r="D60" i="27"/>
  <c r="D53" i="159"/>
  <c r="C70" i="159" s="1"/>
  <c r="T21" i="141"/>
  <c r="V21" i="141" s="1"/>
  <c r="H7" i="9"/>
  <c r="P25" i="87"/>
  <c r="P27" i="87" s="1"/>
  <c r="C90" i="140"/>
  <c r="AJ37" i="163"/>
  <c r="T53" i="163"/>
  <c r="AV42" i="159"/>
  <c r="AV53" i="159" s="1"/>
  <c r="W42" i="159"/>
  <c r="W53" i="159" s="1"/>
  <c r="L48" i="87"/>
  <c r="M48" i="87" s="1"/>
  <c r="L7" i="13"/>
  <c r="O7" i="13"/>
  <c r="AI22" i="141"/>
  <c r="AC40" i="163"/>
  <c r="R40" i="163"/>
  <c r="AH40" i="163"/>
  <c r="BF37" i="159"/>
  <c r="BT37" i="159"/>
  <c r="AF40" i="163"/>
  <c r="C35" i="277"/>
  <c r="O59" i="58"/>
  <c r="Z28" i="141"/>
  <c r="X28" i="141"/>
  <c r="Y28" i="141"/>
  <c r="AE25" i="141"/>
  <c r="N15" i="8"/>
  <c r="AG11" i="141"/>
  <c r="AJ11" i="141" s="1"/>
  <c r="AA17" i="141"/>
  <c r="C33" i="95"/>
  <c r="D30" i="95"/>
  <c r="W16" i="141"/>
  <c r="AF16" i="141" s="1"/>
  <c r="AH16" i="141" s="1"/>
  <c r="AE23" i="141"/>
  <c r="BE40" i="159"/>
  <c r="C34" i="277"/>
  <c r="S17" i="141"/>
  <c r="C45" i="140"/>
  <c r="P14" i="87"/>
  <c r="P17" i="87" s="1"/>
  <c r="G10" i="198"/>
  <c r="H19" i="58"/>
  <c r="H37" i="58" s="1"/>
  <c r="H71" i="58" s="1"/>
  <c r="D17" i="373" s="1"/>
  <c r="C109" i="140"/>
  <c r="C106" i="140"/>
  <c r="AV66" i="159"/>
  <c r="X33" i="159"/>
  <c r="AF33" i="159"/>
  <c r="AW65" i="159"/>
  <c r="BT65" i="159"/>
  <c r="BF65" i="159"/>
  <c r="BT25" i="159"/>
  <c r="AC64" i="198"/>
  <c r="R64" i="198"/>
  <c r="R28" i="163"/>
  <c r="AC28" i="163"/>
  <c r="Q71" i="58"/>
  <c r="I37" i="163"/>
  <c r="I53" i="163" s="1"/>
  <c r="G56" i="58"/>
  <c r="O56" i="58" s="1"/>
  <c r="E58" i="198"/>
  <c r="X60" i="198"/>
  <c r="AH60" i="198" s="1"/>
  <c r="E59" i="163"/>
  <c r="U59" i="163" s="1"/>
  <c r="I35" i="198"/>
  <c r="X18" i="27"/>
  <c r="H35" i="163"/>
  <c r="W23" i="141"/>
  <c r="AF23" i="141" s="1"/>
  <c r="BH40" i="159"/>
  <c r="O16" i="87"/>
  <c r="Y19" i="141"/>
  <c r="Z19" i="141"/>
  <c r="R60" i="141"/>
  <c r="AC32" i="163"/>
  <c r="R32" i="163"/>
  <c r="F18" i="27"/>
  <c r="F32" i="27" s="1"/>
  <c r="G17" i="163"/>
  <c r="G35" i="163" s="1"/>
  <c r="G67" i="163" s="1"/>
  <c r="BA9" i="159"/>
  <c r="BA16" i="159" s="1"/>
  <c r="BA34" i="159" s="1"/>
  <c r="BA67" i="159" s="1"/>
  <c r="AZ16" i="159"/>
  <c r="AZ34" i="159" s="1"/>
  <c r="AZ67" i="159" s="1"/>
  <c r="BF41" i="159"/>
  <c r="BT41" i="159"/>
  <c r="AC25" i="163"/>
  <c r="R25" i="163"/>
  <c r="X44" i="163"/>
  <c r="AJ44" i="163"/>
  <c r="N59" i="87"/>
  <c r="N58" i="87"/>
  <c r="D88" i="140"/>
  <c r="D90" i="140" s="1"/>
  <c r="D86" i="140"/>
  <c r="AG39" i="141"/>
  <c r="AJ39" i="141" s="1"/>
  <c r="C50" i="200"/>
  <c r="P24" i="87"/>
  <c r="T12" i="141"/>
  <c r="I13" i="8"/>
  <c r="G16" i="159"/>
  <c r="G34" i="159" s="1"/>
  <c r="G67" i="159" s="1"/>
  <c r="AS36" i="159"/>
  <c r="T36" i="159"/>
  <c r="AE36" i="159" s="1"/>
  <c r="AG20" i="141"/>
  <c r="AJ20" i="141" s="1"/>
  <c r="V37" i="141"/>
  <c r="AI37" i="141" s="1"/>
  <c r="AC63" i="163"/>
  <c r="L12" i="8"/>
  <c r="M12" i="8" s="1"/>
  <c r="H26" i="156"/>
  <c r="AF41" i="159"/>
  <c r="T18" i="27"/>
  <c r="V23" i="163"/>
  <c r="X18" i="163"/>
  <c r="AC33" i="163"/>
  <c r="Z33" i="163" s="1"/>
  <c r="AG33" i="163" s="1"/>
  <c r="R33" i="163"/>
  <c r="R34" i="163"/>
  <c r="AC34" i="163"/>
  <c r="AF63" i="198"/>
  <c r="X63" i="198"/>
  <c r="AH63" i="198" s="1"/>
  <c r="AL42" i="163"/>
  <c r="Z42" i="163"/>
  <c r="AG42" i="163" s="1"/>
  <c r="AQ51" i="159"/>
  <c r="BB51" i="159"/>
  <c r="I19" i="58"/>
  <c r="I37" i="58" s="1"/>
  <c r="I71" i="58" s="1"/>
  <c r="H10" i="198"/>
  <c r="V10" i="198" s="1"/>
  <c r="T42" i="159"/>
  <c r="AG42" i="159" s="1"/>
  <c r="AS42" i="159"/>
  <c r="T62" i="159"/>
  <c r="AS62" i="159"/>
  <c r="AS66" i="159" s="1"/>
  <c r="BP30" i="159"/>
  <c r="L15" i="8"/>
  <c r="P26" i="141"/>
  <c r="R26" i="141" s="1"/>
  <c r="AS34" i="159"/>
  <c r="W66" i="159"/>
  <c r="AW33" i="159"/>
  <c r="AT58" i="159"/>
  <c r="AW58" i="159" s="1"/>
  <c r="U58" i="159"/>
  <c r="AE58" i="159" s="1"/>
  <c r="X62" i="198"/>
  <c r="AH62" i="198" s="1"/>
  <c r="AJ62" i="198"/>
  <c r="AF62" i="198"/>
  <c r="AW26" i="159"/>
  <c r="X45" i="198"/>
  <c r="AH45" i="198" s="1"/>
  <c r="AF45" i="198"/>
  <c r="BF27" i="159"/>
  <c r="BT27" i="159"/>
  <c r="BE58" i="159"/>
  <c r="X63" i="159"/>
  <c r="AD63" i="159" s="1"/>
  <c r="AC38" i="198"/>
  <c r="R38" i="198"/>
  <c r="BF28" i="159"/>
  <c r="BT28" i="159"/>
  <c r="AC34" i="198"/>
  <c r="R34" i="198"/>
  <c r="AC52" i="163"/>
  <c r="R52" i="163"/>
  <c r="AL24" i="198"/>
  <c r="Z24" i="198"/>
  <c r="AG24" i="198" s="1"/>
  <c r="R65" i="198"/>
  <c r="AC65" i="198"/>
  <c r="AL65" i="198" s="1"/>
  <c r="P60" i="87"/>
  <c r="E43" i="163"/>
  <c r="U43" i="163" s="1"/>
  <c r="X39" i="198"/>
  <c r="AC17" i="159"/>
  <c r="BN31" i="159"/>
  <c r="BE64" i="159"/>
  <c r="AW64" i="159"/>
  <c r="AF48" i="198"/>
  <c r="AF60" i="198"/>
  <c r="BE37" i="159"/>
  <c r="AW37" i="159"/>
  <c r="AQ37" i="159" s="1"/>
  <c r="BH47" i="159"/>
  <c r="AF42" i="198"/>
  <c r="AG42" i="198" s="1"/>
  <c r="BT39" i="159"/>
  <c r="AW39" i="159"/>
  <c r="BF39" i="159"/>
  <c r="AW17" i="159"/>
  <c r="AU22" i="159"/>
  <c r="BG17" i="159"/>
  <c r="BG22" i="159" s="1"/>
  <c r="BE38" i="159"/>
  <c r="AW38" i="159"/>
  <c r="AQ38" i="159" s="1"/>
  <c r="X39" i="159"/>
  <c r="BE39" i="159"/>
  <c r="AC38" i="163"/>
  <c r="R38" i="163"/>
  <c r="AF59" i="198"/>
  <c r="W53" i="163"/>
  <c r="W67" i="163" s="1"/>
  <c r="X37" i="163"/>
  <c r="BH36" i="159"/>
  <c r="BE60" i="159"/>
  <c r="AC64" i="163"/>
  <c r="R64" i="163"/>
  <c r="X18" i="198"/>
  <c r="V23" i="198"/>
  <c r="AC11" i="198"/>
  <c r="E56" i="159"/>
  <c r="E41" i="198"/>
  <c r="U41" i="198" s="1"/>
  <c r="X26" i="198"/>
  <c r="AH26" i="198" s="1"/>
  <c r="BG23" i="159"/>
  <c r="X38" i="159"/>
  <c r="BH23" i="159"/>
  <c r="AV34" i="159"/>
  <c r="BE63" i="159"/>
  <c r="AW63" i="159"/>
  <c r="X37" i="159"/>
  <c r="AG37" i="159"/>
  <c r="BP37" i="159" s="1"/>
  <c r="AF37" i="159"/>
  <c r="BT32" i="159"/>
  <c r="AW32" i="159"/>
  <c r="BF32" i="159"/>
  <c r="BN32" i="159"/>
  <c r="T53" i="198"/>
  <c r="X40" i="198"/>
  <c r="X48" i="198"/>
  <c r="AH48" i="198" s="1"/>
  <c r="X42" i="198"/>
  <c r="AC42" i="198" s="1"/>
  <c r="D18" i="373" l="1"/>
  <c r="D20" i="373" s="1"/>
  <c r="M60" i="277"/>
  <c r="AT59" i="159"/>
  <c r="U59" i="159"/>
  <c r="U56" i="159"/>
  <c r="AT56" i="159"/>
  <c r="AC20" i="27"/>
  <c r="J8" i="173"/>
  <c r="J9" i="173"/>
  <c r="W9" i="27"/>
  <c r="W7" i="27"/>
  <c r="T7" i="27"/>
  <c r="U7" i="27" s="1"/>
  <c r="V20" i="27"/>
  <c r="E20" i="173"/>
  <c r="D20" i="173"/>
  <c r="I63" i="3"/>
  <c r="E36" i="307"/>
  <c r="E38" i="307" s="1"/>
  <c r="E14" i="307"/>
  <c r="E42" i="307" s="1"/>
  <c r="E44" i="307" s="1"/>
  <c r="I26" i="3"/>
  <c r="E82" i="95" s="1"/>
  <c r="H25" i="3"/>
  <c r="E30" i="95" s="1"/>
  <c r="H24" i="3"/>
  <c r="E31" i="95" s="1"/>
  <c r="E25" i="173"/>
  <c r="F25" i="173" s="1"/>
  <c r="B18" i="98"/>
  <c r="E25" i="9"/>
  <c r="P19" i="141"/>
  <c r="I9" i="173"/>
  <c r="I8" i="173"/>
  <c r="X45" i="163"/>
  <c r="AH45" i="163" s="1"/>
  <c r="G65" i="3"/>
  <c r="G71" i="3" s="1"/>
  <c r="K20" i="173"/>
  <c r="N50" i="173"/>
  <c r="N6" i="173" s="1"/>
  <c r="J15" i="173"/>
  <c r="H36" i="3"/>
  <c r="I10" i="3" s="1"/>
  <c r="I62" i="370"/>
  <c r="J49" i="370" s="1"/>
  <c r="G123" i="83"/>
  <c r="L15" i="173"/>
  <c r="M77" i="95"/>
  <c r="G77" i="95"/>
  <c r="K43" i="307"/>
  <c r="G13" i="319"/>
  <c r="E52" i="140"/>
  <c r="E121" i="140" s="1"/>
  <c r="C15" i="97" s="1"/>
  <c r="C20" i="97" s="1"/>
  <c r="E56" i="140"/>
  <c r="H67" i="159"/>
  <c r="AI45" i="163"/>
  <c r="AF45" i="163"/>
  <c r="X49" i="159"/>
  <c r="R49" i="159" s="1"/>
  <c r="AG62" i="159"/>
  <c r="BP62" i="159" s="1"/>
  <c r="C18" i="197"/>
  <c r="C22" i="197" s="1"/>
  <c r="AL51" i="198"/>
  <c r="D32" i="8"/>
  <c r="AK41" i="163"/>
  <c r="I50" i="27"/>
  <c r="AG43" i="159"/>
  <c r="BP43" i="159" s="1"/>
  <c r="N19" i="8"/>
  <c r="AJ48" i="163"/>
  <c r="AE43" i="159"/>
  <c r="BN43" i="159" s="1"/>
  <c r="I36" i="307"/>
  <c r="I38" i="307" s="1"/>
  <c r="I14" i="307"/>
  <c r="I42" i="307" s="1"/>
  <c r="I44" i="307" s="1"/>
  <c r="G36" i="307"/>
  <c r="G38" i="307" s="1"/>
  <c r="K75" i="58"/>
  <c r="H73" i="346" s="1"/>
  <c r="O18" i="8"/>
  <c r="AQ31" i="159"/>
  <c r="AE26" i="141"/>
  <c r="AG26" i="141" s="1"/>
  <c r="AJ26" i="141" s="1"/>
  <c r="BI51" i="159"/>
  <c r="AI41" i="163"/>
  <c r="E18" i="96"/>
  <c r="BT45" i="159"/>
  <c r="AF60" i="163"/>
  <c r="BF49" i="159"/>
  <c r="AI60" i="163"/>
  <c r="AE40" i="159"/>
  <c r="BN40" i="159" s="1"/>
  <c r="AF49" i="159"/>
  <c r="BO49" i="159" s="1"/>
  <c r="AC26" i="159"/>
  <c r="Z26" i="159" s="1"/>
  <c r="AK60" i="163"/>
  <c r="X60" i="163"/>
  <c r="AH60" i="163" s="1"/>
  <c r="BG26" i="159"/>
  <c r="F45" i="200"/>
  <c r="C51" i="200"/>
  <c r="C52" i="200" s="1"/>
  <c r="C54" i="200" s="1"/>
  <c r="BN29" i="159"/>
  <c r="BN34" i="159" s="1"/>
  <c r="L11" i="8"/>
  <c r="M11" i="8" s="1"/>
  <c r="AL52" i="198"/>
  <c r="AI48" i="163"/>
  <c r="AK49" i="163"/>
  <c r="G8" i="319"/>
  <c r="T32" i="198"/>
  <c r="X32" i="198" s="1"/>
  <c r="AH32" i="198" s="1"/>
  <c r="G7" i="319"/>
  <c r="L10" i="307"/>
  <c r="AJ49" i="163"/>
  <c r="X48" i="163"/>
  <c r="AH48" i="163" s="1"/>
  <c r="AJ45" i="163"/>
  <c r="AF48" i="163"/>
  <c r="AI56" i="163"/>
  <c r="BI50" i="159"/>
  <c r="AK49" i="198"/>
  <c r="AJ49" i="198"/>
  <c r="AI48" i="198"/>
  <c r="AK48" i="198"/>
  <c r="AJ48" i="198"/>
  <c r="AJ46" i="198"/>
  <c r="AK46" i="198"/>
  <c r="AI46" i="198"/>
  <c r="AI45" i="198"/>
  <c r="AJ45" i="198"/>
  <c r="AK45" i="198"/>
  <c r="AK43" i="198"/>
  <c r="AJ43" i="198"/>
  <c r="AI43" i="198"/>
  <c r="AJ41" i="198"/>
  <c r="AK41" i="198"/>
  <c r="AI41" i="198"/>
  <c r="AI62" i="198"/>
  <c r="AK60" i="198"/>
  <c r="AJ60" i="198"/>
  <c r="AI59" i="198"/>
  <c r="AK59" i="198"/>
  <c r="AJ59" i="198"/>
  <c r="AI60" i="198"/>
  <c r="AJ56" i="163"/>
  <c r="AG60" i="159"/>
  <c r="BP60" i="159" s="1"/>
  <c r="AF48" i="159"/>
  <c r="BO48" i="159" s="1"/>
  <c r="AG48" i="159"/>
  <c r="BP48" i="159" s="1"/>
  <c r="G38" i="3"/>
  <c r="AC50" i="163"/>
  <c r="Z50" i="163" s="1"/>
  <c r="AG50" i="163" s="1"/>
  <c r="AI43" i="163"/>
  <c r="AK43" i="163"/>
  <c r="AJ43" i="163"/>
  <c r="AC27" i="198"/>
  <c r="Z27" i="198" s="1"/>
  <c r="AG27" i="198" s="1"/>
  <c r="AG44" i="159"/>
  <c r="AF44" i="159"/>
  <c r="BO44" i="159" s="1"/>
  <c r="AE44" i="159"/>
  <c r="BN44" i="159" s="1"/>
  <c r="AF60" i="159"/>
  <c r="BO60" i="159" s="1"/>
  <c r="AE45" i="159"/>
  <c r="BN45" i="159" s="1"/>
  <c r="AF40" i="159"/>
  <c r="BO40" i="159" s="1"/>
  <c r="D28" i="140"/>
  <c r="N57" i="87" s="1"/>
  <c r="AF58" i="159"/>
  <c r="BO58" i="159" s="1"/>
  <c r="AF45" i="159"/>
  <c r="BO45" i="159" s="1"/>
  <c r="AG58" i="159"/>
  <c r="BP58" i="159" s="1"/>
  <c r="R50" i="198"/>
  <c r="AG47" i="159"/>
  <c r="BP47" i="159" s="1"/>
  <c r="AE47" i="159"/>
  <c r="BN47" i="159" s="1"/>
  <c r="AF47" i="159"/>
  <c r="BO47" i="159" s="1"/>
  <c r="AW28" i="159"/>
  <c r="BI28" i="159" s="1"/>
  <c r="R27" i="159"/>
  <c r="AJ59" i="163"/>
  <c r="AK59" i="163"/>
  <c r="AG49" i="159"/>
  <c r="BP49" i="159" s="1"/>
  <c r="AD50" i="159"/>
  <c r="Z50" i="159" s="1"/>
  <c r="R50" i="159"/>
  <c r="BC50" i="159"/>
  <c r="BB50" i="159"/>
  <c r="AQ50" i="159"/>
  <c r="R50" i="163"/>
  <c r="Q45" i="141"/>
  <c r="W33" i="27"/>
  <c r="B123" i="83"/>
  <c r="Z39" i="163"/>
  <c r="B26" i="101"/>
  <c r="V14" i="141"/>
  <c r="D34" i="200"/>
  <c r="E34" i="200" s="1"/>
  <c r="E31" i="274"/>
  <c r="X40" i="159"/>
  <c r="AD40" i="159" s="1"/>
  <c r="BM40" i="159" s="1"/>
  <c r="H35" i="141"/>
  <c r="H40" i="141" s="1"/>
  <c r="H45" i="141" s="1"/>
  <c r="M15" i="8"/>
  <c r="AC55" i="198"/>
  <c r="AL55" i="198" s="1"/>
  <c r="R51" i="159"/>
  <c r="AC51" i="159"/>
  <c r="Z51" i="159" s="1"/>
  <c r="D18" i="96"/>
  <c r="BM64" i="159"/>
  <c r="BF62" i="159"/>
  <c r="G71" i="58"/>
  <c r="AW62" i="159"/>
  <c r="BB62" i="159" s="1"/>
  <c r="AC64" i="159"/>
  <c r="Z64" i="159" s="1"/>
  <c r="N21" i="87"/>
  <c r="C64" i="140"/>
  <c r="N22" i="87"/>
  <c r="R64" i="159"/>
  <c r="AF62" i="159"/>
  <c r="BO62" i="159" s="1"/>
  <c r="Z41" i="159"/>
  <c r="AJ44" i="198"/>
  <c r="X44" i="198"/>
  <c r="R28" i="159"/>
  <c r="AC28" i="159"/>
  <c r="BC28" i="159" s="1"/>
  <c r="M23" i="8"/>
  <c r="AF34" i="159"/>
  <c r="BF45" i="159"/>
  <c r="BT44" i="159"/>
  <c r="R55" i="198"/>
  <c r="AK44" i="198"/>
  <c r="BH66" i="159"/>
  <c r="AH30" i="198"/>
  <c r="AC30" i="198"/>
  <c r="R30" i="198"/>
  <c r="AI59" i="163"/>
  <c r="AI62" i="163"/>
  <c r="AE62" i="159"/>
  <c r="BN62" i="159" s="1"/>
  <c r="BP45" i="159"/>
  <c r="BP40" i="159"/>
  <c r="AC31" i="198"/>
  <c r="AL31" i="198" s="1"/>
  <c r="R58" i="163"/>
  <c r="R28" i="198"/>
  <c r="BO43" i="159"/>
  <c r="AC17" i="141"/>
  <c r="E7" i="197" s="1"/>
  <c r="X48" i="159"/>
  <c r="AD48" i="159" s="1"/>
  <c r="D77" i="140"/>
  <c r="D79" i="140" s="1"/>
  <c r="E9" i="200"/>
  <c r="AH39" i="141"/>
  <c r="AC58" i="163"/>
  <c r="AL58" i="163" s="1"/>
  <c r="U58" i="198"/>
  <c r="U66" i="198" s="1"/>
  <c r="AF41" i="163"/>
  <c r="AC50" i="198"/>
  <c r="AL50" i="198" s="1"/>
  <c r="AT53" i="159"/>
  <c r="BH34" i="159"/>
  <c r="BB23" i="159"/>
  <c r="AY23" i="159" s="1"/>
  <c r="AQ23" i="159"/>
  <c r="BF43" i="159"/>
  <c r="D75" i="140"/>
  <c r="O61" i="87" s="1"/>
  <c r="AI49" i="198"/>
  <c r="AW43" i="159"/>
  <c r="BB43" i="159" s="1"/>
  <c r="N61" i="87"/>
  <c r="X49" i="198"/>
  <c r="AH49" i="198" s="1"/>
  <c r="AF49" i="198"/>
  <c r="X60" i="159"/>
  <c r="AD60" i="159" s="1"/>
  <c r="BM60" i="159" s="1"/>
  <c r="I34" i="159"/>
  <c r="I67" i="159" s="1"/>
  <c r="X62" i="159"/>
  <c r="AD62" i="159" s="1"/>
  <c r="BN58" i="159"/>
  <c r="X41" i="163"/>
  <c r="X49" i="163"/>
  <c r="AI49" i="163"/>
  <c r="AC43" i="198"/>
  <c r="AG34" i="159"/>
  <c r="AE48" i="159"/>
  <c r="BN48" i="159" s="1"/>
  <c r="BF40" i="159"/>
  <c r="BT40" i="159"/>
  <c r="E66" i="198"/>
  <c r="AF41" i="198"/>
  <c r="X41" i="198"/>
  <c r="L11" i="345"/>
  <c r="L19" i="345"/>
  <c r="F49" i="27"/>
  <c r="AC57" i="58"/>
  <c r="AC58" i="58" s="1"/>
  <c r="W22" i="141"/>
  <c r="AF22" i="141" s="1"/>
  <c r="L16" i="8"/>
  <c r="M16" i="8" s="1"/>
  <c r="AD18" i="27"/>
  <c r="AW48" i="159"/>
  <c r="AQ48" i="159" s="1"/>
  <c r="BF48" i="159"/>
  <c r="U53" i="159"/>
  <c r="BG27" i="159"/>
  <c r="R25" i="198"/>
  <c r="AC25" i="198"/>
  <c r="AL25" i="198" s="1"/>
  <c r="R29" i="198"/>
  <c r="AC29" i="198"/>
  <c r="AL29" i="198" s="1"/>
  <c r="R27" i="163"/>
  <c r="AC27" i="163"/>
  <c r="AL27" i="163" s="1"/>
  <c r="AS53" i="159"/>
  <c r="AS67" i="159" s="1"/>
  <c r="V29" i="159"/>
  <c r="X29" i="159" s="1"/>
  <c r="AD29" i="159" s="1"/>
  <c r="BI31" i="159"/>
  <c r="I67" i="163"/>
  <c r="BH42" i="159"/>
  <c r="BH53" i="159" s="1"/>
  <c r="AU25" i="159"/>
  <c r="BG25" i="159" s="1"/>
  <c r="V26" i="163"/>
  <c r="X26" i="163" s="1"/>
  <c r="AH26" i="163" s="1"/>
  <c r="B23" i="307"/>
  <c r="F16" i="321"/>
  <c r="G6" i="278"/>
  <c r="J6" i="278" s="1"/>
  <c r="G10" i="278"/>
  <c r="AC29" i="163"/>
  <c r="Z29" i="163" s="1"/>
  <c r="AG29" i="163" s="1"/>
  <c r="R29" i="163"/>
  <c r="H17" i="198"/>
  <c r="H35" i="198" s="1"/>
  <c r="H67" i="198" s="1"/>
  <c r="AG24" i="141"/>
  <c r="AJ24" i="141" s="1"/>
  <c r="W24" i="141"/>
  <c r="AF24" i="141" s="1"/>
  <c r="E6" i="277"/>
  <c r="BF44" i="159"/>
  <c r="R43" i="198"/>
  <c r="AC32" i="159"/>
  <c r="AH32" i="159" s="1"/>
  <c r="R32" i="159"/>
  <c r="H12" i="307"/>
  <c r="J12" i="307"/>
  <c r="F12" i="307"/>
  <c r="K11" i="307"/>
  <c r="AH41" i="159"/>
  <c r="X36" i="159"/>
  <c r="R36" i="159" s="1"/>
  <c r="E46" i="163"/>
  <c r="U46" i="163" s="1"/>
  <c r="X47" i="159"/>
  <c r="AD47" i="159" s="1"/>
  <c r="BF47" i="159"/>
  <c r="BT47" i="159"/>
  <c r="X44" i="159"/>
  <c r="AD44" i="159" s="1"/>
  <c r="X43" i="159"/>
  <c r="AD43" i="159" s="1"/>
  <c r="AC60" i="198"/>
  <c r="R60" i="198"/>
  <c r="R59" i="198"/>
  <c r="AC59" i="198"/>
  <c r="F8" i="319"/>
  <c r="BM31" i="159"/>
  <c r="BQ31" i="159" s="1"/>
  <c r="R31" i="159"/>
  <c r="AC31" i="159"/>
  <c r="X58" i="159"/>
  <c r="AD58" i="159" s="1"/>
  <c r="BM58" i="159" s="1"/>
  <c r="AF56" i="163"/>
  <c r="U53" i="198"/>
  <c r="AI24" i="141"/>
  <c r="W29" i="141"/>
  <c r="AF29" i="141" s="1"/>
  <c r="Q23" i="8" s="1"/>
  <c r="O32" i="157"/>
  <c r="C32" i="157"/>
  <c r="X56" i="163"/>
  <c r="AH56" i="163" s="1"/>
  <c r="X46" i="198"/>
  <c r="AH46" i="198" s="1"/>
  <c r="AF46" i="198"/>
  <c r="Z51" i="163"/>
  <c r="AG51" i="163" s="1"/>
  <c r="AC38" i="159"/>
  <c r="Z38" i="159" s="1"/>
  <c r="R38" i="159"/>
  <c r="AC37" i="159"/>
  <c r="Z37" i="159" s="1"/>
  <c r="R37" i="159"/>
  <c r="E46" i="277"/>
  <c r="E49" i="277" s="1"/>
  <c r="C31" i="274"/>
  <c r="C34" i="274" s="1"/>
  <c r="G15" i="173"/>
  <c r="C8" i="277"/>
  <c r="O26" i="58"/>
  <c r="AL51" i="163"/>
  <c r="X45" i="159"/>
  <c r="AD45" i="159" s="1"/>
  <c r="BB44" i="159"/>
  <c r="AQ44" i="159"/>
  <c r="AL28" i="198"/>
  <c r="Z28" i="198"/>
  <c r="AG28" i="198" s="1"/>
  <c r="BP34" i="159"/>
  <c r="I67" i="198"/>
  <c r="AL33" i="163"/>
  <c r="T66" i="159"/>
  <c r="W67" i="159"/>
  <c r="I51" i="27"/>
  <c r="BI23" i="159"/>
  <c r="AC23" i="159"/>
  <c r="BC23" i="159" s="1"/>
  <c r="R23" i="159"/>
  <c r="P50" i="173"/>
  <c r="O13" i="58"/>
  <c r="AY51" i="159"/>
  <c r="BQ51" i="159"/>
  <c r="AC18" i="163"/>
  <c r="F37" i="173"/>
  <c r="G32" i="95"/>
  <c r="G39" i="3"/>
  <c r="V16" i="159"/>
  <c r="X9" i="159"/>
  <c r="AY31" i="159"/>
  <c r="D10" i="140"/>
  <c r="O45" i="87" s="1"/>
  <c r="N45" i="87"/>
  <c r="H9" i="8"/>
  <c r="D13" i="8"/>
  <c r="R30" i="159"/>
  <c r="AC30" i="159"/>
  <c r="D103" i="140"/>
  <c r="D11" i="13"/>
  <c r="D49" i="27"/>
  <c r="C32" i="197"/>
  <c r="C35" i="197" s="1"/>
  <c r="C21" i="204"/>
  <c r="O69" i="58"/>
  <c r="AG23" i="141"/>
  <c r="AJ23" i="141" s="1"/>
  <c r="AG25" i="141"/>
  <c r="E18" i="173"/>
  <c r="F18" i="173" s="1"/>
  <c r="K7" i="9"/>
  <c r="R24" i="163"/>
  <c r="AC24" i="163"/>
  <c r="D43" i="140"/>
  <c r="N48" i="87"/>
  <c r="O48" i="87" s="1"/>
  <c r="D41" i="140"/>
  <c r="D22" i="95"/>
  <c r="B33" i="95"/>
  <c r="Z30" i="163"/>
  <c r="AG30" i="163" s="1"/>
  <c r="AL30" i="163"/>
  <c r="C30" i="197"/>
  <c r="BE42" i="159"/>
  <c r="H67" i="163"/>
  <c r="AC25" i="159"/>
  <c r="R25" i="159"/>
  <c r="BN36" i="159"/>
  <c r="AF36" i="159"/>
  <c r="AG36" i="159"/>
  <c r="BP36" i="159" s="1"/>
  <c r="J35" i="141"/>
  <c r="AW29" i="159"/>
  <c r="J20" i="8"/>
  <c r="AL40" i="163"/>
  <c r="Z40" i="163"/>
  <c r="K9" i="9"/>
  <c r="AL33" i="198"/>
  <c r="Z33" i="198"/>
  <c r="AG33" i="198" s="1"/>
  <c r="AL63" i="163"/>
  <c r="Z63" i="163"/>
  <c r="AG63" i="163" s="1"/>
  <c r="AW9" i="159"/>
  <c r="AU16" i="159"/>
  <c r="BG9" i="159"/>
  <c r="BG16" i="159" s="1"/>
  <c r="Z15" i="141"/>
  <c r="O59" i="87"/>
  <c r="O58" i="87"/>
  <c r="BG30" i="159"/>
  <c r="AW30" i="159"/>
  <c r="BM30" i="159" s="1"/>
  <c r="AA19" i="141"/>
  <c r="AL28" i="163"/>
  <c r="Z28" i="163"/>
  <c r="AG28" i="163" s="1"/>
  <c r="BI65" i="159"/>
  <c r="BB65" i="159"/>
  <c r="R33" i="159"/>
  <c r="AD33" i="159"/>
  <c r="AC33" i="159"/>
  <c r="G17" i="198"/>
  <c r="G35" i="198" s="1"/>
  <c r="G67" i="198" s="1"/>
  <c r="L9" i="13"/>
  <c r="L10" i="13" s="1"/>
  <c r="Q12" i="8"/>
  <c r="R12" i="8" s="1"/>
  <c r="AC10" i="159"/>
  <c r="BI10" i="159"/>
  <c r="AL42" i="198"/>
  <c r="BN60" i="159"/>
  <c r="E11" i="13"/>
  <c r="G29" i="156"/>
  <c r="H29" i="156" s="1"/>
  <c r="AA28" i="141"/>
  <c r="AC28" i="141" s="1"/>
  <c r="L10" i="8"/>
  <c r="M10" i="8" s="1"/>
  <c r="W38" i="141"/>
  <c r="AF38" i="141" s="1"/>
  <c r="I25" i="3" s="1"/>
  <c r="E80" i="95" s="1"/>
  <c r="F61" i="27"/>
  <c r="C62" i="27" s="1"/>
  <c r="X42" i="159"/>
  <c r="AF42" i="159"/>
  <c r="AL25" i="163"/>
  <c r="Z25" i="163"/>
  <c r="AG25" i="163" s="1"/>
  <c r="AJ62" i="163"/>
  <c r="X62" i="163"/>
  <c r="AH62" i="163" s="1"/>
  <c r="T66" i="163"/>
  <c r="T67" i="163" s="1"/>
  <c r="BB49" i="159"/>
  <c r="BB33" i="159"/>
  <c r="AQ33" i="159"/>
  <c r="BI33" i="159"/>
  <c r="T26" i="141"/>
  <c r="V26" i="141" s="1"/>
  <c r="X31" i="163"/>
  <c r="AC63" i="198"/>
  <c r="Z34" i="163"/>
  <c r="AG34" i="163" s="1"/>
  <c r="AL34" i="163"/>
  <c r="BE36" i="159"/>
  <c r="AW36" i="159"/>
  <c r="N35" i="141"/>
  <c r="Y15" i="141"/>
  <c r="Y35" i="141" s="1"/>
  <c r="V12" i="141"/>
  <c r="AC44" i="163"/>
  <c r="R44" i="163"/>
  <c r="AQ41" i="159"/>
  <c r="BI41" i="159"/>
  <c r="V17" i="163"/>
  <c r="X10" i="163"/>
  <c r="Z32" i="163"/>
  <c r="AG32" i="163" s="1"/>
  <c r="AL32" i="163"/>
  <c r="Z64" i="198"/>
  <c r="AG64" i="198" s="1"/>
  <c r="AL64" i="198"/>
  <c r="AQ40" i="159"/>
  <c r="BB40" i="159"/>
  <c r="M30" i="95"/>
  <c r="I48" i="277"/>
  <c r="D22" i="140"/>
  <c r="D24" i="140" s="1"/>
  <c r="D20" i="140"/>
  <c r="AJ37" i="198"/>
  <c r="X37" i="198"/>
  <c r="AK37" i="198"/>
  <c r="AW42" i="159"/>
  <c r="BF42" i="159"/>
  <c r="BT42" i="159"/>
  <c r="AG22" i="141"/>
  <c r="AJ22" i="141" s="1"/>
  <c r="AG14" i="141"/>
  <c r="BT23" i="159"/>
  <c r="BF23" i="159"/>
  <c r="W28" i="141"/>
  <c r="AF28" i="141" s="1"/>
  <c r="BO34" i="159"/>
  <c r="T53" i="159"/>
  <c r="BE62" i="159"/>
  <c r="BE66" i="159" s="1"/>
  <c r="W37" i="141"/>
  <c r="AF37" i="141" s="1"/>
  <c r="I24" i="3" s="1"/>
  <c r="E81" i="95" s="1"/>
  <c r="W20" i="141"/>
  <c r="AF20" i="141" s="1"/>
  <c r="T17" i="141"/>
  <c r="V17" i="141" s="1"/>
  <c r="AQ45" i="159"/>
  <c r="BB45" i="159"/>
  <c r="Z11" i="198"/>
  <c r="AL11" i="198"/>
  <c r="AC40" i="198"/>
  <c r="R40" i="198"/>
  <c r="AH40" i="198"/>
  <c r="BI63" i="159"/>
  <c r="BB63" i="159"/>
  <c r="AQ63" i="159"/>
  <c r="R26" i="198"/>
  <c r="AC26" i="198"/>
  <c r="BB60" i="159"/>
  <c r="AQ60" i="159"/>
  <c r="AC37" i="163"/>
  <c r="R37" i="163"/>
  <c r="AL38" i="163"/>
  <c r="Z38" i="163"/>
  <c r="BB47" i="159"/>
  <c r="AQ47" i="159"/>
  <c r="BI37" i="159"/>
  <c r="BB37" i="159"/>
  <c r="AC39" i="198"/>
  <c r="R39" i="198"/>
  <c r="AL38" i="198"/>
  <c r="Z38" i="198"/>
  <c r="Z27" i="159"/>
  <c r="BC27" i="159"/>
  <c r="AH27" i="159"/>
  <c r="AV67" i="159"/>
  <c r="R48" i="198"/>
  <c r="AC48" i="198"/>
  <c r="AC18" i="198"/>
  <c r="Z64" i="163"/>
  <c r="AG64" i="163" s="1"/>
  <c r="AL64" i="163"/>
  <c r="AD39" i="159"/>
  <c r="AC39" i="159"/>
  <c r="R39" i="159"/>
  <c r="AF59" i="163"/>
  <c r="X59" i="163"/>
  <c r="AH59" i="163" s="1"/>
  <c r="AF56" i="198"/>
  <c r="X56" i="198"/>
  <c r="AH56" i="198" s="1"/>
  <c r="R62" i="198"/>
  <c r="AC62" i="198"/>
  <c r="BT60" i="159"/>
  <c r="BF60" i="159"/>
  <c r="BG24" i="159"/>
  <c r="AW24" i="159"/>
  <c r="AL34" i="198"/>
  <c r="Z34" i="198"/>
  <c r="AG34" i="198" s="1"/>
  <c r="BM63" i="159"/>
  <c r="AC63" i="159"/>
  <c r="Z63" i="159" s="1"/>
  <c r="R63" i="159"/>
  <c r="BI26" i="159"/>
  <c r="BB26" i="159"/>
  <c r="AQ26" i="159"/>
  <c r="BF58" i="159"/>
  <c r="BT58" i="159"/>
  <c r="BB32" i="159"/>
  <c r="BM32" i="159"/>
  <c r="AQ32" i="159"/>
  <c r="BI32" i="159"/>
  <c r="BI38" i="159"/>
  <c r="BB38" i="159"/>
  <c r="BB17" i="159"/>
  <c r="BI17" i="159"/>
  <c r="BI39" i="159"/>
  <c r="BB39" i="159"/>
  <c r="AQ39" i="159"/>
  <c r="BI64" i="159"/>
  <c r="BB64" i="159"/>
  <c r="AQ64" i="159"/>
  <c r="AH17" i="159"/>
  <c r="BC17" i="159"/>
  <c r="R24" i="159"/>
  <c r="AC24" i="159"/>
  <c r="Z52" i="163"/>
  <c r="AG52" i="163" s="1"/>
  <c r="AL52" i="163"/>
  <c r="AQ58" i="159"/>
  <c r="BB58" i="159"/>
  <c r="AQ27" i="159"/>
  <c r="BI27" i="159"/>
  <c r="BB27" i="159"/>
  <c r="AC45" i="198"/>
  <c r="R45" i="198"/>
  <c r="G10" i="321" l="1"/>
  <c r="H54" i="3"/>
  <c r="C24" i="97"/>
  <c r="B14" i="98"/>
  <c r="F20" i="173"/>
  <c r="G67" i="3"/>
  <c r="I51" i="277"/>
  <c r="I49" i="277"/>
  <c r="AC11" i="27"/>
  <c r="AA11" i="27" s="1"/>
  <c r="AB11" i="27" s="1"/>
  <c r="AA20" i="27"/>
  <c r="AB20" i="27" s="1"/>
  <c r="AA7" i="27"/>
  <c r="AB7" i="27" s="1"/>
  <c r="AC10" i="27"/>
  <c r="AA10" i="27" s="1"/>
  <c r="AB10" i="27" s="1"/>
  <c r="R45" i="163"/>
  <c r="AC45" i="163"/>
  <c r="AL45" i="163" s="1"/>
  <c r="J10" i="173"/>
  <c r="F13" i="321"/>
  <c r="F36" i="307"/>
  <c r="F38" i="307" s="1"/>
  <c r="F14" i="307"/>
  <c r="F42" i="307" s="1"/>
  <c r="F44" i="307" s="1"/>
  <c r="AI12" i="141"/>
  <c r="H21" i="3"/>
  <c r="E30" i="9"/>
  <c r="E31" i="9" s="1"/>
  <c r="I36" i="3"/>
  <c r="J10" i="3" s="1"/>
  <c r="J36" i="3" s="1"/>
  <c r="K10" i="3" s="1"/>
  <c r="K36" i="3" s="1"/>
  <c r="L10" i="3" s="1"/>
  <c r="L36" i="3" s="1"/>
  <c r="D15" i="173"/>
  <c r="C15" i="373"/>
  <c r="C16" i="373" s="1"/>
  <c r="K17" i="368"/>
  <c r="K20" i="368" s="1"/>
  <c r="K22" i="368" s="1"/>
  <c r="K23" i="368" s="1"/>
  <c r="I10" i="173"/>
  <c r="R19" i="141"/>
  <c r="T19" i="141" s="1"/>
  <c r="H59" i="3"/>
  <c r="K77" i="95" s="1"/>
  <c r="L77" i="95" s="1"/>
  <c r="N9" i="173"/>
  <c r="N8" i="173"/>
  <c r="H5" i="321"/>
  <c r="E50" i="173"/>
  <c r="E8" i="173" s="1"/>
  <c r="D50" i="173"/>
  <c r="D8" i="173" s="1"/>
  <c r="V67" i="3"/>
  <c r="J31" i="370"/>
  <c r="J18" i="370"/>
  <c r="J33" i="370"/>
  <c r="J36" i="370"/>
  <c r="J60" i="370"/>
  <c r="J30" i="370"/>
  <c r="J9" i="370"/>
  <c r="J20" i="370"/>
  <c r="J54" i="370"/>
  <c r="J59" i="370"/>
  <c r="J45" i="370"/>
  <c r="J53" i="370"/>
  <c r="J57" i="370"/>
  <c r="J13" i="370"/>
  <c r="J7" i="370"/>
  <c r="J12" i="370"/>
  <c r="J38" i="370"/>
  <c r="J17" i="370"/>
  <c r="J27" i="370"/>
  <c r="J58" i="370"/>
  <c r="J22" i="370"/>
  <c r="J34" i="370"/>
  <c r="J47" i="370"/>
  <c r="J42" i="370"/>
  <c r="J55" i="370"/>
  <c r="J23" i="370"/>
  <c r="J48" i="370"/>
  <c r="J52" i="370"/>
  <c r="J11" i="370"/>
  <c r="J56" i="370"/>
  <c r="J21" i="370"/>
  <c r="J24" i="370"/>
  <c r="J19" i="370"/>
  <c r="J41" i="370"/>
  <c r="J25" i="370"/>
  <c r="J39" i="370"/>
  <c r="J46" i="370"/>
  <c r="J61" i="370"/>
  <c r="J29" i="370"/>
  <c r="J51" i="370"/>
  <c r="J28" i="370"/>
  <c r="J44" i="370"/>
  <c r="J26" i="370"/>
  <c r="J43" i="370"/>
  <c r="J10" i="370"/>
  <c r="J37" i="370"/>
  <c r="J35" i="370"/>
  <c r="J16" i="370"/>
  <c r="J40" i="370"/>
  <c r="B125" i="83"/>
  <c r="B25" i="307"/>
  <c r="B43" i="307" s="1"/>
  <c r="B37" i="307"/>
  <c r="C40" i="157"/>
  <c r="C23" i="86"/>
  <c r="C25" i="86" s="1"/>
  <c r="D40" i="200"/>
  <c r="E40" i="200" s="1"/>
  <c r="H26" i="8"/>
  <c r="H32" i="8" s="1"/>
  <c r="AC49" i="159"/>
  <c r="BC49" i="159" s="1"/>
  <c r="BD49" i="159" s="1"/>
  <c r="AD49" i="159"/>
  <c r="BM49" i="159" s="1"/>
  <c r="AY49" i="159" s="1"/>
  <c r="BI49" i="159"/>
  <c r="AC48" i="163"/>
  <c r="Z48" i="163" s="1"/>
  <c r="AG48" i="163" s="1"/>
  <c r="E47" i="197"/>
  <c r="D27" i="204"/>
  <c r="R60" i="163"/>
  <c r="AC60" i="163"/>
  <c r="AL60" i="163" s="1"/>
  <c r="G30" i="95"/>
  <c r="R23" i="8"/>
  <c r="B19" i="98"/>
  <c r="B8" i="211" s="1"/>
  <c r="AH51" i="159"/>
  <c r="H36" i="307"/>
  <c r="H38" i="307" s="1"/>
  <c r="H14" i="307"/>
  <c r="H42" i="307" s="1"/>
  <c r="H44" i="307" s="1"/>
  <c r="J36" i="307"/>
  <c r="J38" i="307" s="1"/>
  <c r="J14" i="307"/>
  <c r="J42" i="307" s="1"/>
  <c r="J44" i="307" s="1"/>
  <c r="D34" i="27"/>
  <c r="BM28" i="159"/>
  <c r="AQ28" i="159"/>
  <c r="AL27" i="198"/>
  <c r="BB28" i="159"/>
  <c r="BD28" i="159" s="1"/>
  <c r="AH26" i="159"/>
  <c r="BE53" i="159"/>
  <c r="BE67" i="159" s="1"/>
  <c r="BC26" i="159"/>
  <c r="BD26" i="159" s="1"/>
  <c r="BC51" i="159"/>
  <c r="BD51" i="159" s="1"/>
  <c r="T35" i="198"/>
  <c r="T67" i="198" s="1"/>
  <c r="AH50" i="159"/>
  <c r="Z43" i="198"/>
  <c r="AG43" i="198" s="1"/>
  <c r="AL50" i="163"/>
  <c r="R48" i="163"/>
  <c r="Z31" i="198"/>
  <c r="AG31" i="198" s="1"/>
  <c r="AW25" i="159"/>
  <c r="AQ25" i="159" s="1"/>
  <c r="C34" i="27"/>
  <c r="Z55" i="198"/>
  <c r="AG55" i="198" s="1"/>
  <c r="P61" i="87"/>
  <c r="P63" i="87" s="1"/>
  <c r="AJ32" i="198"/>
  <c r="AJ35" i="198" s="1"/>
  <c r="AI32" i="198"/>
  <c r="AI35" i="198" s="1"/>
  <c r="AK32" i="198"/>
  <c r="AK35" i="198" s="1"/>
  <c r="Z59" i="198"/>
  <c r="AG59" i="198" s="1"/>
  <c r="V10" i="27"/>
  <c r="T10" i="27" s="1"/>
  <c r="U10" i="27" s="1"/>
  <c r="AC60" i="159"/>
  <c r="BC60" i="159" s="1"/>
  <c r="BD60" i="159" s="1"/>
  <c r="AL60" i="198"/>
  <c r="AF58" i="198"/>
  <c r="AF66" i="198" s="1"/>
  <c r="AK58" i="198"/>
  <c r="AK66" i="198" s="1"/>
  <c r="AJ58" i="198"/>
  <c r="AJ66" i="198" s="1"/>
  <c r="BM36" i="159"/>
  <c r="R48" i="159"/>
  <c r="AI46" i="163"/>
  <c r="AI53" i="163" s="1"/>
  <c r="AJ46" i="163"/>
  <c r="AJ53" i="163" s="1"/>
  <c r="AK46" i="163"/>
  <c r="AK53" i="163" s="1"/>
  <c r="AG56" i="159"/>
  <c r="AF56" i="159"/>
  <c r="BC64" i="159"/>
  <c r="BD64" i="159" s="1"/>
  <c r="BG29" i="159"/>
  <c r="BG34" i="159" s="1"/>
  <c r="BG67" i="159" s="1"/>
  <c r="D31" i="140"/>
  <c r="D33" i="140"/>
  <c r="D35" i="140" s="1"/>
  <c r="P57" i="87" s="1"/>
  <c r="AH64" i="159"/>
  <c r="BH67" i="159"/>
  <c r="X59" i="159"/>
  <c r="AD59" i="159" s="1"/>
  <c r="AG59" i="159"/>
  <c r="BP59" i="159" s="1"/>
  <c r="AF59" i="159"/>
  <c r="BO59" i="159" s="1"/>
  <c r="AQ62" i="159"/>
  <c r="BM62" i="159"/>
  <c r="AY62" i="159" s="1"/>
  <c r="BI58" i="159"/>
  <c r="AC48" i="159"/>
  <c r="Z48" i="159" s="1"/>
  <c r="AH38" i="159"/>
  <c r="BC38" i="159"/>
  <c r="BD38" i="159" s="1"/>
  <c r="AC36" i="159"/>
  <c r="Z36" i="159" s="1"/>
  <c r="AY50" i="159"/>
  <c r="BQ50" i="159"/>
  <c r="BD50" i="159"/>
  <c r="E19" i="274"/>
  <c r="V18" i="27"/>
  <c r="W18" i="27"/>
  <c r="L24" i="173"/>
  <c r="G16" i="321" s="1"/>
  <c r="F34" i="27"/>
  <c r="G34" i="27"/>
  <c r="BC32" i="159"/>
  <c r="BD32" i="159" s="1"/>
  <c r="BI45" i="159"/>
  <c r="AL30" i="198"/>
  <c r="BI40" i="159"/>
  <c r="AJ14" i="141"/>
  <c r="V35" i="163"/>
  <c r="V67" i="163" s="1"/>
  <c r="AB35" i="141"/>
  <c r="AB40" i="141" s="1"/>
  <c r="AI14" i="141"/>
  <c r="AC40" i="159"/>
  <c r="Z40" i="159" s="1"/>
  <c r="Z58" i="163"/>
  <c r="AG58" i="163" s="1"/>
  <c r="Z30" i="198"/>
  <c r="AG30" i="198" s="1"/>
  <c r="O35" i="141"/>
  <c r="O40" i="141" s="1"/>
  <c r="O45" i="141" s="1"/>
  <c r="R40" i="159"/>
  <c r="Z35" i="141"/>
  <c r="Z40" i="141" s="1"/>
  <c r="Z45" i="141" s="1"/>
  <c r="AL59" i="198"/>
  <c r="AE17" i="141"/>
  <c r="AG17" i="141" s="1"/>
  <c r="AJ17" i="141" s="1"/>
  <c r="O22" i="87"/>
  <c r="D61" i="140"/>
  <c r="O21" i="87"/>
  <c r="N20" i="8"/>
  <c r="AC62" i="159"/>
  <c r="BC62" i="159" s="1"/>
  <c r="BD62" i="159" s="1"/>
  <c r="O62" i="87"/>
  <c r="AH23" i="159"/>
  <c r="AC32" i="198"/>
  <c r="Z28" i="159"/>
  <c r="AH28" i="159"/>
  <c r="Z23" i="159"/>
  <c r="BJ23" i="159" s="1"/>
  <c r="BK23" i="159" s="1"/>
  <c r="R32" i="198"/>
  <c r="R44" i="198"/>
  <c r="AC44" i="198"/>
  <c r="R62" i="159"/>
  <c r="BI62" i="159"/>
  <c r="AH29" i="141"/>
  <c r="BQ23" i="159"/>
  <c r="AC49" i="198"/>
  <c r="AL49" i="198" s="1"/>
  <c r="R58" i="159"/>
  <c r="BI47" i="159"/>
  <c r="R60" i="159"/>
  <c r="R49" i="198"/>
  <c r="AC58" i="159"/>
  <c r="Z58" i="159" s="1"/>
  <c r="BI60" i="159"/>
  <c r="AJ66" i="163"/>
  <c r="AU34" i="159"/>
  <c r="AU67" i="159" s="1"/>
  <c r="AQ43" i="159"/>
  <c r="BT53" i="159"/>
  <c r="AE56" i="159"/>
  <c r="AI58" i="198"/>
  <c r="AI66" i="198" s="1"/>
  <c r="AE59" i="159"/>
  <c r="BN59" i="159" s="1"/>
  <c r="E53" i="163"/>
  <c r="X58" i="198"/>
  <c r="X66" i="198" s="1"/>
  <c r="Z50" i="198"/>
  <c r="AG50" i="198" s="1"/>
  <c r="AI53" i="198"/>
  <c r="AL43" i="198"/>
  <c r="BC37" i="159"/>
  <c r="BD37" i="159" s="1"/>
  <c r="AL29" i="163"/>
  <c r="Z27" i="163"/>
  <c r="AG27" i="163" s="1"/>
  <c r="Z25" i="198"/>
  <c r="AG25" i="198" s="1"/>
  <c r="T67" i="159"/>
  <c r="V34" i="159"/>
  <c r="V67" i="159" s="1"/>
  <c r="AF53" i="198"/>
  <c r="AC29" i="159"/>
  <c r="Z29" i="159" s="1"/>
  <c r="BD23" i="159"/>
  <c r="M11" i="345"/>
  <c r="BM48" i="159"/>
  <c r="AH41" i="163"/>
  <c r="R41" i="163"/>
  <c r="AC41" i="163"/>
  <c r="AH49" i="163"/>
  <c r="R49" i="163"/>
  <c r="AC49" i="163"/>
  <c r="Z60" i="198"/>
  <c r="AG60" i="198" s="1"/>
  <c r="AW53" i="159"/>
  <c r="AQ53" i="159" s="1"/>
  <c r="BB48" i="159"/>
  <c r="BO53" i="159"/>
  <c r="BF53" i="159"/>
  <c r="BI43" i="159"/>
  <c r="AJ53" i="198"/>
  <c r="AK53" i="198"/>
  <c r="AH37" i="159"/>
  <c r="Z29" i="198"/>
  <c r="AG29" i="198" s="1"/>
  <c r="M19" i="345"/>
  <c r="BI48" i="159"/>
  <c r="AF53" i="159"/>
  <c r="L20" i="345"/>
  <c r="AH41" i="198"/>
  <c r="AH53" i="198" s="1"/>
  <c r="R41" i="198"/>
  <c r="AC41" i="198"/>
  <c r="AW59" i="159"/>
  <c r="BF59" i="159"/>
  <c r="BT59" i="159"/>
  <c r="M21" i="345"/>
  <c r="L21" i="345"/>
  <c r="M13" i="345"/>
  <c r="M14" i="345"/>
  <c r="L14" i="345"/>
  <c r="L15" i="345" s="1"/>
  <c r="L16" i="345" s="1"/>
  <c r="M20" i="345"/>
  <c r="M12" i="345"/>
  <c r="F11" i="319"/>
  <c r="F13" i="319" s="1"/>
  <c r="Q16" i="8"/>
  <c r="R16" i="8" s="1"/>
  <c r="AH22" i="141"/>
  <c r="Q21" i="8"/>
  <c r="R21" i="8" s="1"/>
  <c r="Q22" i="8"/>
  <c r="AH24" i="141"/>
  <c r="BI44" i="159"/>
  <c r="Z32" i="159"/>
  <c r="BN53" i="159"/>
  <c r="R29" i="159"/>
  <c r="AG53" i="159"/>
  <c r="BP44" i="159"/>
  <c r="BP53" i="159" s="1"/>
  <c r="X46" i="163"/>
  <c r="AH46" i="163" s="1"/>
  <c r="AC26" i="163"/>
  <c r="R26" i="163"/>
  <c r="C10" i="278"/>
  <c r="L22" i="8"/>
  <c r="M22" i="8" s="1"/>
  <c r="F10" i="321"/>
  <c r="Z39" i="159"/>
  <c r="G6" i="319"/>
  <c r="G9" i="319" s="1"/>
  <c r="G10" i="319" s="1"/>
  <c r="G14" i="319" s="1"/>
  <c r="K12" i="307"/>
  <c r="K14" i="307" s="1"/>
  <c r="K42" i="307" s="1"/>
  <c r="K44" i="307" s="1"/>
  <c r="AF46" i="163"/>
  <c r="BM47" i="159"/>
  <c r="BQ47" i="159" s="1"/>
  <c r="AC47" i="159"/>
  <c r="R47" i="159"/>
  <c r="R44" i="159"/>
  <c r="BM44" i="159"/>
  <c r="AC44" i="159"/>
  <c r="BM43" i="159"/>
  <c r="AY43" i="159" s="1"/>
  <c r="R43" i="159"/>
  <c r="AC43" i="159"/>
  <c r="X53" i="198"/>
  <c r="R53" i="198" s="1"/>
  <c r="F7" i="319"/>
  <c r="AH31" i="159"/>
  <c r="BC31" i="159"/>
  <c r="BD31" i="159" s="1"/>
  <c r="Z31" i="159"/>
  <c r="BJ31" i="159" s="1"/>
  <c r="BK31" i="159" s="1"/>
  <c r="K7" i="13"/>
  <c r="H7" i="13"/>
  <c r="H9" i="13" s="1"/>
  <c r="H10" i="13" s="1"/>
  <c r="I7" i="13" s="1"/>
  <c r="I9" i="13" s="1"/>
  <c r="I10" i="13" s="1"/>
  <c r="J7" i="13" s="1"/>
  <c r="D36" i="8"/>
  <c r="D23" i="157"/>
  <c r="D32" i="157" s="1"/>
  <c r="E23" i="157" s="1"/>
  <c r="E32" i="157" s="1"/>
  <c r="F23" i="157" s="1"/>
  <c r="F32" i="157" s="1"/>
  <c r="G23" i="157" s="1"/>
  <c r="G32" i="157" s="1"/>
  <c r="H23" i="157" s="1"/>
  <c r="H32" i="157" s="1"/>
  <c r="I23" i="157" s="1"/>
  <c r="I32" i="157" s="1"/>
  <c r="J23" i="157" s="1"/>
  <c r="J32" i="157" s="1"/>
  <c r="K23" i="157" s="1"/>
  <c r="K32" i="157" s="1"/>
  <c r="R56" i="163"/>
  <c r="AC56" i="163"/>
  <c r="R46" i="198"/>
  <c r="AC46" i="198"/>
  <c r="E48" i="277"/>
  <c r="D17" i="204"/>
  <c r="D21" i="204" s="1"/>
  <c r="AC45" i="159"/>
  <c r="Z45" i="159" s="1"/>
  <c r="BM45" i="159"/>
  <c r="AY45" i="159" s="1"/>
  <c r="R45" i="159"/>
  <c r="BM29" i="159"/>
  <c r="AE53" i="159"/>
  <c r="AK66" i="163"/>
  <c r="AI66" i="163"/>
  <c r="AC31" i="163"/>
  <c r="R31" i="163"/>
  <c r="BI42" i="159"/>
  <c r="R42" i="159"/>
  <c r="AC42" i="159"/>
  <c r="Z42" i="159" s="1"/>
  <c r="W14" i="141"/>
  <c r="BD65" i="159"/>
  <c r="BQ65" i="159"/>
  <c r="H13" i="8"/>
  <c r="W17" i="141"/>
  <c r="AF17" i="141" s="1"/>
  <c r="Q10" i="8"/>
  <c r="R10" i="8" s="1"/>
  <c r="AH37" i="141"/>
  <c r="AI28" i="141"/>
  <c r="L24" i="8"/>
  <c r="M24" i="8" s="1"/>
  <c r="AI21" i="141"/>
  <c r="L19" i="8"/>
  <c r="M19" i="8" s="1"/>
  <c r="AC10" i="163"/>
  <c r="AY41" i="159"/>
  <c r="BQ41" i="159"/>
  <c r="G20" i="3"/>
  <c r="G30" i="3" s="1"/>
  <c r="G48" i="3" s="1"/>
  <c r="L8" i="8"/>
  <c r="W11" i="141"/>
  <c r="AF11" i="141" s="1"/>
  <c r="I20" i="3" s="1"/>
  <c r="N40" i="141"/>
  <c r="N45" i="141" s="1"/>
  <c r="P15" i="141"/>
  <c r="BI36" i="159"/>
  <c r="BB36" i="159"/>
  <c r="AQ36" i="159"/>
  <c r="U21" i="198"/>
  <c r="X21" i="198" s="1"/>
  <c r="AC21" i="198" s="1"/>
  <c r="AL21" i="198" s="1"/>
  <c r="BB30" i="159"/>
  <c r="AQ30" i="159"/>
  <c r="BI30" i="159"/>
  <c r="G33" i="156"/>
  <c r="BI29" i="159"/>
  <c r="BB29" i="159"/>
  <c r="AQ29" i="159"/>
  <c r="G31" i="95"/>
  <c r="G37" i="3"/>
  <c r="M22" i="95"/>
  <c r="M33" i="95" s="1"/>
  <c r="D33" i="95"/>
  <c r="AJ25" i="141"/>
  <c r="Q15" i="8"/>
  <c r="H12" i="3"/>
  <c r="U14" i="198"/>
  <c r="X14" i="198" s="1"/>
  <c r="AC14" i="198" s="1"/>
  <c r="AL14" i="198" s="1"/>
  <c r="X10" i="198"/>
  <c r="V17" i="198"/>
  <c r="V35" i="198" s="1"/>
  <c r="V67" i="198" s="1"/>
  <c r="H13" i="3"/>
  <c r="Y40" i="141"/>
  <c r="Y45" i="141" s="1"/>
  <c r="AA15" i="141"/>
  <c r="K37" i="58"/>
  <c r="E7" i="277"/>
  <c r="E42" i="277" s="1"/>
  <c r="AL63" i="198"/>
  <c r="Z63" i="198"/>
  <c r="AG63" i="198" s="1"/>
  <c r="AE28" i="141"/>
  <c r="N24" i="8"/>
  <c r="BC10" i="159"/>
  <c r="BD10" i="159" s="1"/>
  <c r="Z10" i="159"/>
  <c r="AH10" i="159"/>
  <c r="L35" i="141"/>
  <c r="J40" i="141"/>
  <c r="G47" i="3" s="1"/>
  <c r="D45" i="140"/>
  <c r="P47" i="87"/>
  <c r="P49" i="87" s="1"/>
  <c r="Z24" i="163"/>
  <c r="AG24" i="163" s="1"/>
  <c r="AL24" i="163"/>
  <c r="BS31" i="159"/>
  <c r="AC9" i="159"/>
  <c r="AL18" i="163"/>
  <c r="C6" i="277"/>
  <c r="X53" i="159"/>
  <c r="R53" i="159" s="1"/>
  <c r="W21" i="141"/>
  <c r="AF21" i="141" s="1"/>
  <c r="AH21" i="141" s="1"/>
  <c r="L9" i="8"/>
  <c r="M9" i="8" s="1"/>
  <c r="I52" i="27"/>
  <c r="AC19" i="141"/>
  <c r="D62" i="27"/>
  <c r="AH25" i="141"/>
  <c r="AH20" i="141"/>
  <c r="AC37" i="198"/>
  <c r="R37" i="198"/>
  <c r="BQ40" i="159"/>
  <c r="AY40" i="159"/>
  <c r="Q11" i="8"/>
  <c r="R11" i="8" s="1"/>
  <c r="AH38" i="141"/>
  <c r="D106" i="140"/>
  <c r="D107" i="140"/>
  <c r="D109" i="140" s="1"/>
  <c r="AQ42" i="159"/>
  <c r="BB42" i="159"/>
  <c r="Z44" i="163"/>
  <c r="AG44" i="163" s="1"/>
  <c r="AL44" i="163"/>
  <c r="AY33" i="159"/>
  <c r="R62" i="163"/>
  <c r="AC62" i="163"/>
  <c r="Z33" i="159"/>
  <c r="BC33" i="159"/>
  <c r="BD33" i="159" s="1"/>
  <c r="AH33" i="159"/>
  <c r="BI9" i="159"/>
  <c r="BB9" i="159"/>
  <c r="BC25" i="159"/>
  <c r="AH25" i="159"/>
  <c r="Z25" i="159"/>
  <c r="U15" i="198"/>
  <c r="X15" i="198" s="1"/>
  <c r="AC15" i="198" s="1"/>
  <c r="AL15" i="198" s="1"/>
  <c r="BC30" i="159"/>
  <c r="Z30" i="159"/>
  <c r="AH30" i="159"/>
  <c r="BJ51" i="159"/>
  <c r="BK51" i="159" s="1"/>
  <c r="BS51" i="159"/>
  <c r="W12" i="141"/>
  <c r="AF12" i="141" s="1"/>
  <c r="I21" i="3" s="1"/>
  <c r="AH23" i="141"/>
  <c r="X43" i="163"/>
  <c r="AH43" i="163" s="1"/>
  <c r="AF43" i="163"/>
  <c r="U53" i="163"/>
  <c r="BQ58" i="159"/>
  <c r="AY58" i="159"/>
  <c r="BS58" i="159" s="1"/>
  <c r="AY26" i="159"/>
  <c r="BQ26" i="159"/>
  <c r="Z45" i="198"/>
  <c r="AG45" i="198" s="1"/>
  <c r="AL45" i="198"/>
  <c r="AF66" i="163"/>
  <c r="AH39" i="159"/>
  <c r="BC39" i="159"/>
  <c r="BD39" i="159" s="1"/>
  <c r="Z48" i="198"/>
  <c r="AG48" i="198" s="1"/>
  <c r="AL48" i="198"/>
  <c r="BQ60" i="159"/>
  <c r="AY60" i="159"/>
  <c r="BS60" i="159" s="1"/>
  <c r="Z40" i="198"/>
  <c r="AG40" i="198" s="1"/>
  <c r="AL40" i="198"/>
  <c r="AY27" i="159"/>
  <c r="BQ27" i="159"/>
  <c r="BD27" i="159"/>
  <c r="BQ17" i="159"/>
  <c r="BD17" i="159"/>
  <c r="Z24" i="159"/>
  <c r="BC24" i="159"/>
  <c r="AH24" i="159"/>
  <c r="BQ32" i="159"/>
  <c r="AY32" i="159"/>
  <c r="BS23" i="159"/>
  <c r="BC63" i="159"/>
  <c r="BD63" i="159" s="1"/>
  <c r="AH63" i="159"/>
  <c r="BT56" i="159"/>
  <c r="BF56" i="159"/>
  <c r="AW56" i="159"/>
  <c r="Z26" i="198"/>
  <c r="AG26" i="198" s="1"/>
  <c r="AL26" i="198"/>
  <c r="BQ64" i="159"/>
  <c r="AY64" i="159"/>
  <c r="BQ38" i="159"/>
  <c r="AY38" i="159"/>
  <c r="BJ38" i="159" s="1"/>
  <c r="BK38" i="159" s="1"/>
  <c r="Z62" i="198"/>
  <c r="AG62" i="198" s="1"/>
  <c r="AL62" i="198"/>
  <c r="AL18" i="198"/>
  <c r="AY63" i="159"/>
  <c r="BQ63" i="159"/>
  <c r="AQ24" i="159"/>
  <c r="BB24" i="159"/>
  <c r="BI24" i="159"/>
  <c r="R56" i="198"/>
  <c r="AC56" i="198"/>
  <c r="AH66" i="163"/>
  <c r="AC59" i="163"/>
  <c r="R59" i="163"/>
  <c r="X66" i="163"/>
  <c r="BM39" i="159"/>
  <c r="BQ39" i="159" s="1"/>
  <c r="X56" i="159"/>
  <c r="AD56" i="159" s="1"/>
  <c r="Z39" i="198"/>
  <c r="AL39" i="198"/>
  <c r="AY37" i="159"/>
  <c r="BJ37" i="159" s="1"/>
  <c r="BK37" i="159" s="1"/>
  <c r="BQ37" i="159"/>
  <c r="AL37" i="163"/>
  <c r="Z37" i="163"/>
  <c r="AG37" i="163" s="1"/>
  <c r="L23" i="157" l="1"/>
  <c r="L32" i="157" s="1"/>
  <c r="M23" i="157" s="1"/>
  <c r="M32" i="157" s="1"/>
  <c r="N23" i="157" s="1"/>
  <c r="N32" i="157" s="1"/>
  <c r="D32" i="97" s="1"/>
  <c r="BQ49" i="159"/>
  <c r="G17" i="173"/>
  <c r="G26" i="173" s="1"/>
  <c r="B15" i="98"/>
  <c r="B16" i="98"/>
  <c r="L19" i="87"/>
  <c r="K51" i="87" s="1"/>
  <c r="G12" i="9"/>
  <c r="G25" i="9" s="1"/>
  <c r="B28" i="101"/>
  <c r="B7" i="211"/>
  <c r="Z45" i="163"/>
  <c r="AG45" i="163" s="1"/>
  <c r="AA9" i="27"/>
  <c r="AB9" i="27" s="1"/>
  <c r="I59" i="3"/>
  <c r="D8" i="197"/>
  <c r="D18" i="197" s="1"/>
  <c r="D22" i="197" s="1"/>
  <c r="C5" i="303"/>
  <c r="N10" i="173"/>
  <c r="F13" i="274"/>
  <c r="V19" i="141"/>
  <c r="AI19" i="141" s="1"/>
  <c r="F8" i="173"/>
  <c r="L50" i="173"/>
  <c r="K50" i="173" s="1"/>
  <c r="AD53" i="159"/>
  <c r="G6" i="321"/>
  <c r="E7" i="373"/>
  <c r="T20" i="27"/>
  <c r="U20" i="27" s="1"/>
  <c r="W20" i="27"/>
  <c r="AH49" i="159"/>
  <c r="C7" i="373"/>
  <c r="F131" i="140"/>
  <c r="F132" i="140" s="1"/>
  <c r="F137" i="140" s="1"/>
  <c r="F139" i="140" s="1"/>
  <c r="Z49" i="159"/>
  <c r="BJ49" i="159" s="1"/>
  <c r="BK49" i="159" s="1"/>
  <c r="T9" i="27"/>
  <c r="U9" i="27" s="1"/>
  <c r="D4" i="274"/>
  <c r="D34" i="274" s="1"/>
  <c r="BM25" i="159"/>
  <c r="AL48" i="163"/>
  <c r="Z60" i="163"/>
  <c r="AG60" i="163" s="1"/>
  <c r="Z60" i="159"/>
  <c r="BJ60" i="159" s="1"/>
  <c r="BK60" i="159" s="1"/>
  <c r="K8" i="173"/>
  <c r="AY28" i="159"/>
  <c r="BJ28" i="159" s="1"/>
  <c r="BK28" i="159" s="1"/>
  <c r="AC59" i="159"/>
  <c r="Z59" i="159" s="1"/>
  <c r="R59" i="159"/>
  <c r="BQ28" i="159"/>
  <c r="L22" i="345"/>
  <c r="L34" i="345" s="1"/>
  <c r="L66" i="345" s="1"/>
  <c r="I54" i="27"/>
  <c r="F8" i="321"/>
  <c r="G75" i="58"/>
  <c r="H73" i="347" s="1"/>
  <c r="AH36" i="159"/>
  <c r="BC36" i="159"/>
  <c r="BD36" i="159" s="1"/>
  <c r="AH60" i="159"/>
  <c r="BQ62" i="159"/>
  <c r="BI59" i="159"/>
  <c r="BB25" i="159"/>
  <c r="BD25" i="159" s="1"/>
  <c r="BI25" i="159"/>
  <c r="E20" i="274"/>
  <c r="AH48" i="159"/>
  <c r="BC48" i="159"/>
  <c r="BD48" i="159" s="1"/>
  <c r="AL32" i="198"/>
  <c r="K71" i="58"/>
  <c r="O57" i="87"/>
  <c r="Z32" i="198"/>
  <c r="AG32" i="198" s="1"/>
  <c r="AJ67" i="198"/>
  <c r="Z62" i="159"/>
  <c r="BJ62" i="159" s="1"/>
  <c r="BK62" i="159" s="1"/>
  <c r="AY47" i="159"/>
  <c r="BS47" i="159" s="1"/>
  <c r="BS50" i="159"/>
  <c r="BJ50" i="159"/>
  <c r="BK50" i="159" s="1"/>
  <c r="AD20" i="27"/>
  <c r="V28" i="27"/>
  <c r="V13" i="27"/>
  <c r="I55" i="27"/>
  <c r="AH62" i="159"/>
  <c r="BC40" i="159"/>
  <c r="BD40" i="159" s="1"/>
  <c r="AH40" i="159"/>
  <c r="AB45" i="141"/>
  <c r="AD33" i="27"/>
  <c r="AH58" i="159"/>
  <c r="BC58" i="159"/>
  <c r="BD58" i="159" s="1"/>
  <c r="R15" i="8"/>
  <c r="AI67" i="198"/>
  <c r="AK67" i="198"/>
  <c r="N54" i="87"/>
  <c r="N55" i="87"/>
  <c r="D64" i="140"/>
  <c r="Z44" i="198"/>
  <c r="AG44" i="198" s="1"/>
  <c r="AL44" i="198"/>
  <c r="BF66" i="159"/>
  <c r="AJ67" i="163"/>
  <c r="Z49" i="198"/>
  <c r="AG49" i="198" s="1"/>
  <c r="BQ43" i="159"/>
  <c r="AH29" i="159"/>
  <c r="E44" i="197"/>
  <c r="H71" i="346"/>
  <c r="H72" i="346" s="1"/>
  <c r="AH58" i="198"/>
  <c r="AH66" i="198" s="1"/>
  <c r="R58" i="198"/>
  <c r="AC58" i="198"/>
  <c r="AC66" i="198" s="1"/>
  <c r="BQ48" i="159"/>
  <c r="BC29" i="159"/>
  <c r="BD29" i="159" s="1"/>
  <c r="AY48" i="159"/>
  <c r="AL41" i="163"/>
  <c r="Z41" i="163"/>
  <c r="AG41" i="163" s="1"/>
  <c r="AL49" i="163"/>
  <c r="Z49" i="163"/>
  <c r="AG49" i="163" s="1"/>
  <c r="BM59" i="159"/>
  <c r="Z41" i="198"/>
  <c r="AG41" i="198" s="1"/>
  <c r="AL41" i="198"/>
  <c r="AQ59" i="159"/>
  <c r="BB59" i="159"/>
  <c r="R22" i="8"/>
  <c r="K36" i="307"/>
  <c r="K38" i="307" s="1"/>
  <c r="M22" i="345"/>
  <c r="M15" i="345"/>
  <c r="M16" i="345" s="1"/>
  <c r="AC39" i="58"/>
  <c r="AC40" i="58" s="1"/>
  <c r="BI53" i="159"/>
  <c r="R46" i="163"/>
  <c r="AC46" i="163"/>
  <c r="AL46" i="163" s="1"/>
  <c r="Z26" i="163"/>
  <c r="AG26" i="163" s="1"/>
  <c r="AL26" i="163"/>
  <c r="AC53" i="198"/>
  <c r="Z53" i="198" s="1"/>
  <c r="F53" i="197" s="1"/>
  <c r="BJ33" i="159"/>
  <c r="BK33" i="159" s="1"/>
  <c r="AC53" i="159"/>
  <c r="Z53" i="159" s="1"/>
  <c r="BB53" i="159"/>
  <c r="BQ45" i="159"/>
  <c r="Z47" i="159"/>
  <c r="AH47" i="159"/>
  <c r="BC47" i="159"/>
  <c r="BD47" i="159" s="1"/>
  <c r="BQ44" i="159"/>
  <c r="AY44" i="159"/>
  <c r="BC44" i="159"/>
  <c r="BD44" i="159" s="1"/>
  <c r="Z44" i="159"/>
  <c r="AH44" i="159"/>
  <c r="Z43" i="159"/>
  <c r="BJ43" i="159" s="1"/>
  <c r="BK43" i="159" s="1"/>
  <c r="BC43" i="159"/>
  <c r="BD43" i="159" s="1"/>
  <c r="AH43" i="159"/>
  <c r="G48" i="156"/>
  <c r="X16" i="198"/>
  <c r="AC16" i="198" s="1"/>
  <c r="AL16" i="198" s="1"/>
  <c r="X22" i="198"/>
  <c r="AC22" i="198" s="1"/>
  <c r="AL22" i="198" s="1"/>
  <c r="C22" i="303"/>
  <c r="F22" i="303" s="1"/>
  <c r="G22" i="303" s="1"/>
  <c r="AI67" i="163"/>
  <c r="N28" i="173"/>
  <c r="C49" i="157"/>
  <c r="O40" i="157"/>
  <c r="O49" i="157" s="1"/>
  <c r="AK67" i="163"/>
  <c r="Z56" i="163"/>
  <c r="AG56" i="163" s="1"/>
  <c r="AL56" i="163"/>
  <c r="Z46" i="198"/>
  <c r="AG46" i="198" s="1"/>
  <c r="AL46" i="198"/>
  <c r="BD30" i="159"/>
  <c r="D9" i="211"/>
  <c r="Q13" i="27"/>
  <c r="Q20" i="8"/>
  <c r="AH45" i="159"/>
  <c r="BC45" i="159"/>
  <c r="BD45" i="159" s="1"/>
  <c r="P10" i="173"/>
  <c r="J133" i="140" s="1"/>
  <c r="G82" i="95"/>
  <c r="AY29" i="159"/>
  <c r="BQ29" i="159"/>
  <c r="Q8" i="8"/>
  <c r="AH11" i="141"/>
  <c r="BC42" i="159"/>
  <c r="BD42" i="159" s="1"/>
  <c r="AH42" i="159"/>
  <c r="Q9" i="8"/>
  <c r="R9" i="8" s="1"/>
  <c r="AH12" i="141"/>
  <c r="N37" i="58"/>
  <c r="O25" i="58"/>
  <c r="G7" i="277"/>
  <c r="BQ42" i="159"/>
  <c r="AY42" i="159"/>
  <c r="H38" i="3"/>
  <c r="BJ40" i="159"/>
  <c r="BK40" i="159" s="1"/>
  <c r="BS40" i="159"/>
  <c r="Z37" i="198"/>
  <c r="AG37" i="198" s="1"/>
  <c r="AL37" i="198"/>
  <c r="E8" i="197"/>
  <c r="E18" i="197" s="1"/>
  <c r="E22" i="197" s="1"/>
  <c r="AE19" i="141"/>
  <c r="N17" i="8"/>
  <c r="H39" i="3"/>
  <c r="B82" i="95" s="1"/>
  <c r="D82" i="95" s="1"/>
  <c r="D13" i="159"/>
  <c r="D14" i="163"/>
  <c r="U14" i="163" s="1"/>
  <c r="X14" i="163" s="1"/>
  <c r="AC14" i="163" s="1"/>
  <c r="AL14" i="163" s="1"/>
  <c r="D16" i="163"/>
  <c r="U16" i="163" s="1"/>
  <c r="D15" i="159"/>
  <c r="G22" i="95"/>
  <c r="G33" i="3"/>
  <c r="H7" i="3" s="1"/>
  <c r="AI17" i="141"/>
  <c r="L20" i="8"/>
  <c r="M20" i="8" s="1"/>
  <c r="Z62" i="163"/>
  <c r="AG62" i="163" s="1"/>
  <c r="AL62" i="163"/>
  <c r="S25" i="58"/>
  <c r="D20" i="163"/>
  <c r="D19" i="159"/>
  <c r="BC9" i="159"/>
  <c r="AH9" i="159"/>
  <c r="AC15" i="141"/>
  <c r="D21" i="159"/>
  <c r="D22" i="163"/>
  <c r="U22" i="163" s="1"/>
  <c r="D12" i="159"/>
  <c r="D13" i="163"/>
  <c r="AC10" i="198"/>
  <c r="D21" i="163"/>
  <c r="U21" i="163" s="1"/>
  <c r="X21" i="163" s="1"/>
  <c r="AC21" i="163" s="1"/>
  <c r="AL21" i="163" s="1"/>
  <c r="D20" i="159"/>
  <c r="AY36" i="159"/>
  <c r="BS36" i="159" s="1"/>
  <c r="BQ36" i="159"/>
  <c r="AL10" i="163"/>
  <c r="G24" i="95"/>
  <c r="L24" i="95" s="1"/>
  <c r="G34" i="3"/>
  <c r="D15" i="163"/>
  <c r="U15" i="163" s="1"/>
  <c r="X15" i="163" s="1"/>
  <c r="AC15" i="163" s="1"/>
  <c r="AL15" i="163" s="1"/>
  <c r="D14" i="159"/>
  <c r="BQ9" i="159"/>
  <c r="BS49" i="159"/>
  <c r="C42" i="277"/>
  <c r="C43" i="277" s="1"/>
  <c r="U35" i="141"/>
  <c r="L40" i="141"/>
  <c r="L45" i="141" s="1"/>
  <c r="AI26" i="141"/>
  <c r="L18" i="8"/>
  <c r="M18" i="8" s="1"/>
  <c r="G6" i="277"/>
  <c r="O19" i="58"/>
  <c r="AY30" i="159"/>
  <c r="BS30" i="159" s="1"/>
  <c r="BQ30" i="159"/>
  <c r="R15" i="141"/>
  <c r="L13" i="8"/>
  <c r="M8" i="8"/>
  <c r="BJ41" i="159"/>
  <c r="BK41" i="159" s="1"/>
  <c r="BS41" i="159"/>
  <c r="AL31" i="163"/>
  <c r="Z31" i="163"/>
  <c r="AG31" i="163" s="1"/>
  <c r="K22" i="95"/>
  <c r="AG28" i="141"/>
  <c r="U20" i="198"/>
  <c r="D23" i="198"/>
  <c r="F7" i="277"/>
  <c r="F12" i="277"/>
  <c r="F37" i="277"/>
  <c r="F16" i="277"/>
  <c r="F28" i="277"/>
  <c r="F9" i="277"/>
  <c r="E43" i="277"/>
  <c r="F41" i="277"/>
  <c r="F27" i="277"/>
  <c r="F13" i="277"/>
  <c r="F39" i="277"/>
  <c r="F38" i="277"/>
  <c r="F17" i="277"/>
  <c r="F19" i="277"/>
  <c r="F36" i="277"/>
  <c r="F20" i="277"/>
  <c r="F6" i="277"/>
  <c r="F32" i="277"/>
  <c r="F22" i="277"/>
  <c r="F24" i="277"/>
  <c r="F15" i="277"/>
  <c r="F10" i="277"/>
  <c r="F18" i="277"/>
  <c r="F25" i="277"/>
  <c r="F11" i="277"/>
  <c r="F8" i="277"/>
  <c r="F30" i="277"/>
  <c r="F31" i="277"/>
  <c r="F23" i="277"/>
  <c r="F34" i="277"/>
  <c r="F29" i="277"/>
  <c r="F21" i="277"/>
  <c r="F35" i="277"/>
  <c r="F14" i="277"/>
  <c r="F33" i="277"/>
  <c r="F40" i="277"/>
  <c r="F26" i="277"/>
  <c r="C29" i="197"/>
  <c r="C31" i="197" s="1"/>
  <c r="C33" i="197" s="1"/>
  <c r="C37" i="197" s="1"/>
  <c r="C36" i="197"/>
  <c r="G49" i="27"/>
  <c r="F11" i="13"/>
  <c r="J45" i="141"/>
  <c r="F47" i="3"/>
  <c r="F49" i="3" s="1"/>
  <c r="D17" i="198"/>
  <c r="U13" i="198"/>
  <c r="H11" i="3"/>
  <c r="AF14" i="141"/>
  <c r="Q19" i="8"/>
  <c r="R19" i="8" s="1"/>
  <c r="W26" i="141"/>
  <c r="AF26" i="141" s="1"/>
  <c r="AH17" i="141"/>
  <c r="H36" i="8"/>
  <c r="BS43" i="159"/>
  <c r="AL59" i="163"/>
  <c r="Z59" i="163"/>
  <c r="AG59" i="163" s="1"/>
  <c r="AC66" i="163"/>
  <c r="AC56" i="159"/>
  <c r="Z56" i="159" s="1"/>
  <c r="X66" i="159"/>
  <c r="R56" i="159"/>
  <c r="BQ24" i="159"/>
  <c r="AY24" i="159"/>
  <c r="BD24" i="159"/>
  <c r="BT66" i="159"/>
  <c r="BJ45" i="159"/>
  <c r="BK45" i="159" s="1"/>
  <c r="BS45" i="159"/>
  <c r="BJ26" i="159"/>
  <c r="BK26" i="159" s="1"/>
  <c r="BS26" i="159"/>
  <c r="AY39" i="159"/>
  <c r="BN56" i="159"/>
  <c r="BN66" i="159" s="1"/>
  <c r="BN67" i="159" s="1"/>
  <c r="AE66" i="159"/>
  <c r="AE67" i="159" s="1"/>
  <c r="BS37" i="159"/>
  <c r="BP56" i="159"/>
  <c r="BP66" i="159" s="1"/>
  <c r="BP67" i="159" s="1"/>
  <c r="AG66" i="159"/>
  <c r="AG67" i="159" s="1"/>
  <c r="BO56" i="159"/>
  <c r="BO66" i="159" s="1"/>
  <c r="BO67" i="159" s="1"/>
  <c r="AF66" i="159"/>
  <c r="AF67" i="159" s="1"/>
  <c r="AL56" i="198"/>
  <c r="Z56" i="198"/>
  <c r="AG56" i="198" s="1"/>
  <c r="BS63" i="159"/>
  <c r="BJ63" i="159"/>
  <c r="BK63" i="159" s="1"/>
  <c r="BS62" i="159"/>
  <c r="R66" i="198"/>
  <c r="BI56" i="159"/>
  <c r="BB56" i="159"/>
  <c r="AQ56" i="159"/>
  <c r="AW66" i="159"/>
  <c r="BJ32" i="159"/>
  <c r="BK32" i="159" s="1"/>
  <c r="BS32" i="159"/>
  <c r="BJ27" i="159"/>
  <c r="BK27" i="159" s="1"/>
  <c r="BS27" i="159"/>
  <c r="BJ58" i="159"/>
  <c r="BK58" i="159" s="1"/>
  <c r="BM53" i="159"/>
  <c r="BS38" i="159"/>
  <c r="BJ64" i="159"/>
  <c r="BK64" i="159" s="1"/>
  <c r="BS64" i="159"/>
  <c r="AF53" i="163"/>
  <c r="AC43" i="163"/>
  <c r="R43" i="163"/>
  <c r="AH53" i="163"/>
  <c r="X53" i="163"/>
  <c r="R53" i="163" s="1"/>
  <c r="B80" i="95" l="1"/>
  <c r="C80" i="95"/>
  <c r="D23" i="86"/>
  <c r="D25" i="86" s="1"/>
  <c r="E25" i="86" s="1"/>
  <c r="P32" i="157"/>
  <c r="U21" i="159"/>
  <c r="AT21" i="159"/>
  <c r="AT15" i="159"/>
  <c r="U15" i="159"/>
  <c r="H56" i="3"/>
  <c r="E14" i="274"/>
  <c r="B20" i="98"/>
  <c r="B24" i="98" s="1"/>
  <c r="M11" i="307"/>
  <c r="M12" i="307" s="1"/>
  <c r="M36" i="307" s="1"/>
  <c r="L11" i="307"/>
  <c r="K9" i="173"/>
  <c r="G7" i="373"/>
  <c r="W19" i="141"/>
  <c r="AF19" i="141" s="1"/>
  <c r="L17" i="8"/>
  <c r="V32" i="27"/>
  <c r="H61" i="3"/>
  <c r="H62" i="3"/>
  <c r="F51" i="3"/>
  <c r="Q51" i="3" s="1"/>
  <c r="I12" i="3"/>
  <c r="I13" i="3"/>
  <c r="G5" i="321"/>
  <c r="E4" i="274"/>
  <c r="P24" i="173"/>
  <c r="K73" i="58"/>
  <c r="K74" i="58" s="1"/>
  <c r="K76" i="58" s="1"/>
  <c r="H74" i="346" s="1"/>
  <c r="AH59" i="159"/>
  <c r="E13" i="274"/>
  <c r="BS28" i="159"/>
  <c r="BC59" i="159"/>
  <c r="BD59" i="159" s="1"/>
  <c r="BI66" i="159"/>
  <c r="AY25" i="159"/>
  <c r="BS25" i="159" s="1"/>
  <c r="BQ25" i="159"/>
  <c r="E45" i="197"/>
  <c r="E46" i="197" s="1"/>
  <c r="E48" i="197" s="1"/>
  <c r="D18" i="204"/>
  <c r="D19" i="204" s="1"/>
  <c r="D28" i="204" s="1"/>
  <c r="C39" i="197"/>
  <c r="C47" i="197" s="1"/>
  <c r="C27" i="204"/>
  <c r="AY53" i="159"/>
  <c r="BS53" i="159" s="1"/>
  <c r="AC28" i="27"/>
  <c r="N71" i="58"/>
  <c r="D15" i="373" s="1"/>
  <c r="D16" i="373" s="1"/>
  <c r="L12" i="307"/>
  <c r="D8" i="200"/>
  <c r="T13" i="27"/>
  <c r="AD9" i="27"/>
  <c r="F20" i="274" s="1"/>
  <c r="AA28" i="27"/>
  <c r="BJ47" i="159"/>
  <c r="BK47" i="159" s="1"/>
  <c r="Z46" i="163"/>
  <c r="AG46" i="163" s="1"/>
  <c r="AC13" i="27"/>
  <c r="F22" i="274"/>
  <c r="U13" i="27"/>
  <c r="U28" i="27"/>
  <c r="E22" i="274"/>
  <c r="T28" i="27"/>
  <c r="O54" i="87"/>
  <c r="O55" i="87"/>
  <c r="X21" i="159"/>
  <c r="AC21" i="159" s="1"/>
  <c r="X15" i="159"/>
  <c r="AC15" i="159" s="1"/>
  <c r="Z58" i="198"/>
  <c r="AG58" i="198" s="1"/>
  <c r="AL58" i="198"/>
  <c r="AL66" i="198" s="1"/>
  <c r="AD39" i="58"/>
  <c r="AD40" i="58" s="1"/>
  <c r="BS48" i="159"/>
  <c r="BJ48" i="159"/>
  <c r="BK48" i="159" s="1"/>
  <c r="AY59" i="159"/>
  <c r="BS59" i="159" s="1"/>
  <c r="BC53" i="159"/>
  <c r="BQ59" i="159"/>
  <c r="M34" i="345"/>
  <c r="BQ53" i="159"/>
  <c r="BC95" i="159"/>
  <c r="BE95" i="159" s="1"/>
  <c r="AL53" i="198"/>
  <c r="AH53" i="159"/>
  <c r="BJ44" i="159"/>
  <c r="BK44" i="159" s="1"/>
  <c r="BS44" i="159"/>
  <c r="X16" i="163"/>
  <c r="AC16" i="163" s="1"/>
  <c r="AL16" i="163" s="1"/>
  <c r="X22" i="163"/>
  <c r="AC22" i="163" s="1"/>
  <c r="AL22" i="163" s="1"/>
  <c r="BS39" i="159"/>
  <c r="BJ39" i="159"/>
  <c r="BK39" i="159" s="1"/>
  <c r="D40" i="157"/>
  <c r="D49" i="157" s="1"/>
  <c r="E40" i="157" s="1"/>
  <c r="E49" i="157" s="1"/>
  <c r="F40" i="157" s="1"/>
  <c r="F49" i="157" s="1"/>
  <c r="G40" i="157" s="1"/>
  <c r="G49" i="157" s="1"/>
  <c r="H40" i="157" s="1"/>
  <c r="H49" i="157" s="1"/>
  <c r="I40" i="157" s="1"/>
  <c r="I49" i="157" s="1"/>
  <c r="J40" i="157" s="1"/>
  <c r="J49" i="157" s="1"/>
  <c r="K40" i="157" s="1"/>
  <c r="K49" i="157" s="1"/>
  <c r="L40" i="157" s="1"/>
  <c r="L49" i="157" s="1"/>
  <c r="M40" i="157" s="1"/>
  <c r="M49" i="157" s="1"/>
  <c r="N40" i="157" s="1"/>
  <c r="N49" i="157" s="1"/>
  <c r="E32" i="97" s="1"/>
  <c r="AL66" i="163"/>
  <c r="R20" i="8"/>
  <c r="Q13" i="8"/>
  <c r="BD53" i="159"/>
  <c r="BJ30" i="159"/>
  <c r="BK30" i="159" s="1"/>
  <c r="G42" i="277"/>
  <c r="H31" i="277" s="1"/>
  <c r="BJ36" i="159"/>
  <c r="BK36" i="159" s="1"/>
  <c r="C17" i="303"/>
  <c r="F17" i="303" s="1"/>
  <c r="G17" i="303" s="1"/>
  <c r="O20" i="173"/>
  <c r="H72" i="95"/>
  <c r="T15" i="141"/>
  <c r="H8" i="3"/>
  <c r="D74" i="95"/>
  <c r="I49" i="27"/>
  <c r="F51" i="27"/>
  <c r="G51" i="27"/>
  <c r="F55" i="27"/>
  <c r="G55" i="27"/>
  <c r="AG19" i="141"/>
  <c r="BS42" i="159"/>
  <c r="BJ42" i="159"/>
  <c r="BK42" i="159" s="1"/>
  <c r="F121" i="83"/>
  <c r="O37" i="58"/>
  <c r="D36" i="197"/>
  <c r="U49" i="27"/>
  <c r="W49" i="27" s="1"/>
  <c r="D29" i="197"/>
  <c r="D31" i="197" s="1"/>
  <c r="D33" i="197" s="1"/>
  <c r="D37" i="197" s="1"/>
  <c r="D40" i="197" s="1"/>
  <c r="J11" i="13"/>
  <c r="H37" i="3"/>
  <c r="B81" i="95" s="1"/>
  <c r="D81" i="95" s="1"/>
  <c r="G81" i="95" s="1"/>
  <c r="D24" i="277"/>
  <c r="D25" i="277"/>
  <c r="D33" i="277"/>
  <c r="D10" i="277"/>
  <c r="D15" i="277"/>
  <c r="D22" i="277"/>
  <c r="D17" i="277"/>
  <c r="D29" i="277"/>
  <c r="D13" i="277"/>
  <c r="D8" i="277"/>
  <c r="D36" i="277"/>
  <c r="D23" i="277"/>
  <c r="D21" i="277"/>
  <c r="D12" i="277"/>
  <c r="D27" i="277"/>
  <c r="D14" i="277"/>
  <c r="D11" i="277"/>
  <c r="D20" i="277"/>
  <c r="D41" i="277"/>
  <c r="D40" i="277"/>
  <c r="D16" i="277"/>
  <c r="D7" i="277"/>
  <c r="D18" i="277"/>
  <c r="D30" i="277"/>
  <c r="D9" i="277"/>
  <c r="D19" i="277"/>
  <c r="D31" i="277"/>
  <c r="D39" i="277"/>
  <c r="D35" i="277"/>
  <c r="D38" i="277"/>
  <c r="D34" i="277"/>
  <c r="D26" i="277"/>
  <c r="D37" i="277"/>
  <c r="D28" i="277"/>
  <c r="D32" i="277"/>
  <c r="D16" i="159"/>
  <c r="U12" i="159"/>
  <c r="AT12" i="159"/>
  <c r="U20" i="163"/>
  <c r="D23" i="163"/>
  <c r="AH26" i="141"/>
  <c r="Q18" i="8"/>
  <c r="R18" i="8" s="1"/>
  <c r="AH14" i="141"/>
  <c r="M17" i="8"/>
  <c r="E15" i="173"/>
  <c r="F15" i="173" s="1"/>
  <c r="G11" i="13"/>
  <c r="AJ28" i="141"/>
  <c r="Q24" i="8"/>
  <c r="R24" i="8" s="1"/>
  <c r="AT20" i="159"/>
  <c r="U20" i="159"/>
  <c r="X20" i="159" s="1"/>
  <c r="AC20" i="159" s="1"/>
  <c r="U13" i="163"/>
  <c r="D17" i="163"/>
  <c r="AE15" i="141"/>
  <c r="N26" i="8"/>
  <c r="AT19" i="159"/>
  <c r="D22" i="159"/>
  <c r="U19" i="159"/>
  <c r="L14" i="13"/>
  <c r="D35" i="198"/>
  <c r="D6" i="277"/>
  <c r="BD9" i="159"/>
  <c r="L22" i="95"/>
  <c r="G73" i="58"/>
  <c r="G74" i="58" s="1"/>
  <c r="C18" i="204"/>
  <c r="C45" i="197"/>
  <c r="C46" i="197" s="1"/>
  <c r="U23" i="198"/>
  <c r="AF23" i="198"/>
  <c r="X20" i="198"/>
  <c r="AT13" i="159"/>
  <c r="U13" i="159"/>
  <c r="X13" i="159" s="1"/>
  <c r="AC13" i="159" s="1"/>
  <c r="U17" i="198"/>
  <c r="AF16" i="198"/>
  <c r="AF17" i="198" s="1"/>
  <c r="X13" i="198"/>
  <c r="R8" i="8"/>
  <c r="R13" i="8" s="1"/>
  <c r="M13" i="8"/>
  <c r="U14" i="159"/>
  <c r="X14" i="159" s="1"/>
  <c r="AC14" i="159" s="1"/>
  <c r="AT14" i="159"/>
  <c r="AL10" i="198"/>
  <c r="I6" i="277"/>
  <c r="T19" i="58"/>
  <c r="S37" i="58"/>
  <c r="N11" i="307" s="1"/>
  <c r="I7" i="277"/>
  <c r="T25" i="58"/>
  <c r="D72" i="95"/>
  <c r="BS29" i="159"/>
  <c r="BJ29" i="159"/>
  <c r="BK29" i="159" s="1"/>
  <c r="F42" i="277"/>
  <c r="AH28" i="141"/>
  <c r="BB66" i="159"/>
  <c r="AG53" i="198"/>
  <c r="BJ24" i="159"/>
  <c r="BK24" i="159" s="1"/>
  <c r="BS24" i="159"/>
  <c r="AH56" i="159"/>
  <c r="BC56" i="159"/>
  <c r="AC66" i="159"/>
  <c r="AL43" i="163"/>
  <c r="AL53" i="163" s="1"/>
  <c r="Z43" i="163"/>
  <c r="AG43" i="163" s="1"/>
  <c r="AC53" i="163"/>
  <c r="Z53" i="163" s="1"/>
  <c r="AG53" i="163" s="1"/>
  <c r="Z66" i="198"/>
  <c r="F54" i="197" s="1"/>
  <c r="AD66" i="159"/>
  <c r="BM56" i="159"/>
  <c r="BM66" i="159" s="1"/>
  <c r="I32" i="95" l="1"/>
  <c r="K32" i="95" s="1"/>
  <c r="I30" i="95"/>
  <c r="C83" i="95"/>
  <c r="D80" i="95"/>
  <c r="E23" i="86"/>
  <c r="M14" i="307"/>
  <c r="M42" i="307" s="1"/>
  <c r="G41" i="173"/>
  <c r="E17" i="173"/>
  <c r="F17" i="173" s="1"/>
  <c r="L14" i="307"/>
  <c r="L42" i="307" s="1"/>
  <c r="L36" i="307"/>
  <c r="F12" i="321"/>
  <c r="F15" i="321" s="1"/>
  <c r="F18" i="321" s="1"/>
  <c r="F20" i="321" s="1"/>
  <c r="F25" i="321" s="1"/>
  <c r="AH19" i="141"/>
  <c r="I38" i="3"/>
  <c r="J12" i="3" s="1"/>
  <c r="J38" i="3" s="1"/>
  <c r="K12" i="3" s="1"/>
  <c r="K38" i="3" s="1"/>
  <c r="L12" i="3" s="1"/>
  <c r="L38" i="3" s="1"/>
  <c r="I39" i="3"/>
  <c r="J13" i="3" s="1"/>
  <c r="J39" i="3" s="1"/>
  <c r="K13" i="3" s="1"/>
  <c r="K39" i="3" s="1"/>
  <c r="L13" i="3" s="1"/>
  <c r="L39" i="3" s="1"/>
  <c r="H16" i="321"/>
  <c r="H60" i="3"/>
  <c r="N21" i="307"/>
  <c r="N29" i="307" s="1"/>
  <c r="M20" i="307"/>
  <c r="M28" i="307" s="1"/>
  <c r="I11" i="3"/>
  <c r="U32" i="27"/>
  <c r="T32" i="27"/>
  <c r="AH66" i="159"/>
  <c r="BC66" i="159"/>
  <c r="BJ25" i="159"/>
  <c r="BK25" i="159" s="1"/>
  <c r="C40" i="197"/>
  <c r="D22" i="204"/>
  <c r="D23" i="204" s="1"/>
  <c r="D31" i="204" s="1"/>
  <c r="H14" i="13"/>
  <c r="K14" i="13" s="1"/>
  <c r="E7" i="204" s="1"/>
  <c r="C48" i="197"/>
  <c r="G54" i="197"/>
  <c r="G53" i="197"/>
  <c r="M21" i="307"/>
  <c r="M29" i="307" s="1"/>
  <c r="AB13" i="27"/>
  <c r="AB28" i="27"/>
  <c r="F45" i="197"/>
  <c r="F46" i="197" s="1"/>
  <c r="L21" i="307"/>
  <c r="L29" i="307" s="1"/>
  <c r="L20" i="307"/>
  <c r="L28" i="307" s="1"/>
  <c r="D24" i="200"/>
  <c r="E24" i="200" s="1"/>
  <c r="D23" i="200"/>
  <c r="D18" i="200" s="1"/>
  <c r="E18" i="200" s="1"/>
  <c r="AA13" i="27"/>
  <c r="I37" i="173"/>
  <c r="J37" i="173"/>
  <c r="J16" i="173" s="1"/>
  <c r="AE39" i="58"/>
  <c r="AE40" i="58" s="1"/>
  <c r="BJ59" i="159"/>
  <c r="BK59" i="159" s="1"/>
  <c r="N37" i="173"/>
  <c r="N16" i="173" s="1"/>
  <c r="H53" i="197"/>
  <c r="BJ53" i="159"/>
  <c r="BK53" i="159" s="1"/>
  <c r="C26" i="97"/>
  <c r="C28" i="97" s="1"/>
  <c r="H28" i="97" s="1"/>
  <c r="G20" i="13"/>
  <c r="D20" i="13" s="1"/>
  <c r="H6" i="319"/>
  <c r="H9" i="319" s="1"/>
  <c r="H10" i="319" s="1"/>
  <c r="F44" i="321"/>
  <c r="P49" i="157"/>
  <c r="H33" i="3"/>
  <c r="I7" i="3" s="1"/>
  <c r="H7" i="277"/>
  <c r="H20" i="277"/>
  <c r="H14" i="277"/>
  <c r="H24" i="277"/>
  <c r="H32" i="277"/>
  <c r="H40" i="277"/>
  <c r="H19" i="277"/>
  <c r="H30" i="277"/>
  <c r="H39" i="277"/>
  <c r="H36" i="277"/>
  <c r="H33" i="277"/>
  <c r="H28" i="277"/>
  <c r="H18" i="277"/>
  <c r="H27" i="277"/>
  <c r="H16" i="277"/>
  <c r="H10" i="277"/>
  <c r="H15" i="277"/>
  <c r="H8" i="277"/>
  <c r="H35" i="277"/>
  <c r="H29" i="277"/>
  <c r="H23" i="277"/>
  <c r="H22" i="277"/>
  <c r="H26" i="277"/>
  <c r="H37" i="277"/>
  <c r="H34" i="277"/>
  <c r="H12" i="277"/>
  <c r="H21" i="277"/>
  <c r="H41" i="277"/>
  <c r="H11" i="277"/>
  <c r="G43" i="277"/>
  <c r="H13" i="277"/>
  <c r="H9" i="277"/>
  <c r="H25" i="277"/>
  <c r="H38" i="277"/>
  <c r="H17" i="277"/>
  <c r="H6" i="277"/>
  <c r="AF35" i="198"/>
  <c r="AF67" i="198" s="1"/>
  <c r="D34" i="159"/>
  <c r="C69" i="159" s="1"/>
  <c r="AW15" i="159"/>
  <c r="BF15" i="159"/>
  <c r="U40" i="141"/>
  <c r="U45" i="141" s="1"/>
  <c r="BF13" i="159"/>
  <c r="AW13" i="159"/>
  <c r="M14" i="13"/>
  <c r="L16" i="13"/>
  <c r="F50" i="27"/>
  <c r="F52" i="27" s="1"/>
  <c r="G54" i="27"/>
  <c r="G56" i="27" s="1"/>
  <c r="F54" i="27"/>
  <c r="F56" i="27" s="1"/>
  <c r="D50" i="27"/>
  <c r="D52" i="27" s="1"/>
  <c r="G50" i="27"/>
  <c r="G52" i="27" s="1"/>
  <c r="D54" i="27"/>
  <c r="D56" i="27" s="1"/>
  <c r="G72" i="95"/>
  <c r="M72" i="95"/>
  <c r="BC13" i="159"/>
  <c r="AH13" i="159"/>
  <c r="AC20" i="198"/>
  <c r="X23" i="198"/>
  <c r="C19" i="204"/>
  <c r="C28" i="204" s="1"/>
  <c r="C22" i="204"/>
  <c r="C23" i="204" s="1"/>
  <c r="C31" i="204" s="1"/>
  <c r="D67" i="198"/>
  <c r="F12" i="274"/>
  <c r="F7" i="274" s="1"/>
  <c r="P51" i="173"/>
  <c r="F11" i="204"/>
  <c r="P6" i="173"/>
  <c r="H4" i="321" s="1"/>
  <c r="H7" i="321" s="1"/>
  <c r="D12" i="98"/>
  <c r="X19" i="159"/>
  <c r="U22" i="159"/>
  <c r="AF16" i="163"/>
  <c r="AF17" i="163" s="1"/>
  <c r="X13" i="163"/>
  <c r="U17" i="163"/>
  <c r="U23" i="163"/>
  <c r="AF23" i="163"/>
  <c r="X20" i="163"/>
  <c r="K11" i="13"/>
  <c r="K20" i="13" s="1"/>
  <c r="J9" i="13"/>
  <c r="BF21" i="159"/>
  <c r="AW21" i="159"/>
  <c r="G74" i="95"/>
  <c r="M74" i="95"/>
  <c r="V15" i="141"/>
  <c r="D42" i="277"/>
  <c r="AH20" i="159"/>
  <c r="BC20" i="159"/>
  <c r="AT16" i="159"/>
  <c r="AW12" i="159"/>
  <c r="BT15" i="159"/>
  <c r="BT16" i="159" s="1"/>
  <c r="BF12" i="159"/>
  <c r="BC14" i="159"/>
  <c r="AH14" i="159"/>
  <c r="AH21" i="159"/>
  <c r="BC21" i="159"/>
  <c r="K72" i="95"/>
  <c r="D35" i="163"/>
  <c r="N11" i="13"/>
  <c r="F129" i="83"/>
  <c r="E29" i="197"/>
  <c r="E31" i="197" s="1"/>
  <c r="AA49" i="27"/>
  <c r="T37" i="58"/>
  <c r="AC13" i="198"/>
  <c r="X17" i="198"/>
  <c r="AG15" i="141"/>
  <c r="F123" i="83"/>
  <c r="F125" i="83" s="1"/>
  <c r="D123" i="83"/>
  <c r="D125" i="83" s="1"/>
  <c r="BC15" i="159"/>
  <c r="AH15" i="159"/>
  <c r="BF14" i="159"/>
  <c r="AW14" i="159"/>
  <c r="BF19" i="159"/>
  <c r="AW19" i="159"/>
  <c r="AT22" i="159"/>
  <c r="AW20" i="159"/>
  <c r="BF20" i="159"/>
  <c r="X12" i="159"/>
  <c r="U16" i="159"/>
  <c r="D3" i="222"/>
  <c r="E3" i="222" s="1"/>
  <c r="N73" i="58"/>
  <c r="N74" i="58" s="1"/>
  <c r="O71" i="58"/>
  <c r="E18" i="204"/>
  <c r="G45" i="197"/>
  <c r="G46" i="197" s="1"/>
  <c r="G48" i="197" s="1"/>
  <c r="D4" i="222"/>
  <c r="AJ19" i="141"/>
  <c r="Q17" i="8"/>
  <c r="U35" i="198"/>
  <c r="U67" i="198" s="1"/>
  <c r="H34" i="3"/>
  <c r="AG66" i="198"/>
  <c r="AY56" i="159"/>
  <c r="BQ56" i="159"/>
  <c r="BQ66" i="159" s="1"/>
  <c r="BD56" i="159"/>
  <c r="BD66" i="159" s="1"/>
  <c r="U70" i="3" l="1"/>
  <c r="V70" i="3" s="1"/>
  <c r="H82" i="95"/>
  <c r="L32" i="95"/>
  <c r="I31" i="95"/>
  <c r="K31" i="95" s="1"/>
  <c r="G80" i="95"/>
  <c r="K30" i="95"/>
  <c r="I33" i="95"/>
  <c r="U69" i="3"/>
  <c r="V69" i="3" s="1"/>
  <c r="G33" i="173"/>
  <c r="G35" i="173" s="1"/>
  <c r="G15" i="13"/>
  <c r="E15" i="13" s="1"/>
  <c r="I62" i="3"/>
  <c r="I82" i="95" s="1"/>
  <c r="I61" i="3"/>
  <c r="I80" i="95" s="1"/>
  <c r="I37" i="3"/>
  <c r="J11" i="3" s="1"/>
  <c r="J37" i="3" s="1"/>
  <c r="K11" i="3" s="1"/>
  <c r="K37" i="3" s="1"/>
  <c r="L11" i="3" s="1"/>
  <c r="L37" i="3" s="1"/>
  <c r="I33" i="3"/>
  <c r="I56" i="3"/>
  <c r="H57" i="3"/>
  <c r="K74" i="95" s="1"/>
  <c r="L74" i="95" s="1"/>
  <c r="E24" i="173"/>
  <c r="F24" i="173"/>
  <c r="I8" i="3"/>
  <c r="P34" i="173"/>
  <c r="B9" i="368" s="1"/>
  <c r="C9" i="368" s="1"/>
  <c r="D8" i="98"/>
  <c r="E11" i="204"/>
  <c r="D15" i="222"/>
  <c r="E12" i="274"/>
  <c r="E7" i="274" s="1"/>
  <c r="L51" i="173"/>
  <c r="I52" i="173" s="1"/>
  <c r="H16" i="13"/>
  <c r="I14" i="13"/>
  <c r="I16" i="13" s="1"/>
  <c r="W51" i="27"/>
  <c r="T51" i="27" s="1"/>
  <c r="I18" i="368"/>
  <c r="I17" i="368"/>
  <c r="I20" i="368" s="1"/>
  <c r="I22" i="368" s="1"/>
  <c r="D19" i="200"/>
  <c r="E19" i="200" s="1"/>
  <c r="W15" i="141"/>
  <c r="AF15" i="141" s="1"/>
  <c r="R17" i="8"/>
  <c r="D16" i="7"/>
  <c r="C27" i="7" s="1"/>
  <c r="C35" i="7" s="1"/>
  <c r="R17" i="198"/>
  <c r="AH17" i="198"/>
  <c r="AH35" i="198" s="1"/>
  <c r="AH67" i="198" s="1"/>
  <c r="E23" i="200"/>
  <c r="F16" i="274"/>
  <c r="F20" i="13"/>
  <c r="E20" i="13"/>
  <c r="I6" i="319"/>
  <c r="N20" i="307"/>
  <c r="N28" i="307" s="1"/>
  <c r="L72" i="95"/>
  <c r="AF35" i="163"/>
  <c r="AF67" i="163" s="1"/>
  <c r="U35" i="163"/>
  <c r="BF22" i="159"/>
  <c r="BF16" i="159"/>
  <c r="AC12" i="159"/>
  <c r="X16" i="159"/>
  <c r="AC19" i="159"/>
  <c r="X22" i="159"/>
  <c r="AL20" i="198"/>
  <c r="AL23" i="198" s="1"/>
  <c r="AC23" i="198"/>
  <c r="E22" i="204"/>
  <c r="E23" i="204" s="1"/>
  <c r="E31" i="204" s="1"/>
  <c r="E19" i="204"/>
  <c r="E28" i="204" s="1"/>
  <c r="BI19" i="159"/>
  <c r="BB19" i="159"/>
  <c r="AW22" i="159"/>
  <c r="G125" i="83"/>
  <c r="AJ15" i="141"/>
  <c r="AL13" i="198"/>
  <c r="AL17" i="198" s="1"/>
  <c r="AC17" i="198"/>
  <c r="BI21" i="159"/>
  <c r="BB21" i="159"/>
  <c r="AC20" i="163"/>
  <c r="X23" i="163"/>
  <c r="C4" i="303"/>
  <c r="D10" i="200"/>
  <c r="E8" i="200"/>
  <c r="E10" i="200" s="1"/>
  <c r="R23" i="198"/>
  <c r="X35" i="198"/>
  <c r="X67" i="198" s="1"/>
  <c r="R67" i="198" s="1"/>
  <c r="D13" i="173"/>
  <c r="D53" i="27"/>
  <c r="BB13" i="159"/>
  <c r="BI13" i="159"/>
  <c r="U34" i="159"/>
  <c r="N14" i="13"/>
  <c r="BT22" i="159"/>
  <c r="AT34" i="159"/>
  <c r="K9" i="13"/>
  <c r="G53" i="27"/>
  <c r="F13" i="173"/>
  <c r="E13" i="173"/>
  <c r="F53" i="27"/>
  <c r="G7" i="13"/>
  <c r="C46" i="277"/>
  <c r="C48" i="277" s="1"/>
  <c r="D7" i="13"/>
  <c r="AI15" i="141"/>
  <c r="L26" i="8"/>
  <c r="BI15" i="159"/>
  <c r="BB15" i="159"/>
  <c r="E4" i="222"/>
  <c r="D11" i="222"/>
  <c r="E11" i="222" s="1"/>
  <c r="N76" i="58"/>
  <c r="BI20" i="159"/>
  <c r="BB20" i="159"/>
  <c r="BB14" i="159"/>
  <c r="BI14" i="159"/>
  <c r="BB12" i="159"/>
  <c r="BI12" i="159"/>
  <c r="AW16" i="159"/>
  <c r="AQ16" i="159" s="1"/>
  <c r="J8" i="13"/>
  <c r="J10" i="13"/>
  <c r="AC13" i="163"/>
  <c r="X17" i="163"/>
  <c r="C24" i="101"/>
  <c r="D5" i="211"/>
  <c r="N52" i="173"/>
  <c r="D24" i="173"/>
  <c r="I56" i="27"/>
  <c r="G76" i="58"/>
  <c r="BJ56" i="159"/>
  <c r="BK56" i="159" s="1"/>
  <c r="BS56" i="159"/>
  <c r="M37" i="173"/>
  <c r="M82" i="95" l="1"/>
  <c r="K82" i="95"/>
  <c r="L82" i="95" s="1"/>
  <c r="H81" i="95"/>
  <c r="L31" i="95"/>
  <c r="U68" i="3"/>
  <c r="V68" i="3" s="1"/>
  <c r="H80" i="95"/>
  <c r="L30" i="95"/>
  <c r="K33" i="95"/>
  <c r="J7" i="3"/>
  <c r="J33" i="3" s="1"/>
  <c r="K7" i="3" s="1"/>
  <c r="K33" i="3" s="1"/>
  <c r="L7" i="3" s="1"/>
  <c r="L33" i="3" s="1"/>
  <c r="G39" i="173"/>
  <c r="L23" i="173" s="1"/>
  <c r="D15" i="13"/>
  <c r="F15" i="13" s="1"/>
  <c r="I60" i="3"/>
  <c r="I81" i="95" s="1"/>
  <c r="H74" i="347"/>
  <c r="K18" i="368"/>
  <c r="F33" i="321"/>
  <c r="F35" i="321" s="1"/>
  <c r="I34" i="3"/>
  <c r="J8" i="3" s="1"/>
  <c r="C5" i="211"/>
  <c r="I23" i="368"/>
  <c r="F23" i="368" s="1"/>
  <c r="B24" i="101"/>
  <c r="D32" i="200"/>
  <c r="D6" i="200" s="1"/>
  <c r="D53" i="200" s="1"/>
  <c r="E53" i="200" s="1"/>
  <c r="E15" i="222"/>
  <c r="J52" i="173"/>
  <c r="K52" i="173"/>
  <c r="E16" i="274"/>
  <c r="G4" i="321"/>
  <c r="G7" i="321" s="1"/>
  <c r="J14" i="13"/>
  <c r="J16" i="13" s="1"/>
  <c r="K6" i="173"/>
  <c r="K10" i="173" s="1"/>
  <c r="U51" i="27"/>
  <c r="H39" i="8"/>
  <c r="H41" i="8" s="1"/>
  <c r="C33" i="7"/>
  <c r="R16" i="159"/>
  <c r="AD16" i="159"/>
  <c r="R17" i="163"/>
  <c r="AH17" i="163"/>
  <c r="AH35" i="163" s="1"/>
  <c r="AH67" i="163" s="1"/>
  <c r="B11" i="320"/>
  <c r="BF34" i="159"/>
  <c r="BF67" i="159" s="1"/>
  <c r="BI22" i="159"/>
  <c r="I53" i="27"/>
  <c r="BI16" i="159"/>
  <c r="AL35" i="198"/>
  <c r="AL13" i="163"/>
  <c r="AL17" i="163" s="1"/>
  <c r="AC17" i="163"/>
  <c r="Z17" i="163" s="1"/>
  <c r="AG17" i="163" s="1"/>
  <c r="BT34" i="159"/>
  <c r="D12" i="200"/>
  <c r="D14" i="200"/>
  <c r="E14" i="200" s="1"/>
  <c r="Z16" i="198"/>
  <c r="Z17" i="198"/>
  <c r="AG17" i="198" s="1"/>
  <c r="Q26" i="8"/>
  <c r="AH15" i="141"/>
  <c r="BQ15" i="159"/>
  <c r="BD15" i="159"/>
  <c r="D14" i="13"/>
  <c r="D9" i="13"/>
  <c r="D10" i="13" s="1"/>
  <c r="E7" i="13" s="1"/>
  <c r="I20" i="13"/>
  <c r="H20" i="13"/>
  <c r="J20" i="13"/>
  <c r="BQ19" i="159"/>
  <c r="BB22" i="159"/>
  <c r="AC35" i="198"/>
  <c r="Z23" i="198"/>
  <c r="AG23" i="198" s="1"/>
  <c r="AH12" i="159"/>
  <c r="AH16" i="159" s="1"/>
  <c r="BC12" i="159"/>
  <c r="BC16" i="159" s="1"/>
  <c r="AC16" i="159"/>
  <c r="Z16" i="159" s="1"/>
  <c r="R23" i="163"/>
  <c r="X35" i="163"/>
  <c r="BQ12" i="159"/>
  <c r="BB16" i="159"/>
  <c r="AY16" i="159" s="1"/>
  <c r="BQ14" i="159"/>
  <c r="BD14" i="159"/>
  <c r="K8" i="13"/>
  <c r="K16" i="13"/>
  <c r="K10" i="13"/>
  <c r="O14" i="13"/>
  <c r="BD13" i="159"/>
  <c r="BQ13" i="159"/>
  <c r="BQ21" i="159"/>
  <c r="BD21" i="159"/>
  <c r="AQ22" i="159"/>
  <c r="AW34" i="159"/>
  <c r="AH19" i="159"/>
  <c r="AH22" i="159" s="1"/>
  <c r="BC19" i="159"/>
  <c r="BC22" i="159" s="1"/>
  <c r="AC22" i="159"/>
  <c r="BD20" i="159"/>
  <c r="BQ20" i="159"/>
  <c r="M26" i="8"/>
  <c r="G50" i="173"/>
  <c r="G51" i="173" s="1"/>
  <c r="D52" i="173" s="1"/>
  <c r="G9" i="13"/>
  <c r="R35" i="198"/>
  <c r="C7" i="303"/>
  <c r="AL20" i="163"/>
  <c r="AL23" i="163" s="1"/>
  <c r="AC23" i="163"/>
  <c r="R22" i="159"/>
  <c r="X34" i="159"/>
  <c r="M81" i="95" l="1"/>
  <c r="K81" i="95"/>
  <c r="L81" i="95" s="1"/>
  <c r="K80" i="95"/>
  <c r="L80" i="95" s="1"/>
  <c r="H83" i="95"/>
  <c r="M80" i="95"/>
  <c r="D37" i="97"/>
  <c r="E37" i="97" s="1"/>
  <c r="G42" i="173"/>
  <c r="G43" i="173" s="1"/>
  <c r="C25" i="98"/>
  <c r="I57" i="3"/>
  <c r="J34" i="3"/>
  <c r="K8" i="3" s="1"/>
  <c r="Y60" i="173"/>
  <c r="X58" i="173"/>
  <c r="X60" i="173" s="1"/>
  <c r="E32" i="200"/>
  <c r="D13" i="222"/>
  <c r="E13" i="222" s="1"/>
  <c r="L52" i="173"/>
  <c r="G52" i="197"/>
  <c r="M22" i="307"/>
  <c r="M23" i="307" s="1"/>
  <c r="L22" i="307"/>
  <c r="L30" i="307" s="1"/>
  <c r="D22" i="200"/>
  <c r="E22" i="200" s="1"/>
  <c r="E25" i="200" s="1"/>
  <c r="AD34" i="159"/>
  <c r="AD67" i="159" s="1"/>
  <c r="BM16" i="159"/>
  <c r="BM34" i="159" s="1"/>
  <c r="BM67" i="159" s="1"/>
  <c r="BI34" i="159"/>
  <c r="BI67" i="159" s="1"/>
  <c r="BQ22" i="159"/>
  <c r="K37" i="173"/>
  <c r="AL67" i="198"/>
  <c r="C6" i="98" s="1"/>
  <c r="BQ16" i="159"/>
  <c r="BC34" i="159"/>
  <c r="BC67" i="159" s="1"/>
  <c r="Z35" i="198"/>
  <c r="F52" i="197" s="1"/>
  <c r="AC67" i="198"/>
  <c r="Z67" i="198" s="1"/>
  <c r="F55" i="197" s="1"/>
  <c r="R34" i="159"/>
  <c r="X67" i="159"/>
  <c r="G8" i="13"/>
  <c r="G10" i="13"/>
  <c r="F14" i="13"/>
  <c r="D16" i="13"/>
  <c r="D17" i="13" s="1"/>
  <c r="D18" i="13" s="1"/>
  <c r="D19" i="13" s="1"/>
  <c r="D21" i="13" s="1"/>
  <c r="G14" i="13"/>
  <c r="G16" i="13" s="1"/>
  <c r="G17" i="13" s="1"/>
  <c r="E14" i="13"/>
  <c r="AH34" i="159"/>
  <c r="AH67" i="159" s="1"/>
  <c r="E9" i="173"/>
  <c r="D9" i="173"/>
  <c r="E21" i="173"/>
  <c r="E26" i="173" s="1"/>
  <c r="F50" i="173"/>
  <c r="F21" i="173" s="1"/>
  <c r="F26" i="173" s="1"/>
  <c r="D21" i="173"/>
  <c r="D26" i="173" s="1"/>
  <c r="D34" i="173"/>
  <c r="E34" i="173"/>
  <c r="BJ16" i="159"/>
  <c r="BK16" i="159" s="1"/>
  <c r="BS16" i="159"/>
  <c r="R35" i="163"/>
  <c r="X67" i="163"/>
  <c r="E9" i="13"/>
  <c r="E10" i="13" s="1"/>
  <c r="F7" i="13" s="1"/>
  <c r="E12" i="200"/>
  <c r="D13" i="200"/>
  <c r="E13" i="200" s="1"/>
  <c r="AL35" i="163"/>
  <c r="AL67" i="163" s="1"/>
  <c r="BD19" i="159"/>
  <c r="BD22" i="159" s="1"/>
  <c r="AQ34" i="159"/>
  <c r="AW67" i="159"/>
  <c r="BT67" i="159"/>
  <c r="Z23" i="163"/>
  <c r="AG23" i="163" s="1"/>
  <c r="AC35" i="163"/>
  <c r="R26" i="8"/>
  <c r="AC34" i="159"/>
  <c r="Z22" i="159"/>
  <c r="F7" i="204"/>
  <c r="AY22" i="159"/>
  <c r="BB34" i="159"/>
  <c r="BD12" i="159"/>
  <c r="BD16" i="159" s="1"/>
  <c r="L34" i="173" l="1"/>
  <c r="I34" i="173" s="1"/>
  <c r="M25" i="307"/>
  <c r="M31" i="307"/>
  <c r="M30" i="307" s="1"/>
  <c r="J57" i="3"/>
  <c r="K34" i="3"/>
  <c r="L8" i="3" s="1"/>
  <c r="M57" i="3"/>
  <c r="L37" i="173"/>
  <c r="E6" i="274"/>
  <c r="L23" i="307"/>
  <c r="L31" i="307"/>
  <c r="C8" i="98"/>
  <c r="C10" i="98" s="1"/>
  <c r="G55" i="197"/>
  <c r="Z34" i="159"/>
  <c r="D25" i="200"/>
  <c r="D20" i="200" s="1"/>
  <c r="E20" i="200" s="1"/>
  <c r="D17" i="200"/>
  <c r="E17" i="200" s="1"/>
  <c r="BQ34" i="159"/>
  <c r="G18" i="13"/>
  <c r="G19" i="13" s="1"/>
  <c r="G21" i="13" s="1"/>
  <c r="F34" i="173"/>
  <c r="BD34" i="159"/>
  <c r="BD67" i="159" s="1"/>
  <c r="F9" i="173"/>
  <c r="F9" i="13"/>
  <c r="BC94" i="159"/>
  <c r="BE94" i="159" s="1"/>
  <c r="AY34" i="159"/>
  <c r="BB67" i="159"/>
  <c r="AC67" i="159"/>
  <c r="E16" i="13"/>
  <c r="E17" i="13" s="1"/>
  <c r="E18" i="13" s="1"/>
  <c r="E19" i="13" s="1"/>
  <c r="E21" i="13" s="1"/>
  <c r="Z35" i="163"/>
  <c r="AG35" i="163" s="1"/>
  <c r="AC67" i="163"/>
  <c r="AG67" i="198"/>
  <c r="D5" i="222"/>
  <c r="E5" i="222" s="1"/>
  <c r="BJ22" i="159"/>
  <c r="BK22" i="159" s="1"/>
  <c r="BS22" i="159"/>
  <c r="E52" i="173"/>
  <c r="AG35" i="198"/>
  <c r="F52" i="173"/>
  <c r="F10" i="173" s="1"/>
  <c r="K34" i="173" l="1"/>
  <c r="G31" i="321"/>
  <c r="F21" i="368"/>
  <c r="D9" i="222"/>
  <c r="E9" i="222" s="1"/>
  <c r="L33" i="307"/>
  <c r="L37" i="307"/>
  <c r="K57" i="3"/>
  <c r="L34" i="3"/>
  <c r="L57" i="3" s="1"/>
  <c r="L16" i="173"/>
  <c r="B21" i="368"/>
  <c r="L25" i="307"/>
  <c r="J34" i="173"/>
  <c r="F20" i="368"/>
  <c r="B20" i="368"/>
  <c r="C14" i="211"/>
  <c r="E9" i="274"/>
  <c r="J40" i="156"/>
  <c r="J42" i="156" s="1"/>
  <c r="J45" i="156" s="1"/>
  <c r="J46" i="156" s="1"/>
  <c r="D27" i="200"/>
  <c r="E27" i="200" s="1"/>
  <c r="E28" i="200" s="1"/>
  <c r="E10" i="173"/>
  <c r="E33" i="173" s="1"/>
  <c r="E35" i="173" s="1"/>
  <c r="E39" i="173" s="1"/>
  <c r="G52" i="173"/>
  <c r="G41" i="321"/>
  <c r="H11" i="319"/>
  <c r="BQ67" i="159"/>
  <c r="N22" i="307"/>
  <c r="N23" i="307" s="1"/>
  <c r="O37" i="173"/>
  <c r="F6" i="173"/>
  <c r="F8" i="13"/>
  <c r="F16" i="13"/>
  <c r="F17" i="13" s="1"/>
  <c r="H52" i="197"/>
  <c r="BJ34" i="159"/>
  <c r="BK34" i="159" s="1"/>
  <c r="BS34" i="159"/>
  <c r="D10" i="173"/>
  <c r="F33" i="173"/>
  <c r="F35" i="173" s="1"/>
  <c r="F39" i="173" s="1"/>
  <c r="F10" i="13"/>
  <c r="BE96" i="159"/>
  <c r="BG95" i="159" s="1"/>
  <c r="L43" i="307" l="1"/>
  <c r="L44" i="307" s="1"/>
  <c r="P37" i="173"/>
  <c r="F47" i="197"/>
  <c r="F48" i="197" s="1"/>
  <c r="L38" i="307"/>
  <c r="D6" i="98"/>
  <c r="N31" i="307"/>
  <c r="N33" i="307" s="1"/>
  <c r="N25" i="307"/>
  <c r="D28" i="200"/>
  <c r="D50" i="200" s="1"/>
  <c r="E50" i="200" s="1"/>
  <c r="D6" i="222"/>
  <c r="E6" i="222" s="1"/>
  <c r="G11" i="321"/>
  <c r="E10" i="274"/>
  <c r="B7" i="101"/>
  <c r="D31" i="97" s="1"/>
  <c r="D10" i="23"/>
  <c r="C17" i="211"/>
  <c r="G34" i="321"/>
  <c r="G30" i="321"/>
  <c r="G32" i="321" s="1"/>
  <c r="E6" i="173"/>
  <c r="I11" i="319"/>
  <c r="B16" i="320" s="1"/>
  <c r="BG94" i="159"/>
  <c r="D33" i="173"/>
  <c r="D35" i="173" s="1"/>
  <c r="D39" i="173" s="1"/>
  <c r="D6" i="173"/>
  <c r="F18" i="13"/>
  <c r="F19" i="13" s="1"/>
  <c r="F21" i="13" s="1"/>
  <c r="F6" i="274" l="1"/>
  <c r="D10" i="98"/>
  <c r="P16" i="173"/>
  <c r="I12" i="319"/>
  <c r="I13" i="319" s="1"/>
  <c r="B8" i="368"/>
  <c r="C8" i="368" s="1"/>
  <c r="F8" i="368"/>
  <c r="N43" i="307"/>
  <c r="J134" i="140"/>
  <c r="D7" i="222"/>
  <c r="E7" i="222" s="1"/>
  <c r="D12" i="23"/>
  <c r="D13" i="23" s="1"/>
  <c r="D34" i="23"/>
  <c r="K16" i="173"/>
  <c r="D25" i="23"/>
  <c r="D36" i="200"/>
  <c r="E36" i="200" s="1"/>
  <c r="H43" i="321"/>
  <c r="H39" i="321"/>
  <c r="H30" i="321"/>
  <c r="H34" i="321"/>
  <c r="G44" i="321"/>
  <c r="D14" i="211"/>
  <c r="B17" i="320" l="1"/>
  <c r="B18" i="320" s="1"/>
  <c r="O16" i="173"/>
  <c r="D8" i="222"/>
  <c r="E8" i="222" s="1"/>
  <c r="E10" i="222" s="1"/>
  <c r="D16" i="23"/>
  <c r="E7" i="23" s="1"/>
  <c r="C7" i="101"/>
  <c r="E10" i="23"/>
  <c r="D17" i="211"/>
  <c r="F9" i="274"/>
  <c r="F9" i="368"/>
  <c r="H40" i="321"/>
  <c r="H41" i="321" s="1"/>
  <c r="H31" i="321"/>
  <c r="H32" i="321" s="1"/>
  <c r="C27" i="303"/>
  <c r="N34" i="173"/>
  <c r="G66" i="83"/>
  <c r="G27" i="303" l="1"/>
  <c r="F27" i="303"/>
  <c r="P15" i="173"/>
  <c r="F10" i="274"/>
  <c r="D10" i="222"/>
  <c r="D22" i="23"/>
  <c r="D32" i="23" s="1"/>
  <c r="D35" i="23" s="1"/>
  <c r="E12" i="23"/>
  <c r="E13" i="23" s="1"/>
  <c r="H11" i="321"/>
  <c r="E25" i="23"/>
  <c r="C12" i="303"/>
  <c r="F12" i="303" s="1"/>
  <c r="G12" i="303" s="1"/>
  <c r="E31" i="97"/>
  <c r="E34" i="23" s="1"/>
  <c r="F31" i="274"/>
  <c r="B131" i="83"/>
  <c r="C26" i="101"/>
  <c r="G131" i="83"/>
  <c r="D29" i="23" l="1"/>
  <c r="E16" i="23"/>
  <c r="E22" i="23" s="1"/>
  <c r="E29" i="23" s="1"/>
  <c r="H10" i="321"/>
  <c r="B133" i="83"/>
  <c r="M15" i="173" s="1"/>
  <c r="C11" i="303"/>
  <c r="F131" i="83"/>
  <c r="F133" i="83" s="1"/>
  <c r="O15" i="173" s="1"/>
  <c r="D131" i="83"/>
  <c r="D133" i="83" s="1"/>
  <c r="E32" i="23" l="1"/>
  <c r="E35" i="23" s="1"/>
  <c r="G133" i="83"/>
  <c r="N15" i="173"/>
  <c r="F11" i="303"/>
  <c r="G11" i="303" l="1"/>
  <c r="L42" i="321" l="1"/>
  <c r="N30" i="307" l="1"/>
  <c r="M54" i="345" l="1"/>
  <c r="M65" i="345" s="1"/>
  <c r="M66" i="345" s="1"/>
  <c r="F66" i="163"/>
  <c r="F67" i="163" s="1"/>
  <c r="D55" i="159"/>
  <c r="R69" i="58"/>
  <c r="I34" i="277"/>
  <c r="D66" i="159" l="1"/>
  <c r="AQ55" i="159"/>
  <c r="R55" i="159"/>
  <c r="F55" i="159"/>
  <c r="F66" i="159" s="1"/>
  <c r="F67" i="159" s="1"/>
  <c r="F5" i="303"/>
  <c r="G5" i="303" s="1"/>
  <c r="C71" i="159"/>
  <c r="C72" i="159" s="1"/>
  <c r="AY66" i="159"/>
  <c r="BS66" i="159" s="1"/>
  <c r="L11" i="13"/>
  <c r="S71" i="58"/>
  <c r="E15" i="373" s="1"/>
  <c r="E16" i="373" s="1"/>
  <c r="D66" i="163"/>
  <c r="D67" i="163" s="1"/>
  <c r="R67" i="163" s="1"/>
  <c r="R66" i="159"/>
  <c r="I42" i="277"/>
  <c r="J34" i="277" s="1"/>
  <c r="AQ66" i="159"/>
  <c r="D67" i="159"/>
  <c r="Z66" i="159"/>
  <c r="E55" i="163"/>
  <c r="N9" i="307"/>
  <c r="X49" i="27"/>
  <c r="AB49" i="27" s="1"/>
  <c r="F21" i="204"/>
  <c r="E32" i="197"/>
  <c r="T69" i="58"/>
  <c r="E66" i="163" l="1"/>
  <c r="E67" i="163" s="1"/>
  <c r="U55" i="163"/>
  <c r="U66" i="163" s="1"/>
  <c r="U67" i="163" s="1"/>
  <c r="AY67" i="159"/>
  <c r="BS67" i="159" s="1"/>
  <c r="AQ67" i="159"/>
  <c r="M50" i="173"/>
  <c r="M9" i="173" s="1"/>
  <c r="O9" i="173" s="1"/>
  <c r="O11" i="13"/>
  <c r="M7" i="13"/>
  <c r="M9" i="13" s="1"/>
  <c r="M16" i="13" s="1"/>
  <c r="E55" i="159"/>
  <c r="R66" i="163"/>
  <c r="Z66" i="163"/>
  <c r="AG66" i="163" s="1"/>
  <c r="E33" i="197"/>
  <c r="E37" i="197" s="1"/>
  <c r="E40" i="197" s="1"/>
  <c r="E35" i="197"/>
  <c r="N12" i="307"/>
  <c r="N14" i="307" s="1"/>
  <c r="N44" i="307" s="1"/>
  <c r="I8" i="319"/>
  <c r="S73" i="58"/>
  <c r="S74" i="58" s="1"/>
  <c r="F18" i="204"/>
  <c r="T71" i="58"/>
  <c r="H45" i="197"/>
  <c r="H46" i="197" s="1"/>
  <c r="H48" i="197" s="1"/>
  <c r="Z67" i="163"/>
  <c r="AG67" i="163" s="1"/>
  <c r="F7" i="303"/>
  <c r="G4" i="303"/>
  <c r="G7" i="303" s="1"/>
  <c r="Z67" i="159"/>
  <c r="R67" i="159"/>
  <c r="J6" i="277"/>
  <c r="J11" i="277"/>
  <c r="J30" i="277"/>
  <c r="J37" i="277"/>
  <c r="J39" i="277"/>
  <c r="J33" i="277"/>
  <c r="J17" i="277"/>
  <c r="J29" i="277"/>
  <c r="J40" i="277"/>
  <c r="J8" i="277"/>
  <c r="J18" i="277"/>
  <c r="J15" i="277"/>
  <c r="J14" i="277"/>
  <c r="J38" i="277"/>
  <c r="J23" i="277"/>
  <c r="J13" i="277"/>
  <c r="I43" i="277"/>
  <c r="J26" i="277"/>
  <c r="J27" i="277"/>
  <c r="J32" i="277"/>
  <c r="J24" i="277"/>
  <c r="J35" i="277"/>
  <c r="J19" i="277"/>
  <c r="J20" i="277"/>
  <c r="J21" i="277"/>
  <c r="J9" i="277"/>
  <c r="J22" i="277"/>
  <c r="J28" i="277"/>
  <c r="J25" i="277"/>
  <c r="J12" i="277"/>
  <c r="J16" i="277"/>
  <c r="J7" i="277"/>
  <c r="J10" i="277"/>
  <c r="J31" i="277"/>
  <c r="J41" i="277"/>
  <c r="J36" i="277"/>
  <c r="M28" i="173"/>
  <c r="M52" i="173"/>
  <c r="BJ66" i="159"/>
  <c r="BK66" i="159" s="1"/>
  <c r="H54" i="197"/>
  <c r="E36" i="197"/>
  <c r="E66" i="159" l="1"/>
  <c r="E67" i="159" s="1"/>
  <c r="U55" i="159"/>
  <c r="U66" i="159" s="1"/>
  <c r="U67" i="159" s="1"/>
  <c r="AT55" i="159"/>
  <c r="AT66" i="159" s="1"/>
  <c r="AT67" i="159" s="1"/>
  <c r="O50" i="173"/>
  <c r="O34" i="173" s="1"/>
  <c r="M34" i="173"/>
  <c r="M6" i="173"/>
  <c r="O6" i="173" s="1"/>
  <c r="M8" i="173"/>
  <c r="O8" i="173" s="1"/>
  <c r="O9" i="13"/>
  <c r="O10" i="13" s="1"/>
  <c r="O20" i="13"/>
  <c r="M20" i="13" s="1"/>
  <c r="N36" i="307"/>
  <c r="I4" i="368"/>
  <c r="I8" i="368" s="1"/>
  <c r="M10" i="13"/>
  <c r="N7" i="13" s="1"/>
  <c r="N9" i="13" s="1"/>
  <c r="S76" i="58"/>
  <c r="T76" i="58" s="1"/>
  <c r="T74" i="58"/>
  <c r="I9" i="319"/>
  <c r="I10" i="319" s="1"/>
  <c r="I14" i="319" s="1"/>
  <c r="B13" i="320"/>
  <c r="B14" i="320" s="1"/>
  <c r="B15" i="320" s="1"/>
  <c r="B19" i="320" s="1"/>
  <c r="F22" i="204"/>
  <c r="F23" i="204" s="1"/>
  <c r="F31" i="204" s="1"/>
  <c r="F19" i="204"/>
  <c r="F28" i="204" s="1"/>
  <c r="J42" i="277"/>
  <c r="BJ67" i="159"/>
  <c r="BK67" i="159" s="1"/>
  <c r="H55" i="197"/>
  <c r="O52" i="173" l="1"/>
  <c r="P52" i="173" s="1"/>
  <c r="O28" i="173"/>
  <c r="M10" i="173"/>
  <c r="O10" i="173"/>
  <c r="I10" i="368"/>
  <c r="I11" i="368" s="1"/>
  <c r="F11" i="368" s="1"/>
  <c r="O8" i="13"/>
  <c r="O16" i="13"/>
  <c r="L20" i="13"/>
  <c r="N20" i="13"/>
  <c r="N38" i="307"/>
  <c r="I5" i="368"/>
  <c r="N16" i="13"/>
  <c r="N8" i="13"/>
  <c r="N10" i="13"/>
  <c r="B6" i="211" l="1"/>
  <c r="B13" i="211" s="1"/>
  <c r="B16" i="211" s="1"/>
  <c r="B18" i="211" s="1"/>
  <c r="B32" i="98" l="1"/>
  <c r="C44" i="97" s="1"/>
  <c r="C26" i="98" l="1"/>
  <c r="C16" i="345" l="1"/>
  <c r="J19" i="347"/>
  <c r="C66" i="345" l="1"/>
  <c r="B11" i="307"/>
  <c r="H37" i="347"/>
  <c r="B12" i="307" l="1"/>
  <c r="F6" i="319"/>
  <c r="F9" i="319" s="1"/>
  <c r="F10" i="319" s="1"/>
  <c r="F14" i="319" s="1"/>
  <c r="J37" i="347"/>
  <c r="C52" i="197" s="1"/>
  <c r="H69" i="347"/>
  <c r="B14" i="307" l="1"/>
  <c r="B42" i="307" s="1"/>
  <c r="B44" i="307" s="1"/>
  <c r="B36" i="307"/>
  <c r="B38" i="307" s="1"/>
  <c r="J69" i="347"/>
  <c r="C55" i="197" s="1"/>
  <c r="H71" i="347"/>
  <c r="H72" i="347" s="1"/>
  <c r="Z12" i="27"/>
  <c r="AD12" i="27" s="1"/>
  <c r="X13" i="27"/>
  <c r="M38" i="307" l="1"/>
  <c r="H12" i="319" l="1"/>
  <c r="H13" i="319" s="1"/>
  <c r="H14" i="319" s="1"/>
  <c r="M33" i="307"/>
  <c r="M43" i="307" s="1"/>
  <c r="M44" i="307" s="1"/>
  <c r="S25" i="27"/>
  <c r="W25" i="27" s="1"/>
  <c r="S26" i="27"/>
  <c r="Z26" i="27" s="1"/>
  <c r="W26" i="27" l="1"/>
  <c r="E28" i="274" s="1"/>
  <c r="W28" i="27"/>
  <c r="S22" i="27"/>
  <c r="S28" i="27" s="1"/>
  <c r="Q28" i="27"/>
  <c r="R28" i="27"/>
  <c r="S30" i="27"/>
  <c r="X26" i="27" l="1"/>
  <c r="AD26" i="27"/>
  <c r="L11" i="372"/>
  <c r="W30" i="27"/>
  <c r="AD28" i="27" l="1"/>
  <c r="F28" i="274"/>
  <c r="F7" i="278"/>
  <c r="G7" i="278" s="1"/>
  <c r="AA30" i="27"/>
  <c r="AA32" i="27" s="1"/>
  <c r="AC32" i="27"/>
  <c r="AB30" i="27" l="1"/>
  <c r="AB32" i="27" s="1"/>
  <c r="AB51" i="27" s="1"/>
  <c r="Y51" i="27" l="1"/>
  <c r="AA51" i="27"/>
  <c r="Z28" i="27"/>
  <c r="X28" i="27"/>
  <c r="Y28" i="27"/>
  <c r="Z30" i="27"/>
  <c r="AD30" i="27" s="1"/>
  <c r="I7" i="278" l="1"/>
  <c r="J7" i="278" s="1"/>
  <c r="Z7" i="27" l="1"/>
  <c r="AD7" i="27" l="1"/>
  <c r="F19" i="274" l="1"/>
  <c r="Z10" i="27"/>
  <c r="AD10" i="27" s="1"/>
  <c r="F21" i="274" s="1"/>
  <c r="Y13" i="27"/>
  <c r="Z11" i="27"/>
  <c r="Z13" i="27" l="1"/>
  <c r="P10" i="372" s="1"/>
  <c r="AD11" i="27"/>
  <c r="F23" i="274" l="1"/>
  <c r="AD13" i="27"/>
  <c r="S10" i="27"/>
  <c r="W10" i="27" s="1"/>
  <c r="E21" i="274" l="1"/>
  <c r="E29" i="274" s="1"/>
  <c r="Q31" i="27"/>
  <c r="P11" i="372"/>
  <c r="AD31" i="27" l="1"/>
  <c r="AD32" i="27" s="1"/>
  <c r="C25" i="101" s="1"/>
  <c r="P12" i="372"/>
  <c r="Q11" i="372"/>
  <c r="R31" i="27"/>
  <c r="Q32" i="27"/>
  <c r="E25" i="274"/>
  <c r="F8" i="278"/>
  <c r="G8" i="278" s="1"/>
  <c r="Z32" i="27"/>
  <c r="X31" i="27"/>
  <c r="X32" i="27" s="1"/>
  <c r="F25" i="274" l="1"/>
  <c r="F29" i="274" s="1"/>
  <c r="I8" i="278"/>
  <c r="P13" i="173"/>
  <c r="H8" i="321" s="1"/>
  <c r="AC33" i="27"/>
  <c r="AC34" i="27" s="1"/>
  <c r="AD34" i="27"/>
  <c r="AA33" i="27"/>
  <c r="AA34" i="27" s="1"/>
  <c r="X33" i="27"/>
  <c r="X34" i="27" s="1"/>
  <c r="Z33" i="27"/>
  <c r="P13" i="372" s="1"/>
  <c r="P14" i="372" s="1"/>
  <c r="P9" i="372"/>
  <c r="Y31" i="27"/>
  <c r="Y32" i="27" s="1"/>
  <c r="AB50" i="27" s="1"/>
  <c r="J8" i="278"/>
  <c r="J131" i="140" l="1"/>
  <c r="AB33" i="27"/>
  <c r="AB34" i="27" s="1"/>
  <c r="C9" i="303"/>
  <c r="F9" i="303" s="1"/>
  <c r="Z34" i="27"/>
  <c r="M7" i="373"/>
  <c r="Y50" i="27"/>
  <c r="Y52" i="27" s="1"/>
  <c r="AB52" i="27"/>
  <c r="AA50" i="27"/>
  <c r="AA52" i="27" s="1"/>
  <c r="X50" i="27"/>
  <c r="X52" i="27" s="1"/>
  <c r="Y33" i="27"/>
  <c r="AB54" i="27" s="1"/>
  <c r="J132" i="140" l="1"/>
  <c r="AB55" i="27"/>
  <c r="Y55" i="27" s="1"/>
  <c r="Y34" i="27"/>
  <c r="O7" i="373" s="1"/>
  <c r="Q7" i="373" s="1"/>
  <c r="AA53" i="27"/>
  <c r="O13" i="173"/>
  <c r="X53" i="27"/>
  <c r="M13" i="173"/>
  <c r="X54" i="27"/>
  <c r="X56" i="27" s="1"/>
  <c r="AA54" i="27"/>
  <c r="Y54" i="27"/>
  <c r="G9" i="303"/>
  <c r="N13" i="173"/>
  <c r="Y53" i="27"/>
  <c r="Y56" i="27" l="1"/>
  <c r="N24" i="173" s="1"/>
  <c r="AA55" i="27"/>
  <c r="AA56" i="27" s="1"/>
  <c r="AB53" i="27"/>
  <c r="M24" i="173"/>
  <c r="O24" i="173" l="1"/>
  <c r="AB56" i="27"/>
  <c r="R13" i="27"/>
  <c r="R32" i="27" s="1"/>
  <c r="S11" i="27"/>
  <c r="W11" i="27" s="1"/>
  <c r="S13" i="27" l="1"/>
  <c r="W50" i="27"/>
  <c r="S32" i="27" l="1"/>
  <c r="L9" i="372" s="1"/>
  <c r="Q9" i="372" s="1"/>
  <c r="L10" i="372"/>
  <c r="U50" i="27"/>
  <c r="U52" i="27" s="1"/>
  <c r="R50" i="27"/>
  <c r="R52" i="27" s="1"/>
  <c r="W52" i="27"/>
  <c r="T50" i="27"/>
  <c r="T52" i="27" s="1"/>
  <c r="W13" i="27"/>
  <c r="W32" i="27" s="1"/>
  <c r="E23" i="274"/>
  <c r="L12" i="372" l="1"/>
  <c r="Q10" i="372"/>
  <c r="W34" i="27"/>
  <c r="V33" i="27"/>
  <c r="S33" i="27"/>
  <c r="T33" i="27"/>
  <c r="Q33" i="27"/>
  <c r="D33" i="200"/>
  <c r="L13" i="173"/>
  <c r="R33" i="27"/>
  <c r="R34" i="27" s="1"/>
  <c r="B25" i="101"/>
  <c r="R53" i="27"/>
  <c r="I13" i="173"/>
  <c r="J13" i="173"/>
  <c r="T53" i="27"/>
  <c r="K13" i="173"/>
  <c r="U53" i="27"/>
  <c r="S34" i="27" l="1"/>
  <c r="L13" i="372"/>
  <c r="Q13" i="372" s="1"/>
  <c r="Q12" i="372"/>
  <c r="U33" i="27"/>
  <c r="W55" i="27" s="1"/>
  <c r="V34" i="27"/>
  <c r="I131" i="140"/>
  <c r="I132" i="140" s="1"/>
  <c r="Q34" i="27"/>
  <c r="W54" i="27"/>
  <c r="G8" i="321"/>
  <c r="E33" i="200"/>
  <c r="W53" i="27"/>
  <c r="T34" i="27"/>
  <c r="U34" i="27" l="1"/>
  <c r="J7" i="373" s="1"/>
  <c r="L14" i="372"/>
  <c r="Q14" i="372" s="1"/>
  <c r="H7" i="373"/>
  <c r="U54" i="27"/>
  <c r="T54" i="27"/>
  <c r="R54" i="27"/>
  <c r="R56" i="27" s="1"/>
  <c r="U55" i="27"/>
  <c r="T55" i="27"/>
  <c r="L7" i="373" l="1"/>
  <c r="N32" i="87"/>
  <c r="I24" i="173"/>
  <c r="T56" i="27"/>
  <c r="U56" i="27"/>
  <c r="K24" i="173" l="1"/>
  <c r="J24" i="173"/>
  <c r="W56" i="27"/>
  <c r="P34" i="27"/>
  <c r="H13" i="173" l="1"/>
  <c r="H26" i="173" s="1"/>
  <c r="H33" i="173" s="1"/>
  <c r="H35" i="173" s="1"/>
  <c r="H39" i="173" s="1"/>
  <c r="G131" i="140"/>
  <c r="G132" i="140" s="1"/>
  <c r="G137" i="140" s="1"/>
  <c r="G139" i="140" s="1"/>
  <c r="J65" i="3"/>
  <c r="K65" i="3"/>
  <c r="L65" i="3"/>
  <c r="D8" i="376" l="1"/>
  <c r="D12" i="376" s="1"/>
  <c r="C52" i="140"/>
  <c r="D49" i="140" l="1"/>
  <c r="C56" i="140"/>
  <c r="D54" i="140" l="1"/>
  <c r="D51" i="140"/>
  <c r="D52" i="140" l="1"/>
  <c r="D56" i="140" l="1"/>
  <c r="D119" i="140"/>
  <c r="AD34" i="141" l="1"/>
  <c r="AG34" i="141" s="1"/>
  <c r="G114" i="140"/>
  <c r="G119" i="140" s="1"/>
  <c r="P25" i="173" s="1"/>
  <c r="N25" i="173" l="1"/>
  <c r="O25" i="173" s="1"/>
  <c r="D18" i="98"/>
  <c r="H17" i="321"/>
  <c r="AE34" i="141"/>
  <c r="AD35" i="141"/>
  <c r="AD40" i="141" s="1"/>
  <c r="AD45" i="141" s="1"/>
  <c r="O31" i="8"/>
  <c r="O32" i="8" s="1"/>
  <c r="O36" i="8" s="1"/>
  <c r="F22" i="26" l="1"/>
  <c r="C46" i="26" s="1"/>
  <c r="D25" i="26" l="1"/>
  <c r="F25" i="26" s="1"/>
  <c r="F15" i="26"/>
  <c r="C39" i="26" s="1"/>
  <c r="D16" i="26"/>
  <c r="D23" i="26" l="1"/>
  <c r="F23" i="26" s="1"/>
  <c r="C47" i="26" s="1"/>
  <c r="F16" i="26"/>
  <c r="C40" i="26" s="1"/>
  <c r="C49" i="26"/>
  <c r="G49" i="3" l="1"/>
  <c r="H45" i="3" s="1"/>
  <c r="G35" i="3"/>
  <c r="G42" i="3" s="1"/>
  <c r="G51" i="3" l="1"/>
  <c r="H9" i="3"/>
  <c r="H16" i="3" s="1"/>
  <c r="C23" i="97"/>
  <c r="C25" i="97" s="1"/>
  <c r="C45" i="97" s="1"/>
  <c r="G26" i="95"/>
  <c r="E33" i="95"/>
  <c r="L30" i="173" l="1"/>
  <c r="E15" i="82"/>
  <c r="O16" i="3"/>
  <c r="C46" i="97"/>
  <c r="C32" i="7"/>
  <c r="D12" i="7"/>
  <c r="C23" i="7" s="1"/>
  <c r="G73" i="3"/>
  <c r="L26" i="95"/>
  <c r="L33" i="95" s="1"/>
  <c r="G33" i="95"/>
  <c r="D76" i="95"/>
  <c r="B83" i="95"/>
  <c r="E6" i="82" l="1"/>
  <c r="G23" i="321"/>
  <c r="G24" i="321" s="1"/>
  <c r="J30" i="173"/>
  <c r="J31" i="173" s="1"/>
  <c r="C27" i="98"/>
  <c r="D11" i="97"/>
  <c r="L31" i="173"/>
  <c r="M76" i="95"/>
  <c r="M83" i="95" s="1"/>
  <c r="D83" i="95"/>
  <c r="D20" i="222" l="1"/>
  <c r="E20" i="222" s="1"/>
  <c r="D44" i="200"/>
  <c r="E44" i="200" s="1"/>
  <c r="K30" i="173"/>
  <c r="K31" i="173" s="1"/>
  <c r="J14" i="173"/>
  <c r="K14" i="173"/>
  <c r="E30" i="274"/>
  <c r="I135" i="140"/>
  <c r="D35" i="200"/>
  <c r="E35" i="200" s="1"/>
  <c r="B27" i="101"/>
  <c r="L14" i="173"/>
  <c r="C14" i="98" s="1"/>
  <c r="I136" i="140" l="1"/>
  <c r="I137" i="140" s="1"/>
  <c r="I139" i="140" s="1"/>
  <c r="G9" i="321"/>
  <c r="C94" i="140" l="1"/>
  <c r="C99" i="140" s="1"/>
  <c r="C101" i="140" s="1"/>
  <c r="F94" i="140"/>
  <c r="F24" i="9" s="1"/>
  <c r="H24" i="9" s="1"/>
  <c r="C97" i="140" l="1"/>
  <c r="C121" i="140" s="1"/>
  <c r="F99" i="140"/>
  <c r="F101" i="140" s="1"/>
  <c r="B20" i="101"/>
  <c r="F97" i="140"/>
  <c r="O31" i="87" s="1"/>
  <c r="C110" i="140"/>
  <c r="L19" i="173" l="1"/>
  <c r="P31" i="87"/>
  <c r="B30" i="101"/>
  <c r="C120" i="140"/>
  <c r="D11" i="381"/>
  <c r="F52" i="140"/>
  <c r="F12" i="9"/>
  <c r="F25" i="9" s="1"/>
  <c r="B19" i="101"/>
  <c r="D15" i="97" s="1"/>
  <c r="P19" i="87"/>
  <c r="P32" i="87" s="1"/>
  <c r="H30" i="9" l="1"/>
  <c r="O19" i="87"/>
  <c r="O32" i="87" s="1"/>
  <c r="F121" i="140"/>
  <c r="S34" i="141"/>
  <c r="J31" i="8" s="1"/>
  <c r="J32" i="8" s="1"/>
  <c r="J36" i="8" s="1"/>
  <c r="G49" i="140"/>
  <c r="H12" i="9"/>
  <c r="F56" i="140"/>
  <c r="F119" i="140"/>
  <c r="L25" i="173" s="1"/>
  <c r="S35" i="141" l="1"/>
  <c r="S40" i="141" s="1"/>
  <c r="S45" i="141" s="1"/>
  <c r="T34" i="141"/>
  <c r="N51" i="87"/>
  <c r="V34" i="141"/>
  <c r="C59" i="319" s="1"/>
  <c r="D8" i="381"/>
  <c r="B10" i="101"/>
  <c r="B21" i="101" s="1"/>
  <c r="B29" i="101"/>
  <c r="F110" i="140"/>
  <c r="L18" i="173"/>
  <c r="H25" i="9"/>
  <c r="H31" i="9" s="1"/>
  <c r="G17" i="321"/>
  <c r="C18" i="98"/>
  <c r="J25" i="173"/>
  <c r="K25" i="173" s="1"/>
  <c r="L31" i="8" l="1"/>
  <c r="M31" i="8" s="1"/>
  <c r="M27" i="141"/>
  <c r="P27" i="141" s="1"/>
  <c r="W34" i="141"/>
  <c r="F120" i="140"/>
  <c r="E32" i="274"/>
  <c r="E33" i="274" s="1"/>
  <c r="E34" i="274" s="1"/>
  <c r="F4" i="274" s="1"/>
  <c r="D12" i="381"/>
  <c r="D10" i="97"/>
  <c r="D13" i="381"/>
  <c r="M35" i="141"/>
  <c r="M40" i="141" s="1"/>
  <c r="M45" i="141" s="1"/>
  <c r="P51" i="87"/>
  <c r="G56" i="140"/>
  <c r="C29" i="101" s="1"/>
  <c r="G52" i="140"/>
  <c r="J12" i="9"/>
  <c r="L51" i="87"/>
  <c r="M51" i="87" s="1"/>
  <c r="C28" i="101"/>
  <c r="C17" i="98"/>
  <c r="C19" i="98" s="1"/>
  <c r="D17" i="222"/>
  <c r="E17" i="222" s="1"/>
  <c r="J18" i="173"/>
  <c r="K18" i="173" s="1"/>
  <c r="G13" i="321"/>
  <c r="AF34" i="141" l="1"/>
  <c r="D9" i="381"/>
  <c r="L21" i="173"/>
  <c r="L22" i="173" s="1"/>
  <c r="R27" i="141"/>
  <c r="P35" i="141"/>
  <c r="P40" i="141" s="1"/>
  <c r="P45" i="141" s="1"/>
  <c r="B35" i="101" s="1"/>
  <c r="B38" i="101" s="1"/>
  <c r="B39" i="101" s="1"/>
  <c r="J25" i="9"/>
  <c r="K12" i="9"/>
  <c r="D20" i="97"/>
  <c r="O51" i="87"/>
  <c r="D15" i="381"/>
  <c r="P18" i="173"/>
  <c r="C8" i="211"/>
  <c r="D38" i="200"/>
  <c r="E8" i="381" l="1"/>
  <c r="C10" i="101"/>
  <c r="X27" i="141"/>
  <c r="Q31" i="8"/>
  <c r="R31" i="8" s="1"/>
  <c r="AH34" i="141"/>
  <c r="E9" i="381" s="1"/>
  <c r="N18" i="173"/>
  <c r="O18" i="173" s="1"/>
  <c r="C15" i="303"/>
  <c r="H13" i="321"/>
  <c r="F18" i="368"/>
  <c r="D21" i="222"/>
  <c r="E21" i="222" s="1"/>
  <c r="K21" i="173"/>
  <c r="C21" i="98"/>
  <c r="C11" i="211"/>
  <c r="B18" i="368"/>
  <c r="G19" i="321"/>
  <c r="I21" i="173"/>
  <c r="I26" i="173" s="1"/>
  <c r="I33" i="173" s="1"/>
  <c r="I35" i="173" s="1"/>
  <c r="I39" i="173" s="1"/>
  <c r="J21" i="173"/>
  <c r="D33" i="97"/>
  <c r="C6" i="101"/>
  <c r="B41" i="101"/>
  <c r="I25" i="8"/>
  <c r="I32" i="8" s="1"/>
  <c r="I36" i="8" s="1"/>
  <c r="T27" i="141"/>
  <c r="R35" i="141"/>
  <c r="R40" i="141" s="1"/>
  <c r="R45" i="141" s="1"/>
  <c r="E38" i="200"/>
  <c r="X35" i="141" l="1"/>
  <c r="X40" i="141" s="1"/>
  <c r="X45" i="141" s="1"/>
  <c r="AA27" i="141"/>
  <c r="E13" i="381"/>
  <c r="E12" i="381"/>
  <c r="E10" i="97"/>
  <c r="V27" i="141"/>
  <c r="T35" i="141"/>
  <c r="T40" i="141" s="1"/>
  <c r="F15" i="303"/>
  <c r="G15" i="303" s="1"/>
  <c r="C22" i="98"/>
  <c r="D38" i="97" s="1"/>
  <c r="D16" i="222"/>
  <c r="E16" i="222" s="1"/>
  <c r="E15" i="381" l="1"/>
  <c r="W27" i="141"/>
  <c r="C57" i="319"/>
  <c r="D39" i="26"/>
  <c r="D46" i="26"/>
  <c r="P21" i="173"/>
  <c r="AA35" i="141"/>
  <c r="AA40" i="141" s="1"/>
  <c r="AA45" i="141" s="1"/>
  <c r="C35" i="101" s="1"/>
  <c r="AC27" i="141"/>
  <c r="D41" i="97"/>
  <c r="C6" i="211"/>
  <c r="W35" i="141"/>
  <c r="W40" i="141" s="1"/>
  <c r="W45" i="141" s="1"/>
  <c r="D40" i="7" s="1"/>
  <c r="AF27" i="141"/>
  <c r="AF35" i="141" s="1"/>
  <c r="AF40" i="141" s="1"/>
  <c r="AF45" i="141" s="1"/>
  <c r="T45" i="141"/>
  <c r="H47" i="3"/>
  <c r="V49" i="141"/>
  <c r="V35" i="141"/>
  <c r="L25" i="8"/>
  <c r="AC35" i="141" l="1"/>
  <c r="AC40" i="141" s="1"/>
  <c r="AC45" i="141" s="1"/>
  <c r="N25" i="8"/>
  <c r="N32" i="8" s="1"/>
  <c r="N36" i="8" s="1"/>
  <c r="AE27" i="141"/>
  <c r="P22" i="173"/>
  <c r="C18" i="303"/>
  <c r="F18" i="303" s="1"/>
  <c r="G18" i="303" s="1"/>
  <c r="D21" i="98"/>
  <c r="N21" i="173"/>
  <c r="O21" i="173"/>
  <c r="B5" i="368"/>
  <c r="C5" i="368" s="1"/>
  <c r="M21" i="173"/>
  <c r="M26" i="173" s="1"/>
  <c r="F5" i="368"/>
  <c r="H19" i="321"/>
  <c r="F46" i="26"/>
  <c r="D47" i="26"/>
  <c r="F47" i="26" s="1"/>
  <c r="D40" i="26"/>
  <c r="F40" i="26" s="1"/>
  <c r="F39" i="26"/>
  <c r="D49" i="26"/>
  <c r="F49" i="26" s="1"/>
  <c r="D26" i="97"/>
  <c r="D28" i="97" s="1"/>
  <c r="L32" i="8"/>
  <c r="L36" i="8" s="1"/>
  <c r="M25" i="8"/>
  <c r="M32" i="8" s="1"/>
  <c r="M36" i="8" s="1"/>
  <c r="H22" i="3"/>
  <c r="AI35" i="141"/>
  <c r="V40" i="141"/>
  <c r="V45" i="141" s="1"/>
  <c r="V48" i="141" s="1"/>
  <c r="V50" i="141" s="1"/>
  <c r="V52" i="141" s="1"/>
  <c r="D22" i="98" l="1"/>
  <c r="C19" i="303"/>
  <c r="F19" i="303" s="1"/>
  <c r="G19" i="303" s="1"/>
  <c r="AG27" i="141"/>
  <c r="AE35" i="141"/>
  <c r="AE40" i="141" s="1"/>
  <c r="M39" i="8"/>
  <c r="M41" i="8" s="1"/>
  <c r="D33" i="7"/>
  <c r="E16" i="7"/>
  <c r="D27" i="7" s="1"/>
  <c r="D35" i="7" s="1"/>
  <c r="H35" i="3"/>
  <c r="H30" i="3"/>
  <c r="H48" i="3" s="1"/>
  <c r="H49" i="3" s="1"/>
  <c r="AE45" i="141" l="1"/>
  <c r="I47" i="3"/>
  <c r="AG35" i="141"/>
  <c r="Q25" i="8"/>
  <c r="AH27" i="141"/>
  <c r="AH35" i="141" s="1"/>
  <c r="AH40" i="141" s="1"/>
  <c r="AH45" i="141" s="1"/>
  <c r="G76" i="95"/>
  <c r="G83" i="95" s="1"/>
  <c r="E83" i="95"/>
  <c r="I45" i="3"/>
  <c r="H51" i="3"/>
  <c r="H58" i="3"/>
  <c r="H42" i="3"/>
  <c r="D23" i="97" s="1"/>
  <c r="I9" i="3"/>
  <c r="I16" i="3" s="1"/>
  <c r="C60" i="319" s="1"/>
  <c r="C58" i="319" s="1"/>
  <c r="E26" i="97" l="1"/>
  <c r="E28" i="97" s="1"/>
  <c r="E40" i="7"/>
  <c r="R25" i="8"/>
  <c r="R32" i="8" s="1"/>
  <c r="R36" i="8" s="1"/>
  <c r="Q32" i="8"/>
  <c r="Q36" i="8" s="1"/>
  <c r="AJ35" i="141"/>
  <c r="AG40" i="141"/>
  <c r="I22" i="3"/>
  <c r="I30" i="3" s="1"/>
  <c r="I48" i="3" s="1"/>
  <c r="I49" i="3" s="1"/>
  <c r="J45" i="3" s="1"/>
  <c r="J49" i="3" s="1"/>
  <c r="S45" i="3"/>
  <c r="S47" i="3" s="1"/>
  <c r="S48" i="3" s="1"/>
  <c r="F15" i="82"/>
  <c r="U48" i="3" s="1"/>
  <c r="D32" i="7"/>
  <c r="E12" i="7"/>
  <c r="D23" i="7" s="1"/>
  <c r="P30" i="173"/>
  <c r="C6" i="376"/>
  <c r="C8" i="376" s="1"/>
  <c r="C12" i="376" s="1"/>
  <c r="H65" i="3"/>
  <c r="I35" i="3" l="1"/>
  <c r="I51" i="3"/>
  <c r="AJ40" i="141"/>
  <c r="AG45" i="141"/>
  <c r="V48" i="3"/>
  <c r="E33" i="7"/>
  <c r="E27" i="7"/>
  <c r="E35" i="7" s="1"/>
  <c r="R39" i="8"/>
  <c r="R41" i="8" s="1"/>
  <c r="I42" i="3"/>
  <c r="E23" i="97" s="1"/>
  <c r="U66" i="3"/>
  <c r="I58" i="3"/>
  <c r="J9" i="3"/>
  <c r="J16" i="3" s="1"/>
  <c r="F6" i="82"/>
  <c r="F30" i="274"/>
  <c r="C27" i="101"/>
  <c r="O14" i="173"/>
  <c r="P14" i="173"/>
  <c r="J135" i="140"/>
  <c r="K135" i="140" s="1"/>
  <c r="N14" i="173"/>
  <c r="C24" i="303"/>
  <c r="F24" i="303" s="1"/>
  <c r="G24" i="303" s="1"/>
  <c r="D27" i="98"/>
  <c r="D11" i="211" s="1"/>
  <c r="N30" i="173"/>
  <c r="O30" i="173" s="1"/>
  <c r="E11" i="97"/>
  <c r="H23" i="321"/>
  <c r="H24" i="321" s="1"/>
  <c r="H67" i="3"/>
  <c r="I83" i="95"/>
  <c r="K76" i="95"/>
  <c r="J51" i="3"/>
  <c r="K45" i="3"/>
  <c r="K49" i="3" s="1"/>
  <c r="I65" i="3" l="1"/>
  <c r="I67" i="3" s="1"/>
  <c r="U73" i="3"/>
  <c r="V73" i="3" s="1"/>
  <c r="V66" i="3"/>
  <c r="C15" i="98"/>
  <c r="D37" i="200" s="1"/>
  <c r="H71" i="3"/>
  <c r="H73" i="3" s="1"/>
  <c r="E32" i="7"/>
  <c r="E23" i="7"/>
  <c r="J35" i="3"/>
  <c r="J42" i="3" s="1"/>
  <c r="J136" i="140"/>
  <c r="J137" i="140" s="1"/>
  <c r="D14" i="98"/>
  <c r="D6" i="211" s="1"/>
  <c r="H9" i="321"/>
  <c r="C10" i="303"/>
  <c r="F10" i="303" s="1"/>
  <c r="G10" i="303" s="1"/>
  <c r="L76" i="95"/>
  <c r="L83" i="95" s="1"/>
  <c r="K83" i="95"/>
  <c r="L17" i="173"/>
  <c r="L45" i="3"/>
  <c r="L49" i="3" s="1"/>
  <c r="L51" i="3" s="1"/>
  <c r="K51" i="3"/>
  <c r="P17" i="173" l="1"/>
  <c r="D15" i="98"/>
  <c r="D16" i="98" s="1"/>
  <c r="C7" i="211"/>
  <c r="C13" i="211" s="1"/>
  <c r="C16" i="211" s="1"/>
  <c r="C18" i="211" s="1"/>
  <c r="C16" i="98"/>
  <c r="C20" i="98" s="1"/>
  <c r="C24" i="98" s="1"/>
  <c r="C32" i="98" s="1"/>
  <c r="D26" i="98" s="1"/>
  <c r="L26" i="173"/>
  <c r="K9" i="3"/>
  <c r="K16" i="3" s="1"/>
  <c r="I54" i="3"/>
  <c r="I71" i="3" s="1"/>
  <c r="E24" i="97" s="1"/>
  <c r="E25" i="97" s="1"/>
  <c r="D24" i="97"/>
  <c r="E37" i="200"/>
  <c r="E39" i="200" s="1"/>
  <c r="E41" i="200" s="1"/>
  <c r="E45" i="200" s="1"/>
  <c r="D39" i="200"/>
  <c r="D41" i="200" s="1"/>
  <c r="D45" i="200" s="1"/>
  <c r="D94" i="140"/>
  <c r="G94" i="140"/>
  <c r="I24" i="9" s="1"/>
  <c r="J139" i="140"/>
  <c r="D7" i="211"/>
  <c r="G12" i="321"/>
  <c r="G15" i="321" s="1"/>
  <c r="G18" i="321" s="1"/>
  <c r="G20" i="321" s="1"/>
  <c r="G25" i="321" s="1"/>
  <c r="J17" i="173"/>
  <c r="J26" i="173" s="1"/>
  <c r="J33" i="173" s="1"/>
  <c r="J35" i="173" s="1"/>
  <c r="J39" i="173" s="1"/>
  <c r="D18" i="222"/>
  <c r="I25" i="9" l="1"/>
  <c r="K24" i="9"/>
  <c r="K25" i="9" s="1"/>
  <c r="D44" i="97"/>
  <c r="K35" i="3"/>
  <c r="L9" i="3" s="1"/>
  <c r="J54" i="3"/>
  <c r="I73" i="3"/>
  <c r="C13" i="303"/>
  <c r="N17" i="173"/>
  <c r="N26" i="173" s="1"/>
  <c r="H12" i="321"/>
  <c r="H15" i="321" s="1"/>
  <c r="H18" i="321" s="1"/>
  <c r="H20" i="321" s="1"/>
  <c r="H25" i="321" s="1"/>
  <c r="C34" i="98"/>
  <c r="L41" i="173"/>
  <c r="L33" i="173"/>
  <c r="G24" i="97"/>
  <c r="D25" i="97"/>
  <c r="G97" i="140"/>
  <c r="C20" i="101"/>
  <c r="E15" i="97" s="1"/>
  <c r="D99" i="140"/>
  <c r="D101" i="140" s="1"/>
  <c r="D110" i="140" s="1"/>
  <c r="D97" i="140"/>
  <c r="D121" i="140" s="1"/>
  <c r="N64" i="87"/>
  <c r="N65" i="87" s="1"/>
  <c r="G99" i="140"/>
  <c r="G101" i="140" s="1"/>
  <c r="D51" i="200"/>
  <c r="D46" i="200"/>
  <c r="E46" i="200" s="1"/>
  <c r="E18" i="222"/>
  <c r="D19" i="222"/>
  <c r="K17" i="173"/>
  <c r="K26" i="173" s="1"/>
  <c r="K33" i="173" s="1"/>
  <c r="K35" i="173" s="1"/>
  <c r="K39" i="173" s="1"/>
  <c r="K15" i="13"/>
  <c r="G13" i="303" l="1"/>
  <c r="F13" i="303"/>
  <c r="D45" i="97"/>
  <c r="D46" i="97" s="1"/>
  <c r="M41" i="173"/>
  <c r="M43" i="173" s="1"/>
  <c r="K42" i="3"/>
  <c r="O17" i="173"/>
  <c r="O26" i="173" s="1"/>
  <c r="C21" i="101"/>
  <c r="K30" i="9"/>
  <c r="K31" i="9" s="1"/>
  <c r="E20" i="97"/>
  <c r="O64" i="87"/>
  <c r="O65" i="87" s="1"/>
  <c r="G121" i="140"/>
  <c r="C30" i="101"/>
  <c r="C38" i="101" s="1"/>
  <c r="P19" i="173"/>
  <c r="P64" i="87"/>
  <c r="P65" i="87" s="1"/>
  <c r="G110" i="140"/>
  <c r="D52" i="200"/>
  <c r="E51" i="200"/>
  <c r="D120" i="140"/>
  <c r="K17" i="13"/>
  <c r="K18" i="13" s="1"/>
  <c r="K19" i="13" s="1"/>
  <c r="K21" i="13" s="1"/>
  <c r="I15" i="13"/>
  <c r="I17" i="13" s="1"/>
  <c r="I18" i="13" s="1"/>
  <c r="I19" i="13" s="1"/>
  <c r="H15" i="13"/>
  <c r="H17" i="13" s="1"/>
  <c r="H18" i="13" s="1"/>
  <c r="H19" i="13" s="1"/>
  <c r="L35" i="173"/>
  <c r="L39" i="173" s="1"/>
  <c r="P23" i="173" s="1"/>
  <c r="B17" i="368"/>
  <c r="B19" i="368" s="1"/>
  <c r="B22" i="368" s="1"/>
  <c r="F17" i="368"/>
  <c r="F19" i="368" s="1"/>
  <c r="F22" i="368" s="1"/>
  <c r="F24" i="368" s="1"/>
  <c r="E19" i="222"/>
  <c r="D22" i="222"/>
  <c r="E22" i="222" s="1"/>
  <c r="L35" i="3"/>
  <c r="L42" i="3" s="1"/>
  <c r="L16" i="3"/>
  <c r="G120" i="140" l="1"/>
  <c r="F32" i="274"/>
  <c r="F33" i="274" s="1"/>
  <c r="F34" i="274" s="1"/>
  <c r="C39" i="101"/>
  <c r="E33" i="97" s="1"/>
  <c r="E52" i="200"/>
  <c r="D54" i="200"/>
  <c r="E54" i="200" s="1"/>
  <c r="C16" i="303"/>
  <c r="F16" i="303" s="1"/>
  <c r="G16" i="303" s="1"/>
  <c r="D17" i="98"/>
  <c r="D19" i="98" s="1"/>
  <c r="G33" i="321"/>
  <c r="G35" i="321" s="1"/>
  <c r="L42" i="173"/>
  <c r="L43" i="173" s="1"/>
  <c r="J15" i="13"/>
  <c r="J17" i="13" s="1"/>
  <c r="J18" i="13" s="1"/>
  <c r="J19" i="13" s="1"/>
  <c r="H21" i="13"/>
  <c r="H25" i="13" s="1"/>
  <c r="H26" i="13"/>
  <c r="I26" i="13"/>
  <c r="I21" i="13"/>
  <c r="I25" i="13" s="1"/>
  <c r="P29" i="173" l="1"/>
  <c r="C41" i="101"/>
  <c r="D8" i="211"/>
  <c r="D20" i="98"/>
  <c r="D24" i="98" s="1"/>
  <c r="J26" i="13"/>
  <c r="K26" i="13" s="1"/>
  <c r="J21" i="13"/>
  <c r="J25" i="13" s="1"/>
  <c r="K25" i="13" s="1"/>
  <c r="C35" i="98"/>
  <c r="C36" i="98" s="1"/>
  <c r="E38" i="97" l="1"/>
  <c r="E41" i="97" s="1"/>
  <c r="P26" i="173"/>
  <c r="O29" i="173"/>
  <c r="O31" i="173" s="1"/>
  <c r="O33" i="173" s="1"/>
  <c r="O35" i="173" s="1"/>
  <c r="O39" i="173" s="1"/>
  <c r="C23" i="303"/>
  <c r="M29" i="173"/>
  <c r="M31" i="173" s="1"/>
  <c r="M33" i="173" s="1"/>
  <c r="M35" i="173" s="1"/>
  <c r="M39" i="173" s="1"/>
  <c r="P31" i="173"/>
  <c r="N29" i="173"/>
  <c r="N31" i="173" s="1"/>
  <c r="N33" i="173" s="1"/>
  <c r="N35" i="173" s="1"/>
  <c r="N39" i="173" s="1"/>
  <c r="D10" i="211"/>
  <c r="D13" i="211" s="1"/>
  <c r="C20" i="303"/>
  <c r="D25" i="98"/>
  <c r="D32" i="98" s="1"/>
  <c r="K27" i="13"/>
  <c r="F20" i="303" l="1"/>
  <c r="G20" i="303" s="1"/>
  <c r="D16" i="211"/>
  <c r="D18" i="211" s="1"/>
  <c r="F14" i="211"/>
  <c r="F6" i="368"/>
  <c r="B6" i="368"/>
  <c r="O15" i="13"/>
  <c r="P33" i="173"/>
  <c r="P35" i="173" s="1"/>
  <c r="F23" i="303"/>
  <c r="G23" i="303" s="1"/>
  <c r="E44" i="97"/>
  <c r="E45" i="97" s="1"/>
  <c r="E46" i="97" s="1"/>
  <c r="D34" i="98"/>
  <c r="P41" i="173"/>
  <c r="B4" i="368" l="1"/>
  <c r="B7" i="368" s="1"/>
  <c r="B10" i="368" s="1"/>
  <c r="C6" i="368"/>
  <c r="C4" i="368"/>
  <c r="F4" i="368"/>
  <c r="F7" i="368" s="1"/>
  <c r="F10" i="368" s="1"/>
  <c r="F12" i="368" s="1"/>
  <c r="G25" i="303"/>
  <c r="O17" i="13"/>
  <c r="O18" i="13" s="1"/>
  <c r="O19" i="13" s="1"/>
  <c r="O21" i="13" s="1"/>
  <c r="E72" i="159" s="1"/>
  <c r="M15" i="13"/>
  <c r="M17" i="13" s="1"/>
  <c r="M18" i="13" s="1"/>
  <c r="M19" i="13" s="1"/>
  <c r="M21" i="13" s="1"/>
  <c r="E70" i="159" s="1"/>
  <c r="L15" i="13"/>
  <c r="L17" i="13" s="1"/>
  <c r="L18" i="13" s="1"/>
  <c r="L19" i="13" s="1"/>
  <c r="L21" i="13" s="1"/>
  <c r="E71" i="159" s="1"/>
  <c r="F25" i="303"/>
  <c r="C7" i="368" l="1"/>
  <c r="C10" i="368" s="1"/>
  <c r="N15" i="13"/>
  <c r="N17" i="13" s="1"/>
  <c r="N18" i="13" s="1"/>
  <c r="N19" i="13" s="1"/>
  <c r="N21" i="13" s="1"/>
  <c r="E69" i="159" s="1"/>
  <c r="H33" i="321"/>
  <c r="H35" i="321" s="1"/>
  <c r="P39" i="173"/>
  <c r="H42" i="321"/>
  <c r="H44" i="321" s="1"/>
  <c r="BL66" i="159"/>
  <c r="BU60" i="159"/>
  <c r="BV60" i="159" s="1"/>
  <c r="BL62" i="159"/>
  <c r="BL58" i="159"/>
  <c r="B23" i="155" s="1"/>
  <c r="BU64" i="159"/>
  <c r="BU58" i="159"/>
  <c r="BU59" i="159"/>
  <c r="BV59" i="159" s="1"/>
  <c r="BU62" i="159"/>
  <c r="BV62" i="159" s="1"/>
  <c r="BU57" i="159"/>
  <c r="BV57" i="159" s="1"/>
  <c r="BW57" i="159" s="1"/>
  <c r="BL59" i="159"/>
  <c r="BL63" i="159"/>
  <c r="B28" i="155" s="1"/>
  <c r="BL65" i="159"/>
  <c r="B30" i="155" s="1"/>
  <c r="BU56" i="159"/>
  <c r="BL56" i="159"/>
  <c r="B22" i="155" s="1"/>
  <c r="BU61" i="159"/>
  <c r="BV61" i="159" s="1"/>
  <c r="BU63" i="159"/>
  <c r="BV63" i="159" s="1"/>
  <c r="BU65" i="159"/>
  <c r="BV65" i="159" s="1"/>
  <c r="C30" i="155" s="1"/>
  <c r="L30" i="155" s="1"/>
  <c r="D71" i="159"/>
  <c r="BL57" i="159"/>
  <c r="BL60" i="159"/>
  <c r="BL64" i="159"/>
  <c r="B27" i="155" s="1"/>
  <c r="BL61" i="159"/>
  <c r="BL44" i="159"/>
  <c r="E21" i="155" s="1"/>
  <c r="BU43" i="159"/>
  <c r="BU39" i="159"/>
  <c r="BL43" i="159"/>
  <c r="E19" i="155" s="1"/>
  <c r="BL49" i="159"/>
  <c r="E23" i="155" s="1"/>
  <c r="BL48" i="159"/>
  <c r="E26" i="155" s="1"/>
  <c r="BU40" i="159"/>
  <c r="BV40" i="159" s="1"/>
  <c r="BU36" i="159"/>
  <c r="BL41" i="159"/>
  <c r="BU51" i="159"/>
  <c r="BV51" i="159" s="1"/>
  <c r="D70" i="159"/>
  <c r="BL39" i="159"/>
  <c r="E14" i="155" s="1"/>
  <c r="BL45" i="159"/>
  <c r="E22" i="155" s="1"/>
  <c r="BU37" i="159"/>
  <c r="BV37" i="159" s="1"/>
  <c r="BL52" i="159"/>
  <c r="BL42" i="159"/>
  <c r="BL46" i="159"/>
  <c r="BU47" i="159"/>
  <c r="BV47" i="159" s="1"/>
  <c r="BU44" i="159"/>
  <c r="BV44" i="159" s="1"/>
  <c r="BL36" i="159"/>
  <c r="E10" i="155" s="1"/>
  <c r="BL53" i="159"/>
  <c r="BL38" i="159"/>
  <c r="E13" i="155" s="1"/>
  <c r="BU38" i="159"/>
  <c r="BU41" i="159"/>
  <c r="BV41" i="159" s="1"/>
  <c r="BW41" i="159" s="1"/>
  <c r="BL37" i="159"/>
  <c r="E12" i="155" s="1"/>
  <c r="BU50" i="159"/>
  <c r="BV50" i="159" s="1"/>
  <c r="BU48" i="159"/>
  <c r="BV48" i="159" s="1"/>
  <c r="BU49" i="159"/>
  <c r="BV49" i="159" s="1"/>
  <c r="BL50" i="159"/>
  <c r="E28" i="155" s="1"/>
  <c r="BU46" i="159"/>
  <c r="BV46" i="159" s="1"/>
  <c r="BW46" i="159" s="1"/>
  <c r="BL51" i="159"/>
  <c r="E27" i="155" s="1"/>
  <c r="BU42" i="159"/>
  <c r="BV42" i="159" s="1"/>
  <c r="BW42" i="159" s="1"/>
  <c r="BL40" i="159"/>
  <c r="E18" i="155" s="1"/>
  <c r="BU45" i="159"/>
  <c r="BV45" i="159" s="1"/>
  <c r="BL47" i="159"/>
  <c r="E25" i="155" s="1"/>
  <c r="BL67" i="159"/>
  <c r="D72" i="159"/>
  <c r="H48" i="321" l="1"/>
  <c r="BW49" i="159"/>
  <c r="G23" i="155" s="1"/>
  <c r="F23" i="155"/>
  <c r="K24" i="155"/>
  <c r="B24" i="155"/>
  <c r="C25" i="155"/>
  <c r="BW60" i="159"/>
  <c r="BW48" i="159"/>
  <c r="G26" i="155" s="1"/>
  <c r="F26" i="155"/>
  <c r="BW44" i="159"/>
  <c r="G21" i="155" s="1"/>
  <c r="F21" i="155"/>
  <c r="BV39" i="159"/>
  <c r="F22" i="155"/>
  <c r="BW45" i="159"/>
  <c r="G22" i="155" s="1"/>
  <c r="F28" i="155"/>
  <c r="BW50" i="159"/>
  <c r="G28" i="155" s="1"/>
  <c r="BW47" i="159"/>
  <c r="G25" i="155" s="1"/>
  <c r="F25" i="155"/>
  <c r="F27" i="155"/>
  <c r="BW51" i="159"/>
  <c r="G27" i="155" s="1"/>
  <c r="BV43" i="159"/>
  <c r="C28" i="155"/>
  <c r="BW63" i="159"/>
  <c r="D28" i="155" s="1"/>
  <c r="C26" i="155"/>
  <c r="BW62" i="159"/>
  <c r="BW59" i="159"/>
  <c r="C24" i="155"/>
  <c r="L24" i="155" s="1"/>
  <c r="K23" i="155"/>
  <c r="BV58" i="159"/>
  <c r="D35" i="98"/>
  <c r="D36" i="98" s="1"/>
  <c r="P42" i="173"/>
  <c r="P43" i="173" s="1"/>
  <c r="BV36" i="159"/>
  <c r="BU53" i="159"/>
  <c r="E32" i="155" s="1"/>
  <c r="BV38" i="159"/>
  <c r="F18" i="155"/>
  <c r="BW40" i="159"/>
  <c r="G18" i="155" s="1"/>
  <c r="BV56" i="159"/>
  <c r="BU66" i="159"/>
  <c r="BV64" i="159"/>
  <c r="K27" i="155"/>
  <c r="F12" i="155"/>
  <c r="BW37" i="159"/>
  <c r="G12" i="155" s="1"/>
  <c r="K25" i="155"/>
  <c r="B25" i="155"/>
  <c r="B26" i="155"/>
  <c r="K26" i="155"/>
  <c r="BU30" i="159"/>
  <c r="BV30" i="159" s="1"/>
  <c r="BU10" i="159"/>
  <c r="BU25" i="159"/>
  <c r="BV25" i="159" s="1"/>
  <c r="BL27" i="159"/>
  <c r="BU24" i="159"/>
  <c r="BV24" i="159" s="1"/>
  <c r="BL34" i="159"/>
  <c r="BL30" i="159"/>
  <c r="BU28" i="159"/>
  <c r="BV28" i="159" s="1"/>
  <c r="BU26" i="159"/>
  <c r="BV26" i="159" s="1"/>
  <c r="BL10" i="159"/>
  <c r="BL26" i="159"/>
  <c r="BU29" i="159"/>
  <c r="BV29" i="159" s="1"/>
  <c r="BU32" i="159"/>
  <c r="BV32" i="159" s="1"/>
  <c r="BL33" i="159"/>
  <c r="BL25" i="159"/>
  <c r="H14" i="155" s="1"/>
  <c r="BU22" i="159"/>
  <c r="BV22" i="159" s="1"/>
  <c r="BL23" i="159"/>
  <c r="H12" i="155" s="1"/>
  <c r="BU31" i="159"/>
  <c r="D69" i="159"/>
  <c r="BU27" i="159"/>
  <c r="BV27" i="159" s="1"/>
  <c r="BU15" i="159"/>
  <c r="BV15" i="159" s="1"/>
  <c r="BL32" i="159"/>
  <c r="H19" i="155" s="1"/>
  <c r="BL16" i="159"/>
  <c r="H10" i="155" s="1"/>
  <c r="BL28" i="159"/>
  <c r="BU23" i="159"/>
  <c r="BL31" i="159"/>
  <c r="H21" i="155" s="1"/>
  <c r="BL29" i="159"/>
  <c r="BL22" i="159"/>
  <c r="BU33" i="159"/>
  <c r="BV33" i="159" s="1"/>
  <c r="BL24" i="159"/>
  <c r="H13" i="155" s="1"/>
  <c r="L26" i="155" l="1"/>
  <c r="L28" i="155"/>
  <c r="L25" i="155"/>
  <c r="M22" i="155"/>
  <c r="BW33" i="159"/>
  <c r="H11" i="155"/>
  <c r="K11" i="155"/>
  <c r="BW27" i="159"/>
  <c r="I16" i="155"/>
  <c r="L16" i="155" s="1"/>
  <c r="BW29" i="159"/>
  <c r="I18" i="155"/>
  <c r="L18" i="155" s="1"/>
  <c r="H16" i="155"/>
  <c r="K16" i="155"/>
  <c r="BW25" i="159"/>
  <c r="J14" i="155" s="1"/>
  <c r="I14" i="155"/>
  <c r="M14" i="155"/>
  <c r="K13" i="155"/>
  <c r="BW58" i="159"/>
  <c r="D23" i="155" s="1"/>
  <c r="C23" i="155"/>
  <c r="L23" i="155" s="1"/>
  <c r="K19" i="155"/>
  <c r="M25" i="155"/>
  <c r="D25" i="155"/>
  <c r="BV31" i="159"/>
  <c r="K21" i="155"/>
  <c r="BV10" i="159"/>
  <c r="BU16" i="159"/>
  <c r="K10" i="155" s="1"/>
  <c r="BW38" i="159"/>
  <c r="G13" i="155" s="1"/>
  <c r="F13" i="155"/>
  <c r="BW43" i="159"/>
  <c r="G19" i="155" s="1"/>
  <c r="F19" i="155"/>
  <c r="BW32" i="159"/>
  <c r="J19" i="155" s="1"/>
  <c r="I19" i="155"/>
  <c r="M19" i="155"/>
  <c r="K15" i="155"/>
  <c r="H15" i="155"/>
  <c r="K12" i="155"/>
  <c r="BV23" i="159"/>
  <c r="BW26" i="159"/>
  <c r="I15" i="155"/>
  <c r="L15" i="155" s="1"/>
  <c r="I20" i="155"/>
  <c r="L20" i="155" s="1"/>
  <c r="BW30" i="159"/>
  <c r="M27" i="155"/>
  <c r="C27" i="155"/>
  <c r="L27" i="155" s="1"/>
  <c r="BW64" i="159"/>
  <c r="D27" i="155" s="1"/>
  <c r="K14" i="155"/>
  <c r="D24" i="155"/>
  <c r="M24" i="155"/>
  <c r="F14" i="155"/>
  <c r="BW39" i="159"/>
  <c r="G14" i="155" s="1"/>
  <c r="K18" i="155"/>
  <c r="H18" i="155"/>
  <c r="H17" i="155"/>
  <c r="K17" i="155"/>
  <c r="BW22" i="159"/>
  <c r="I11" i="155"/>
  <c r="L11" i="155" s="1"/>
  <c r="BW28" i="159"/>
  <c r="I17" i="155"/>
  <c r="L17" i="155" s="1"/>
  <c r="K22" i="155"/>
  <c r="F10" i="155"/>
  <c r="BW36" i="159"/>
  <c r="G10" i="155" s="1"/>
  <c r="BV53" i="159"/>
  <c r="H20" i="155"/>
  <c r="K20" i="155"/>
  <c r="B32" i="155"/>
  <c r="M26" i="155"/>
  <c r="D26" i="155"/>
  <c r="BV66" i="159"/>
  <c r="C22" i="155"/>
  <c r="BW56" i="159"/>
  <c r="D22" i="155" s="1"/>
  <c r="M23" i="155"/>
  <c r="M13" i="155"/>
  <c r="I13" i="155"/>
  <c r="BW24" i="159"/>
  <c r="J13" i="155" s="1"/>
  <c r="L14" i="155" l="1"/>
  <c r="L19" i="155"/>
  <c r="M18" i="155"/>
  <c r="J18" i="155"/>
  <c r="J20" i="155"/>
  <c r="M20" i="155"/>
  <c r="J17" i="155"/>
  <c r="M17" i="155"/>
  <c r="BV16" i="159"/>
  <c r="BW10" i="159"/>
  <c r="M11" i="155"/>
  <c r="J11" i="155"/>
  <c r="M15" i="155"/>
  <c r="J15" i="155"/>
  <c r="M21" i="155"/>
  <c r="I21" i="155"/>
  <c r="L21" i="155" s="1"/>
  <c r="BW31" i="159"/>
  <c r="J21" i="155" s="1"/>
  <c r="M16" i="155"/>
  <c r="J16" i="155"/>
  <c r="M12" i="155"/>
  <c r="I12" i="155"/>
  <c r="L12" i="155" s="1"/>
  <c r="BW23" i="159"/>
  <c r="J12" i="155" s="1"/>
  <c r="BU34" i="159"/>
  <c r="L22" i="155"/>
  <c r="C32" i="155"/>
  <c r="BW66" i="159"/>
  <c r="D32" i="155"/>
  <c r="F32" i="155"/>
  <c r="L13" i="155"/>
  <c r="BW53" i="159"/>
  <c r="G32" i="155"/>
  <c r="BW16" i="159" l="1"/>
  <c r="M10" i="155"/>
  <c r="I10" i="155"/>
  <c r="H32" i="155"/>
  <c r="BU67" i="159"/>
  <c r="K32" i="155" s="1"/>
  <c r="BV34" i="159"/>
  <c r="J32" i="155" l="1"/>
  <c r="BW34" i="159"/>
  <c r="BV67" i="159"/>
  <c r="BW67" i="159" s="1"/>
  <c r="L10" i="155"/>
  <c r="L32" i="155" s="1"/>
  <c r="I32" i="155"/>
  <c r="J10" i="155"/>
  <c r="E37" i="198" l="1"/>
  <c r="E53" i="198" s="1"/>
  <c r="E67" i="198" s="1"/>
  <c r="F53" i="198"/>
  <c r="F67" i="198" s="1"/>
  <c r="Q16" i="363"/>
  <c r="Q23" i="363" s="1"/>
  <c r="Q24" i="363" s="1"/>
  <c r="E16" i="363"/>
  <c r="E17" i="363" s="1"/>
  <c r="E18" i="363" s="1"/>
  <c r="E23" i="363"/>
  <c r="E24" i="363" s="1"/>
  <c r="E13" i="363"/>
  <c r="Q13" i="363" s="1"/>
  <c r="Q12" i="363" s="1"/>
  <c r="Q17" i="363" s="1"/>
  <c r="Q18" i="363" s="1"/>
</calcChain>
</file>

<file path=xl/sharedStrings.xml><?xml version="1.0" encoding="utf-8"?>
<sst xmlns="http://schemas.openxmlformats.org/spreadsheetml/2006/main" count="5811" uniqueCount="2602">
  <si>
    <t>OERC</t>
  </si>
  <si>
    <t>Licencee-TPWODL</t>
  </si>
  <si>
    <t>ASSESSMENT OF CONSUMPTION FOR THE  ENSUING YEAR</t>
  </si>
  <si>
    <t>PREVIOUS YEAR</t>
  </si>
  <si>
    <t xml:space="preserve">1st SIX MONTH CURRENT YEAR </t>
  </si>
  <si>
    <t>CURRENT YEAR PROJECTED</t>
  </si>
  <si>
    <t xml:space="preserve">ENSUING YEAR </t>
  </si>
  <si>
    <t>ENSUING YEAR (APPROVED)</t>
  </si>
  <si>
    <t>SL No.</t>
  </si>
  <si>
    <t>CATEGORY OF CONSUMERS</t>
  </si>
  <si>
    <t>VOLTAGE OF SUPPLY</t>
  </si>
  <si>
    <t>Contract Demand (KW/ KVA)</t>
  </si>
  <si>
    <t>Consumption (MU)</t>
  </si>
  <si>
    <t>Contract Demand (KW/KVA)</t>
  </si>
  <si>
    <t>Consumption (MU)-KVAH</t>
  </si>
  <si>
    <t>Consumption (MU) KWH</t>
  </si>
  <si>
    <t>Percentage rise Annual %</t>
  </si>
  <si>
    <t>Anticipated Consumption (MU) KWh</t>
  </si>
  <si>
    <t xml:space="preserve">No. of </t>
  </si>
  <si>
    <t>Contract</t>
  </si>
  <si>
    <t>Anticipated</t>
  </si>
  <si>
    <t>Percentage</t>
  </si>
  <si>
    <t>No.</t>
  </si>
  <si>
    <t>OF</t>
  </si>
  <si>
    <t>Demand</t>
  </si>
  <si>
    <t>Consumers</t>
  </si>
  <si>
    <t>Consumption</t>
  </si>
  <si>
    <t>rise Annual</t>
  </si>
  <si>
    <t>Rebateable Units</t>
  </si>
  <si>
    <t xml:space="preserve"> </t>
  </si>
  <si>
    <t>CONSUMERS</t>
  </si>
  <si>
    <t xml:space="preserve">as on 1st April </t>
  </si>
  <si>
    <t>in the ensuing year</t>
  </si>
  <si>
    <t>(MW)</t>
  </si>
  <si>
    <t>(MU)</t>
  </si>
  <si>
    <t>of the</t>
  </si>
  <si>
    <t>(KW/KVA)</t>
  </si>
  <si>
    <t>(%)</t>
  </si>
  <si>
    <t>Ensg. yr-2000-01</t>
  </si>
  <si>
    <t xml:space="preserve"> ensuing year</t>
  </si>
  <si>
    <t>2021-22</t>
  </si>
  <si>
    <t>LT CATEGORY (A.C.)</t>
  </si>
  <si>
    <t>SAUBHAGYA &amp; other village electrification scheme</t>
  </si>
  <si>
    <t>DOMESTIC</t>
  </si>
  <si>
    <t>LT</t>
  </si>
  <si>
    <t>I)</t>
  </si>
  <si>
    <t>Kutirjyoti&lt;=30KWH</t>
  </si>
  <si>
    <t>BPL Con-Saubhagya</t>
  </si>
  <si>
    <t>ii)</t>
  </si>
  <si>
    <t>Others</t>
  </si>
  <si>
    <t>0&lt;=50 KWH</t>
  </si>
  <si>
    <t xml:space="preserve">MU to be sold </t>
  </si>
  <si>
    <t>&gt;50&lt;=200</t>
  </si>
  <si>
    <t>&gt;200&lt;=400</t>
  </si>
  <si>
    <t>More than 400 KWH (SLAB)</t>
  </si>
  <si>
    <t>Total Domestic</t>
  </si>
  <si>
    <t>General Purpose&lt;100 Kw</t>
  </si>
  <si>
    <t>All Units if  cons. within</t>
  </si>
  <si>
    <t>0-100 KWH</t>
  </si>
  <si>
    <t>&gt;100&lt;=300</t>
  </si>
  <si>
    <t>More than 300 KWH(SLAB)</t>
  </si>
  <si>
    <t>Total General Purpose (&lt;100kw)</t>
  </si>
  <si>
    <t>Irrigation Pumping and Agriculture</t>
  </si>
  <si>
    <t>Allied Agricultural Activities</t>
  </si>
  <si>
    <t>Allied Agro-Industrial Activities</t>
  </si>
  <si>
    <t>Public Lighting</t>
  </si>
  <si>
    <t>L.T. Industrial (S) Supply</t>
  </si>
  <si>
    <t>L.T. Industrial (M) Supply</t>
  </si>
  <si>
    <t>Specified Public Purpose &lt;100 kw</t>
  </si>
  <si>
    <t>Public Water Works &lt;100 KW</t>
  </si>
  <si>
    <t>Public Water Works &gt;=100 KW</t>
  </si>
  <si>
    <t>General Purpose &gt;=100 Kva</t>
  </si>
  <si>
    <t>Large Industry</t>
  </si>
  <si>
    <t>Total LT-----&gt;</t>
  </si>
  <si>
    <t>HT Category</t>
  </si>
  <si>
    <t>Bulk Supply - Domestic</t>
  </si>
  <si>
    <t>HT</t>
  </si>
  <si>
    <t>Specified Public Purpose</t>
  </si>
  <si>
    <t>General Purpose&gt;70 Kva &lt;110 Kva</t>
  </si>
  <si>
    <t>General Purpose &gt;=110 Kva</t>
  </si>
  <si>
    <t>H.T. Industrial (M) Supply</t>
  </si>
  <si>
    <t>Public Water Works &amp; Sweage Pumping</t>
  </si>
  <si>
    <t>Power Intensive Industry</t>
  </si>
  <si>
    <t xml:space="preserve">Mini Steel Plant          </t>
  </si>
  <si>
    <t>Railway Traction</t>
  </si>
  <si>
    <t>Emerg. Supply to CPP</t>
  </si>
  <si>
    <t>Colony Consumption</t>
  </si>
  <si>
    <t>Total HT -----&gt;</t>
  </si>
  <si>
    <t>EHT Category</t>
  </si>
  <si>
    <t>General Purpose</t>
  </si>
  <si>
    <t>EHT</t>
  </si>
  <si>
    <t>Heavy Industry</t>
  </si>
  <si>
    <t>Mini Steel Plant</t>
  </si>
  <si>
    <t>Total EHT -----&gt;</t>
  </si>
  <si>
    <t>GRAND TOTAL</t>
  </si>
  <si>
    <t>Power Purchase in (MU)</t>
  </si>
  <si>
    <t>Lost Units (MU)</t>
  </si>
  <si>
    <t>Dist. Loss in (%)</t>
  </si>
  <si>
    <t>Collection Efficiency(%)</t>
  </si>
  <si>
    <t>AT &amp; C Loss (%)</t>
  </si>
  <si>
    <t>Billing</t>
  </si>
  <si>
    <t>2022-23</t>
  </si>
  <si>
    <t>INPUT</t>
  </si>
  <si>
    <t>Input for LT &amp; HT</t>
  </si>
  <si>
    <t>Licencee:-TPWODL</t>
  </si>
  <si>
    <t>FORM T-2</t>
  </si>
  <si>
    <t>Consumption/Billing figures for DOMESTIC Consumers for the Previous year</t>
  </si>
  <si>
    <t>A.</t>
  </si>
  <si>
    <t>Domestic Consumers</t>
  </si>
  <si>
    <t>URBAN</t>
  </si>
  <si>
    <t>UNITS BILLED IN MU</t>
  </si>
  <si>
    <t>(FOR THE PERIOD OF REPORT)</t>
  </si>
  <si>
    <t>Sale in the slab rates -&gt;</t>
  </si>
  <si>
    <t>No. of Consumer 1st April of the Current Year</t>
  </si>
  <si>
    <t>Total connected Load in KW</t>
  </si>
  <si>
    <t>* MONTHLY CONSUMPTION SLAB</t>
  </si>
  <si>
    <t>0-30KWH (Only for Kutir Jyoti)</t>
  </si>
  <si>
    <t>0-50 KWH</t>
  </si>
  <si>
    <t>&gt;50 &lt;= 200KWH</t>
  </si>
  <si>
    <t>&gt;200 &lt;= 400KWH</t>
  </si>
  <si>
    <t>&gt;400KWH</t>
  </si>
  <si>
    <t>Total Energy Billed</t>
  </si>
  <si>
    <t>Total Revenue Billed</t>
  </si>
  <si>
    <t>Current Revenue Realised</t>
  </si>
  <si>
    <t>C.D.In KW</t>
  </si>
  <si>
    <t>1.0</t>
  </si>
  <si>
    <t>2.0</t>
  </si>
  <si>
    <t>3.0</t>
  </si>
  <si>
    <t>More than 4 KW</t>
  </si>
  <si>
    <t>SUB-TOTAL</t>
  </si>
  <si>
    <t>Large domestic consumers  11/33 KV Supply</t>
  </si>
  <si>
    <t>No of Kutir Jyoti Cons.</t>
  </si>
  <si>
    <t>Consumption/KJ conn.</t>
  </si>
  <si>
    <t xml:space="preserve">Total Consmption(KJ) </t>
  </si>
  <si>
    <t>TOTAL (URBAN)</t>
  </si>
  <si>
    <t>B.</t>
  </si>
  <si>
    <t>RURAL</t>
  </si>
  <si>
    <t>TOTAL (RURAL)</t>
  </si>
  <si>
    <t>TOTAL (Urban + Rural)</t>
  </si>
  <si>
    <t>No. of Domestic Consumers and consumption 1st April of the Current Year</t>
  </si>
  <si>
    <t>Billing as per Actual Meter Reading</t>
  </si>
  <si>
    <t>Unmetered supply</t>
  </si>
  <si>
    <t>supply with defective meters</t>
  </si>
  <si>
    <t>No Of Consumers</t>
  </si>
  <si>
    <t>Kutir Jyoti Consumers</t>
  </si>
  <si>
    <t>Total</t>
  </si>
  <si>
    <t>Consumption/Billing figures for DOMESTIC Consumers for 1st 6 months of the current year</t>
  </si>
  <si>
    <t>FORM T-3</t>
  </si>
  <si>
    <t>Consumption/Billing figures for General Purpose Consumers for the Previous year</t>
  </si>
  <si>
    <t>General purpose Consumers</t>
  </si>
  <si>
    <t>&gt;100-300KWH</t>
  </si>
  <si>
    <t>&gt;300KWH</t>
  </si>
  <si>
    <t>Large GP consumers  11/33 KV Supply</t>
  </si>
  <si>
    <t>No. of GP Consumer 1st April of the Current Year</t>
  </si>
  <si>
    <t>Consumption/Billing figures for General Purpose Consumers for 1st six months of the current year</t>
  </si>
  <si>
    <t>POWER PURCHASE , SALE  &amp; DEMAND OF  THE LICENSEE</t>
  </si>
  <si>
    <t>OERC FORM T-4</t>
  </si>
  <si>
    <t>Actual for Previous Year</t>
  </si>
  <si>
    <t>Current Year</t>
  </si>
  <si>
    <t>Licensee Proposal for Ensuing Year</t>
  </si>
  <si>
    <t>Total (Apr to Sep)</t>
  </si>
  <si>
    <t>Avg. from Apr  to Sep</t>
  </si>
  <si>
    <t>Licensee Estimate for Current Year</t>
  </si>
  <si>
    <t>Energy Purchased in (MU)</t>
  </si>
  <si>
    <t>Units Sold (MU)</t>
  </si>
  <si>
    <t>LT Category (A.C.)</t>
  </si>
  <si>
    <t>Domestic</t>
  </si>
  <si>
    <t xml:space="preserve"> I)</t>
  </si>
  <si>
    <t>Kutirjyoti (&lt;=30KWH)</t>
  </si>
  <si>
    <t xml:space="preserve"> ii)</t>
  </si>
  <si>
    <t>0&lt;=50KWH</t>
  </si>
  <si>
    <t>Total Domestic-----&gt;</t>
  </si>
  <si>
    <t>General Purpose (&lt;100 kw)</t>
  </si>
  <si>
    <t>Total General Purpose (&lt;100 kw)</t>
  </si>
  <si>
    <t>LT Industrial (S) Supply</t>
  </si>
  <si>
    <t>LT Industrial (M) Supply</t>
  </si>
  <si>
    <t>Specified Public Purpose &lt;100 KW</t>
  </si>
  <si>
    <t>Public Water Works&lt;100 KW</t>
  </si>
  <si>
    <t>Public Water Works&gt;=100 KW</t>
  </si>
  <si>
    <t>General Purpose &gt;= 110 Kva</t>
  </si>
  <si>
    <t xml:space="preserve"> Total LT-----&gt;</t>
  </si>
  <si>
    <t>General Purpose &lt; 110 KVA</t>
  </si>
  <si>
    <t>General Purpose (&gt;= 110 KVA)</t>
  </si>
  <si>
    <t>H.T.Industrial (M) Supply</t>
  </si>
  <si>
    <t>Public Water Works &amp; Sewage Pumping</t>
  </si>
  <si>
    <t>Total EHT-----&gt;</t>
  </si>
  <si>
    <t>MONTHLY DEMAND (MVA)</t>
  </si>
  <si>
    <t>Average for Previous Year</t>
  </si>
  <si>
    <t>Maximum for Previous Year</t>
  </si>
  <si>
    <t>Demand (MVA)</t>
  </si>
  <si>
    <t xml:space="preserve">Licencee:-TPWODL </t>
  </si>
  <si>
    <t>FORM T-5</t>
  </si>
  <si>
    <t xml:space="preserve">Consumption/Billing figures for IRRIGATION &amp; AGRICULTURAL Consumers </t>
  </si>
  <si>
    <t>1st six months of the current year</t>
  </si>
  <si>
    <t>C.D.In KW UP TO</t>
  </si>
  <si>
    <t>More Than 7 KW</t>
  </si>
  <si>
    <t xml:space="preserve">TOTAL </t>
  </si>
  <si>
    <t>No. of Irrigation &amp; Agricultural  Consumer and consumption</t>
  </si>
  <si>
    <t>Billing as per Actual Mtr Reading</t>
  </si>
  <si>
    <t>Un metered Supply</t>
  </si>
  <si>
    <t>Supply with Defective Mtr</t>
  </si>
  <si>
    <t>FORM T-6</t>
  </si>
  <si>
    <t>Consumer Commercial Information</t>
  </si>
  <si>
    <t>Category Of Consumers &amp; Sale Figures In MU</t>
  </si>
  <si>
    <t>Sl No</t>
  </si>
  <si>
    <t>Unit---------------&gt;</t>
  </si>
  <si>
    <t>Avg. Rev Billed. (paise/kwh)</t>
  </si>
  <si>
    <t>BILLED</t>
  </si>
  <si>
    <t>General Purpose &gt;70Kva&lt; 110 KVA</t>
  </si>
  <si>
    <t>Lost Units in (MU)</t>
  </si>
  <si>
    <t>T&amp;D LOSS (%)</t>
  </si>
  <si>
    <t>Collection Efficiency in (%)</t>
  </si>
  <si>
    <t>AT &amp; C Loss in (%)</t>
  </si>
  <si>
    <t>Note:-Total Revenue Billed dose not includes Meter Rent &amp; DPS.</t>
  </si>
  <si>
    <t>TOTAL</t>
  </si>
  <si>
    <t>Purchase of Power(MU)</t>
  </si>
  <si>
    <t>OERC FORM T-7 (Current year)</t>
  </si>
  <si>
    <t>SL.  NO.</t>
  </si>
  <si>
    <t>Voltage of Supply</t>
  </si>
  <si>
    <t>Consumption during Current year (Anticipated)</t>
  </si>
  <si>
    <t>Consumption for L.F. of &lt;=60% (Anticipated)</t>
  </si>
  <si>
    <t>Consumption for L.F. of &gt; 60% (Anticipated)</t>
  </si>
  <si>
    <t>No of Consumers</t>
  </si>
  <si>
    <t>Contract Demand</t>
  </si>
  <si>
    <t>Total Connected Load in excess of 1st KW</t>
  </si>
  <si>
    <t>Demand Charge (Existing)</t>
  </si>
  <si>
    <t>Energy Charge (Existing)</t>
  </si>
  <si>
    <t>Graded Slab E.C. for cons. Ratio &gt;60% (Existing)</t>
  </si>
  <si>
    <t>Minimum Fixed Charge (Existing)</t>
  </si>
  <si>
    <t>Customer Service Charge (Existing)</t>
  </si>
  <si>
    <t>Basis for calculation of average charge-PF &amp; LF</t>
  </si>
  <si>
    <t>Average Charge</t>
  </si>
  <si>
    <t>MD/CD Ratio</t>
  </si>
  <si>
    <t>Revenue from Demand Charge</t>
  </si>
  <si>
    <t>Revenue from Energy Charge</t>
  </si>
  <si>
    <t>Revenue from Monthly Minimum Fixed Charge</t>
  </si>
  <si>
    <t>Revenue from Customer Service Charge</t>
  </si>
  <si>
    <t>Total Revenue</t>
  </si>
  <si>
    <t>Rebate</t>
  </si>
  <si>
    <t>Average charge after rebate</t>
  </si>
  <si>
    <t>Anticipated Rebateable Units</t>
  </si>
  <si>
    <t>Revenue Relief due to Rebate</t>
  </si>
  <si>
    <t>Total Revenue after rebate</t>
  </si>
  <si>
    <t>AVG. Charge as a % of Cost of Supply</t>
  </si>
  <si>
    <t>Electricity Duty</t>
  </si>
  <si>
    <t>Total Electricity Duty</t>
  </si>
  <si>
    <t>Total Charge to Con including ED</t>
  </si>
  <si>
    <t xml:space="preserve">Revenue releif due to prompt payment rebate </t>
  </si>
  <si>
    <t>Revenue from reliability surcharge</t>
  </si>
  <si>
    <t>Revenue from Power factor penalty</t>
  </si>
  <si>
    <t>Revenue relief due to Power Factor incentive</t>
  </si>
  <si>
    <t>Net Revenue after incentive/surcharge &amp; penalty</t>
  </si>
  <si>
    <t>Position w.r.t all India Tariff</t>
  </si>
  <si>
    <t>Units</t>
  </si>
  <si>
    <t>MU's</t>
  </si>
  <si>
    <t>Nos.</t>
  </si>
  <si>
    <t>KW/KVA</t>
  </si>
  <si>
    <t>KW</t>
  </si>
  <si>
    <t>Rs./KVA/month</t>
  </si>
  <si>
    <t>Paise/KWH</t>
  </si>
  <si>
    <t>For 1st KW (Rs./Con/M)</t>
  </si>
  <si>
    <t>FOR Addl. KW</t>
  </si>
  <si>
    <t>Rs./Customer</t>
  </si>
  <si>
    <t>PF</t>
  </si>
  <si>
    <t>LF</t>
  </si>
  <si>
    <t>paise/ kwh</t>
  </si>
  <si>
    <t>Rs. Lakhs</t>
  </si>
  <si>
    <t>Paise/kwh</t>
  </si>
  <si>
    <t>MU</t>
  </si>
  <si>
    <t>% age</t>
  </si>
  <si>
    <t>% age of Energy</t>
  </si>
  <si>
    <t>paise/kwh</t>
  </si>
  <si>
    <t xml:space="preserve"> i)</t>
  </si>
  <si>
    <t>More than 400 KWH (Slab)</t>
  </si>
  <si>
    <t>General Purpose (&lt;100 KW)</t>
  </si>
  <si>
    <t>Total General Purpose (&lt;100 KW)</t>
  </si>
  <si>
    <t xml:space="preserve">Specified Public Purpose </t>
  </si>
  <si>
    <t>Public Water Works&lt;100KW</t>
  </si>
  <si>
    <t>Public Water Works &gt;=100KW</t>
  </si>
  <si>
    <t>General Purpose (&gt;= 110 Kva)</t>
  </si>
  <si>
    <t>LT CATEGORY TOTAL</t>
  </si>
  <si>
    <t>HT CATEGORY</t>
  </si>
  <si>
    <t>Bulk Supply- Domestic</t>
  </si>
  <si>
    <t>General Purpose&gt;70Kva&lt;110 KVA</t>
  </si>
  <si>
    <t>General Purpose (&gt;=110 KVA)</t>
  </si>
  <si>
    <t>H.T.Industrial (M) Medium Industry</t>
  </si>
  <si>
    <t>Emergency Supply to CPP</t>
  </si>
  <si>
    <t xml:space="preserve"> Total HT -----&gt;</t>
  </si>
  <si>
    <t>EHT CATEGORY</t>
  </si>
  <si>
    <t>Special Tariff</t>
  </si>
  <si>
    <t>EHT CATEGORYTOTAL</t>
  </si>
  <si>
    <t>OERC FORM T-7</t>
  </si>
  <si>
    <t>Revenue Computation for ensuing year with existing tariff.</t>
  </si>
  <si>
    <t>CATEGORY</t>
  </si>
  <si>
    <t>Consumption during ensuing year (Anticipated)</t>
  </si>
  <si>
    <t>Graded Slab E.C. for L.F. of &gt;60% (Existing)</t>
  </si>
  <si>
    <t>Revenue on account of reliability surcharge</t>
  </si>
  <si>
    <t>Net Revenue after incentive/ surcharge &amp; penalty</t>
  </si>
  <si>
    <t>General Purpose &gt;70 Kva&lt;110 KVA</t>
  </si>
  <si>
    <t>FORM T-8</t>
  </si>
  <si>
    <t>OERC FORM T-8</t>
  </si>
  <si>
    <t>Revenue Computation for ensuing year using proposed tariffs.</t>
  </si>
  <si>
    <t>Existing</t>
  </si>
  <si>
    <t>Proposed</t>
  </si>
  <si>
    <t>Proposed-Exisitng</t>
  </si>
  <si>
    <t>No of consumers</t>
  </si>
  <si>
    <t>Total of Connected Load in excess of 1st kW</t>
  </si>
  <si>
    <t>Demand Charge</t>
  </si>
  <si>
    <t>Energy Charge</t>
  </si>
  <si>
    <t xml:space="preserve">Graded Slab E.C. for L.F. of &gt;60% </t>
  </si>
  <si>
    <t>Minimum Fixed Charge</t>
  </si>
  <si>
    <t>Customer Service Charge</t>
  </si>
  <si>
    <t>Basis for calculation of average charge-PF and LF</t>
  </si>
  <si>
    <t>Revenue from Demand Charges</t>
  </si>
  <si>
    <t>Revenue from Energy Charges</t>
  </si>
  <si>
    <t>Revenue From Monthly Minimum Fixed Charge</t>
  </si>
  <si>
    <t>Average Charge after rebate</t>
  </si>
  <si>
    <t>Revenue Releif due to Rebate</t>
  </si>
  <si>
    <t xml:space="preserve">Revenue releif due to prompt payment &amp; Digital rebate </t>
  </si>
  <si>
    <t>Net revenue after incnetive/surcharge &amp; Penalty</t>
  </si>
  <si>
    <t>Graded Salb E.C. for L.F. of &gt;60%</t>
  </si>
  <si>
    <t>MinimumFixed Charge</t>
  </si>
  <si>
    <t>Customer service charge</t>
  </si>
  <si>
    <t>Basis for calculation of average charge PF and LF</t>
  </si>
  <si>
    <t>Average charge</t>
  </si>
  <si>
    <t>MD/ CD Ratio</t>
  </si>
  <si>
    <t xml:space="preserve">Total Revenue </t>
  </si>
  <si>
    <t>Avg Charge after rebate</t>
  </si>
  <si>
    <t>Revenue releif due to rebate</t>
  </si>
  <si>
    <t>Change in Net Revenue</t>
  </si>
  <si>
    <t>Change in Revenue from Demand Charge</t>
  </si>
  <si>
    <t>Change in Revenue from Energy Charge</t>
  </si>
  <si>
    <t>Change in revenue from monthly minimum fixed charge</t>
  </si>
  <si>
    <t>Change in revenue from customer service charge</t>
  </si>
  <si>
    <t>Change in Total Revenue</t>
  </si>
  <si>
    <t>Change in Net Avergae Charge</t>
  </si>
  <si>
    <t>% age Change in Net Avergae Charge</t>
  </si>
  <si>
    <t>Proposed tariff as a % age of COS</t>
  </si>
  <si>
    <t>Revenue from power factor penalty</t>
  </si>
  <si>
    <t>Net revenue after incentive/ surcharge &amp; penalty</t>
  </si>
  <si>
    <t>Total charge to consumers including ED</t>
  </si>
  <si>
    <t>Total Electgricity Duty</t>
  </si>
  <si>
    <t>Total Cost of Supply</t>
  </si>
  <si>
    <t>Total Subsidy</t>
  </si>
  <si>
    <t>Subsidy</t>
  </si>
  <si>
    <t>Position w.r.t all India tariff</t>
  </si>
  <si>
    <t>Nos</t>
  </si>
  <si>
    <t>kW/kVA</t>
  </si>
  <si>
    <t>kw</t>
  </si>
  <si>
    <t>Paise/kWh</t>
  </si>
  <si>
    <t>Rs./Customer/M</t>
  </si>
  <si>
    <t>Rs.</t>
  </si>
  <si>
    <t>Paise/Kwh</t>
  </si>
  <si>
    <t>Rs.Lakhs</t>
  </si>
  <si>
    <t>General Purpose &lt;100 KW</t>
  </si>
  <si>
    <t>Total General Purpose (&lt;100KW)</t>
  </si>
  <si>
    <t>Total LT -----&gt;</t>
  </si>
  <si>
    <t>General Purpose (&lt;110 KVA)</t>
  </si>
  <si>
    <t xml:space="preserve">Special Tariff </t>
  </si>
  <si>
    <t>Grand Total-----&gt;</t>
  </si>
  <si>
    <t>Anticipated Consumption</t>
  </si>
  <si>
    <t>Cost of Supply (Rs./kwh)</t>
  </si>
  <si>
    <t>Cost of Supply (Paise/ kwh)</t>
  </si>
  <si>
    <t>Consumption at LT</t>
  </si>
  <si>
    <t>Consumption at HT</t>
  </si>
  <si>
    <t>Consumption at EHT</t>
  </si>
  <si>
    <t>Adjustment Factor</t>
  </si>
  <si>
    <t>Sale</t>
  </si>
  <si>
    <t>Other Income</t>
  </si>
  <si>
    <t>%</t>
  </si>
  <si>
    <t>TPWODL</t>
  </si>
  <si>
    <t>OERC FORM T-9</t>
  </si>
  <si>
    <t>CONSUMPTION PATTERN OF HT AND EHT CONSUMERS HAVING CONTRACT DEMAND GREATER THAN 1 MVA</t>
  </si>
  <si>
    <t>SL NO</t>
  </si>
  <si>
    <t>DIVISION</t>
  </si>
  <si>
    <t>NAME</t>
  </si>
  <si>
    <t>Category</t>
  </si>
  <si>
    <t>SUPP VOLT</t>
  </si>
  <si>
    <t xml:space="preserve">Existing CD IN KVA </t>
  </si>
  <si>
    <t>Addition/ Reduction during Ensuing Year</t>
  </si>
  <si>
    <t>Total CD during Ensuing Year</t>
  </si>
  <si>
    <t>Current Year Months</t>
  </si>
  <si>
    <t>Esimated for Current Year</t>
  </si>
  <si>
    <t>LF Current Year</t>
  </si>
  <si>
    <t>Projection for Ensuing Year</t>
  </si>
  <si>
    <t>A</t>
  </si>
  <si>
    <t>KVAh</t>
  </si>
  <si>
    <t>KWH</t>
  </si>
  <si>
    <t>ULTRA TECH CEMENT LTD.</t>
  </si>
  <si>
    <t>LARGE</t>
  </si>
  <si>
    <t>GENERAL MANAGER ,(M.C.L)</t>
  </si>
  <si>
    <t>M/S.BARGARH CEMENTWORKS-ACCLTD</t>
  </si>
  <si>
    <t>M/S MAHANADI COAL FIELDS LTD</t>
  </si>
  <si>
    <t>M/S SHREE GANESH METALIKS LTD.</t>
  </si>
  <si>
    <t>M/S G M ORDNANCE FACTORY</t>
  </si>
  <si>
    <t>DIVISIONAL RAILWAY MANAGER(TRD)</t>
  </si>
  <si>
    <t>TRACTION</t>
  </si>
  <si>
    <t>DRM(ELEC) EAST COAST RAILWAY</t>
  </si>
  <si>
    <t>THE DIVISIONAL ELECT.ENG.(TRACTION)</t>
  </si>
  <si>
    <t>THE DIVISIONAL RAILWAY MANAGER(TRD)</t>
  </si>
  <si>
    <t>M/S. ADITYA ALLUMINIUM LIMITED</t>
  </si>
  <si>
    <t>HEAVY</t>
  </si>
  <si>
    <t>D G M I/C,POWER DISTRIBUTION</t>
  </si>
  <si>
    <t>M/S.ADHUNIK METALIKS LIMITED</t>
  </si>
  <si>
    <t>M/S HINDALCO INDUSTRIES LIMITED.</t>
  </si>
  <si>
    <t>BHUSHAN POWER &amp; STEEL LTD.</t>
  </si>
  <si>
    <t>VEDANTA ALUMINIUM LIMITED</t>
  </si>
  <si>
    <t>M/S.GRAPHITE INDIA LTD.</t>
  </si>
  <si>
    <t>MSP</t>
  </si>
  <si>
    <t>M/S VIRAJ STEEL &amp; ENERGY LTD.</t>
  </si>
  <si>
    <t>M/S ARYAN ISPAT AND POWER PVT. LTD.</t>
  </si>
  <si>
    <t>The Sr Divisional Electrical Engineer TRD</t>
  </si>
  <si>
    <t>EHT Total</t>
  </si>
  <si>
    <t>GM MCL(DBS)</t>
  </si>
  <si>
    <t>DBS</t>
  </si>
  <si>
    <t>11 KV</t>
  </si>
  <si>
    <t>BISRA STONE LIME CO LTD.</t>
  </si>
  <si>
    <t>33 KV</t>
  </si>
  <si>
    <t>THE EXECUTIVE ENGINEER</t>
  </si>
  <si>
    <t>THE E.E.MEGA LIFT PROJECTS,BBSR1397</t>
  </si>
  <si>
    <t>THE EE MEGA LIFT PROJECTS BBSR-3791</t>
  </si>
  <si>
    <t>EE,MGA LIFT,CHIKILI &amp; JAMPALI</t>
  </si>
  <si>
    <t>EE MGA LIFT,TAMDEI DUNGURI</t>
  </si>
  <si>
    <t>EXE.ENG.MEGALIFT IRRIG.PROJ.JHARSUG</t>
  </si>
  <si>
    <t>EE.MEGA LIFT IRRIGATION PROJECT.JSG</t>
  </si>
  <si>
    <t>EE.MEGA LIFT IRRIGATION PROJECT JSG</t>
  </si>
  <si>
    <t>EXECUTIVE ENGINEER MLIP</t>
  </si>
  <si>
    <t>EE,MEGA LIFT PROJECT,KEONJHAR</t>
  </si>
  <si>
    <t>THE EXECUTIVE ENGINEER,MLIP,TTLG</t>
  </si>
  <si>
    <t>E.E MLIP. AT/PO-BHATIPADA</t>
  </si>
  <si>
    <t>THE EXECUTIVE ENGINEER MEGA LIFT</t>
  </si>
  <si>
    <t>THE E.E.MEGALIFT PROJECT SONEPUR</t>
  </si>
  <si>
    <t>E.E MEGALIFT PROJECT SONEPUR</t>
  </si>
  <si>
    <t>132 KV</t>
  </si>
  <si>
    <t>NATIONAL INSTITUTE OF TECHNOLOGY</t>
  </si>
  <si>
    <t>SPP</t>
  </si>
  <si>
    <t>THE DEAN &amp; PRINCIPAL</t>
  </si>
  <si>
    <t>DIV . ENGG(ELECTRICAL)</t>
  </si>
  <si>
    <t>AIRPORTS AUTHORITY OF INDIA</t>
  </si>
  <si>
    <t>VEDANTA ALUMINIUM LTD.</t>
  </si>
  <si>
    <t>M/S.GLOBAL COAL &amp; MINING PVT LTD.</t>
  </si>
  <si>
    <t>M/S.VISHAL METALLICS(P)LTD.</t>
  </si>
  <si>
    <t>M/S FORUM PROJECTS PVT.LTD.</t>
  </si>
  <si>
    <t>E.E.(P.H),DIVISION,SBP</t>
  </si>
  <si>
    <t>E E, PHD,(IDCOL POINT)</t>
  </si>
  <si>
    <t>M/S.JAY JAGANNATH STEEL &amp; POWER LTD</t>
  </si>
  <si>
    <t>M/S. JAI HANUMAN UDYOG LTD.</t>
  </si>
  <si>
    <t>M/S. APAR INDUSTRIES LIMITED</t>
  </si>
  <si>
    <t>M/S.TRL KROSAKI REFRACTOIES LTD</t>
  </si>
  <si>
    <t>EARTH MINERAL COMPANY LTD.</t>
  </si>
  <si>
    <t>M/S. MAA BHAGAWATI RE-ROLLING MILL</t>
  </si>
  <si>
    <t>M/S.KAUSHAL FERRO METALS PLTD.</t>
  </si>
  <si>
    <t>M/S. A.C.B (INDIA) LTD</t>
  </si>
  <si>
    <t>ROURKELA MINERALS CO.(P) LTD.</t>
  </si>
  <si>
    <t>M/S IFGL REFRACTORIES LTD.</t>
  </si>
  <si>
    <t>M/S SURAJ PRODUCTS LTD.</t>
  </si>
  <si>
    <t>LARSEN &amp; TOUBRO LTD</t>
  </si>
  <si>
    <t>SHARDA RE-ROLLERS(P) LTD.</t>
  </si>
  <si>
    <t>M/S.BAJRANG STEEL &amp; ALLOYS LTD</t>
  </si>
  <si>
    <t>SHREE SALASAR CASTINGS(P)LTD.</t>
  </si>
  <si>
    <t>M/S AMBICA IRON &amp; STEELS(P)LTD</t>
  </si>
  <si>
    <t>M/S TOP TECH STEELS PVT.LTD.</t>
  </si>
  <si>
    <t>M/S MAA GIRIJA ISPAT(P)LTD.</t>
  </si>
  <si>
    <t>M/S. THAKUR PRASAD SAO &amp; SONS(P)LTD</t>
  </si>
  <si>
    <t>M/S TIME STEEL &amp; POWER PVT LTD.</t>
  </si>
  <si>
    <t>M/S.BAJRANGBALI RE-ROLLERS(P)L</t>
  </si>
  <si>
    <t>M/S.SLM TECHNOLOGY PVT.LTD.</t>
  </si>
  <si>
    <t>M/S. SCAN STEELS LTD</t>
  </si>
  <si>
    <t>M/S. BEE PEE ROLLERS PVT LTD</t>
  </si>
  <si>
    <t>M/S.AURN STEEL INDUSTRIES PVT LTD.</t>
  </si>
  <si>
    <t>M/S.COGENT STEEL &amp; PIPES PVT LTD.</t>
  </si>
  <si>
    <t>M/S.SHUBH ISPAT PVT LTD</t>
  </si>
  <si>
    <t>M/S.SUBHLABH CEMENTS PVT LTD.</t>
  </si>
  <si>
    <t>M/S.PAWANJAY SPONGE IRON LTD</t>
  </si>
  <si>
    <t>M/S.PANESAR STEEL &amp; POWER LTD.</t>
  </si>
  <si>
    <t>M/S STERLING INDUSTRIES</t>
  </si>
  <si>
    <t>Manager, Barsuan Iron Mines</t>
  </si>
  <si>
    <t>M/S.SURENDRA MINING IND(P)LTD.</t>
  </si>
  <si>
    <t>M/S.RUNGTA SONS PVT LTD</t>
  </si>
  <si>
    <t>M/S LINDE INDIA LTD.,2X853TPD PLANT</t>
  </si>
  <si>
    <t>EASTERN ALLOYS (P) LTD.</t>
  </si>
  <si>
    <t>M/S REFULGENT ISPAT PVT.LTD.</t>
  </si>
  <si>
    <t>M/S.RELIABLE SPONGE (P) LTD.</t>
  </si>
  <si>
    <t>SHRI RADHAKRISHNA ISPAT(P)LTD.</t>
  </si>
  <si>
    <t>M/S. DD IRON &amp; STEEL (P) LTD</t>
  </si>
  <si>
    <t>M/S SATGURU METALS &amp; POWER (P) LTD.</t>
  </si>
  <si>
    <t>M/S. CHUN CHUN ISPAT (P) LTD</t>
  </si>
  <si>
    <t>M/S.B R STEEL AND POWER LTD</t>
  </si>
  <si>
    <t>BAJRANG STEEL &amp;ALLOY(P) LTD</t>
  </si>
  <si>
    <t>M/S.SCAN STEELS LTD (UNIT-I)</t>
  </si>
  <si>
    <t>M/S. SCAN STEELS LTD(UNIT-II)</t>
  </si>
  <si>
    <t>B</t>
  </si>
  <si>
    <t>HT Total</t>
  </si>
  <si>
    <t>EHT &amp; HT Total</t>
  </si>
  <si>
    <t>OERC FORM.1</t>
  </si>
  <si>
    <t>INFORMATION ON BLOCK CAPITAL</t>
  </si>
  <si>
    <t>(Rs. in lakh)</t>
  </si>
  <si>
    <t>Capital employed at the begining of the year</t>
  </si>
  <si>
    <t>(a) On completed works</t>
  </si>
  <si>
    <t>HT :</t>
  </si>
  <si>
    <t>LT :</t>
  </si>
  <si>
    <t>Sub Total :</t>
  </si>
  <si>
    <t>(b) On works in progress</t>
  </si>
  <si>
    <t>Capital employed during the year</t>
  </si>
  <si>
    <t>C.</t>
  </si>
  <si>
    <t>Asset withdrawn, if any</t>
  </si>
  <si>
    <t>D.</t>
  </si>
  <si>
    <t>Capital employed at the end of the year</t>
  </si>
  <si>
    <t>(a) on completion</t>
  </si>
  <si>
    <t>(b) on W.I.P</t>
  </si>
  <si>
    <t>Total (A+B+C)</t>
  </si>
  <si>
    <t>Note :</t>
  </si>
  <si>
    <t>1. The figures for current financial year are based upon provisional for 1 Year</t>
  </si>
  <si>
    <t>2. The principle followed for allocation of capital expenditure to completed</t>
  </si>
  <si>
    <t xml:space="preserve">    assets and work in progress should be stated.</t>
  </si>
  <si>
    <t>FORM  F.2</t>
  </si>
  <si>
    <t>Project wise /Scheme wise Capital Expenditure</t>
  </si>
  <si>
    <t>Rs. in Lakh</t>
  </si>
  <si>
    <t>Sl No.</t>
  </si>
  <si>
    <t>Description of the Project/Scheme</t>
  </si>
  <si>
    <t>Expn. during the year</t>
  </si>
  <si>
    <t>Interest during construction</t>
  </si>
  <si>
    <t>Overhead Capitalised</t>
  </si>
  <si>
    <t>Transfer to fixed assets</t>
  </si>
  <si>
    <t>Closing bal. of WIP as on 31.03.23</t>
  </si>
  <si>
    <t xml:space="preserve">Land </t>
  </si>
  <si>
    <t>Civil &amp; Buildings</t>
  </si>
  <si>
    <t>F&amp;F</t>
  </si>
  <si>
    <t>Vehicle</t>
  </si>
  <si>
    <t>Other Equipment</t>
  </si>
  <si>
    <t>PMU</t>
  </si>
  <si>
    <t>IPDS Scheme</t>
  </si>
  <si>
    <t>SAUBHAGYA</t>
  </si>
  <si>
    <t>Deposit Work and others</t>
  </si>
  <si>
    <t>Capex Plan GoO</t>
  </si>
  <si>
    <t>SYSTEM IMPROVEMENT(REC)</t>
  </si>
  <si>
    <t>SYSTEM IMPROVEMENT</t>
  </si>
  <si>
    <t>RLTAP</t>
  </si>
  <si>
    <t>ODSSP</t>
  </si>
  <si>
    <t>DDUGJY-Din Dayal Upadhya</t>
  </si>
  <si>
    <t>DDUGJY 12th plan</t>
  </si>
  <si>
    <t>DESI GoO</t>
  </si>
  <si>
    <t>Line cable network &amp; other T&amp;D</t>
  </si>
  <si>
    <t>Statutory, Safty &amp; Security</t>
  </si>
  <si>
    <t>Loss Reduction</t>
  </si>
  <si>
    <t>Network Reliability</t>
  </si>
  <si>
    <t>Load Growth</t>
  </si>
  <si>
    <t>Tecnology &amp; Civil Infrastructure</t>
  </si>
  <si>
    <t>Sub-Total of Network Assets</t>
  </si>
  <si>
    <t>Advance to Supplier for Capital Works</t>
  </si>
  <si>
    <t xml:space="preserve">Capital Stores </t>
  </si>
  <si>
    <t>TOTAL ---&gt;</t>
  </si>
  <si>
    <t>Check</t>
  </si>
  <si>
    <t>OERC FORM F.3</t>
  </si>
  <si>
    <t>Information on Receipt/ Repayment of Loan(Rs.in Lakh)</t>
  </si>
  <si>
    <t>Abstract:</t>
  </si>
  <si>
    <t>Source :</t>
  </si>
  <si>
    <t>Average rate of interest</t>
  </si>
  <si>
    <t>GRIDCO-LOAN*</t>
  </si>
  <si>
    <t>WORLD BANK-NET OF 30% Grant</t>
  </si>
  <si>
    <t>(Total Loan is Rs 12994.17 Lacs)</t>
  </si>
  <si>
    <t>TPWODL Capex</t>
  </si>
  <si>
    <t>APDRP LOAN -(NET OF 50% Grant)-GoO</t>
  </si>
  <si>
    <t>Govt. of Orissa-Capex Loan zero interest</t>
  </si>
  <si>
    <t>Govt. of Orissa-Capex Loan -interest bearing</t>
  </si>
  <si>
    <t>REC-Counter part capex scheme</t>
  </si>
  <si>
    <t>REC-SI loan &amp; Counter part Funding for APDRP.</t>
  </si>
  <si>
    <t>Note :The above figures are excluding interest</t>
  </si>
  <si>
    <t>* includes BST dues as per securitisation order of OERC.</t>
  </si>
  <si>
    <t>Check with (Balance Sheet)</t>
  </si>
  <si>
    <t>SALE  &amp; POWER PROCUREMENT</t>
  </si>
  <si>
    <t>OERC Form No.F.4</t>
  </si>
  <si>
    <t>Actual for 1st six month of Current Year</t>
  </si>
  <si>
    <t>Estimates for 2nd six month of Current Year</t>
  </si>
  <si>
    <t>Projection for ensuing year</t>
  </si>
  <si>
    <t>Categorywise sales</t>
  </si>
  <si>
    <t>Total Sale</t>
  </si>
  <si>
    <t>T&amp;D Loss</t>
  </si>
  <si>
    <t>Rs. Lacs</t>
  </si>
  <si>
    <t>Energy Requirement</t>
  </si>
  <si>
    <t>Purchase of power</t>
  </si>
  <si>
    <t>GRIDCO</t>
  </si>
  <si>
    <t>Other source if any (Give details)</t>
  </si>
  <si>
    <t>Total Power purchase (MU)</t>
  </si>
  <si>
    <t>Other Source</t>
  </si>
  <si>
    <t>Rate of power purchase from Other Source (P/U)</t>
  </si>
  <si>
    <t>C</t>
  </si>
  <si>
    <t>Total Cost</t>
  </si>
  <si>
    <t>SLDC charges</t>
  </si>
  <si>
    <t>OERC Form No.F.5</t>
  </si>
  <si>
    <t xml:space="preserve">CALCULATION OF COST OF POWER AT DIFFERENT VOLTAGE ENDS </t>
  </si>
  <si>
    <t>Actual for the previous year</t>
  </si>
  <si>
    <t>Description</t>
  </si>
  <si>
    <t xml:space="preserve">HT </t>
  </si>
  <si>
    <t>Technical Information</t>
  </si>
  <si>
    <t>Units Received into the system in MU</t>
  </si>
  <si>
    <t>Total Loss in the system in %</t>
  </si>
  <si>
    <t>Less Loss in the system in MU</t>
  </si>
  <si>
    <t>Transmitted through the system in MU</t>
  </si>
  <si>
    <t>D=A-C</t>
  </si>
  <si>
    <t>6</t>
  </si>
  <si>
    <t>Sale at system voltage in MU</t>
  </si>
  <si>
    <t>E</t>
  </si>
  <si>
    <t>COST AT SYSTEM VOLTAGE</t>
  </si>
  <si>
    <t>Existing rate of power purchase including transmission charges(paisa)</t>
  </si>
  <si>
    <t>F</t>
  </si>
  <si>
    <t>Total Cost of Distribution.(Rs.in Lacs)</t>
  </si>
  <si>
    <t>G</t>
  </si>
  <si>
    <t>Cost of units lost in the system(Rs in Lacs)</t>
  </si>
  <si>
    <t>H=(F*C)</t>
  </si>
  <si>
    <t>Cost of Trans. Dist and cost of lost units(Rs in Lacs)</t>
  </si>
  <si>
    <t>I=(G+H)</t>
  </si>
  <si>
    <t>Increment cost  (Paise/kwh)</t>
  </si>
  <si>
    <t>J=(I/D)</t>
  </si>
  <si>
    <t>Cost at system end (Paise/kwh)</t>
  </si>
  <si>
    <t>K(J+F)</t>
  </si>
  <si>
    <t>Element of Profit (paise/kwh) (RROR)</t>
  </si>
  <si>
    <t>L</t>
  </si>
  <si>
    <t>Total Cost with Profit(paise/kwh)</t>
  </si>
  <si>
    <t>M(K+L)</t>
  </si>
  <si>
    <t>Note:-</t>
  </si>
  <si>
    <r>
      <t>Basis of ariving the voltage wise cost of distribution to be given:-</t>
    </r>
    <r>
      <rPr>
        <b/>
        <sz val="12"/>
        <rFont val="Arial"/>
        <family val="2"/>
      </rPr>
      <t>Furnished in Form No.F-6</t>
    </r>
  </si>
  <si>
    <t>Total Cost with profit element</t>
  </si>
  <si>
    <t>M=(F * L)</t>
  </si>
  <si>
    <t>Total Cost without profit element</t>
  </si>
  <si>
    <t>M=(F * J)</t>
  </si>
  <si>
    <t>Balance (RR)</t>
  </si>
  <si>
    <t>OERC FORM F-6</t>
  </si>
  <si>
    <t>Revenue Gap Analysis (in Rs. Lakhs)</t>
  </si>
  <si>
    <t>Actual for Previous Year 2020-21</t>
  </si>
  <si>
    <t>1st Six month of Current year</t>
  </si>
  <si>
    <t>Projection for the Ensuing year 2022-23</t>
  </si>
  <si>
    <t xml:space="preserve">EHT </t>
  </si>
  <si>
    <t>Power Purchase Cost (A)</t>
  </si>
  <si>
    <t>Cost of Power</t>
  </si>
  <si>
    <t>Transmission charges</t>
  </si>
  <si>
    <t>SLDC Charges</t>
  </si>
  <si>
    <t>Total power purchase cost</t>
  </si>
  <si>
    <t>Distribution Costs (B)</t>
  </si>
  <si>
    <t>a)  Employees cost</t>
  </si>
  <si>
    <t>b)  Repair and Maintenance cost</t>
  </si>
  <si>
    <t>c)  Admn. &amp; General Expenses</t>
  </si>
  <si>
    <t>d)  Provision for bad and doubtful debts</t>
  </si>
  <si>
    <t>e)  Depreciation</t>
  </si>
  <si>
    <t>g)  Interest on Security Deposits</t>
  </si>
  <si>
    <t>i)  Tax on ROE</t>
  </si>
  <si>
    <t>j) Carrying Cost on regulatory assets/liabilities</t>
  </si>
  <si>
    <t>k)  Less expenses capitalized (Employee Costs)</t>
  </si>
  <si>
    <t>l)  Less interest capitalized</t>
  </si>
  <si>
    <t>Total Distribution cost (a + b + c + d + e + f + g + h + i+j-k-l)</t>
  </si>
  <si>
    <t>Prior period items (C )</t>
  </si>
  <si>
    <t>Amortisation of regulatory asset (10% of agrregate amount as on 31.3.15)</t>
  </si>
  <si>
    <t xml:space="preserve">True up </t>
  </si>
  <si>
    <t>Contingency reserve</t>
  </si>
  <si>
    <t>Total Special appropriation</t>
  </si>
  <si>
    <t>TOTAL ( A +B +C)</t>
  </si>
  <si>
    <t>Less Miscellaneous receipts</t>
  </si>
  <si>
    <t xml:space="preserve">Total Revenue Requirement </t>
  </si>
  <si>
    <t>Revenue from tariffs (full year)</t>
  </si>
  <si>
    <t>Additional Rev from Special TPA</t>
  </si>
  <si>
    <t xml:space="preserve">Revenue Gap(+) / surplus(-) </t>
  </si>
  <si>
    <t>Note:Power Purchase cost is net of Rebate.</t>
  </si>
  <si>
    <t>Allocation of Expenditure</t>
  </si>
  <si>
    <t>1st half FY21-22</t>
  </si>
  <si>
    <t>2nd half FY21-22</t>
  </si>
  <si>
    <t>Other Income offered in ARR</t>
  </si>
  <si>
    <t>Distribution of Power Cost</t>
  </si>
  <si>
    <t>Power Purchase Rebate</t>
  </si>
  <si>
    <t>Units Consumed by diff. categories(Ref.F-5)</t>
  </si>
  <si>
    <t>Meter Rent</t>
  </si>
  <si>
    <t>Rate per Unit</t>
  </si>
  <si>
    <t>ODP</t>
  </si>
  <si>
    <t>Value(Rs in Lacs)</t>
  </si>
  <si>
    <t>Reliability</t>
  </si>
  <si>
    <t>Supervision Charges</t>
  </si>
  <si>
    <t>Employee cost      (Ref. F-12)</t>
  </si>
  <si>
    <t>Misc.</t>
  </si>
  <si>
    <t xml:space="preserve">A&amp;G Expenditure   (Ref. F-13) </t>
  </si>
  <si>
    <t>FD Interest</t>
  </si>
  <si>
    <t>D</t>
  </si>
  <si>
    <t>Repair &amp; Maintenance Exp.:-</t>
  </si>
  <si>
    <t>On the basis of Asset value i.e, 60% to HT &amp; 40% to LT.</t>
  </si>
  <si>
    <t>DPS</t>
  </si>
  <si>
    <t xml:space="preserve">Interest </t>
  </si>
  <si>
    <t>Other Incl.Scrap</t>
  </si>
  <si>
    <t>Depreciation</t>
  </si>
  <si>
    <t>CSS</t>
  </si>
  <si>
    <t>Form No. F.7</t>
  </si>
  <si>
    <t xml:space="preserve">SUBSIDY ON AVERAGE COST BASIS BY CUSTOMER CLASS AND SERVICE LEVEL FOR THE ENSUING FINANCIAL YEAR </t>
  </si>
  <si>
    <t>Revenue as % of cost</t>
  </si>
  <si>
    <t>Subsidy Rs. Lacs</t>
  </si>
  <si>
    <t>Subsidy paise/kwh</t>
  </si>
  <si>
    <t>Rs/kwh</t>
  </si>
  <si>
    <t>Customer Class:</t>
  </si>
  <si>
    <t>General Purpose &lt; 100 KW</t>
  </si>
  <si>
    <t>Street Lighting</t>
  </si>
  <si>
    <t xml:space="preserve"> Industrial (M) Supply</t>
  </si>
  <si>
    <t>Specified Public Purpose &lt; 100 Kw</t>
  </si>
  <si>
    <t>Public Water Works &lt;100 kw</t>
  </si>
  <si>
    <t>Public Water Works</t>
  </si>
  <si>
    <t>Ministeel Plant</t>
  </si>
  <si>
    <t>Colony consumption</t>
  </si>
  <si>
    <t>Emergency Power supply to CPP</t>
  </si>
  <si>
    <t>DC Service:</t>
  </si>
  <si>
    <t>Special Tariff-</t>
  </si>
  <si>
    <t>Form No. F.8</t>
  </si>
  <si>
    <t>Proposed Charges, other than and in addition to the charges of tariff leviable for the purpose.</t>
  </si>
  <si>
    <t>(Amount in Rs.)</t>
  </si>
  <si>
    <t>(A)</t>
  </si>
  <si>
    <t>MONTHLY RECOVERY OF METER COST</t>
  </si>
  <si>
    <t>(B)</t>
  </si>
  <si>
    <t>RECONNECTION CHARGES</t>
  </si>
  <si>
    <t>LT Single phase Domestic consumer</t>
  </si>
  <si>
    <t>LT single phase other consumer</t>
  </si>
  <si>
    <t>All HT and EHT consumer</t>
  </si>
  <si>
    <t>(C)</t>
  </si>
  <si>
    <t>BASIS OF CALCULATION OF MONTHLY METER RENT</t>
  </si>
  <si>
    <t>RATE MAKING</t>
  </si>
  <si>
    <t>(D)</t>
  </si>
  <si>
    <t>BASIS OF FIXATION OF LOAD FACTOR FOR VARIOUS CATEGORIES OF CONSUMERS WITH DEFECTIVE METERS</t>
  </si>
  <si>
    <t>As per existing Tariff</t>
  </si>
  <si>
    <t>(E)</t>
  </si>
  <si>
    <t>BASIS OF FIXATION OF MINIMUM CHARGE</t>
  </si>
  <si>
    <t>(F)</t>
  </si>
  <si>
    <t>BASIS OF FIXATION OF MAXIMUM DEMAND CHARGE</t>
  </si>
  <si>
    <t>(G)</t>
  </si>
  <si>
    <t>Power Factor Incentive &amp; PowerFactor Penalty</t>
  </si>
  <si>
    <t>Not Applicable</t>
  </si>
  <si>
    <t>(H)</t>
  </si>
  <si>
    <t xml:space="preserve">Rebate &amp; prompt payment Incentive </t>
  </si>
  <si>
    <t>(I)</t>
  </si>
  <si>
    <t>Delayed Payment Surcharge</t>
  </si>
  <si>
    <t>Form No. F.9</t>
  </si>
  <si>
    <t>Statement of sundry debtors and provision for bad &amp; doubtful debt</t>
  </si>
  <si>
    <t>Sl. No.</t>
  </si>
  <si>
    <t>Particulars</t>
  </si>
  <si>
    <t>Receivable from consumers as at</t>
  </si>
  <si>
    <t>the beginning of the year</t>
  </si>
  <si>
    <t>Revenue billed for the year</t>
  </si>
  <si>
    <t>Collection for the year</t>
  </si>
  <si>
    <t xml:space="preserve">           Against current dues</t>
  </si>
  <si>
    <t>Gross receivable from consumers</t>
  </si>
  <si>
    <t>as at the end of the year * As per TPWODL B/S</t>
  </si>
  <si>
    <t>Arrear against permanently disconnected</t>
  </si>
  <si>
    <r>
      <t xml:space="preserve">consumers         </t>
    </r>
    <r>
      <rPr>
        <b/>
        <i/>
        <sz val="10"/>
        <rFont val="Arial"/>
        <family val="2"/>
      </rPr>
      <t>(Included in Sl No.4)</t>
    </r>
  </si>
  <si>
    <t xml:space="preserve"> Receivables(4-5)  </t>
  </si>
  <si>
    <t>Provision  for bad and doubtful debts</t>
  </si>
  <si>
    <t>% of provision (item 7 expressed as</t>
  </si>
  <si>
    <t>a percentage of item 6)</t>
  </si>
  <si>
    <t>Net Debtors as per Balance Sheet</t>
  </si>
  <si>
    <t>Check                                              As per B/S</t>
  </si>
  <si>
    <t>Licencee:TPWODL</t>
  </si>
  <si>
    <t>Form No. F.10</t>
  </si>
  <si>
    <t xml:space="preserve">INFORMATION ON INVENTORY </t>
  </si>
  <si>
    <t>Sl.</t>
  </si>
  <si>
    <t>Avg Bal.</t>
  </si>
  <si>
    <t>Opening Stock</t>
  </si>
  <si>
    <t>Purchase during the month</t>
  </si>
  <si>
    <t>Issue for consumption</t>
  </si>
  <si>
    <t>Adjustment</t>
  </si>
  <si>
    <t>(Write-off)</t>
  </si>
  <si>
    <t>Closing Stock</t>
  </si>
  <si>
    <t>(1+2-3-4)</t>
  </si>
  <si>
    <t>Note : The above inventory represents both capital and O&amp;M materials.</t>
  </si>
  <si>
    <t>Estimates for the Current year</t>
  </si>
  <si>
    <t>Estimates for the ensuing  year</t>
  </si>
  <si>
    <t>Form No. F. 11</t>
  </si>
  <si>
    <t xml:space="preserve">STATEMENT OF SHARE CAPITAL </t>
  </si>
  <si>
    <t>(Rs. in Cr)</t>
  </si>
  <si>
    <t>CURRENT YEAR</t>
  </si>
  <si>
    <t>Description of capital</t>
  </si>
  <si>
    <t>Balance at the beginning of the year</t>
  </si>
  <si>
    <t>Receipts during the year</t>
  </si>
  <si>
    <t>Redeemed during the year</t>
  </si>
  <si>
    <t>Balance at the end of the year</t>
  </si>
  <si>
    <t>Remarks</t>
  </si>
  <si>
    <t>Share capital</t>
  </si>
  <si>
    <t>Authorised capital (Amount)</t>
  </si>
  <si>
    <t>Ordinary shares of Rs.10 Each (Nos)</t>
  </si>
  <si>
    <t>% preference shares of Rs. Each</t>
  </si>
  <si>
    <t>Issued capital</t>
  </si>
  <si>
    <t>Ordinary shares of Rs. Each</t>
  </si>
  <si>
    <t>Subscribed capital(Amount)</t>
  </si>
  <si>
    <t>Ordinary shares of Rs.10 Each(Nos)</t>
  </si>
  <si>
    <t>Called-up capital</t>
  </si>
  <si>
    <t>Less calls in arrears</t>
  </si>
  <si>
    <t>Paid up capital</t>
  </si>
  <si>
    <t>Total paid up capital (Amount)</t>
  </si>
  <si>
    <t>ENSUING YEAR</t>
  </si>
  <si>
    <t>Form No. F. 12</t>
  </si>
  <si>
    <t>EMPLOYEES COST (PREVIOUS YEAR, CURRENT YEAR &amp; ENSUING YEAR)</t>
  </si>
  <si>
    <t>Effective Rate of D.A. in %</t>
  </si>
  <si>
    <t>21-22</t>
  </si>
  <si>
    <t>22-23</t>
  </si>
  <si>
    <t>SL.NO.</t>
  </si>
  <si>
    <t>Account Code</t>
  </si>
  <si>
    <t>Executive</t>
  </si>
  <si>
    <t>Non-Executive</t>
  </si>
  <si>
    <t xml:space="preserve">Erstwhile TPWODL </t>
  </si>
  <si>
    <t>Executives</t>
  </si>
  <si>
    <t>Non-Executives</t>
  </si>
  <si>
    <t>CTC Total</t>
  </si>
  <si>
    <t>Erstwhile Total</t>
  </si>
  <si>
    <t>Basic Pay</t>
  </si>
  <si>
    <t>Grade Pay</t>
  </si>
  <si>
    <t>Dearness Allowance</t>
  </si>
  <si>
    <t>1.07.22</t>
  </si>
  <si>
    <t>Reimbursement of House Rent</t>
  </si>
  <si>
    <t>1.01.23</t>
  </si>
  <si>
    <t>Other Allowance</t>
  </si>
  <si>
    <t>1.07.23</t>
  </si>
  <si>
    <t>Bonus</t>
  </si>
  <si>
    <t>Additional Employee cost</t>
  </si>
  <si>
    <t>Contractual Obligation</t>
  </si>
  <si>
    <t>Outsource Obligation for Grid and S/S manning (maintenance, watch &amp; ward)</t>
  </si>
  <si>
    <t>Others if any</t>
  </si>
  <si>
    <t>OTHER STAFF COST</t>
  </si>
  <si>
    <t>Reimbursement of Medical Expenses</t>
  </si>
  <si>
    <t>Leave Travel Concession</t>
  </si>
  <si>
    <t>Interim Relief to Staff</t>
  </si>
  <si>
    <t>Encashment of Earned Leave(UL)</t>
  </si>
  <si>
    <t>Honorarium</t>
  </si>
  <si>
    <t>Payment under Workmen compensation Act</t>
  </si>
  <si>
    <t>Pension</t>
  </si>
  <si>
    <t>Ex-gratia/Incentive</t>
  </si>
  <si>
    <t>Miscellaneous</t>
  </si>
  <si>
    <t>Staff Welfare Expenses</t>
  </si>
  <si>
    <t>Terminal Benefits(Pension)</t>
  </si>
  <si>
    <t>Terminal Benefits(GRATUITY,Rehabilitation  and UNUTILISED LEAVE)</t>
  </si>
  <si>
    <t>Less:-Employee cost Capitalised</t>
  </si>
  <si>
    <t>ADD. INFORMATION</t>
  </si>
  <si>
    <t>No. of Employees as on :</t>
  </si>
  <si>
    <t>No of Employees added during the year</t>
  </si>
  <si>
    <t>Emp Retd./Expired/resigned/ during the yr.</t>
  </si>
  <si>
    <t>Avg no of employees for the year</t>
  </si>
  <si>
    <t>No. of milloin units sold</t>
  </si>
  <si>
    <t>No. of employees per MKwh sold</t>
  </si>
  <si>
    <t>No. of consumer as at ...............</t>
  </si>
  <si>
    <t xml:space="preserve"> No. of emp per 1000 consumers</t>
  </si>
  <si>
    <t>Allocation of Employee Cost for 20-21</t>
  </si>
  <si>
    <t>Allocation of Employee Cost for 22-23</t>
  </si>
  <si>
    <t xml:space="preserve">Terminal Liability for FY 2021-22          </t>
  </si>
  <si>
    <t>Rs. Crore</t>
  </si>
  <si>
    <t>Employee Trust Valuation as on 31.03.22</t>
  </si>
  <si>
    <t>MU sold</t>
  </si>
  <si>
    <t>Employee Trust Valuation as on 31.03.21</t>
  </si>
  <si>
    <t>Ex.salary</t>
  </si>
  <si>
    <t>Interest on invstmnt during 2021-22 @ 8 %</t>
  </si>
  <si>
    <t>Non Ex.Salary</t>
  </si>
  <si>
    <t>Estimated payment during 2021-22</t>
  </si>
  <si>
    <t>Terminal benefit trust funding required for 2021-22 (1-2-3+4)</t>
  </si>
  <si>
    <t>Expected Corpus Availability FY 20-21</t>
  </si>
  <si>
    <t>No of Employee Retiring in 2022-23 are as follows</t>
  </si>
  <si>
    <t>Employee Trust Valuation as on 31.03.20</t>
  </si>
  <si>
    <t>No of Employee</t>
  </si>
  <si>
    <t>Interest on invstmnt during 2020-21 @ 8 %</t>
  </si>
  <si>
    <t>Basic</t>
  </si>
  <si>
    <t>Estimated payment during 2020-21</t>
  </si>
  <si>
    <t>Terminal benefit trust funding required for 2020-21 (1-2-3+4)</t>
  </si>
  <si>
    <t>DA</t>
  </si>
  <si>
    <t>Average Basic pay of Executive</t>
  </si>
  <si>
    <t>Average Basci pay of Non-Executive</t>
  </si>
  <si>
    <t>Saving in basic salary due to Retirement</t>
  </si>
  <si>
    <t>Non-executive</t>
  </si>
  <si>
    <t>Sub-Total (A)</t>
  </si>
  <si>
    <t>Less:-</t>
  </si>
  <si>
    <t>Pension to be disbursed</t>
  </si>
  <si>
    <t>Average pension of Executive</t>
  </si>
  <si>
    <t>Average pension of Non-Executive</t>
  </si>
  <si>
    <t>Sub-Total (B)</t>
  </si>
  <si>
    <t>(A-B)</t>
  </si>
  <si>
    <t>Additional Expenses due to New Employment/Regularisation</t>
  </si>
  <si>
    <t>Additional Expenses due to New Employment</t>
  </si>
  <si>
    <t>Additional Expenses for the above</t>
  </si>
  <si>
    <t>Sub-total</t>
  </si>
  <si>
    <t>total</t>
  </si>
  <si>
    <t>Outsourced Employee</t>
  </si>
  <si>
    <t>Grid Maintenance, Watch &amp; Ward</t>
  </si>
  <si>
    <t>Approximate cost p.m. per employee</t>
  </si>
  <si>
    <t>Sub total</t>
  </si>
  <si>
    <t>Capex GoO and safety officer</t>
  </si>
  <si>
    <t xml:space="preserve">REPAIRS AND MAINTENANCE EXPENSES </t>
  </si>
  <si>
    <t>Civil repairs &amp; maintenance</t>
  </si>
  <si>
    <t>Distribution line repairs &amp; maintenance (Material)</t>
  </si>
  <si>
    <t>11 KV &amp; below Network assets AMC</t>
  </si>
  <si>
    <t>Consumer service maintenance</t>
  </si>
  <si>
    <t>Street lighting maintenance</t>
  </si>
  <si>
    <t>Transformer maintenance</t>
  </si>
  <si>
    <t>Other repairs &amp; maintenance</t>
  </si>
  <si>
    <t xml:space="preserve">   Note :- The above information should be available for each centre.</t>
  </si>
  <si>
    <t>Circle</t>
  </si>
  <si>
    <t>Vendor Name</t>
  </si>
  <si>
    <t>33 KV AMC</t>
  </si>
  <si>
    <t>11KV AMC</t>
  </si>
  <si>
    <t>Sambalpur</t>
  </si>
  <si>
    <t>Rourkela</t>
  </si>
  <si>
    <t>M/s Impelco Electric Company</t>
  </si>
  <si>
    <t>maintenance of LT &amp; HT Network , FCC , DTR , Installation ,Replacement and shifting of single phase meter, New connection up to 5kw, recovery and disconnection in TPWODL</t>
  </si>
  <si>
    <t>Bargarh</t>
  </si>
  <si>
    <t>M/s Hindusthan Engg. Corp</t>
  </si>
  <si>
    <t>M/s M/s BKS Enterprises</t>
  </si>
  <si>
    <t>Kalahandi</t>
  </si>
  <si>
    <t>M/s ORISSA ENTERPRISES</t>
  </si>
  <si>
    <t>M/s SUBHENDU DASH</t>
  </si>
  <si>
    <t>Bolangir</t>
  </si>
  <si>
    <t>M/s Surya Construction Company</t>
  </si>
  <si>
    <t>M/s THE IMPERIAL ELECTRIC COMPANY</t>
  </si>
  <si>
    <t>M/s Buddham Builders</t>
  </si>
  <si>
    <t>M/s H S Power Projects Private Limited</t>
  </si>
  <si>
    <t>M/s Swastik Engineering</t>
  </si>
  <si>
    <t>Form No. F. 14</t>
  </si>
  <si>
    <t>ADMINISTRATION &amp; GENERAL EXPENSES</t>
  </si>
  <si>
    <t>(Rs. in Lakh)</t>
  </si>
  <si>
    <t>Previous Year</t>
  </si>
  <si>
    <t>Actual for 1st six months of C.Year</t>
  </si>
  <si>
    <t>Ensuing Year</t>
  </si>
  <si>
    <t>98-99</t>
  </si>
  <si>
    <t>PROPERTY RELATED EXPENSES</t>
  </si>
  <si>
    <t>Lease rent</t>
  </si>
  <si>
    <t xml:space="preserve">Rent </t>
  </si>
  <si>
    <t>Rates &amp; Taxes including inspection fee</t>
  </si>
  <si>
    <t>Insurance</t>
  </si>
  <si>
    <t>Contribution to accident reserve fund</t>
  </si>
  <si>
    <t>Sub total :</t>
  </si>
  <si>
    <t>COMMUNICATION</t>
  </si>
  <si>
    <t>Telephone &amp; Trunk Call</t>
  </si>
  <si>
    <t>Postage &amp; Telegram</t>
  </si>
  <si>
    <t>Telex, Teleprinter Charges, Telefax</t>
  </si>
  <si>
    <t>Courier Charges</t>
  </si>
  <si>
    <t>Other</t>
  </si>
  <si>
    <t>PROFESSIONAL CHARGES</t>
  </si>
  <si>
    <t xml:space="preserve">Legal expenses </t>
  </si>
  <si>
    <t>Audit fees and expenses</t>
  </si>
  <si>
    <t>CONVEYANCE &amp; TRAVELLING</t>
  </si>
  <si>
    <t>Conveyance expenses</t>
  </si>
  <si>
    <t>Travelling expenses</t>
  </si>
  <si>
    <t>Hire charges of vehicle</t>
  </si>
  <si>
    <t>OTHER EXPENSES</t>
  </si>
  <si>
    <t>Fees &amp; Subscription</t>
  </si>
  <si>
    <t>Books &amp; Periodicals</t>
  </si>
  <si>
    <t>Printing &amp; Stationery</t>
  </si>
  <si>
    <t>Advertisement</t>
  </si>
  <si>
    <t>Meeting Expenses</t>
  </si>
  <si>
    <t>Electricity Charges</t>
  </si>
  <si>
    <t>Miscellaneous*</t>
  </si>
  <si>
    <t>MBC</t>
  </si>
  <si>
    <t>Training</t>
  </si>
  <si>
    <t>MATERIAL RELATED EXPENSES</t>
  </si>
  <si>
    <t>Demmurage and Wharfage on materials</t>
  </si>
  <si>
    <t xml:space="preserve">Others </t>
  </si>
  <si>
    <t>GIS&amp; SCADA</t>
  </si>
  <si>
    <t>Automation</t>
  </si>
  <si>
    <t>Housekeeping</t>
  </si>
  <si>
    <t>GIS</t>
  </si>
  <si>
    <t>Communication</t>
  </si>
  <si>
    <t>Allocation of A &amp; G Expenses.</t>
  </si>
  <si>
    <t>MU Sold</t>
  </si>
  <si>
    <t>A&amp;G Exp</t>
  </si>
  <si>
    <t>A&amp;G</t>
  </si>
  <si>
    <t># 2% of total A&amp;G expenditure has been allocated to EHT Consumers &amp; balacne allocated to</t>
  </si>
  <si>
    <t xml:space="preserve">  HT &amp; LT consumers on the basis of MU sold.</t>
  </si>
  <si>
    <t>Form No. F. 15</t>
  </si>
  <si>
    <t>Categories of Consumer/Region</t>
  </si>
  <si>
    <t>0 – 6 m</t>
  </si>
  <si>
    <t>6 – 12 m</t>
  </si>
  <si>
    <t>Over 24 Months</t>
  </si>
  <si>
    <t>Total Out-standing</t>
  </si>
  <si>
    <t>Sale as per -T-6</t>
  </si>
  <si>
    <t>No. of Days of Sales</t>
  </si>
  <si>
    <t>Disputed Amount</t>
  </si>
  <si>
    <t xml:space="preserve">Discon-nected </t>
  </si>
  <si>
    <t>Suit filed</t>
  </si>
  <si>
    <t>Provision made</t>
  </si>
  <si>
    <t>Kutir Jyoti</t>
  </si>
  <si>
    <t>General purpose &lt;100 kw</t>
  </si>
  <si>
    <t>Street lighting</t>
  </si>
  <si>
    <t>PWWS &lt; 100kw</t>
  </si>
  <si>
    <t>Public Water Works&gt;100kw</t>
  </si>
  <si>
    <t>Captive Power Plant</t>
  </si>
  <si>
    <t>Note : Further break ups into regions, HT, LT type of consumers etc. may be required by OERC.</t>
  </si>
  <si>
    <t>As on 31-3-2010</t>
  </si>
  <si>
    <t>Debtor</t>
  </si>
  <si>
    <t>Billing energy</t>
  </si>
  <si>
    <t>Collection</t>
  </si>
  <si>
    <t>Outstanding</t>
  </si>
  <si>
    <t>Debtor written off up uo Mar-07</t>
  </si>
  <si>
    <t>Total o/s</t>
  </si>
  <si>
    <t>Form No. F. 16</t>
  </si>
  <si>
    <t>CONSOLIDATED REPORT ON INVENTORY HOLDING</t>
  </si>
  <si>
    <t>Stock as at</t>
  </si>
  <si>
    <t>Inventory Holding</t>
  </si>
  <si>
    <t>For the Quarter/month</t>
  </si>
  <si>
    <t>(in months)</t>
  </si>
  <si>
    <t>Transmission business</t>
  </si>
  <si>
    <t>Transformers</t>
  </si>
  <si>
    <t>Towers</t>
  </si>
  <si>
    <t>Switch gears</t>
  </si>
  <si>
    <t>Cables</t>
  </si>
  <si>
    <t>Distribution business</t>
  </si>
  <si>
    <t>Switch gears &amp; metering equipments</t>
  </si>
  <si>
    <t>Cables, conductors</t>
  </si>
  <si>
    <t>Insulators</t>
  </si>
  <si>
    <t>Steel</t>
  </si>
  <si>
    <t>The above stock represents both capital and O&amp;M stock at Central Store.</t>
  </si>
  <si>
    <t>Note : The above instructions may be called for (if required) each operating centre wise</t>
  </si>
  <si>
    <t>Form No. F. 17</t>
  </si>
  <si>
    <t>CONSOLIDATED REPORT ON SECURED/UNSECURED LOAN</t>
  </si>
  <si>
    <t>TERMS</t>
  </si>
  <si>
    <t>AMOUNT OF LOAN REDEEMED</t>
  </si>
  <si>
    <t>BALANCE OF LOAN</t>
  </si>
  <si>
    <t>COST</t>
  </si>
  <si>
    <t>Source (Institution wise/Bankwise</t>
  </si>
  <si>
    <t>Purpose</t>
  </si>
  <si>
    <t>Particulars of Loan raised (Loan wise)</t>
  </si>
  <si>
    <t>Amt. Sanctioned</t>
  </si>
  <si>
    <t>Date of Sanction</t>
  </si>
  <si>
    <t>Amt. Of Drawal</t>
  </si>
  <si>
    <t>Date of Drawal</t>
  </si>
  <si>
    <t>Interest Rate</t>
  </si>
  <si>
    <t>Tenure of Loan</t>
  </si>
  <si>
    <t>Moratorium Period</t>
  </si>
  <si>
    <t>Amt. of loan redeemed upto the beginning of the year</t>
  </si>
  <si>
    <t>Loan redeemed during the year</t>
  </si>
  <si>
    <t>Total loan redeemed upto the end of the year</t>
  </si>
  <si>
    <t>Bal. of loan at the beginning of the year</t>
  </si>
  <si>
    <t xml:space="preserve">Penal Int. </t>
  </si>
  <si>
    <t>Exchange fluctuation</t>
  </si>
  <si>
    <t>Other charges like finance charges, committment charges</t>
  </si>
  <si>
    <t>Creation of Capital Assets.</t>
  </si>
  <si>
    <t>Rupee loan(as per agrement with GRIDCO )</t>
  </si>
  <si>
    <t>01.04.99</t>
  </si>
  <si>
    <t>17 years</t>
  </si>
  <si>
    <t>Opening Loan as on 31-3-2021</t>
  </si>
  <si>
    <t>Conversion of Accounts payable to Gridco Loan due to securitisation</t>
  </si>
  <si>
    <t>Total Interest</t>
  </si>
  <si>
    <t>GOVT OF ORISSA.(IBRD Loan)</t>
  </si>
  <si>
    <t xml:space="preserve">World bank Loan as per the subsidiary loan &amp; project implementation agreement </t>
  </si>
  <si>
    <t>15 Year</t>
  </si>
  <si>
    <t>5 Year</t>
  </si>
  <si>
    <t>To be drawn during 21-22</t>
  </si>
  <si>
    <t>Opening balance</t>
  </si>
  <si>
    <t>10 Years</t>
  </si>
  <si>
    <t>1 Years</t>
  </si>
  <si>
    <t>APDRP Loan -GoO</t>
  </si>
  <si>
    <t>20Years</t>
  </si>
  <si>
    <t>5 Years</t>
  </si>
  <si>
    <t>To be drawn during 20-21</t>
  </si>
  <si>
    <t>Govt. of Orissa-Capex Loan</t>
  </si>
  <si>
    <t>0% &amp; 4%</t>
  </si>
  <si>
    <t>15 Years</t>
  </si>
  <si>
    <t>REC-Counter part Capex Scheme</t>
  </si>
  <si>
    <t>13Years</t>
  </si>
  <si>
    <t>3 Years</t>
  </si>
  <si>
    <t>REC-Counter part Financing &amp; S.I.</t>
  </si>
  <si>
    <t>Grand Total</t>
  </si>
  <si>
    <t>Note : Details to be furnished category wise, institution wise.</t>
  </si>
  <si>
    <t>Opening Loan</t>
  </si>
  <si>
    <t>GOVT OF ORISSA.</t>
  </si>
  <si>
    <t>15 years</t>
  </si>
  <si>
    <t>5 year</t>
  </si>
  <si>
    <t>TPWODL Capex Loan</t>
  </si>
  <si>
    <t>APDRP Loan-GoO</t>
  </si>
  <si>
    <t>REC-Counter part Financing &amp; SI</t>
  </si>
  <si>
    <t>To be drawn during 22-23</t>
  </si>
  <si>
    <t>Form No. F. 18</t>
  </si>
  <si>
    <t>STATEMENT OF ASSETS NOT IN USE AS ON …………..</t>
  </si>
  <si>
    <t>UNIT NAME &amp; CODE : …………………………..</t>
  </si>
  <si>
    <t>Date of Acquisition/Installation</t>
  </si>
  <si>
    <t>Historical Cost/Cost of Acquisition</t>
  </si>
  <si>
    <t xml:space="preserve">Date of withdrawal operations </t>
  </si>
  <si>
    <t>Accumulated Depreciation on date of withdrawal</t>
  </si>
  <si>
    <t>Written down value on date of withdrawal</t>
  </si>
  <si>
    <t>Form No. F. 19</t>
  </si>
  <si>
    <t>STATEMENT OF FIXED ASSET AND DEPRECIATION</t>
  </si>
  <si>
    <t>Fixed Assets</t>
  </si>
  <si>
    <t>Gross Block</t>
  </si>
  <si>
    <t>Net Block</t>
  </si>
  <si>
    <t>As at 31st March of Prev. Yr.</t>
  </si>
  <si>
    <t>Additions during the Year</t>
  </si>
  <si>
    <t>Sales / Adjustments during the year</t>
  </si>
  <si>
    <t>During the year</t>
  </si>
  <si>
    <t xml:space="preserve">Adjustment / withdrawals </t>
  </si>
  <si>
    <t>Depreciated &lt;90%</t>
  </si>
  <si>
    <t>Depreciated &gt;90%</t>
  </si>
  <si>
    <t>a. Transmission Assets</t>
  </si>
  <si>
    <t>Land and  Rights</t>
  </si>
  <si>
    <t>Freehold</t>
  </si>
  <si>
    <t>Lease hold</t>
  </si>
  <si>
    <t>Buildings</t>
  </si>
  <si>
    <t>Other Civil Works</t>
  </si>
  <si>
    <t>Plant and  Machinery</t>
  </si>
  <si>
    <t>Overhead lines</t>
  </si>
  <si>
    <t>Underground Cable Network</t>
  </si>
  <si>
    <t>Meters and other apparatus at customer’s premises</t>
  </si>
  <si>
    <t>Vehicles</t>
  </si>
  <si>
    <t>Furniture, Fixture</t>
  </si>
  <si>
    <t>Office Equipment</t>
  </si>
  <si>
    <t>Lines, Cables &amp; Network Assets</t>
  </si>
  <si>
    <t>B. Distribution Assets</t>
  </si>
  <si>
    <t>Land and Rights</t>
  </si>
  <si>
    <t>Furniture &amp; Fixtures</t>
  </si>
  <si>
    <t>Furniture, Fixtures</t>
  </si>
  <si>
    <t>C.General Assets</t>
  </si>
  <si>
    <t>Communication Equipment</t>
  </si>
  <si>
    <t>Laboratory &amp; Meter Testing Equipment</t>
  </si>
  <si>
    <t>Tools and Work Equipment</t>
  </si>
  <si>
    <t>Miscellaneous Equipment</t>
  </si>
  <si>
    <t>Note:</t>
  </si>
  <si>
    <t xml:space="preserve"> In case of distribution business High voltage assets and Medium &amp; Low voltage assets should be shown separately.</t>
  </si>
  <si>
    <t>As at 31st March of Current Yr.</t>
  </si>
  <si>
    <t>Form No. F. 20</t>
  </si>
  <si>
    <t>Revenue Subsidies/ Capital Subsidies and Grants :</t>
  </si>
  <si>
    <t>Sl no</t>
  </si>
  <si>
    <t>As on Prev Year</t>
  </si>
  <si>
    <t>As on Currt Year</t>
  </si>
  <si>
    <t>As on Ensu Year</t>
  </si>
  <si>
    <t>Capital subsidy</t>
  </si>
  <si>
    <t>Revenue subsidy</t>
  </si>
  <si>
    <t>a</t>
  </si>
  <si>
    <t>Rural electrification</t>
  </si>
  <si>
    <t>b</t>
  </si>
  <si>
    <t>IPR</t>
  </si>
  <si>
    <t>c</t>
  </si>
  <si>
    <t>Other subsidies</t>
  </si>
  <si>
    <t>World Bank Grant</t>
  </si>
  <si>
    <t>Grants-APDRP</t>
  </si>
  <si>
    <t>Licencee :-TPWODL</t>
  </si>
  <si>
    <t>BALANCE SHEET AS AT</t>
  </si>
  <si>
    <t>As At 31.03.23</t>
  </si>
  <si>
    <t>Pr Year</t>
  </si>
  <si>
    <t>I.</t>
  </si>
  <si>
    <t>SOURCES OF FUNDS</t>
  </si>
  <si>
    <t>Shareholders’ Funds</t>
  </si>
  <si>
    <t>Share Capital</t>
  </si>
  <si>
    <t>Reserves and Surplus</t>
  </si>
  <si>
    <t>RE-Subsidy</t>
  </si>
  <si>
    <t>Grant</t>
  </si>
  <si>
    <t>Loan Funds</t>
  </si>
  <si>
    <t>Secured Loans</t>
  </si>
  <si>
    <t>Unsecured Loans</t>
  </si>
  <si>
    <t>Other Funds</t>
  </si>
  <si>
    <t>Consumers’ Security Deposits</t>
  </si>
  <si>
    <t>Capital contributions from consumers</t>
  </si>
  <si>
    <t>II.</t>
  </si>
  <si>
    <t>APPLICATION OF FUNDS</t>
  </si>
  <si>
    <t>Less: Accumulated Depreciation</t>
  </si>
  <si>
    <t>Capital Work in Progress</t>
  </si>
  <si>
    <t>Capital Stock</t>
  </si>
  <si>
    <t>Total C.W.I.P.</t>
  </si>
  <si>
    <t>Investments</t>
  </si>
  <si>
    <t>Current Assets, Loans and Advances</t>
  </si>
  <si>
    <t>Sundry Debtors</t>
  </si>
  <si>
    <t>Inventory</t>
  </si>
  <si>
    <t>Cash and Bank Balances</t>
  </si>
  <si>
    <t>Loans and Advances</t>
  </si>
  <si>
    <t>RE-Subsidy receivable</t>
  </si>
  <si>
    <t>Less: Current Liabilities and Provisions</t>
  </si>
  <si>
    <t>Accounts Payable</t>
  </si>
  <si>
    <t>Current Liabilities</t>
  </si>
  <si>
    <t xml:space="preserve">NET CURRENT ASSETS </t>
  </si>
  <si>
    <t>Miscellaneous Expenditure to the extent not written</t>
  </si>
  <si>
    <t>off or adjusted</t>
  </si>
  <si>
    <t>Profit &amp; Loss Account Debit Balance</t>
  </si>
  <si>
    <t>Total Application</t>
  </si>
  <si>
    <t>Form No. F. 22</t>
  </si>
  <si>
    <t xml:space="preserve">PROFIT &amp; LOSS ACCOUNT FOR THE YEAR ENDED </t>
  </si>
  <si>
    <t>INCOME</t>
  </si>
  <si>
    <t>Revenue from Sale of Power</t>
  </si>
  <si>
    <t>Revenue from Sale Out of Tri-partiet agreement</t>
  </si>
  <si>
    <t>MTR Rent, DPS, ODP &amp; Reliability surcharge</t>
  </si>
  <si>
    <t>Other income including CSS</t>
  </si>
  <si>
    <t>EXPENDITURE</t>
  </si>
  <si>
    <t>Purchase of Power</t>
  </si>
  <si>
    <t>Purchase of Power for Tri-partiet agreement</t>
  </si>
  <si>
    <t>Operation Maintenance, Administration General and other expenses</t>
  </si>
  <si>
    <t>Profit (before interest &amp; finance charges)</t>
  </si>
  <si>
    <t>Interest &amp; Finance Charges</t>
  </si>
  <si>
    <t>Less Transferred to Capital Work-in-Progress</t>
  </si>
  <si>
    <t>R&amp;M</t>
  </si>
  <si>
    <t>Net Interest &amp; Finance charges</t>
  </si>
  <si>
    <t>Carrying Cost</t>
  </si>
  <si>
    <t>Profit before tax for the year</t>
  </si>
  <si>
    <t>Return on equity</t>
  </si>
  <si>
    <t>Provision for Taxation-FBT</t>
  </si>
  <si>
    <t>Income to be recovered from future tariff- Regulatory Assest</t>
  </si>
  <si>
    <t>Profit After Tax</t>
  </si>
  <si>
    <t>Balance of profit and loss account  brought forward from last year</t>
  </si>
  <si>
    <t>Statutory reserves and Appropriations</t>
  </si>
  <si>
    <t>Amount available for distribution &amp; transfer to general reserve</t>
  </si>
  <si>
    <t>Proposed Dividend</t>
  </si>
  <si>
    <t>Corporate Tax on Dividend</t>
  </si>
  <si>
    <t>Transfer to General Reserve</t>
  </si>
  <si>
    <t>Balance carried to Balance Sheet</t>
  </si>
  <si>
    <t>Cash Flow Statement</t>
  </si>
  <si>
    <t>Rs. In Lakh</t>
  </si>
  <si>
    <t>SOURCE</t>
  </si>
  <si>
    <t>Revenue collection</t>
  </si>
  <si>
    <t>Security Deposit from Consumers</t>
  </si>
  <si>
    <t>World bank Loan</t>
  </si>
  <si>
    <t>World Bank Loan-Grant</t>
  </si>
  <si>
    <t>Govt. Orissa-Capex Loan with interest</t>
  </si>
  <si>
    <t>Govt. Orissa-Capex Loan without interest</t>
  </si>
  <si>
    <t>APDRP-Grant</t>
  </si>
  <si>
    <t>APDRP-Loan</t>
  </si>
  <si>
    <t xml:space="preserve">Loan from REC-S.I.Scheme </t>
  </si>
  <si>
    <t>Loan from REC/IDBI Goo Capex Plan</t>
  </si>
  <si>
    <t>TPWODL capex Loan</t>
  </si>
  <si>
    <t>Short term loan</t>
  </si>
  <si>
    <t>APPLICATION</t>
  </si>
  <si>
    <t>Payment against purchase of Power</t>
  </si>
  <si>
    <t>Employee cost</t>
  </si>
  <si>
    <t>Adminstrative &amp; General Exp</t>
  </si>
  <si>
    <t>Repair &amp; Maintenance</t>
  </si>
  <si>
    <t>Repayment of Loan Principal</t>
  </si>
  <si>
    <t>Repayment of TPWODL capex Loan Int.</t>
  </si>
  <si>
    <t>Interest on security deposit &amp; Working Capital</t>
  </si>
  <si>
    <t>Refund of Security Deposit</t>
  </si>
  <si>
    <t>Installments of Securitisation</t>
  </si>
  <si>
    <t>Amortisation of Regulatory Asset</t>
  </si>
  <si>
    <t>Repayment of 7th Pay arrear</t>
  </si>
  <si>
    <t>Capital Expendiuture</t>
  </si>
  <si>
    <t>Loans &amp; Advances</t>
  </si>
  <si>
    <t>Closing Balance with Security Deposit</t>
  </si>
  <si>
    <t>Less :-Amount of Security Deposit  &amp; Depositwork FD included above</t>
  </si>
  <si>
    <t>Closing Balance without Security Deposit</t>
  </si>
  <si>
    <t xml:space="preserve"> OERC Form No. F. 24</t>
  </si>
  <si>
    <r>
      <rPr>
        <b/>
        <sz val="14"/>
        <rFont val="Times New Roman"/>
        <family val="1"/>
      </rPr>
      <t xml:space="preserve">Status of Funds and Investments </t>
    </r>
    <r>
      <rPr>
        <sz val="12"/>
        <rFont val="Times New Roman"/>
        <family val="1"/>
      </rPr>
      <t xml:space="preserve">                                                                                              (Rs. In lakh)</t>
    </r>
  </si>
  <si>
    <t>Interest accrued on deposits</t>
  </si>
  <si>
    <t>Estimated addition during Current year</t>
  </si>
  <si>
    <t>Payments out of the Fund during  Current year</t>
  </si>
  <si>
    <t>Expected additions during the Ensuing year</t>
  </si>
  <si>
    <t>Payments out of the Fund during  Ensuing year</t>
  </si>
  <si>
    <t>Availability</t>
  </si>
  <si>
    <t>Security Deposits</t>
  </si>
  <si>
    <t>Pension Trust</t>
  </si>
  <si>
    <t>Gratuity Trust</t>
  </si>
  <si>
    <t>Bank</t>
  </si>
  <si>
    <t>FD/PSU</t>
  </si>
  <si>
    <t>Govt Bonds</t>
  </si>
  <si>
    <t>Other Deposits</t>
  </si>
  <si>
    <t>Security Deposits*</t>
  </si>
  <si>
    <t>OERC Form No. F. 25</t>
  </si>
  <si>
    <t>Revenue Cash Flow Statement</t>
  </si>
  <si>
    <t>Rs in lakh</t>
  </si>
  <si>
    <t>Actual of Pr. Year</t>
  </si>
  <si>
    <t>1st 6 month of Current Year</t>
  </si>
  <si>
    <t>Est. for Current Year</t>
  </si>
  <si>
    <t>Cash Inflows</t>
  </si>
  <si>
    <t>Revenue from Sale of power*</t>
  </si>
  <si>
    <t>Rebate on BST&amp; Transmission  bills</t>
  </si>
  <si>
    <t>SOD for payment of BST Bills &amp; Transmission charges (Net)</t>
  </si>
  <si>
    <t>Other receipts</t>
  </si>
  <si>
    <t>Total Inflow</t>
  </si>
  <si>
    <t>Cash Outflows</t>
  </si>
  <si>
    <t>BSP</t>
  </si>
  <si>
    <t>Trasmission Charges</t>
  </si>
  <si>
    <t>Power purchase from other source</t>
  </si>
  <si>
    <t>HRA</t>
  </si>
  <si>
    <t>MA</t>
  </si>
  <si>
    <t>Gratuity</t>
  </si>
  <si>
    <t>Leave Encashment</t>
  </si>
  <si>
    <t>Others, specify</t>
  </si>
  <si>
    <t>Total Employee Cost</t>
  </si>
  <si>
    <t>Interest on Loan</t>
  </si>
  <si>
    <t>Total outflow</t>
  </si>
  <si>
    <t>*Revenue from sale of power includes int on SD.</t>
  </si>
  <si>
    <t xml:space="preserve"> OERC Form No. F. 26</t>
  </si>
  <si>
    <t xml:space="preserve">                                                     Details Escrow Deposit and Relaxation          </t>
  </si>
  <si>
    <t>Sl.No.</t>
  </si>
  <si>
    <t>Actual of previous Year</t>
  </si>
  <si>
    <t>First 6 months of Current Year</t>
  </si>
  <si>
    <t>Estimated for the Current Year</t>
  </si>
  <si>
    <t>Ensuing Year projection</t>
  </si>
  <si>
    <t xml:space="preserve">A. </t>
  </si>
  <si>
    <t>Revenue deposited in Escrow Account (current and arrear to be segregated)</t>
  </si>
  <si>
    <t>Adjustment made and relaxation as per the orders of the Commission</t>
  </si>
  <si>
    <t>(i) Current transmission &amp; SLDC</t>
  </si>
  <si>
    <t>(ii) Current BSP</t>
  </si>
  <si>
    <t>(iii) License fees to OERC</t>
  </si>
  <si>
    <t>(iv) Direct power purchase from CGPs &amp; other agencies</t>
  </si>
  <si>
    <t>(v) Escrow relaxed for monthly R &amp; M expenditure</t>
  </si>
  <si>
    <t>(vi) Escrow relaxed for monthly employees cost</t>
  </si>
  <si>
    <t>(vii) Monthly repayment of principal and interest in respect of loan  obtain for counterpart funding of capex</t>
  </si>
  <si>
    <t>(viii) Monthly special R &amp; M</t>
  </si>
  <si>
    <t>(ix) Average monthly obligation of defaulted arrear BSP at the end of previous year.</t>
  </si>
  <si>
    <t>Licensee:-TPWODL</t>
  </si>
  <si>
    <t>OERC F - 27</t>
  </si>
  <si>
    <t xml:space="preserve">Description of Item </t>
  </si>
  <si>
    <t>Unit</t>
  </si>
  <si>
    <t>Reference Formula</t>
  </si>
  <si>
    <t>Input to HT at 33Kv from EHT level</t>
  </si>
  <si>
    <t>Input to HT at 33Kv  from Generating companies inside the state.</t>
  </si>
  <si>
    <t>Sales at HT - 33Kv</t>
  </si>
  <si>
    <t>Input to HT at 11Kv from 33Kv level</t>
  </si>
  <si>
    <t>Loss at HT - 33Kv</t>
  </si>
  <si>
    <t>1+2-3-4</t>
  </si>
  <si>
    <t>Loss at HT - 33Kv (%)</t>
  </si>
  <si>
    <t>(5/(1+2)) *100</t>
  </si>
  <si>
    <t>Input to HT at 11 Kv  from Generating companies inside the state.</t>
  </si>
  <si>
    <t>Sales at HT - 11Kv</t>
  </si>
  <si>
    <t>8(a) + 8(b)</t>
  </si>
  <si>
    <t>(a)</t>
  </si>
  <si>
    <t xml:space="preserve">        Metered Sales</t>
  </si>
  <si>
    <t>(b)</t>
  </si>
  <si>
    <t xml:space="preserve">        Assessed Sales</t>
  </si>
  <si>
    <t>Sales at HT - 25Kv</t>
  </si>
  <si>
    <t>Input to LT from 11 Kv level</t>
  </si>
  <si>
    <t>4-5+7-8</t>
  </si>
  <si>
    <t>Loss at HT - 11Kv</t>
  </si>
  <si>
    <t>4+7 -8-9</t>
  </si>
  <si>
    <t>Loss at HT - 11Kv (%)</t>
  </si>
  <si>
    <t>(10/(4+7)) *100</t>
  </si>
  <si>
    <t>Input to LT  from Generating companies inside the state.</t>
  </si>
  <si>
    <t>Sales at LT</t>
  </si>
  <si>
    <t>13(a) + 13 (b)</t>
  </si>
  <si>
    <t>Loss at LT</t>
  </si>
  <si>
    <t>9+12-13</t>
  </si>
  <si>
    <t>Loss at LT (%)</t>
  </si>
  <si>
    <t>(14/(9+12)) *100</t>
  </si>
  <si>
    <t>* The above calculation has been done assuming HT loss of 8% and arrived the LT loss.</t>
  </si>
  <si>
    <t>Category of Consumers</t>
  </si>
  <si>
    <t xml:space="preserve">Voltage of Supply  </t>
  </si>
  <si>
    <t xml:space="preserve">Demand Charge (Rs./KW/ Month)/ (Rs./KVA/ Month)         </t>
  </si>
  <si>
    <t>Customer Service Charge (Rs./Month)</t>
  </si>
  <si>
    <t>Monthly Minimum Fixed Charge for first KW or part (Rs.)</t>
  </si>
  <si>
    <t>Monthly Fixed Charge for any additional KW or part (Rs.)</t>
  </si>
  <si>
    <t xml:space="preserve">Rebate               (P/kWh)/ DPS                 </t>
  </si>
  <si>
    <t>LT Category</t>
  </si>
  <si>
    <t>1.a</t>
  </si>
  <si>
    <t>Kutir Jyoti  &lt; 30U/month</t>
  </si>
  <si>
    <t>FIXED MONTHLY CHARGE---&gt;</t>
  </si>
  <si>
    <t>1.b</t>
  </si>
  <si>
    <t xml:space="preserve"> (Consumption &lt;= 50 units/month)</t>
  </si>
  <si>
    <t xml:space="preserve"> (Consumption &gt;50, &lt;=200 units/month)</t>
  </si>
  <si>
    <t xml:space="preserve"> (Consumption &gt;200, &lt;=400 units/month)</t>
  </si>
  <si>
    <t xml:space="preserve"> (Consumption &gt;400 units/month)</t>
  </si>
  <si>
    <t xml:space="preserve"> (Consumption &lt;=100 units/month)</t>
  </si>
  <si>
    <t xml:space="preserve"> (Consumption &gt;100, &lt;=300 units/month)</t>
  </si>
  <si>
    <t xml:space="preserve"> (Consumption &gt;300 units/month)</t>
  </si>
  <si>
    <t>Allied Agricultural Activites</t>
  </si>
  <si>
    <t>10 </t>
  </si>
  <si>
    <t>Allied Agro Industrial Activities</t>
  </si>
  <si>
    <t>DPS/Rebate</t>
  </si>
  <si>
    <t xml:space="preserve">Public Lighting </t>
  </si>
  <si>
    <t>Public Water Works and Swerage Pumping&lt;110 KVA</t>
  </si>
  <si>
    <t>Public Water Works and Swerage Pumping &gt;=110 KVA</t>
  </si>
  <si>
    <t>General Purpose &gt;= 110 KVA</t>
  </si>
  <si>
    <t xml:space="preserve">HT Category </t>
  </si>
  <si>
    <t>As indicated in the notes below.</t>
  </si>
  <si>
    <t>General Purpose &gt;70 KVA &lt; 110 KVA</t>
  </si>
  <si>
    <t>H.T .Industrial (M) Supply</t>
  </si>
  <si>
    <t>Public Water Works &amp; Swerage Pumping</t>
  </si>
  <si>
    <t>Emergency  Supply to CGP</t>
  </si>
  <si>
    <t xml:space="preserve">Colony Consumption </t>
  </si>
  <si>
    <t xml:space="preserve">EHT Category </t>
  </si>
  <si>
    <t xml:space="preserve">Note: </t>
  </si>
  <si>
    <t>Energy Charges for HT &amp; EHT Consumers</t>
  </si>
  <si>
    <t>Load Factor (%)</t>
  </si>
  <si>
    <t>up to 60%</t>
  </si>
  <si>
    <t>585 p/u</t>
  </si>
  <si>
    <t>580 p/u</t>
  </si>
  <si>
    <t>&gt;60%</t>
  </si>
  <si>
    <t>475 p/u</t>
  </si>
  <si>
    <t>470 p/u</t>
  </si>
  <si>
    <t>( i )</t>
  </si>
  <si>
    <t>( ii )</t>
  </si>
  <si>
    <t>( iii )</t>
  </si>
  <si>
    <t>( iv )</t>
  </si>
  <si>
    <t>Energy Charges shall be 10% higher in case of temporary connection compared to the regular connection in respective categories.</t>
  </si>
  <si>
    <t>( v )</t>
  </si>
  <si>
    <t>(vi)</t>
  </si>
  <si>
    <t xml:space="preserve">Existing “Tatkal Scheme” for new connections, applicable to LT Domestic, Agricultural and General Purpose consumers. </t>
  </si>
  <si>
    <t>( ix )</t>
  </si>
  <si>
    <t>( x )</t>
  </si>
  <si>
    <t>( xi )</t>
  </si>
  <si>
    <t>The billing demand in respect of consumer with Contract Demand of less than 110 KVA should be the highest demand recorded in the meter during the Financial Year irrespective of the Connected Load, which shall require no verification.</t>
  </si>
  <si>
    <t>Hostels attached to the Schools recognised and run by SC/ST Department, Government of Odisha shall get a rebate of Rs.2.40 paise per unit in energy charge under Specified Public Purpose category (LT / HT) which shall be over and above the normal rebate for which they are eligible.</t>
  </si>
  <si>
    <t>(xiv)</t>
  </si>
  <si>
    <t>(xv)</t>
  </si>
  <si>
    <t>During the statutory restriction imposed by the Fisheries Department, the Ice Factories located at distance not more than 5 Km. Towards the land from the sea shore of the restricted zone will pay demand charges based on the actual maximum demand recorded during the billing period.</t>
  </si>
  <si>
    <t>(xvi)</t>
  </si>
  <si>
    <t>Poultry Farms with attached feed units having connected load less than 20% of the total connected load of poultry farms should be treated as Allied Agricultural Activites instead of General Purpose category for tariff purpose. If the connected load of the attached feed unit exceeds 20% of the total connected load then the entire consumption by the poultry farm and feed processing unit taken together shall be charged with the tariff as applicable for General Purpose or the Industrial purpose as the case may be.</t>
  </si>
  <si>
    <t>(xvii)</t>
  </si>
  <si>
    <t>The food processing unit attached with cold storage shall be charged at Agro-Industrial tariff if cold storage load is not less than 80% of the entire connected load. If the load of the food processing unit other than cold storage unit exceeds 20% of the connected load, then the entire consumption by the cold storage and the food processing unit taken together shall be charged with the tariff as applicable for general purpose or the industrial purpose as the case may be.</t>
  </si>
  <si>
    <t>(xviii)</t>
  </si>
  <si>
    <t>(xix)</t>
  </si>
  <si>
    <t>General purpose consumers with Contract Demand (CD) &lt; 70 KVA shall be treated as LT consumers for tariff purposes irrespective of level of supply voltage. As per Regulation 134 (I) of OERC Distribution (Conditions of Supply) Code, 2019 the supply for load above 5 KW upto and including 70 KVA shall be in 3-Phase, 3 or 4 wires at 400 volts between phases.</t>
  </si>
  <si>
    <t>Own Your Transformer – “OYT Scheme” is intended for the existing individual LT domestic, individual / Group General Purpose consumers who would like to avail single point supply  by  owning  their  distribution  transformer. In such a case licensee would extend a special concession of 5% rebate on the total electricity bill (except electricity duty and meter rent) of the respective category apart from the normal rebate on the payment of the bill by the due date. If the payment is not made within due date no rebate, either normal or special is payable. The maintenance of the ‘OYT’ transformer shall be made by DISCOMs. For removal of doubt it is clarified that the “OYT Scheme” is not applicable to any existing or new HT/EHT consumer.</t>
  </si>
  <si>
    <t xml:space="preserve">(xxii) </t>
  </si>
  <si>
    <t xml:space="preserve">(xxiii) </t>
  </si>
  <si>
    <t>2% rebate shall be allowed to all pre-paid consumers on pre-paid amount.</t>
  </si>
  <si>
    <t xml:space="preserve">(xxiv) </t>
  </si>
  <si>
    <t xml:space="preserve">(xxv) </t>
  </si>
  <si>
    <t>A Special rebate to the LT single phase consumers in addition to any other rebate he is otherwise eligible for shall be allowed at the end of the financial year (the bill for month of March) if he has paid the bill for all the 12 months of the financial year consistently without fail within due date during the relevant financial year. The amount of rebate shall be equal to the rebate of the month of March for timely payment of bill.</t>
  </si>
  <si>
    <t xml:space="preserve">(xxvi) </t>
  </si>
  <si>
    <t>The Educational Institution (Specified Public Purpose) having attached hostel and / or residential colony who draw power through a single meter in HT shall be eligible to be billed 15% of their energy drawal in HT bulk supply domestic category.</t>
  </si>
  <si>
    <t xml:space="preserve">(xxvii) </t>
  </si>
  <si>
    <t>The printout of the record of the static meter relating to MD, PF, number and period of interruption shall be supplied to the consumer wherever possible with a payment of Rs.500/- by the consumer for monthly record.</t>
  </si>
  <si>
    <t xml:space="preserve">(xxviii) </t>
  </si>
  <si>
    <t>STATEMENT OF DEMOGRAPHIC SPECIFICATION OF THE ORGANISATION</t>
  </si>
  <si>
    <t>Name of the Company</t>
  </si>
  <si>
    <t>:-</t>
  </si>
  <si>
    <t xml:space="preserve">Head Office </t>
  </si>
  <si>
    <t>Burla, Sambalpur-768017</t>
  </si>
  <si>
    <t>Nature of Business</t>
  </si>
  <si>
    <t>Distribution of Electricity in Western Zone of Odisha</t>
  </si>
  <si>
    <t xml:space="preserve">Consumer </t>
  </si>
  <si>
    <t>Circle SE Offices :</t>
  </si>
  <si>
    <t>SEEC, Rourkela Circle, Industrial Area, Rourkela-769004</t>
  </si>
  <si>
    <t>SEEC, Sambalpur Circle, Ainthapali,Sambalpur-768004</t>
  </si>
  <si>
    <t>SEEC, Bolangir Circle, Palace Line,Bolangir</t>
  </si>
  <si>
    <t>SEEC, Kalahandi Circle, Bahadurbagicha pada, Near Hanuman Mandir, B’patna</t>
  </si>
  <si>
    <t>SEEC, Bargarh Circle, Bhatli chawk,Bargarh-768028</t>
  </si>
  <si>
    <t>Distribution Divisions:</t>
  </si>
  <si>
    <t>Rourkela Electrical Division ,Udit Nagar,Rourkela-769012</t>
  </si>
  <si>
    <t>Rourkela Sadar Electrical Division, B-31,Industrial Est.,Rourkela-769004</t>
  </si>
  <si>
    <t>Rajgangpur Electrical Division, Rajgangpur-770017</t>
  </si>
  <si>
    <t>Sundargarh Electrical Division ,Jail Road,Sundargarh</t>
  </si>
  <si>
    <t>Sambalpur Electrical Division, Ainthapali,Sambalpur-768004</t>
  </si>
  <si>
    <t>Jharsuguda Electrical Division ,Beheramal, Kishan Chowk,Jharsuguda</t>
  </si>
  <si>
    <t>Bargarh Electrical Division ,Canal Avenue,Bargarh</t>
  </si>
  <si>
    <t>Deogarh Electrical Division ,Near Palace Building,Deogarh-768108</t>
  </si>
  <si>
    <t>Sambalpur East Electrical Division ,Bhutapara chowk,Jail Road,Sambalpur-1</t>
  </si>
  <si>
    <t>Bolangir Electrical Division ,Palace Line,Bolangir</t>
  </si>
  <si>
    <t>Titlagarh Electrical Division ,High School Pada,Belgaon Road,Titlagarh-33</t>
  </si>
  <si>
    <t>Sonepur Electrical Division ,Daspati Ghat,Palace Garden Lane,Sonepur</t>
  </si>
  <si>
    <t>Kalahandi East Electrical Division ,Telgu Banki Pada,Bhawanipatna-766001</t>
  </si>
  <si>
    <t>Kalahandi West Electrical Division ,Irrigation Colony,Lane-7,Bhawanipatna</t>
  </si>
  <si>
    <t>Nuapada Electrical Division ,Sirtol,Nuapada-766105</t>
  </si>
  <si>
    <t>Brajrajnagar Electrical Division, Gandhi Chowk, Brajrajnagar</t>
  </si>
  <si>
    <t>Electrical Store Divisions:</t>
  </si>
  <si>
    <t>Central Store, Burla, Sambalpur</t>
  </si>
  <si>
    <t>Sub-store, Burla, Sambalpur</t>
  </si>
  <si>
    <t>Sub-store, Bolangir</t>
  </si>
  <si>
    <t>Sub-store, Kesinga, Bolangir</t>
  </si>
  <si>
    <t>Sub-store, Rajgangpur, Sundargarh</t>
  </si>
  <si>
    <t>Material</t>
  </si>
  <si>
    <t>Contractor</t>
  </si>
  <si>
    <t>Mat, cnt &amp; oth total</t>
  </si>
  <si>
    <t>Emp Cap</t>
  </si>
  <si>
    <t>Total cost with Emp.</t>
  </si>
  <si>
    <t>Int Cap</t>
  </si>
  <si>
    <t>Capitalised</t>
  </si>
  <si>
    <t>Capitalised out of OB</t>
  </si>
  <si>
    <t>Capitalised from Cur</t>
  </si>
  <si>
    <t>Balance as on 31.03.23</t>
  </si>
  <si>
    <t>% of Current Cap 20-21</t>
  </si>
  <si>
    <t>% of ensuing yr Cap.21-22</t>
  </si>
  <si>
    <t>Opening</t>
  </si>
  <si>
    <t>Addition</t>
  </si>
  <si>
    <t>Scheme</t>
  </si>
  <si>
    <t>Land</t>
  </si>
  <si>
    <t>Line, Cables &amp; Networks</t>
  </si>
  <si>
    <t>S.I.</t>
  </si>
  <si>
    <t>RE/LI including Deposit Works</t>
  </si>
  <si>
    <t>IPDS-Scheme</t>
  </si>
  <si>
    <t>GoO-Capex</t>
  </si>
  <si>
    <t>DDUGJY-12th plan</t>
  </si>
  <si>
    <t>TOTAL of Net Work Assets</t>
  </si>
  <si>
    <t>Other office equipments</t>
  </si>
  <si>
    <t>CWA</t>
  </si>
  <si>
    <t>Capital Stores</t>
  </si>
  <si>
    <t>Total CWIP</t>
  </si>
  <si>
    <t>Allocation</t>
  </si>
  <si>
    <t>Mat</t>
  </si>
  <si>
    <t>Cont</t>
  </si>
  <si>
    <t>Oth</t>
  </si>
  <si>
    <t>Emp(%of Mat)</t>
  </si>
  <si>
    <t>T&amp;D</t>
  </si>
  <si>
    <t>ADB</t>
  </si>
  <si>
    <t>*</t>
  </si>
  <si>
    <t>RE/LI- including Deposit</t>
  </si>
  <si>
    <t>REC-Normal-MLAD</t>
  </si>
  <si>
    <t>REC-HB</t>
  </si>
  <si>
    <t>REC-MNP</t>
  </si>
  <si>
    <t>REC-SPA</t>
  </si>
  <si>
    <t>REC-Kutir Jyoti</t>
  </si>
  <si>
    <t>Biju Saharanchal</t>
  </si>
  <si>
    <t>Deposit work including govt</t>
  </si>
  <si>
    <t>Expended till Mar-20</t>
  </si>
  <si>
    <t>Elephant Corrider Ph-I, II &amp;III</t>
  </si>
  <si>
    <t>Scholl anganwadi</t>
  </si>
  <si>
    <t>Receipt till Mar-20</t>
  </si>
  <si>
    <t>Elephant Corrider Ph-IV</t>
  </si>
  <si>
    <t>Fund Recived till Mar-20</t>
  </si>
  <si>
    <t>Megalift</t>
  </si>
  <si>
    <t>VP Fund</t>
  </si>
  <si>
    <t>WODC</t>
  </si>
  <si>
    <t>Sanctioned</t>
  </si>
  <si>
    <t>DDUGJY</t>
  </si>
  <si>
    <t>DESI</t>
  </si>
  <si>
    <t>IPDS</t>
  </si>
  <si>
    <t>TPWODL LTD.</t>
  </si>
  <si>
    <t>Statement of Loan &amp; Interest Calculation</t>
  </si>
  <si>
    <t>All figs in Rs Lakhs</t>
  </si>
  <si>
    <t xml:space="preserve">Rate of interest </t>
  </si>
  <si>
    <t>GRIDCO- Loans</t>
  </si>
  <si>
    <t>2021/22</t>
  </si>
  <si>
    <t>2022/23</t>
  </si>
  <si>
    <t>Opening Balance</t>
  </si>
  <si>
    <t>Repayment of Instalments</t>
  </si>
  <si>
    <t>Closing Balance</t>
  </si>
  <si>
    <t>Interest on OB including penal intesrest</t>
  </si>
  <si>
    <t>Interest on Addition</t>
  </si>
  <si>
    <t>Total Interest(GRIDCO)</t>
  </si>
  <si>
    <t>Govt of Orissa (Capex Loan)</t>
  </si>
  <si>
    <t>Rate of interest</t>
  </si>
  <si>
    <t xml:space="preserve">Additions </t>
  </si>
  <si>
    <t>Repayment</t>
  </si>
  <si>
    <t>Interest on OB</t>
  </si>
  <si>
    <t>Total Interest(GoO)</t>
  </si>
  <si>
    <t>Total Interest(GOo)</t>
  </si>
  <si>
    <t>Total Interest(WB)</t>
  </si>
  <si>
    <t>TPWODL CAPEX</t>
  </si>
  <si>
    <t>TPWODL Capex Interest</t>
  </si>
  <si>
    <t>APDRP</t>
  </si>
  <si>
    <t>REC-S.I. loan &amp; Couterpart Funding(APDRP)</t>
  </si>
  <si>
    <t>Loan from REC-Couterpart Funding  of Capex Scheme</t>
  </si>
  <si>
    <t>Interest on SD</t>
  </si>
  <si>
    <t>Opening SD</t>
  </si>
  <si>
    <t>Addition during the period</t>
  </si>
  <si>
    <t>Repayment of SD</t>
  </si>
  <si>
    <t>Closing SD</t>
  </si>
  <si>
    <t>Total Int on all loans</t>
  </si>
  <si>
    <t>Less:- Int capitalised</t>
  </si>
  <si>
    <t>WB</t>
  </si>
  <si>
    <t>Capex-Loan GoO</t>
  </si>
  <si>
    <t>REC/IDBI-counter part Gov Capex</t>
  </si>
  <si>
    <t>REC-SI &amp; Counter part (APDRP)</t>
  </si>
  <si>
    <t>Net Int chargeable to Reveneue</t>
  </si>
  <si>
    <t>World Bank Disbursement (Loan Net of Grant)</t>
  </si>
  <si>
    <t>Repayment of Principal will be 5 year Moratorium and 10 yearly equal instalment</t>
  </si>
  <si>
    <t>Through Gridco</t>
  </si>
  <si>
    <t>Repayment Due date</t>
  </si>
  <si>
    <t>Amount</t>
  </si>
  <si>
    <t>OB as on 1999</t>
  </si>
  <si>
    <t>Addition              1999-00</t>
  </si>
  <si>
    <t xml:space="preserve">                           2000-01</t>
  </si>
  <si>
    <t>2006-07</t>
  </si>
  <si>
    <t xml:space="preserve">                           2001-02</t>
  </si>
  <si>
    <t>2007-08</t>
  </si>
  <si>
    <t xml:space="preserve">                           2002-03</t>
  </si>
  <si>
    <t>2008-09</t>
  </si>
  <si>
    <t>Through TPWODL</t>
  </si>
  <si>
    <t>2000-01</t>
  </si>
  <si>
    <t>2001-02</t>
  </si>
  <si>
    <t>2002-03</t>
  </si>
  <si>
    <t>2003-04</t>
  </si>
  <si>
    <t>2004-05</t>
  </si>
  <si>
    <t>2005-06</t>
  </si>
  <si>
    <t xml:space="preserve">Depreciation Details </t>
  </si>
  <si>
    <t>Dep. rates</t>
  </si>
  <si>
    <t>Item</t>
  </si>
  <si>
    <t>Opening Gross Block</t>
  </si>
  <si>
    <t>Post-92</t>
  </si>
  <si>
    <t>Pre-92</t>
  </si>
  <si>
    <t>Govt. Grant Assets</t>
  </si>
  <si>
    <t>Sr. No</t>
  </si>
  <si>
    <t>BGJY</t>
  </si>
  <si>
    <t>Network assets</t>
  </si>
  <si>
    <t>BGJY DTR</t>
  </si>
  <si>
    <t>BSVY</t>
  </si>
  <si>
    <t>CAPEX</t>
  </si>
  <si>
    <t>DESI/IAP</t>
  </si>
  <si>
    <t>O/E</t>
  </si>
  <si>
    <t>ELEPHANT CORRIDOR</t>
  </si>
  <si>
    <t>O&amp;E-Computer</t>
  </si>
  <si>
    <t>KBK</t>
  </si>
  <si>
    <t>MP-MLA</t>
  </si>
  <si>
    <t>PHAILIN</t>
  </si>
  <si>
    <t>Additions</t>
  </si>
  <si>
    <t>SAMLESWARI TEMPLE</t>
  </si>
  <si>
    <t>SCHOOL &amp; ANGANWADI</t>
  </si>
  <si>
    <t>DMF</t>
  </si>
  <si>
    <t>OMBADC</t>
  </si>
  <si>
    <t>Executed by OPTCL</t>
  </si>
  <si>
    <t>O/E-Computers</t>
  </si>
  <si>
    <t>Name of Scheme</t>
  </si>
  <si>
    <t>Interest Capitalised</t>
  </si>
  <si>
    <t>DDUGJY New</t>
  </si>
  <si>
    <t>Closing Gross Block</t>
  </si>
  <si>
    <t>CWIP</t>
  </si>
  <si>
    <t>Op.CWIP</t>
  </si>
  <si>
    <t>CWA &amp; Capital Stock</t>
  </si>
  <si>
    <t xml:space="preserve">Capitalised </t>
  </si>
  <si>
    <t>Cl.CWIP</t>
  </si>
  <si>
    <t>Total of CWIP</t>
  </si>
  <si>
    <t>Opng Accum. Depreciation</t>
  </si>
  <si>
    <t xml:space="preserve">to be checked </t>
  </si>
  <si>
    <t>Depn. for the year</t>
  </si>
  <si>
    <t>Less Depreciation on Consumer Contribution Assets</t>
  </si>
  <si>
    <t>Clsg Accum. Depreciation</t>
  </si>
  <si>
    <t>Closing Net Block</t>
  </si>
  <si>
    <t>(Rs in Lakh)</t>
  </si>
  <si>
    <t>Capex-22-23 with Emp. Capitalisation</t>
  </si>
  <si>
    <t>System Improvement</t>
  </si>
  <si>
    <t>Deposit work</t>
  </si>
  <si>
    <t>Govt of Orissa Capex Plan</t>
  </si>
  <si>
    <t>TPWODL Total capex</t>
  </si>
  <si>
    <t>Distribution Loss</t>
  </si>
  <si>
    <t>LT &amp; HT</t>
  </si>
  <si>
    <t>Dist. Loss in LT &amp; HT</t>
  </si>
  <si>
    <t>Over all Distribution Loss</t>
  </si>
  <si>
    <t>Collection Efficiency</t>
  </si>
  <si>
    <t>AT&amp; C Loss (%)</t>
  </si>
  <si>
    <t>FY 2021-22</t>
  </si>
  <si>
    <t>FY 2022-23</t>
  </si>
  <si>
    <t>Approved with rev tariff</t>
  </si>
  <si>
    <t>Input MU</t>
  </si>
  <si>
    <t>Sale MU</t>
  </si>
  <si>
    <t>AT &amp; C Loss</t>
  </si>
  <si>
    <t>Average Billing (paise per KWH)</t>
  </si>
  <si>
    <r>
      <rPr>
        <b/>
        <u/>
        <sz val="10"/>
        <rFont val="Arial"/>
        <family val="2"/>
      </rPr>
      <t>NB:</t>
    </r>
    <r>
      <rPr>
        <sz val="10"/>
        <rFont val="Arial"/>
        <family val="2"/>
      </rPr>
      <t xml:space="preserve">
</t>
    </r>
    <r>
      <rPr>
        <sz val="11"/>
        <rFont val="Arial"/>
        <family val="2"/>
      </rPr>
      <t>1.Increased in EHT Average rate of 1st half of the current year is due to levy of demand charges on actual basis including overdrawl penalty &amp; for 2nd half calculation made on the basis of 80% of CD &amp; assuming no overdrawl.
2.Increased in LT average rate during 1st half of current year is due to provisional &amp; average billing , in 2nd Half derived average is assuming entire sale as per actuals meter reading as MBC is in place &amp; activity of replacement of unmetered/defective meters is going on.</t>
    </r>
  </si>
  <si>
    <t>(Rs in Lacs)</t>
  </si>
  <si>
    <t>Diff</t>
  </si>
  <si>
    <t>Dist. Loss</t>
  </si>
  <si>
    <t>Dist. Loss LT &amp; HT</t>
  </si>
  <si>
    <t>Avg Charge</t>
  </si>
  <si>
    <t>Billing Value</t>
  </si>
  <si>
    <t>Expenditure</t>
  </si>
  <si>
    <t>Emp Cost</t>
  </si>
  <si>
    <t>Prov for Bad Debt</t>
  </si>
  <si>
    <t>Dep.</t>
  </si>
  <si>
    <t>Int. chargeable to Revenue</t>
  </si>
  <si>
    <t>Less Exp Capitalised</t>
  </si>
  <si>
    <t>Total of Exp</t>
  </si>
  <si>
    <t xml:space="preserve">ROE </t>
  </si>
  <si>
    <t>Contingency Reserve</t>
  </si>
  <si>
    <t>Total Requirement</t>
  </si>
  <si>
    <t xml:space="preserve">Rev GAP </t>
  </si>
  <si>
    <t>Without EHT</t>
  </si>
  <si>
    <t>Revenue</t>
  </si>
  <si>
    <t>Cost</t>
  </si>
  <si>
    <t>EHT -Subsidy</t>
  </si>
  <si>
    <t>Total Gap</t>
  </si>
  <si>
    <t>Rs. in Crs</t>
  </si>
  <si>
    <t>PARTICULARS</t>
  </si>
  <si>
    <t xml:space="preserve">2022-23 </t>
  </si>
  <si>
    <t>PURCHASE OF POWER</t>
  </si>
  <si>
    <t>SALARY/ A &amp; G/ O &amp; M EXPENSES</t>
  </si>
  <si>
    <t>DEPRECIATION</t>
  </si>
  <si>
    <t>INTEREST</t>
  </si>
  <si>
    <t>AMORTISATION OF REGULATORY ASSET (10%)</t>
  </si>
  <si>
    <t xml:space="preserve">TRUING UP OF REVENUE GAP FY 20-21 </t>
  </si>
  <si>
    <t>REASONABLE RETURN &amp; CONTINGENCY RESERVE</t>
  </si>
  <si>
    <t>TOTAL ARR</t>
  </si>
  <si>
    <t>Less Misc. RECEIPT</t>
  </si>
  <si>
    <t>Less REV TO BE RECOVERED FROM FUTURE TARIFF</t>
  </si>
  <si>
    <t>NET ARR</t>
  </si>
  <si>
    <t>REVENUE FROM SALE OF POWER (With existing tariff)</t>
  </si>
  <si>
    <t>REVENUE (GAP)/SURPLUS</t>
  </si>
  <si>
    <t xml:space="preserve">Power Purchase cost </t>
  </si>
  <si>
    <t>Current Year (Approved)</t>
  </si>
  <si>
    <t>Current Year (Projected)</t>
  </si>
  <si>
    <t>Ensuing Year (Estimated)</t>
  </si>
  <si>
    <t>Power purchase from Gridco</t>
  </si>
  <si>
    <t>Energy Purchased (in MU)</t>
  </si>
  <si>
    <t>Bulk supply tariff (Rs.per KWH) *</t>
  </si>
  <si>
    <t xml:space="preserve">Maximum Demand in MVA </t>
  </si>
  <si>
    <t>Demand charge (Rupees in KVA)</t>
  </si>
  <si>
    <t>Other charges (Rs in Lakhs)</t>
  </si>
  <si>
    <t>Total Power purchase cost (Rs. in Lacs)</t>
  </si>
  <si>
    <t>(* Bulk Price includes BST, Transmission charges &amp; SLDC charges )</t>
  </si>
  <si>
    <t>Loss Details-Distribution , AT &amp; C loss and collection efficiency</t>
  </si>
  <si>
    <t>Current Yr (Six Month)</t>
  </si>
  <si>
    <t>Distribution Loss (%)</t>
  </si>
  <si>
    <t>Input in MU</t>
  </si>
  <si>
    <t>Billing MU</t>
  </si>
  <si>
    <t>Dist. Loss (%)</t>
  </si>
  <si>
    <t>Input LT &amp; HT (MU)</t>
  </si>
  <si>
    <t>Billing LT &amp; HT (MU)</t>
  </si>
  <si>
    <t>Collection Efficiency (%)</t>
  </si>
  <si>
    <t>Actual/ Projected</t>
  </si>
  <si>
    <t>AT &amp; C (%)</t>
  </si>
  <si>
    <t>LT&amp; HT Collection Efficiency</t>
  </si>
  <si>
    <t>Target by commission</t>
  </si>
  <si>
    <t>Current Yr GAP</t>
  </si>
  <si>
    <t>OERC Approval</t>
  </si>
  <si>
    <t>Estmd.</t>
  </si>
  <si>
    <t>No of Units - sale</t>
  </si>
  <si>
    <t>RST per unit</t>
  </si>
  <si>
    <t>Rs/Kwh</t>
  </si>
  <si>
    <t>Sales</t>
  </si>
  <si>
    <t>Rs Crore</t>
  </si>
  <si>
    <t>Less-Bad Debts</t>
  </si>
  <si>
    <t>Net Sales</t>
  </si>
  <si>
    <t>Total Income</t>
  </si>
  <si>
    <t>No. of Units - Purchase</t>
  </si>
  <si>
    <t>BST per Unit</t>
  </si>
  <si>
    <t>Distribution Expenses</t>
  </si>
  <si>
    <t>Interest &amp; Finance charges</t>
  </si>
  <si>
    <t>Total Expenditure</t>
  </si>
  <si>
    <t>Reasonable Return</t>
  </si>
  <si>
    <t>Excess/(deficit)</t>
  </si>
  <si>
    <t>TRUING UP UP TO 2011-12</t>
  </si>
  <si>
    <t>Year</t>
  </si>
  <si>
    <t>Revenue Requirement (Audited)</t>
  </si>
  <si>
    <t>Revenue Realisation (Audited)</t>
  </si>
  <si>
    <t>surplus/    (Gap)</t>
  </si>
  <si>
    <t>1999-00</t>
  </si>
  <si>
    <t>2009-10</t>
  </si>
  <si>
    <t>2010-11</t>
  </si>
  <si>
    <t>2011-12</t>
  </si>
  <si>
    <t>Revenue Gap (in Rs. Crs)</t>
  </si>
  <si>
    <t>TPWODL Period (Apr-20 to Dec-20) Audited</t>
  </si>
  <si>
    <t>TPWODL period (Jan21-Mar-21) Audited</t>
  </si>
  <si>
    <t>Difference wrt Approved</t>
  </si>
  <si>
    <t>OERC may Considered for True-up</t>
  </si>
  <si>
    <t>Three months Target on prorate basis.</t>
  </si>
  <si>
    <t>Three month true up in isolation</t>
  </si>
  <si>
    <t>Cost of Power Purchase considering
revise rate w.e.f 01.10.2020</t>
  </si>
  <si>
    <t>Transmission Cost</t>
  </si>
  <si>
    <t>SLDC Cost</t>
  </si>
  <si>
    <t>Total Power Purchase, Transmission
&amp; SLDC Cost(A)</t>
  </si>
  <si>
    <t>Employee Cost</t>
  </si>
  <si>
    <t>Administrative and General Expenses</t>
  </si>
  <si>
    <t>Provision for Bad &amp; Doubtful Debts</t>
  </si>
  <si>
    <t>Interest Chargeable to Revenue
including Interest on S.D</t>
  </si>
  <si>
    <t>Total Operation &amp; Maintenance and
Other Cost</t>
  </si>
  <si>
    <t>Return on Equity</t>
  </si>
  <si>
    <t>Total Distribution Cost</t>
  </si>
  <si>
    <t>Less: Miscellaneous Receipt</t>
  </si>
  <si>
    <t>Net Distribution Cost (B)</t>
  </si>
  <si>
    <t>Total Special Appropriation (C)</t>
  </si>
  <si>
    <t> </t>
  </si>
  <si>
    <t>Total Revenue Requirement
(A+B+C)</t>
  </si>
  <si>
    <t>Expected Revenue(Full year
considering tariff revision from
01.10.2020)</t>
  </si>
  <si>
    <t>GAP at existing(+/-)</t>
  </si>
  <si>
    <t>Allocation of wheeling cost and Retail supply cost</t>
  </si>
  <si>
    <t>Rs. Lakh</t>
  </si>
  <si>
    <t>Cost/Income Component</t>
  </si>
  <si>
    <t>Assumption Ratio for consideration in Wheeling Business</t>
  </si>
  <si>
    <t>Assumption Ratio for consideration in Retail Supply Business</t>
  </si>
  <si>
    <t>Transmission Charges</t>
  </si>
  <si>
    <t>Total power purchase cost *</t>
  </si>
  <si>
    <t>O&amp;M</t>
  </si>
  <si>
    <t>Repair &amp; Maintenance Cost</t>
  </si>
  <si>
    <t>Administrative &amp; General Expenses</t>
  </si>
  <si>
    <t>Bad &amp; Doubtful Debt including Rebate</t>
  </si>
  <si>
    <t>Interest on Loans</t>
  </si>
  <si>
    <t>for Working capital</t>
  </si>
  <si>
    <t>Interest on Security Deposits</t>
  </si>
  <si>
    <t>Tax on ROE</t>
  </si>
  <si>
    <t>Carrying cost on Regulatory Assets/Liabilities</t>
  </si>
  <si>
    <t>Special Appropriation</t>
  </si>
  <si>
    <t>Amortization of Regulator Assets</t>
  </si>
  <si>
    <t xml:space="preserve">True Up of Current year </t>
  </si>
  <si>
    <t>Other, if any-Contigency Reserve</t>
  </si>
  <si>
    <t>Miscellaneous Receipt</t>
  </si>
  <si>
    <t>*Allocation of power purchase cost towards wheeling has been made considering 8% loss on input after effecting EHT sale</t>
  </si>
  <si>
    <t>SMD (MVA)*</t>
  </si>
  <si>
    <t>Input (MU)</t>
  </si>
  <si>
    <t>Billing (MU) kwh</t>
  </si>
  <si>
    <t>Billing (MU) kVAh</t>
  </si>
  <si>
    <t>Billing value(Rs. Lakh)</t>
  </si>
  <si>
    <t>Collection (Rs. Lakh)</t>
  </si>
  <si>
    <t>AT&amp; C Loss</t>
  </si>
  <si>
    <t>ARR Poposed</t>
  </si>
  <si>
    <t>OERC Approved</t>
  </si>
  <si>
    <t>Actual</t>
  </si>
  <si>
    <t>Projection</t>
  </si>
  <si>
    <t>Unit Purchased (MU)</t>
  </si>
  <si>
    <t>Unit Sold (MU)</t>
  </si>
  <si>
    <t>Distribution Loss%</t>
  </si>
  <si>
    <t>Billing (Rs Crs)</t>
  </si>
  <si>
    <t>Collection (Rs Crs)</t>
  </si>
  <si>
    <t>Collection Efficiency %</t>
  </si>
  <si>
    <t>AT &amp; C Loss %</t>
  </si>
  <si>
    <t>SMD (MVA)</t>
  </si>
  <si>
    <t>Parameters</t>
  </si>
  <si>
    <t>Current Year Actual- Apr-21 to Sept-21</t>
  </si>
  <si>
    <t>Estimated for FY21-22 9 (In Lacs)</t>
  </si>
  <si>
    <t>Projection for Ensuing Year FY22-23 (In Lacs)</t>
  </si>
  <si>
    <t>f)  Interest loans and financial charges</t>
  </si>
  <si>
    <t>h) Return on equity</t>
  </si>
  <si>
    <t>i)  Less expenses capitalized (Employee Costs, A&amp;G, R&amp;M)</t>
  </si>
  <si>
    <t>j)  Less interest capitalized</t>
  </si>
  <si>
    <t>Total Distribution cost (a + b + c + d + e + f + g + h - i-j)</t>
  </si>
  <si>
    <t>Income to be recovered from future tariff- Regulatory Asset</t>
  </si>
  <si>
    <t>Gap / (surplus) for the year</t>
  </si>
  <si>
    <t>ARR Proposed</t>
  </si>
  <si>
    <t>Prov (Actual)</t>
  </si>
  <si>
    <t>Projected (ARR)</t>
  </si>
  <si>
    <t xml:space="preserve">FY.- 2020-21 </t>
  </si>
  <si>
    <t xml:space="preserve">FY.- 2021-22 </t>
  </si>
  <si>
    <t>FY.- 2020-21</t>
  </si>
  <si>
    <t>FY.- 2021-22 with ABP</t>
  </si>
  <si>
    <t>FY.- 2021-22</t>
  </si>
  <si>
    <t>FY.- 2022-23</t>
  </si>
  <si>
    <t xml:space="preserve">Cost of Power Purchase </t>
  </si>
  <si>
    <t xml:space="preserve">Transmission Cost </t>
  </si>
  <si>
    <t xml:space="preserve">SLDC Cost </t>
  </si>
  <si>
    <t xml:space="preserve">Total Power Purchase, Transmission &amp; SLDC Cost(A) </t>
  </si>
  <si>
    <t xml:space="preserve">Employee costs </t>
  </si>
  <si>
    <t xml:space="preserve">Repair &amp; Maintenance </t>
  </si>
  <si>
    <t xml:space="preserve">Administrative and General Expenses </t>
  </si>
  <si>
    <t xml:space="preserve">Provision for Bad &amp; Doubtful Debts </t>
  </si>
  <si>
    <t xml:space="preserve">Depreciation </t>
  </si>
  <si>
    <t xml:space="preserve">Interest Chargeable to Revenue including Interest on S.D </t>
  </si>
  <si>
    <t>Carrying cost on Regulatory asset</t>
  </si>
  <si>
    <t xml:space="preserve">Sub-Total </t>
  </si>
  <si>
    <t xml:space="preserve">Less: Expenses capitalised </t>
  </si>
  <si>
    <t xml:space="preserve">Less: Interest capitalised </t>
  </si>
  <si>
    <t xml:space="preserve">Total Operation &amp; Maintenance and Other Cost  </t>
  </si>
  <si>
    <t xml:space="preserve">Return on equity </t>
  </si>
  <si>
    <t xml:space="preserve">Total Distribution Cost (B) </t>
  </si>
  <si>
    <t xml:space="preserve">Amortisation of Regulatory Asset </t>
  </si>
  <si>
    <t xml:space="preserve">True up of Past Losses </t>
  </si>
  <si>
    <t>Contingency reserve &amp; Exceptional Item</t>
  </si>
  <si>
    <t xml:space="preserve">Total Special Appropriation (C) </t>
  </si>
  <si>
    <t xml:space="preserve">Total Cost (A+B+C) </t>
  </si>
  <si>
    <t>With Railways</t>
  </si>
  <si>
    <r>
      <t xml:space="preserve"> Revenue from sale of power</t>
    </r>
    <r>
      <rPr>
        <b/>
        <sz val="14"/>
        <color rgb="FF000000"/>
        <rFont val="Arial Narrow"/>
        <family val="2"/>
      </rPr>
      <t xml:space="preserve"> </t>
    </r>
  </si>
  <si>
    <t xml:space="preserve">Miscellaneous Receipt </t>
  </si>
  <si>
    <t xml:space="preserve">Total Revenue Expected </t>
  </si>
  <si>
    <r>
      <t>Total Revenue Requirement</t>
    </r>
    <r>
      <rPr>
        <b/>
        <sz val="14"/>
        <color rgb="FF000000"/>
        <rFont val="Arial Narrow"/>
        <family val="2"/>
      </rPr>
      <t xml:space="preserve"> </t>
    </r>
  </si>
  <si>
    <t xml:space="preserve">Expected Revenue Receipt </t>
  </si>
  <si>
    <t xml:space="preserve">GAP (+/-) </t>
  </si>
  <si>
    <t>Without Railways</t>
  </si>
  <si>
    <t xml:space="preserve">FY.- 2019-20 </t>
  </si>
  <si>
    <t>Without Railway</t>
  </si>
  <si>
    <t>Railways Actaul Sales (Apr-21 to Sep-21) in MU</t>
  </si>
  <si>
    <t>Railways Projected Sale (Oct-21 to Mar-22) in MU</t>
  </si>
  <si>
    <t>Total for FY 21-22 in MU</t>
  </si>
  <si>
    <t>Railways Projected Sale for 2022-23</t>
  </si>
  <si>
    <t xml:space="preserve">Projection </t>
  </si>
  <si>
    <t>Unit Purchased MU</t>
  </si>
  <si>
    <t>Distribution Loss %</t>
  </si>
  <si>
    <t>Rs Cr</t>
  </si>
  <si>
    <t>Projected Input</t>
  </si>
  <si>
    <t>Expenditure including Special Appropriation  </t>
  </si>
  <si>
    <t>Projected Sales</t>
  </si>
  <si>
    <t>Reasonable return on ROE after tax</t>
  </si>
  <si>
    <t>Projected T&amp;D</t>
  </si>
  <si>
    <t>Sub Total </t>
  </si>
  <si>
    <t>Approved T&amp;D</t>
  </si>
  <si>
    <t>Revenue from sale of power at existing tariffs  </t>
  </si>
  <si>
    <t>Permitted Input</t>
  </si>
  <si>
    <t>Non Tariff Income </t>
  </si>
  <si>
    <t>Projected Power Purchase cost in Cr</t>
  </si>
  <si>
    <t>Revenue GAP(+)/Surplus(-) </t>
  </si>
  <si>
    <t>Allowable Power Purchase cost in Cr</t>
  </si>
  <si>
    <t>Estimated Input</t>
  </si>
  <si>
    <t>Estimated Sales</t>
  </si>
  <si>
    <t>Estimated T&amp;D</t>
  </si>
  <si>
    <t>Estimated Power Purchase cost in Cr</t>
  </si>
  <si>
    <t>23-24</t>
  </si>
  <si>
    <t>Balance as on 31.03.24</t>
  </si>
  <si>
    <t>2023/24</t>
  </si>
  <si>
    <t>Loan Balance</t>
  </si>
  <si>
    <t>(Rs. Lakhs)</t>
  </si>
  <si>
    <t>As At 31.03.24</t>
  </si>
  <si>
    <t>Prov. Surplus Considered</t>
  </si>
  <si>
    <t>TPA Input (incl. above) (MU)</t>
  </si>
  <si>
    <t>Input w/o TPA (MU)</t>
  </si>
  <si>
    <t>Billing w/o TPA (MU)</t>
  </si>
  <si>
    <t>4130</t>
  </si>
  <si>
    <t>4170</t>
  </si>
  <si>
    <t>8120</t>
  </si>
  <si>
    <t>8130</t>
  </si>
  <si>
    <t>9030</t>
  </si>
  <si>
    <t>9120</t>
  </si>
  <si>
    <t xml:space="preserve">M/S DALMIA CEMENT(BHARAT)  LIMITED                             </t>
  </si>
  <si>
    <t>220 KV</t>
  </si>
  <si>
    <t>4160</t>
  </si>
  <si>
    <t>5120</t>
  </si>
  <si>
    <t>4110</t>
  </si>
  <si>
    <t>440 KV</t>
  </si>
  <si>
    <t>8110</t>
  </si>
  <si>
    <t>9040</t>
  </si>
  <si>
    <t>MEGA LIFT</t>
  </si>
  <si>
    <t>8140</t>
  </si>
  <si>
    <t>9060</t>
  </si>
  <si>
    <t>9110</t>
  </si>
  <si>
    <t>9150</t>
  </si>
  <si>
    <t>M/S. THE DIVISIONAL RAILWAY MANAGER TRD</t>
  </si>
  <si>
    <t>DIVISIONAL RAILWAY MANAGER TRD</t>
  </si>
  <si>
    <t>M/S.  THE DIVISIONAL MANAGAER TRD</t>
  </si>
  <si>
    <t>M/S. SR DIVISIONAL ELECTRICAL ENGINEER TRD</t>
  </si>
  <si>
    <t>M/S. SR.DVNL. ELECTRICAL ENGINER.TRD</t>
  </si>
  <si>
    <t>THE SR. DIVISIONAL ELECTRICAL ENGINEER TRD</t>
  </si>
  <si>
    <t>Mr. THE SR.DIVISIONAL ELEC.ENGINEER TRD</t>
  </si>
  <si>
    <t>SR. DIVISIONAL ELECTRICAL ENGINEER TRD</t>
  </si>
  <si>
    <t>Mr. DIVISIONAL RLY.ENGINEER TR E.CO.RLY</t>
  </si>
  <si>
    <t>Existing Industries (EHT)</t>
  </si>
  <si>
    <t>New Industries (EHT)</t>
  </si>
  <si>
    <t>Existing Industries (HT)</t>
  </si>
  <si>
    <t>M/S. M/S INDIAN OIL CORPORATION LTD</t>
  </si>
  <si>
    <t>M/S.  NTPC LTD</t>
  </si>
  <si>
    <t>GP&gt;=110KVA</t>
  </si>
  <si>
    <t>PWW &amp; SP</t>
  </si>
  <si>
    <t>M/S. THAKUR PRASAD SAO &amp; SONS PVTLTD</t>
  </si>
  <si>
    <t>M/S.   APAR INDUSTRIES LTD</t>
  </si>
  <si>
    <t>M/S. ODISHA COAL &amp; POWER LTD.</t>
  </si>
  <si>
    <t>M/S. SAINIK MINING AND ALLIED SERVICES</t>
  </si>
  <si>
    <t>M/S. SLM METAL(P) LTD.</t>
  </si>
  <si>
    <t>M/S.  CAST PROFILES PVT LTD</t>
  </si>
  <si>
    <t>M/S.  MAA FOUNDRY PVT LTD</t>
  </si>
  <si>
    <t>M/S.  SHIVAM AGGREGATES PVT LTD</t>
  </si>
  <si>
    <t xml:space="preserve"> M/S PUSPANJANA ALLOYS PVT LTD.</t>
  </si>
  <si>
    <t>M/S.    CHARIOT STEEL &amp; POWER PVT</t>
  </si>
  <si>
    <t>M/S. SHREE MAHAVIR FERRO ALLOYS PLTD</t>
  </si>
  <si>
    <t>M/S. SHREERAM SPONGE &amp; STEELS P LTD</t>
  </si>
  <si>
    <t>M/S.  THAKUR PRASAD SAO &amp; SONS PVT LTD</t>
  </si>
  <si>
    <t>M/S.  KHEDARIA ISPAT LTD</t>
  </si>
  <si>
    <t>M/S. SHRI RADHA RAMAN ALLOYS LTD</t>
  </si>
  <si>
    <t>M/S ENVIROCARE INFRASOLUTIONS PVT. LTD.</t>
  </si>
  <si>
    <t>4140</t>
  </si>
  <si>
    <t>M/S.   EE MEGALIFT PROJECTS</t>
  </si>
  <si>
    <t>EXECUTIVE ENGINEER</t>
  </si>
  <si>
    <t>EXECUTIVE ENGINEER, MEGALIFT PROJECT, JHARSUGUDA</t>
  </si>
  <si>
    <t>M/S.  EXECUTIVE ENGINEER MEGALIFT PROJECT</t>
  </si>
  <si>
    <t>M/S.    EE MEGA LIFT PROJECTS DIVISION  ROURKELA</t>
  </si>
  <si>
    <t>Mr. EXECUTIVE ENGINEER MEGA LIFT TITLAGARH</t>
  </si>
  <si>
    <t>M/S. EXECUTIVE ENGINEER  MEGALIFT PROJECTS TITLAGARH</t>
  </si>
  <si>
    <t>M/S. EXECUTIVE ENGINEER MEGALIFT PROJECTS</t>
  </si>
  <si>
    <t>M/S.  EXECUTIVE ENGINEER MEGALIFT PROJECTS TITLAGARH</t>
  </si>
  <si>
    <t>New Industries (HT)</t>
  </si>
  <si>
    <t>M/S. Chief District Medical Officer Jharsuguda</t>
  </si>
  <si>
    <t>THE PROJECT ENGG OWSSB,SAMBALPUR STP -1 BHATRA</t>
  </si>
  <si>
    <t>M/S. OMC LTD KURMITRA IRON &amp; MANGANESE ORE MINES</t>
  </si>
  <si>
    <t>All the industrial consumers drawing power in EHT shall be eligible for a rebate of 10 paise per unit (kVAh) for all the units consumed in excess of 80% of load factor.</t>
  </si>
  <si>
    <t xml:space="preserve"> LT Single Phase consumers of all categories having CD upto 5 KW with pole within 30 meters from the consumer premises shall pay new connection charges excluding processing fees as follows:
Upto 2 KW   : Rs.1,500/-
Beyond 2 KW upto 5 KW : Rs.2,500/-
Provided that if the line extension is required beyond 30 meters, the licensee/supplier shall charge @ Rs.8,000/- for every span of line extension in addition to the above charges.
</t>
  </si>
  <si>
    <t>The rural LT domestic consumers who draw their power through correct meter and pay the bill in time shall get rebate of 10 paise per unit in addition to existing rebate for prompt payment.</t>
  </si>
  <si>
    <t>The Mega Lift consumers (who are using electricity for irrigation purpose and not covered under irrigation pumping and agriculture category of the Regulation) connected either to HT or EHT system shall be treated as GP consumers and shall not pay any demand charges and shall get an additional rebate of Rs.2 per unit (kVAh) on the respective energy charges.</t>
  </si>
  <si>
    <t>LT Industrial (S) Supply consumers shall avail a rebate of 10 paisa per unit for all the units consumed if their monthly operating load factor is more than 60%.</t>
  </si>
  <si>
    <t>(vii)</t>
  </si>
  <si>
    <t>(viii)</t>
  </si>
  <si>
    <t>( xii )</t>
  </si>
  <si>
    <t>( xiii )</t>
  </si>
  <si>
    <t>(xx)</t>
  </si>
  <si>
    <t>(xxi)</t>
  </si>
  <si>
    <t xml:space="preserve">(xxix) </t>
  </si>
  <si>
    <t>(xxx)</t>
  </si>
  <si>
    <t>(xxxi)</t>
  </si>
  <si>
    <t>(xxxii)</t>
  </si>
  <si>
    <t>Energy Charge (P/kVAh)</t>
  </si>
  <si>
    <t>(P/kWh)</t>
  </si>
  <si>
    <t>M/S VEDANTA ALUMINA LTD. (Lanjigarh)</t>
  </si>
  <si>
    <t>M/S.  SMC POWER GENERATION LTD. (Plant 1)</t>
  </si>
  <si>
    <t>POI</t>
  </si>
  <si>
    <t>M/S SMC POWER GENERATION LTD. (Plant 2)</t>
  </si>
  <si>
    <t>Approved</t>
  </si>
  <si>
    <t>FY</t>
  </si>
  <si>
    <t>Total Manpower Allowed</t>
  </si>
  <si>
    <t>OERC Approved FY21-22</t>
  </si>
  <si>
    <t>Statement of Truing up calcualtion for FY 21-22               Rs. In crs</t>
  </si>
  <si>
    <t>Total FY 21-22 (Audited)</t>
  </si>
  <si>
    <t>Considered for True-up FY 21-22</t>
  </si>
  <si>
    <t>Total Manpower</t>
  </si>
  <si>
    <t>Closing bal. of WIP as on 31.03.24</t>
  </si>
  <si>
    <t>Power Intensive Industry *</t>
  </si>
  <si>
    <t xml:space="preserve">Large Industry </t>
  </si>
  <si>
    <t>TPA Bill</t>
  </si>
  <si>
    <t>Next 6 months</t>
  </si>
  <si>
    <t>Upto 80% of CD</t>
  </si>
  <si>
    <t>Rate of power purchase (incl Transmission charges)(p/U)</t>
  </si>
  <si>
    <t>1.01.24</t>
  </si>
  <si>
    <t>1.07.24</t>
  </si>
  <si>
    <t>Special R&amp;M (33kv &amp; 11KV river crossing &amp; forest area Tower maintenance)</t>
  </si>
  <si>
    <t>Sl. No</t>
  </si>
  <si>
    <t>Sale through Special Tariff (@ 4.30)</t>
  </si>
  <si>
    <t>Sale through Special Tariff (@4.30)</t>
  </si>
  <si>
    <t>Sale through TPA</t>
  </si>
  <si>
    <t>FY 2023-24</t>
  </si>
  <si>
    <t>2023-24</t>
  </si>
  <si>
    <t>Capex-23-24 with Emp. Capitalisation</t>
  </si>
  <si>
    <t xml:space="preserve">2023-24 </t>
  </si>
  <si>
    <t xml:space="preserve">CTC </t>
  </si>
  <si>
    <t>CTC</t>
  </si>
  <si>
    <t>Allocation of Employee Cost for 23-24</t>
  </si>
  <si>
    <t>Provisional remark resolution cost</t>
  </si>
  <si>
    <t>Other Professional charges</t>
  </si>
  <si>
    <t>* Miscellaneous expenses include comp for injuries,provision for disputed matter, commission on sales,rev. stamp etc</t>
  </si>
  <si>
    <t>Consultancy/ Retainer charges</t>
  </si>
  <si>
    <t>Operational Technology</t>
  </si>
  <si>
    <t>Data Charges</t>
  </si>
  <si>
    <t>IT automation</t>
  </si>
  <si>
    <t>GIS, SCADA, Communication, OT, Data Charges</t>
  </si>
  <si>
    <t>Year 22-23</t>
  </si>
  <si>
    <t>Year 23-24</t>
  </si>
  <si>
    <t>Without TPA</t>
  </si>
  <si>
    <t>TPA Billing (incl. above) (Rs. Lakh)</t>
  </si>
  <si>
    <t>TPA Collection (incl. above) (Rs. Lakh)</t>
  </si>
  <si>
    <t>Collection w/o TPA (Rs. Lakh)</t>
  </si>
  <si>
    <t>Billing w/o TPA (Rs. Lakh)</t>
  </si>
  <si>
    <t>With TPA</t>
  </si>
  <si>
    <t>FY 2020-21</t>
  </si>
  <si>
    <t>Jan'21</t>
  </si>
  <si>
    <t>Apr'20</t>
  </si>
  <si>
    <t>May'20</t>
  </si>
  <si>
    <t>Jun'20</t>
  </si>
  <si>
    <t>Jul'20</t>
  </si>
  <si>
    <t>Aug'20</t>
  </si>
  <si>
    <t>Sep'20</t>
  </si>
  <si>
    <t>Oct'20</t>
  </si>
  <si>
    <t>Nov'20</t>
  </si>
  <si>
    <t>Dec'20</t>
  </si>
  <si>
    <t>Feb'21</t>
  </si>
  <si>
    <t>Mar'21</t>
  </si>
  <si>
    <t>CPI</t>
  </si>
  <si>
    <t>Index</t>
  </si>
  <si>
    <t>Base 2016 = 100</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</si>
  <si>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</si>
  <si>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</si>
  <si>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</si>
  <si>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</si>
  <si>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</si>
  <si>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</si>
  <si>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</si>
  <si>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</si>
  <si>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</si>
  <si>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</si>
  <si>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</si>
  <si>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</si>
  <si>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</si>
  <si>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</si>
  <si>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</si>
  <si>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</si>
  <si>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</si>
  <si>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</si>
  <si>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</si>
  <si>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</si>
  <si>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</si>
  <si>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</si>
  <si>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</si>
  <si>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</si>
  <si>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2.88 Linking Factor</t>
  </si>
  <si>
    <t>WPI</t>
  </si>
  <si>
    <t>INFL</t>
  </si>
  <si>
    <t>INFL Index</t>
  </si>
  <si>
    <t>60% x WPI + 40% x CPI</t>
  </si>
  <si>
    <t>INDX Ratio</t>
  </si>
  <si>
    <t>FY 23-24</t>
  </si>
  <si>
    <t>Net Employee Cost</t>
  </si>
  <si>
    <t>S. No.</t>
  </si>
  <si>
    <t>TPA Sale MU</t>
  </si>
  <si>
    <t>FY23-24</t>
  </si>
  <si>
    <t>Year to date (April 22 to March 2023</t>
  </si>
  <si>
    <t>31.03.2024</t>
  </si>
  <si>
    <t>Over 12 months</t>
  </si>
  <si>
    <t>Bulk supply-domestic</t>
  </si>
  <si>
    <t>Interest on Working Capital</t>
  </si>
  <si>
    <t>O&amp;M Expenses for 1 month</t>
  </si>
  <si>
    <t>Total Working Capital</t>
  </si>
  <si>
    <t>Rate of Interest for Working Capital</t>
  </si>
  <si>
    <t>FY 2022-23 
(6 months)</t>
  </si>
  <si>
    <t>R&amp;M Expenses</t>
  </si>
  <si>
    <t>Interest on Term Loans</t>
  </si>
  <si>
    <t>Actual Capitalization</t>
  </si>
  <si>
    <t>Debt @ 70%</t>
  </si>
  <si>
    <t>Average Debt (Considered towards Interest @ 70%)</t>
  </si>
  <si>
    <t>Rate of Interest</t>
  </si>
  <si>
    <t>Normative Interest on Term Loan</t>
  </si>
  <si>
    <t>Approved CAPEX</t>
  </si>
  <si>
    <t>Revenue Surplus/ Gap</t>
  </si>
  <si>
    <t>Closing</t>
  </si>
  <si>
    <t>Average</t>
  </si>
  <si>
    <t>Rate of Carrying Cost</t>
  </si>
  <si>
    <t>Carrying Cost Amount</t>
  </si>
  <si>
    <t>O&amp;M Expenses (Emp &amp; A&amp;G)</t>
  </si>
  <si>
    <t>Tax on RoE</t>
  </si>
  <si>
    <t>Rate (%)</t>
  </si>
  <si>
    <t>RoE</t>
  </si>
  <si>
    <t>Corporate Tax (%)</t>
  </si>
  <si>
    <t>Grossed up RoE</t>
  </si>
  <si>
    <t>Tax</t>
  </si>
  <si>
    <t>Opening Equity</t>
  </si>
  <si>
    <t>Closing Equity</t>
  </si>
  <si>
    <t>TPWODL CAPEX (Normative)</t>
  </si>
  <si>
    <t>Interest on Working Capital (Normative)</t>
  </si>
  <si>
    <t>Woring capital Requirement</t>
  </si>
  <si>
    <t>Carrying cost on Regualtory (Surplus)/Deficit</t>
  </si>
  <si>
    <t>Energy Police Station</t>
  </si>
  <si>
    <t>GRIDCO Contribution of Asset</t>
  </si>
  <si>
    <t>Mar-22 (In Lakh)</t>
  </si>
  <si>
    <t>Mar-23(In Lakh)</t>
  </si>
  <si>
    <t>M365</t>
  </si>
  <si>
    <t>Customer Experience Enhancement</t>
  </si>
  <si>
    <t>SAP AMC</t>
  </si>
  <si>
    <t>Internet Connectivity</t>
  </si>
  <si>
    <t>MBC CIS Support FG</t>
  </si>
  <si>
    <t>Manpower Support Services</t>
  </si>
  <si>
    <t>Software &amp; Subscriptions</t>
  </si>
  <si>
    <t>Enterprise IT &amp; Infra</t>
  </si>
  <si>
    <t>Consumer contribution including School Anganwadi, Elephant corridor &amp; Deposit work</t>
  </si>
  <si>
    <t>Equity contribution</t>
  </si>
  <si>
    <t>FOR FY 23-24</t>
  </si>
  <si>
    <t>Current Year FY22-23</t>
  </si>
  <si>
    <t>Saving in Power Purchase Cost in Cr</t>
  </si>
  <si>
    <t>Ensuing Year FY23-24</t>
  </si>
  <si>
    <t>Revenue Surplus (-) FY 22-23</t>
  </si>
  <si>
    <t>Revenue GAP (+)/Surplus(-)</t>
  </si>
  <si>
    <t>Revenue Gap with approved (19.60%)T&amp;D Current Year FY22-23</t>
  </si>
  <si>
    <t>Less Savings  in Power purchase cost due to efficieny gain</t>
  </si>
  <si>
    <t>Billin eff</t>
  </si>
  <si>
    <t>collec</t>
  </si>
  <si>
    <t>AT&amp;C</t>
  </si>
  <si>
    <t>Revenue Gap with approved T&amp;D (18.08%)  FY23-24</t>
  </si>
  <si>
    <t>Working capital Loan- Normative</t>
  </si>
  <si>
    <t xml:space="preserve">TPWODL Capex Loan Normative </t>
  </si>
  <si>
    <t>Not Applicable to TPWODL</t>
  </si>
  <si>
    <t>Arrear- 7th Pay impact (30% of arrear in FY 21-22 and balance 20% in FY 22-23)</t>
  </si>
  <si>
    <t>As on 1st April 21</t>
  </si>
  <si>
    <t>Recruitement during FY 21-22</t>
  </si>
  <si>
    <t>Retirement/separation/deceased during FY 21-22</t>
  </si>
  <si>
    <t>As on 1st April 22</t>
  </si>
  <si>
    <t>Recruitement during FY 22-23</t>
  </si>
  <si>
    <t>Retirement/separation/deceased during FY 22-23</t>
  </si>
  <si>
    <t>As on 1st April 23</t>
  </si>
  <si>
    <t>Recruitement during FY 23-24</t>
  </si>
  <si>
    <t>Retirement/separation/deceased during FY 23-24</t>
  </si>
  <si>
    <t>As on 1st April 24</t>
  </si>
  <si>
    <t>Saving in basic salary for 2023-24</t>
  </si>
  <si>
    <t>Energy Audit</t>
  </si>
  <si>
    <t>OERC FORM.1 (b)</t>
  </si>
  <si>
    <t>Internal Accrual</t>
  </si>
  <si>
    <t>Sources of funds for Capital employed</t>
  </si>
  <si>
    <t>Capital assets added during FY</t>
  </si>
  <si>
    <t>Capital assets work-in-progress</t>
  </si>
  <si>
    <t>Total sources of fund</t>
  </si>
  <si>
    <t>OERC Form No.F.4(b)</t>
  </si>
  <si>
    <t>Form No. F.9(b)</t>
  </si>
  <si>
    <t>Collection of past arrears</t>
  </si>
  <si>
    <t>Estimate for Current Year</t>
  </si>
  <si>
    <t>Form No. F. 12(b)</t>
  </si>
  <si>
    <t>EMPLOYEES COST (New Recruitment)</t>
  </si>
  <si>
    <t>Technical</t>
  </si>
  <si>
    <t>Non-Technical</t>
  </si>
  <si>
    <t>No. of Employees</t>
  </si>
  <si>
    <t>Fixed Pay</t>
  </si>
  <si>
    <t>Variable Pay</t>
  </si>
  <si>
    <t xml:space="preserve">Total </t>
  </si>
  <si>
    <t>Less: Employee Cost Capitalised</t>
  </si>
  <si>
    <t>Form No. F. 12(c)</t>
  </si>
  <si>
    <t>EMPLOYEES COST</t>
  </si>
  <si>
    <t>Total Net Employee Cost (Erstwhile + Newly formed DISCOMs)</t>
  </si>
  <si>
    <t>Additional Information (For Total Employee Strength)</t>
  </si>
  <si>
    <t>S.No.</t>
  </si>
  <si>
    <t>No. of employees as on:</t>
  </si>
  <si>
    <t>No. of employees added during the year:</t>
  </si>
  <si>
    <t>Employees Retd./Expired/Resigned during the year:</t>
  </si>
  <si>
    <t>No. of MUs sold:</t>
  </si>
  <si>
    <t>Avg. no. of employees for the year:</t>
  </si>
  <si>
    <t>No. of employees per MU sold:</t>
  </si>
  <si>
    <t>No. of employees per 1000 consumers:</t>
  </si>
  <si>
    <t>Total Manpower:</t>
  </si>
  <si>
    <t>No. of consumers as on FY:</t>
  </si>
  <si>
    <t>Form No. F. 12(d)</t>
  </si>
  <si>
    <t>DISCOMs</t>
  </si>
  <si>
    <t>Add: Addition during FY 2022-23</t>
  </si>
  <si>
    <t>Less: Retirement/ Expired/ Resigned during FY 2022-23</t>
  </si>
  <si>
    <t>No. of employees as on 31.03.2023</t>
  </si>
  <si>
    <t>Avg. no. of employees for FY 2022-23</t>
  </si>
  <si>
    <t xml:space="preserve">OERC </t>
  </si>
  <si>
    <t>Amount Collected out of Mar'20 Arrear</t>
  </si>
  <si>
    <t>Particulars (Own + Outsourced)</t>
  </si>
  <si>
    <t>Form No. F. 13(a)</t>
  </si>
  <si>
    <t>R&amp;M for FY 2023-24</t>
  </si>
  <si>
    <t>R&amp;M on GFA</t>
  </si>
  <si>
    <t>R&amp;M on Govt. funded assets</t>
  </si>
  <si>
    <t>Total R&amp;M</t>
  </si>
  <si>
    <t>h) Return on equity &amp; Incentive on arrear collection (Prev. Year)</t>
  </si>
  <si>
    <t>Dep on old assets</t>
  </si>
  <si>
    <t>TPWODL assets</t>
  </si>
  <si>
    <t>FY 22-23</t>
  </si>
  <si>
    <t>Surplus considered</t>
  </si>
  <si>
    <t>Human Resource</t>
  </si>
  <si>
    <t>Qty</t>
  </si>
  <si>
    <t>Monthly Allowance</t>
  </si>
  <si>
    <t>Costing</t>
  </si>
  <si>
    <t>SP</t>
  </si>
  <si>
    <t>Inspector</t>
  </si>
  <si>
    <t>Sub Inspector</t>
  </si>
  <si>
    <t>Constable (Male)</t>
  </si>
  <si>
    <t>Constable (Female)</t>
  </si>
  <si>
    <t>Home Guard (Male)</t>
  </si>
  <si>
    <t>Home Guard (Female)</t>
  </si>
  <si>
    <t>Infrastructure Cost</t>
  </si>
  <si>
    <t>Office</t>
  </si>
  <si>
    <t>Vehicle Cost</t>
  </si>
  <si>
    <t>Miscallaneous (House Keeping, Pantry, Electricity, Stationary etc)</t>
  </si>
  <si>
    <t>Total Monthly Cost</t>
  </si>
  <si>
    <t>Annual Cost</t>
  </si>
  <si>
    <t>Revenue Gap with projected T&amp;D (18.11%) FY23-24</t>
  </si>
  <si>
    <t>Disallowance in Power Purchase Cost in Cr</t>
  </si>
  <si>
    <t>Less disalloance  in Power purchase cost due to efficieny gain</t>
  </si>
  <si>
    <t>Revenue Gap with Estimated T&amp;D (18.12%)-Current Year FY22-23</t>
  </si>
  <si>
    <t>For Term Loan CAPEX</t>
  </si>
  <si>
    <t>Form No. F. 13</t>
  </si>
  <si>
    <t>To be drawn during 23-24</t>
  </si>
  <si>
    <t>Bal. of loan at the end of the year 23-24</t>
  </si>
  <si>
    <t xml:space="preserve"> Bargarh West Electrical Division ,Commerce Plaza,1st Floor,N.H-6,Bargarh</t>
  </si>
  <si>
    <t>24-25</t>
  </si>
  <si>
    <t>Cash Outgo on Contractual and Outsource engagement</t>
  </si>
  <si>
    <t>As per New Regulation</t>
  </si>
  <si>
    <t>Software</t>
  </si>
  <si>
    <t>As per Vesting order</t>
  </si>
  <si>
    <t>Capex Proposed</t>
  </si>
  <si>
    <t xml:space="preserve">Capex approved for </t>
  </si>
  <si>
    <t>Funding Mechanism</t>
  </si>
  <si>
    <t>Equity-51% share (TPCL)</t>
  </si>
  <si>
    <t>Debt-Loan</t>
  </si>
  <si>
    <t>Equity-49% Share (GRIDCO)</t>
  </si>
  <si>
    <t>Short Term Loan &amp; Working capital (normative)</t>
  </si>
  <si>
    <t>Office Equipment, It equipments &amp; Software</t>
  </si>
  <si>
    <t>Plant and  Machinery &amp; NW</t>
  </si>
  <si>
    <t>Calculation of Monthly Voltage wise Loss (DISCOM) for the FY 2022-23*</t>
  </si>
  <si>
    <t>OB As on 1.4.22</t>
  </si>
  <si>
    <t>KBK-SACE</t>
  </si>
  <si>
    <t>ELEPH-COR</t>
  </si>
  <si>
    <t>Statutory, Safety &amp; Security</t>
  </si>
  <si>
    <t>Balance 
FY 21-22</t>
  </si>
  <si>
    <t>Balance 
FY 22-23</t>
  </si>
  <si>
    <t>Balance 
FY 23-24</t>
  </si>
  <si>
    <t>FY 24-25</t>
  </si>
  <si>
    <t>Total (FY 23)</t>
  </si>
  <si>
    <t>Total (FY 24)</t>
  </si>
  <si>
    <t>Total (FY 25)</t>
  </si>
  <si>
    <t>2024/25</t>
  </si>
  <si>
    <t>Previous Year (22-23)</t>
  </si>
  <si>
    <t>Current Year (23-24)</t>
  </si>
  <si>
    <t>Ensuing Year 
(24-25)</t>
  </si>
  <si>
    <t>Previous Year
(FY 22-23)</t>
  </si>
  <si>
    <t>Current Year
(FY 23-24)</t>
  </si>
  <si>
    <t>Ensuing Year
(FY 24-25)</t>
  </si>
  <si>
    <t>Actuals for previous financial year
(FY 22-23)</t>
  </si>
  <si>
    <t>Revised estimate for Current Financial Year
(FY 23-24)</t>
  </si>
  <si>
    <t>Estimates for ensuing year
(FY 24-25)</t>
  </si>
  <si>
    <t xml:space="preserve"> PREVIOUS YEAR(22-23)</t>
  </si>
  <si>
    <t xml:space="preserve"> CURRENT YEAR(23-24)</t>
  </si>
  <si>
    <t xml:space="preserve"> ENSUING YEAR(24-25)</t>
  </si>
  <si>
    <t>OB as on 1.4.22</t>
  </si>
  <si>
    <t>Closing bal. of WIP as on 31.03.25</t>
  </si>
  <si>
    <t>Opening balance of loan as at the beginning of the previous financial year 01.04.22</t>
  </si>
  <si>
    <t>Receipt during the previous F.Y. 22-23</t>
  </si>
  <si>
    <t>Repayment during the previous F.Y.22-23</t>
  </si>
  <si>
    <t>Closing balance of loan as at the end of the previous financial year 31.03.23</t>
  </si>
  <si>
    <t>Receipt during the current F.Y. 23-24</t>
  </si>
  <si>
    <t>Repayment during the current F.Y.23-24</t>
  </si>
  <si>
    <t>Closing balance as at the end of the current F.Y. 31.03.24</t>
  </si>
  <si>
    <t>Estimates of  Receipt during ensuing F.Y. 24-25</t>
  </si>
  <si>
    <t>Estimates of Repayment during ensuing financial year 24-25</t>
  </si>
  <si>
    <t>Closing balance as at the end of the ensuing year 31.3.25</t>
  </si>
  <si>
    <t>Actual for the previous year (FY 22-23)</t>
  </si>
  <si>
    <t>Estimate for the current year (FY 23-24)</t>
  </si>
  <si>
    <t>Projection for the ensuing year (FY 24-25)</t>
  </si>
  <si>
    <t>Estimate for Current Year 23-24</t>
  </si>
  <si>
    <t>Projection for the Ensuing year 24-25</t>
  </si>
  <si>
    <t>23-26</t>
  </si>
  <si>
    <t>23-27</t>
  </si>
  <si>
    <t>23-28</t>
  </si>
  <si>
    <t>Single Phase Static Meter</t>
  </si>
  <si>
    <t>LT Single Phase Smart Meter</t>
  </si>
  <si>
    <t>Three Phase whole current Static Energy Meter/ Three Phase whole current Smart Meter</t>
  </si>
  <si>
    <t>Three Phase LT CT Meter/ Three Phase Smart LT CT Meter (AMR/AMI compliant)</t>
  </si>
  <si>
    <t>Three Phase HT CT Meter/Three Phase Smart HT CT Meter (AMR/AMI compliant) – 11 KV</t>
  </si>
  <si>
    <t>Three Phase HT CT Meter/Three Phase Smart HT CT Meter (AMR/AMI compliant) – 33 KV</t>
  </si>
  <si>
    <t>HTTV Meter for Railway Traction</t>
  </si>
  <si>
    <t>LT 3 phase consumer</t>
  </si>
  <si>
    <t>Previous Year 22-23</t>
  </si>
  <si>
    <t>Current Year 23-24</t>
  </si>
  <si>
    <t>Ensuing Year 24-25</t>
  </si>
  <si>
    <t>As at 31st March 2023</t>
  </si>
  <si>
    <t>As At 31.03.25</t>
  </si>
  <si>
    <t>ALL ARE IN USE AS ON                         30-11-2023</t>
  </si>
  <si>
    <t>Balance as on 31.03.25</t>
  </si>
  <si>
    <t>FY 2023-24 
(6 months)</t>
  </si>
  <si>
    <t>FY 2024-25</t>
  </si>
  <si>
    <t>No of Cons. as on 1st April of the Pr. year-2022-23</t>
  </si>
  <si>
    <t>No. of Consumers as on 1st April of the Curr.-yr-23-24</t>
  </si>
  <si>
    <t>No. of Consumers as on 1st April of the Ensuing-Yr-24-25</t>
  </si>
  <si>
    <t>Actual FY 2022-23</t>
  </si>
  <si>
    <t xml:space="preserve">1st Half FY 23-24 </t>
  </si>
  <si>
    <t>Actual 1st Half FY 23-24</t>
  </si>
  <si>
    <t>2nd Half FY 23-24</t>
  </si>
  <si>
    <t xml:space="preserve">Estimate FY 23-24 </t>
  </si>
  <si>
    <t>Proposed FY 24-25</t>
  </si>
  <si>
    <t>Current Year (FY 23-24)</t>
  </si>
  <si>
    <t>ACTUAL FOR THE YEAR 2022-23</t>
  </si>
  <si>
    <t>Proposed for FY 23-24</t>
  </si>
  <si>
    <t>OERC Approval for FY 23-24</t>
  </si>
  <si>
    <t>OERC Approval for 2023-24</t>
  </si>
  <si>
    <t>Rev Estimation for 2023-24</t>
  </si>
  <si>
    <t>Statement of Approval Vs. Actual/ Estimate for the year 2023-24</t>
  </si>
  <si>
    <t>Sale through Special Tariff (@ 4.30/5.00)</t>
  </si>
  <si>
    <t>Sale through Special Tariff (@5.00)</t>
  </si>
  <si>
    <t xml:space="preserve">Sale through TPA </t>
  </si>
  <si>
    <t>ACTUAL FOR THE YEAR 2023-24 (Six Month)</t>
  </si>
  <si>
    <t>Employees proposed and approved FY 2023-24</t>
  </si>
  <si>
    <t>Employee Proposed 
(FY 2023-24)</t>
  </si>
  <si>
    <t>No. of employees as on 01.04.2022</t>
  </si>
  <si>
    <t>Employee Approved
(FY 2023-24)</t>
  </si>
  <si>
    <t>Pro-rated for FY 2023-24</t>
  </si>
  <si>
    <t>Form No. F. 12(e)</t>
  </si>
  <si>
    <t>Cash Outgo(Rs. In Lakhs)</t>
  </si>
  <si>
    <t>Terminal Liability cash outgo from April 2023 to Nov 2023</t>
  </si>
  <si>
    <t>Total for 7 months</t>
  </si>
  <si>
    <t>Add: Addition during FY 2023-24</t>
  </si>
  <si>
    <t>23-24 (Upto Q-2)</t>
  </si>
  <si>
    <r>
      <t xml:space="preserve">FY 23-24 </t>
    </r>
    <r>
      <rPr>
        <sz val="8"/>
        <rFont val="Arial"/>
        <family val="2"/>
      </rPr>
      <t>(1st 6 Months)</t>
    </r>
  </si>
  <si>
    <r>
      <t xml:space="preserve">FY 23-24 </t>
    </r>
    <r>
      <rPr>
        <sz val="8"/>
        <rFont val="Arial"/>
        <family val="2"/>
      </rPr>
      <t>(Full Year)</t>
    </r>
  </si>
  <si>
    <t>For FY 22-23, Rs. 5.18 Cr., towards CLA &amp; Rs. 1.82 Cr. towards compensation have been included under A&amp;G as per Audited Accounts. Now, shown under Employee Expenses.</t>
  </si>
  <si>
    <t>Less: Retirement/ Expired/ Resigned during FY 2023-24</t>
  </si>
  <si>
    <t>No. of employees as on 31.03.2024</t>
  </si>
  <si>
    <t>Avg. no. of employees for FY 2023-24</t>
  </si>
  <si>
    <t>Addnl. Expenses for pipeline 50 employees during H2 of FY 2023-24</t>
  </si>
  <si>
    <t>1.01.25</t>
  </si>
  <si>
    <t>1.07.25</t>
  </si>
  <si>
    <t>Subtotal (1 to 6)</t>
  </si>
  <si>
    <t>Total additional Employee cost(8 to 10)</t>
  </si>
  <si>
    <t>Total of other staff cost (12 to 19)</t>
  </si>
  <si>
    <t>Total (7+11+20+21+22+23)</t>
  </si>
  <si>
    <t>DIVISIONAL ENGINEER (G)</t>
  </si>
  <si>
    <t>M/S.    SHIVA CEMENT LTD</t>
  </si>
  <si>
    <t>M/S.    RUNGTA MINES LTD</t>
  </si>
  <si>
    <t>M/S.        MSP METALLICS LTD</t>
  </si>
  <si>
    <t>Mr.  RSP SAIL</t>
  </si>
  <si>
    <t>DEAN</t>
  </si>
  <si>
    <t>The Dean Govt. Medical College ,  Bhawanipatna-1</t>
  </si>
  <si>
    <t>Administrator Birsa Munda Athletic Stadium Rourkela</t>
  </si>
  <si>
    <t>M/S. PLUTO PLAZA PRIVATE LIMITED</t>
  </si>
  <si>
    <t>M/S. VEDANTA LIMITED (incl. TPA)</t>
  </si>
  <si>
    <t>Sale through TPA incl. Normal Consumption</t>
  </si>
  <si>
    <t>Sale through TPA (@4.75/5.00) incl. Normal Consumption</t>
  </si>
  <si>
    <t>M/S.  SR DIVISIONAL ELECTRICAL ENGINEER TRD</t>
  </si>
  <si>
    <t>M/S.  OCPL</t>
  </si>
  <si>
    <t>ES-CGP</t>
  </si>
  <si>
    <t>Billing Efficiency</t>
  </si>
  <si>
    <t>W/O TPA</t>
  </si>
  <si>
    <t>TPA Sale (incl. normal) (MU)</t>
  </si>
  <si>
    <t>Capex-24-25 with Emp. Capitalisation</t>
  </si>
  <si>
    <t>2024-25</t>
  </si>
  <si>
    <t>Actual FY 22-23</t>
  </si>
  <si>
    <t>Estimate for 1st half FY 23-24</t>
  </si>
  <si>
    <t>Estimate for 2nd half FY 23-24</t>
  </si>
  <si>
    <t>Estimate for FY 23-24</t>
  </si>
  <si>
    <t>Proposed for FY 24-25</t>
  </si>
  <si>
    <t xml:space="preserve">Previous Yr (22-23) </t>
  </si>
  <si>
    <t>SUMMARY OF REVENUE GAP FOR 2023-24 &amp; ARR FOR 2024-25</t>
  </si>
  <si>
    <t>8131</t>
  </si>
  <si>
    <t>M/S. M/S M.R. FERRO PVT. LTD.</t>
  </si>
  <si>
    <t>M/S.     BAJRANGBALI SPONGE &amp; POWER LTD</t>
  </si>
  <si>
    <t>Mr.  EXECUTIVE ENGINEER MLP SONEPUR</t>
  </si>
  <si>
    <t>M/S.JAY BALAJI JYOTI STEELS LTD</t>
  </si>
  <si>
    <t>Irrigation &amp; Agricultural Consumers, Allied Agricultural Activities &amp; Allied Agro-Industrial Activities (Both LT &amp; HT)</t>
  </si>
  <si>
    <t xml:space="preserve">Revenue Computation for Current year (Oct to Mar) with existing tariff </t>
  </si>
  <si>
    <t>Form No. F.21</t>
  </si>
  <si>
    <t>Public Water Works &amp; Sewrage Pumping</t>
  </si>
  <si>
    <t>Irrigation (Mega Lift)</t>
  </si>
  <si>
    <t>Actual for 1st six month 
(23-24)</t>
  </si>
  <si>
    <t>FY 21-22</t>
  </si>
  <si>
    <t xml:space="preserve">Capitalised out of </t>
  </si>
  <si>
    <t>Balance</t>
  </si>
  <si>
    <t>Tecnology &amp; Civil Infra</t>
  </si>
  <si>
    <t>DISCOM's GFA as on 01.04.2024</t>
  </si>
  <si>
    <t>Govt. (Funded/Grant) Assets as on 01.04.2024</t>
  </si>
  <si>
    <t>Rate of R&amp;M on GFA</t>
  </si>
  <si>
    <t>Rate of R&amp;M on Govt. (Funded/ Grants) Assets</t>
  </si>
  <si>
    <t>Bal. of loan at the end of the year 24-25</t>
  </si>
  <si>
    <t>FOR FY 24-25</t>
  </si>
  <si>
    <t>As at 31 st March of Ensuing Year 24-25</t>
  </si>
  <si>
    <t>As at 31st March of curr. Yr.23-24</t>
  </si>
  <si>
    <t>As at 31st March of Ensuing Year 24-25</t>
  </si>
  <si>
    <t xml:space="preserve">As At (Ensuing Year-24-25) </t>
  </si>
  <si>
    <t xml:space="preserve">As At (Current Year 23-24) </t>
  </si>
  <si>
    <t>As at 31 st March of Current Year 23-24</t>
  </si>
  <si>
    <t>As at 31st March of Prev. Yr.22-23</t>
  </si>
  <si>
    <t>As at 31st March of Current Year 23-24</t>
  </si>
  <si>
    <t xml:space="preserve">As At (Current Year-23-24) </t>
  </si>
  <si>
    <t xml:space="preserve">As At (Previous Year 22-23) </t>
  </si>
  <si>
    <t>Available as on Previous year 31.3.23</t>
  </si>
  <si>
    <t>Available as on the end of current year 31.03.24</t>
  </si>
  <si>
    <t>Availability at the End of Ensuing Year 31.03.25</t>
  </si>
  <si>
    <t>TOTAL for FY</t>
  </si>
  <si>
    <t>1st 6 months</t>
  </si>
  <si>
    <t>BST bill upto Sep-23 (as per schedule)</t>
  </si>
  <si>
    <t>Surcharge</t>
  </si>
  <si>
    <t>Transmission charges (Upto Sep-23)</t>
  </si>
  <si>
    <t>SLDC charges up to Sep-23</t>
  </si>
  <si>
    <t>Basis for ensuing year FY 24-25</t>
  </si>
  <si>
    <t>FY 24 (6 months)</t>
  </si>
  <si>
    <t>BST bill  (@390 p/u)</t>
  </si>
  <si>
    <t>Transmission (@24 p/u)</t>
  </si>
  <si>
    <t>Cluster/Division</t>
  </si>
  <si>
    <t>BED,BARGARH</t>
  </si>
  <si>
    <t xml:space="preserve">M/s Gaurav Enterprises </t>
  </si>
  <si>
    <t>BWED,BARGARH</t>
  </si>
  <si>
    <t>M/s H. S. Power Projects Pvt. Ltd.</t>
  </si>
  <si>
    <t>JED &amp; BNED SAMBALPUR</t>
  </si>
  <si>
    <t xml:space="preserve">M/s Buddham Builders </t>
  </si>
  <si>
    <t>SED &amp; DED SAMBALPUR</t>
  </si>
  <si>
    <t xml:space="preserve">M/s G.V. Electricals Pvt. Ltd. </t>
  </si>
  <si>
    <t>SEED,SAMBALPUR</t>
  </si>
  <si>
    <t xml:space="preserve">M/s The Imperial Electric Company </t>
  </si>
  <si>
    <t>KWED,KALAHANDI</t>
  </si>
  <si>
    <t>M/s BKS Enterprises</t>
  </si>
  <si>
    <t>KEED,KALAHANDI</t>
  </si>
  <si>
    <t>M/s Orissa Enterprises</t>
  </si>
  <si>
    <t>NED,KALAHANDI</t>
  </si>
  <si>
    <t xml:space="preserve">M/s MDSG Construction Pvt Ltd. </t>
  </si>
  <si>
    <t>BED,BOLANGIR</t>
  </si>
  <si>
    <t xml:space="preserve">M/s Surya Construction Company </t>
  </si>
  <si>
    <t>SED,BOLANGIR</t>
  </si>
  <si>
    <t>M/s Hindushan Engineering Corporation</t>
  </si>
  <si>
    <t>TED,BOLANGIR</t>
  </si>
  <si>
    <t xml:space="preserve">M/s S R Electricals &amp; Construction Limited </t>
  </si>
  <si>
    <t>RED,ROURKELA</t>
  </si>
  <si>
    <t xml:space="preserve">M/s Keystones Solutions </t>
  </si>
  <si>
    <t>RSED,ROURKELA</t>
  </si>
  <si>
    <t>M/s M K Powertech</t>
  </si>
  <si>
    <t>RGP,ROURKELA</t>
  </si>
  <si>
    <t>M/s Mithila  &amp; Mithila Enterprises</t>
  </si>
  <si>
    <t>SED,ROURKELA</t>
  </si>
  <si>
    <t>M/s Sandha &amp; Company</t>
  </si>
  <si>
    <t>11 KV AMC</t>
  </si>
  <si>
    <t>33 KV Network asset AMC (other than Grid operation)</t>
  </si>
  <si>
    <t>Substation operations &amp; maintenance (33 kv Grid operation &amp; maintenance)</t>
  </si>
  <si>
    <t>ODSSP (I, II &amp; III)</t>
  </si>
  <si>
    <t>ODSSP (IV)</t>
  </si>
  <si>
    <t>Mar-24 (In Lakh)</t>
  </si>
  <si>
    <t>Mar-23 (In Lakh)</t>
  </si>
  <si>
    <t>Licence Fees (FG, SAP &amp; OERC)</t>
  </si>
  <si>
    <t>Investment details as on 31.3.23</t>
  </si>
  <si>
    <t>31.03.2023</t>
  </si>
  <si>
    <t xml:space="preserve">MoM dt. </t>
  </si>
  <si>
    <t>12.03.23</t>
  </si>
  <si>
    <t>DDUGJY (PGCIL)</t>
  </si>
  <si>
    <t>DDUGJY (NTPC)</t>
  </si>
  <si>
    <t>MOM</t>
  </si>
  <si>
    <t>MOM + TPWODL</t>
  </si>
  <si>
    <t>TPA Power (@455 p/u)</t>
  </si>
  <si>
    <t>Pr. Year (31.03.23)</t>
  </si>
  <si>
    <t>Current Year (31.03.24)</t>
  </si>
  <si>
    <t>Ensuing Year (31.03.25)</t>
  </si>
  <si>
    <t>Other Borrowing</t>
  </si>
  <si>
    <t>f)  Interest on Capex loans</t>
  </si>
  <si>
    <t>f)  Interest on working Capital &amp; other borrowings</t>
  </si>
  <si>
    <t>Actual for Previous Year 22-23 (Audited)</t>
  </si>
  <si>
    <t>FY24-25</t>
  </si>
  <si>
    <t>BSP surcharge</t>
  </si>
  <si>
    <t>Regulatory asset/ Regulatory Deferrals for the year</t>
  </si>
  <si>
    <t>HDFC</t>
  </si>
  <si>
    <t>CANARA</t>
  </si>
  <si>
    <t>SBI Base Rate +1.5</t>
  </si>
  <si>
    <t>Power purchase Cost</t>
  </si>
  <si>
    <t>Power Purchase for 1 month</t>
  </si>
  <si>
    <t>Maintenance spares @ 20% of R&amp;M for 1 month</t>
  </si>
  <si>
    <t>CONSOLIDATED AGEWISE ANALYSIS OF DEBTORS OUTSTANDING AS ON 30 TH SEP-2023</t>
  </si>
  <si>
    <t xml:space="preserve">Vendors deployed for Enforcement activities </t>
  </si>
  <si>
    <t>M/S Amman Associate
(Sambalpur, Bargarh, Bolangir and Kalahandi Circles)</t>
  </si>
  <si>
    <t>M/S Unix services (Rourkela)</t>
  </si>
  <si>
    <t>Manpower Services Cost for Consumer Survey</t>
  </si>
  <si>
    <t xml:space="preserve">Repair, Maintenance, and testing of CT/PT Unit </t>
  </si>
  <si>
    <t>Calibration of Instruments</t>
  </si>
  <si>
    <t>Tools &amp; Equipment - Lineman Tool Kit</t>
  </si>
  <si>
    <t>Rental for SIMs for Modems</t>
  </si>
  <si>
    <t>Repair &amp; Maintenance of Office &amp; MMG Store</t>
  </si>
  <si>
    <t>Replacement of Dusty/Non-Visible Meter Boxes</t>
  </si>
  <si>
    <t>Cost of Spot Meter Reading, Billing and Bill Distribution and service of Disconnection Notice</t>
  </si>
  <si>
    <t xml:space="preserve">Cost for Meter Reading of Non SBM Consumers- Other Than Irrigation/PWW and SPP </t>
  </si>
  <si>
    <t xml:space="preserve">Cost for Colored Bill Printing </t>
  </si>
  <si>
    <t xml:space="preserve">Cost for Bill distribution of Non-SBM Consumers including disconnection/other notice delivery with Acknowledgement </t>
  </si>
  <si>
    <t>Cost for Bill distribution of Non SBM Consumers including disconnection / other notice delivery without Acknowledgement</t>
  </si>
  <si>
    <t xml:space="preserve">Cost for Special Meter Reading/Site Verification report </t>
  </si>
  <si>
    <t xml:space="preserve">Cost for Special Bill Distribution / Notice with Acknowledgement </t>
  </si>
  <si>
    <t>Cost of Meter Reading of Non-SBM  Consumers- Irrigation/PWW and SPP Cost</t>
  </si>
  <si>
    <t xml:space="preserve">RCM - Meter Reading &amp; Billing </t>
  </si>
  <si>
    <t>RCM - Incentives for loss reduction</t>
  </si>
  <si>
    <t>OCR Based Meter Reading</t>
  </si>
  <si>
    <t>ECL Consumer survey Cost / Cost of Never Paid cases</t>
  </si>
  <si>
    <t xml:space="preserve">Monthly cost for Extra Connections: : Reporting Extra Live connections not in TPWODL billing system, presently or disconnected / Removed in TPWODL billing system, not given in downloaded data </t>
  </si>
  <si>
    <t>Cost for Capturing &amp; reporting of correct Mobile No/Email ID</t>
  </si>
  <si>
    <t xml:space="preserve">Cost for Conversion of provisional/average bill continues more than 6 months into the actual base </t>
  </si>
  <si>
    <t>Meter Replacement (Recurring costs other than meters)</t>
  </si>
  <si>
    <t>Collection cost</t>
  </si>
  <si>
    <t xml:space="preserve">           Against arrears out of March'20</t>
  </si>
  <si>
    <t>No. of PD Consumers</t>
  </si>
  <si>
    <t>No. of Ghost Consumers</t>
  </si>
  <si>
    <t>Calculation of Monthly Voltage wise Loss (DISCOM) for the FY 2023-24*</t>
  </si>
  <si>
    <t>MMG - Meter Replacement (Recurring costs other than meters)</t>
  </si>
  <si>
    <t>OT OPEX items</t>
  </si>
  <si>
    <t>Automation Spare materials</t>
  </si>
  <si>
    <t>Repairing &amp; Maintenance Automation Devices</t>
  </si>
  <si>
    <t>SIM Card Rental for Smart Meters</t>
  </si>
  <si>
    <t>HES AMC services</t>
  </si>
  <si>
    <t xml:space="preserve">FMS services </t>
  </si>
  <si>
    <t>MDMS AMC services</t>
  </si>
  <si>
    <t>Recurring Charges of MPLS Link</t>
  </si>
  <si>
    <t>Optric Fiber Maintenance</t>
  </si>
  <si>
    <t>Technology Center Equipment AMC Services</t>
  </si>
  <si>
    <t>Customer Service OPEX</t>
  </si>
  <si>
    <t>Call Centre  Manpower</t>
  </si>
  <si>
    <t>IKONTEL Call Centre CRM Solutions</t>
  </si>
  <si>
    <t>IKONTEL Missed Call Service Solution</t>
  </si>
  <si>
    <t>IKONTEL Interactive WhatsApp  Solutions</t>
  </si>
  <si>
    <t>Ikontel_Post Transaction Feedback</t>
  </si>
  <si>
    <t>Manpower Services for operation of Consumer Care Centres</t>
  </si>
  <si>
    <t>SMS Charges for sending SMS to Consumers</t>
  </si>
  <si>
    <t>Tubelight (WhatsApp delivery charges)</t>
  </si>
  <si>
    <t>Email</t>
  </si>
  <si>
    <t>Call Centre IVRS (1912) BSNL</t>
  </si>
  <si>
    <t>SIM Rental for Call Centre Desk phones</t>
  </si>
  <si>
    <t>Various Customer Meet</t>
  </si>
  <si>
    <t>Manpower Services for Handling  Social Media Complaints</t>
  </si>
  <si>
    <t>Aident Social Welfare Organisation</t>
  </si>
  <si>
    <t>Miss Call Pay Service</t>
  </si>
  <si>
    <t>Customer Satisfaction Survey</t>
  </si>
  <si>
    <t>Voice Message (IVR OBD)</t>
  </si>
  <si>
    <t>IT OPEX items</t>
  </si>
  <si>
    <t>Call Centre Addnl. Cost</t>
  </si>
  <si>
    <t>Vigilance activity for rev imp/ CSR</t>
  </si>
  <si>
    <t>Expenditure for Customer care &amp; call Centre/ SUPERVISION CHARGES</t>
  </si>
  <si>
    <t>Clearing &amp; forwarding charges/ Transportation charges paid to outsiders</t>
  </si>
  <si>
    <t>Transit insurance/ Loading &amp; Unloading charges paid to outsiders</t>
  </si>
  <si>
    <t xml:space="preserve">Loss Reduction </t>
  </si>
  <si>
    <t>23-24 (Apr- Sep)</t>
  </si>
  <si>
    <t>23-24 (Revised Estimate)</t>
  </si>
  <si>
    <t>Own Assets</t>
  </si>
  <si>
    <t>Govt. (Funded/Grant) Assets</t>
  </si>
  <si>
    <t>Normative Rate</t>
  </si>
  <si>
    <t>Total GFA as on 01.04.2024</t>
  </si>
  <si>
    <t>Grant Assets</t>
  </si>
  <si>
    <t>Assets out of Consumer Contribution</t>
  </si>
  <si>
    <t>Own Inherited Assets</t>
  </si>
  <si>
    <t>Own CAPEX Assets</t>
  </si>
  <si>
    <t>Total GFA (Own Assets)</t>
  </si>
  <si>
    <t xml:space="preserve">Man-power Cost </t>
  </si>
  <si>
    <t>(FY 2024-25)</t>
  </si>
  <si>
    <t>Nature of Activity</t>
  </si>
  <si>
    <r>
      <t>Annual Energy accounting (</t>
    </r>
    <r>
      <rPr>
        <sz val="9"/>
        <rFont val="Arial"/>
        <family val="2"/>
      </rPr>
      <t>Consultation Fee to Acreedited Energy Auditor</t>
    </r>
    <r>
      <rPr>
        <sz val="10"/>
        <rFont val="Arial"/>
        <family val="2"/>
      </rPr>
      <t>)</t>
    </r>
  </si>
  <si>
    <r>
      <t>Periodic Energy accounting (</t>
    </r>
    <r>
      <rPr>
        <sz val="9"/>
        <rFont val="Arial"/>
        <family val="2"/>
      </rPr>
      <t>Consultation Fee to Acreedited Energy Auditor</t>
    </r>
    <r>
      <rPr>
        <sz val="10"/>
        <rFont val="Arial"/>
        <family val="2"/>
      </rPr>
      <t>)</t>
    </r>
  </si>
  <si>
    <t>(Rs. lakhs)</t>
  </si>
  <si>
    <t>Total GFA as on 01.04.2023</t>
  </si>
  <si>
    <t>ARR for FY 2024-25</t>
  </si>
  <si>
    <t>Wheeling cost for FY 2024-25</t>
  </si>
  <si>
    <t>Retail supply Cost for FY 24-25</t>
  </si>
  <si>
    <t>For 2 circles</t>
  </si>
  <si>
    <t>Addnl. Cost</t>
  </si>
  <si>
    <t>Recurring Costs</t>
  </si>
  <si>
    <t>Enforcement Activities</t>
  </si>
  <si>
    <r>
      <rPr>
        <sz val="9"/>
        <color rgb="FF000000"/>
        <rFont val="Calibri"/>
        <family val="2"/>
      </rPr>
      <t>M/S SHYAM METALICS &amp; ENERGY LTD</t>
    </r>
    <r>
      <rPr>
        <sz val="11"/>
        <color indexed="8"/>
        <rFont val="Calibri"/>
        <family val="2"/>
      </rPr>
      <t xml:space="preserve"> (incl. Bilateral)</t>
    </r>
  </si>
  <si>
    <t>M/S.   SE GMLIP</t>
  </si>
  <si>
    <t>M/S.   LOWER SUKTEL CANAL DIVISION NO</t>
  </si>
  <si>
    <t>M/S.     ODISHA MINING CORPORATION LTD</t>
  </si>
  <si>
    <t>S.E. LOWER SUKTEL CANAL DIVISION NO-II, LOISINGHA</t>
  </si>
  <si>
    <t>M/S.  MICROCOSM REFRAMIN PVT LTD</t>
  </si>
  <si>
    <t>M/S. NLC INDIA INDIA LIMITED</t>
  </si>
  <si>
    <t>Superintending Engineer Gangadhar Meher Lift Irr</t>
  </si>
  <si>
    <t>M/S. BHUSAN POWER &amp; STEEL LTD</t>
  </si>
  <si>
    <t>M/S.  SUPERINTENDENT BBMCH</t>
  </si>
  <si>
    <t>SUPERITENDENT  DHH, BARGARH</t>
  </si>
  <si>
    <t>M/S.     RUNAYA REFINING LLP</t>
  </si>
  <si>
    <t>M/S.  Ind Barath Energy Utkal Limited</t>
  </si>
  <si>
    <t>M/S. Maa Bhanbhori Oils &amp; Refinery</t>
  </si>
  <si>
    <t>M/S.   Shree Hari Sponge Pvt Ltd</t>
  </si>
  <si>
    <t>M/S.   GM OPERATION ROURKELA SMART CITY LIMITED</t>
  </si>
  <si>
    <t>Mr. CDMO PHO Kalahandi</t>
  </si>
  <si>
    <t>Mr.  EE RWSS DIVISION BARGARH</t>
  </si>
  <si>
    <t>Reliance Jio Infocom Limited</t>
  </si>
  <si>
    <t>Executive Engineer RWSS Division Bargarh</t>
  </si>
  <si>
    <t>M/S.   MAA BHARAMARI OILS PRIVATE LIMITED</t>
  </si>
  <si>
    <t>M/S.     RATNAMANI METALS AND TUBES LTD</t>
  </si>
  <si>
    <t>M/S.   EXECUTIVE ENGINEER PH DEPARTMENT</t>
  </si>
  <si>
    <t>M/S.    CMR ALUMINIUM PVT LTD</t>
  </si>
  <si>
    <t>M/S.        EE MEGALIFT SONEPUR</t>
  </si>
  <si>
    <t>SUPERITENDING ENGINEER RWSS DIVISION,SUNDARGARH</t>
  </si>
  <si>
    <t>THE EXECUTIVE ENGINEER RWSS DIVISION ROURKELA</t>
  </si>
  <si>
    <t>Ms. EXECUTIVE ENGINEER RWSS DIVISION JHARSUGUDA</t>
  </si>
  <si>
    <t>M/S.  CDMO &amp; PHO Deogarh</t>
  </si>
  <si>
    <t>SUPERITENDING ENGINEER RWSS DIVISION,SAMBALPUR</t>
  </si>
  <si>
    <t>M/S.   BARGARH BIO FUELS DEVELOPMENT FOUNDATION</t>
  </si>
  <si>
    <t>M/S.   JSW STEEL LTD</t>
  </si>
  <si>
    <t>Opening Balance(Security Deposit FD Rs.90402.47 lakh &amp; Deposit workk FD 21553)</t>
  </si>
  <si>
    <t>Closing Balance(Security Deposit FD Rs.107649.46 lakh &amp; Deposit workk FD 52420)</t>
  </si>
  <si>
    <t>RETAIL SUPPLY TARIFF EFFECTIVE FROM 1st APRIL, 2024</t>
  </si>
  <si>
    <t>Energy charges for all LT consumers shall continue to be billed on the basis of kWh whereas the energy charges for HT and EHT consumers shall be billed on the basis of kVAh drawal. All open access transaction will be maintained in kWh sale only and kVAh based sale shall be converted into kWh base on the power factor for the month provided in the energy bills if necessary. For Electricity Duty purpose kWh shall be the unit for the consumers for whom ED is levied on the per unit basis. For load factor purpose kWh reading shall be taken into consideration.</t>
  </si>
  <si>
    <t>The reconnection charges w.e.f. 01.04.2015 shall continue unaltered.</t>
  </si>
  <si>
    <t>The meter rent w.e.f 01.04.2023 shall continue unaltered.</t>
  </si>
  <si>
    <t>All HT industrial consumers (Steel Plant) having Contract Demand (CD) of 1 MVA and above shall get a rebate on energy charge on achieving the load factor as given below:
                                                                              CD upto 6 MVA                                   CD above 6 MVA
For load factor of 65% and above upto 75%            10% on energy charge                                            -
For load factor above 75% upto 85%                      15% on energy charge                            8% on energy charge
For load factor above 85%                                     20% on energy charge                           10% on energy charge
The above rebate shall be on energy charges of entire unit of consumption.Load reduction shall not be permitted to such category of industry for availing this rebate during the financial year 2024-25.</t>
  </si>
  <si>
    <t>Any industry having CGP with CD up to 20MW willing to avail power from DISCOMs upto double the CD shall be allowed to draw power without payment of overdrawal penalty. For this purpose, the Industry has to operate at minimum CD of 80% for the entire month. The applicable charges for incremental energy drawl (kVAh) beyond CD shall be Rs.5.00 paise per kVAh. However, the DISCOMs shall not exceed their approved SMD during that period. The DISCOM must ensure that for such overdrawal, the distribution system is not overloaded and no load shedding is imposed during that period.</t>
  </si>
  <si>
    <t>Any industry having CGP with CD above 20 MW willing to avail power from DISCOMs and operating at load factor more than 80% shall be allowed to draw power at the rate not less than Rs.5.00 per kVAh for all incremental energy drawal above 80% load factor. No overdrawal penalty shall be levied on them. For this purpose, the industry shall enter into a tripartite agreement with DISCOMs and GRIDCO.</t>
  </si>
  <si>
    <t>In case of installation with static meter/meter with provision of recording demand, the recorded demand rounded to nearest 0.5 KW shall be considered as the contract demand requiring no verification irrespective of the agreement. Therefore, this shall also form the basis for the purpose of calculation of Monthly Minimum Fixed Charge (MMFC) for the connected load below 110 KVA..</t>
  </si>
  <si>
    <t>LT Domestic, LT General Purpose and HT Bulk Supply (Domestic) consumers will get 10 paise/unit rebate for prompt payment of the bill within due date.</t>
  </si>
  <si>
    <t>Three phase consumers with meters are allowed to avail TOD rebate (excluding LT Domestic and LT General Purpose categories, Public Lighting, emergency supply to CGP) @ 20 paise/unit for energy consumed during off peak hours. Off peak hours for this purpose shall be from 2 PM to 6 PM in the day and 12 Midnight to 6 AM of the next day.</t>
  </si>
  <si>
    <t>Swajala Dhara consumers under Public Water Works and Sewerage Pumping Installation category shall get special rebate @10% on the energy consumption over and above normal rebate, if electricity bills are paid within due date over and above normal rebate.</t>
  </si>
  <si>
    <t>Drawal by the industries during off-peak hours upto 120% of Contract Demand without levy of any penalty has been allowed. “Off-peak hours” for the purpose of tariff shall be from 2 PM to 6 PM in the day and 12 Midnight to 6 AM of the next day. The consumers who draw beyond their contract demand during the hours other than the offpeak hours shall not be eligible for this benefit. If the drawal during the off-peak hours exceeds 120% of the contract demand, overdrawal penalty shall be charged on the drawal over and above the 120% of contract demand (for details refer Tariff Order). If Statutory Load Regulation is imposed, then restricted demand shall be treated as contract demand.</t>
  </si>
  <si>
    <t>4% rebate over and above normal rebate shall be allowed on the bill to the LT domestic and single phase general purpose category of consumers only over and above all the rebates, if such consumer pays the entire amount through digital mode before due date.</t>
  </si>
  <si>
    <t>The consumers of any category can get a Green Consumer Certification by DISCOMs,if 100% of their power requirement is met from renewable sources by DISCOMs. The consumer has to pay additional 25 paise per unit as premium over and above the normal rate of energy charges. This facility shall be in force for one year from the effective date of this order. The consumer has to apply the concerned DISCOM in advance for this purpose. This facility shall not be available to the consumers having Captive Generating Plants (CGPs).</t>
  </si>
  <si>
    <t>Charging of electric vehicle through public charging system/station shall be covered under General Purpose (GP) category and single part tariff of Rs.5.50 per unit shall be applicable. The charging unit established by group housing society through a separate connection shall also be treated as public charging system/station.</t>
  </si>
  <si>
    <t>Licensee-TPWODL</t>
  </si>
  <si>
    <t>Elect. Circle, (Sambalpur)</t>
  </si>
  <si>
    <t>Elect. Circle, (Bargarh)</t>
  </si>
  <si>
    <t>Elect. Circle, (Rourkela)</t>
  </si>
  <si>
    <t>Elect. Circle, (Bolangir)</t>
  </si>
  <si>
    <t>Elect. Circle, (Kalahandi)</t>
  </si>
  <si>
    <t>Total Sale in MU</t>
  </si>
  <si>
    <t>Total Revenue Billed For each category (Rs. Lakh)</t>
  </si>
  <si>
    <t>Licensee :</t>
  </si>
  <si>
    <t>Opening with SD (OB-SD Rs.107649.46 &amp; Deposit Work FD Rs.52420 lakh)</t>
  </si>
  <si>
    <t>Non-Tariff Income</t>
  </si>
  <si>
    <t>27.19 Lakh (Incl. TD &amp; PD) As on 30th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</si>
</sst>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43" formatCode="_ * #,##0.00_ ;_ * \-#,##0.00_ ;_ * &quot;-&quot;??_ ;_ @_ "/>
    <numFmt numFmtId="164" formatCode="_(* #,##0_);_(* \(#,##0\);_(* &quot;-&quot;_);_(@_)"/>
    <numFmt numFmtId="165" formatCode="_(* #,##0.00_);_(* \(#,##0.00\);_(* &quot;-&quot;??_);_(@_)"/>
    <numFmt numFmtId="166" formatCode="_-* #,##0.00_-;\-* #,##0.00_-;_-* &quot;-&quot;??_-;_-@_-"/>
    <numFmt numFmtId="167" formatCode="0.000"/>
    <numFmt numFmtId="168" formatCode="0.0"/>
    <numFmt numFmtId="169" formatCode="0.000%"/>
    <numFmt numFmtId="170" formatCode="0.0%"/>
    <numFmt numFmtId="171" formatCode="0.00;[Red]0.00"/>
    <numFmt numFmtId="172" formatCode="0;[Red]0"/>
    <numFmt numFmtId="173" formatCode="0.00000"/>
    <numFmt numFmtId="174" formatCode="0.00_);\(0.00\)"/>
    <numFmt numFmtId="175" formatCode="0.0000"/>
    <numFmt numFmtId="176" formatCode="0&quot;  &quot;"/>
    <numFmt numFmtId="177" formatCode="General_)"/>
    <numFmt numFmtId="178" formatCode="d\.mmm\.yy"/>
    <numFmt numFmtId="179" formatCode="mmm\.yy"/>
    <numFmt numFmtId="180" formatCode="d\.m\.yy\ h:mm"/>
    <numFmt numFmtId="181" formatCode="0.00&quot;  &quot;"/>
    <numFmt numFmtId="182" formatCode="#,##0.000_);[Red]\(#,##0.000\)"/>
    <numFmt numFmtId="183" formatCode="_(* #,##0_);_(* \(#,##0\);_(* &quot;-&quot;??_);_(@_)"/>
    <numFmt numFmtId="184" formatCode="#,##0.0_);[Red]\(#,##0.0\)"/>
    <numFmt numFmtId="185" formatCode="_-* #,##0.000_-;\-* #,##0.000_-;_-* &quot;-&quot;??_-;_-@_-"/>
    <numFmt numFmtId="186" formatCode="yyyymmdd"/>
    <numFmt numFmtId="187" formatCode="mmddyyyy"/>
    <numFmt numFmtId="188" formatCode="0_);\(0\)"/>
    <numFmt numFmtId="189" formatCode="[$-409]mmm\-yy;@"/>
    <numFmt numFmtId="190" formatCode="0.000000"/>
    <numFmt numFmtId="191" formatCode="mm/dd/yy;@"/>
    <numFmt numFmtId="192" formatCode="_(* #,##0.000_);_(* \(#,##0.000\);_(* &quot;-&quot;??_);_(@_)"/>
    <numFmt numFmtId="193" formatCode="0.000_);\(0.000\)"/>
    <numFmt numFmtId="194" formatCode="0.0000000"/>
    <numFmt numFmtId="195" formatCode="[$-409]dd/mmm/yy;@"/>
    <numFmt numFmtId="196" formatCode="0.0000000000"/>
    <numFmt numFmtId="197" formatCode="_(* #,##0.0000000_);_(* \(#,##0.0000000\);_(* &quot;-&quot;??_);_(@_)"/>
    <numFmt numFmtId="198" formatCode="_(* #,##0.0_);_(* \(#,##0.0\);_(* &quot;-&quot;??_);_(@_)"/>
    <numFmt numFmtId="199" formatCode="_(* #,##0.000000000000_);_(* \(#,##0.000000000000\);_(* &quot;-&quot;??_);_(@_)"/>
    <numFmt numFmtId="200" formatCode="0.000000000000000%"/>
    <numFmt numFmtId="201" formatCode="_(* #,##0.000000_);_(* \(#,##0.000000\);_(* &quot;-&quot;??_);_(@_)"/>
    <numFmt numFmtId="202" formatCode="_(* #,##0.00000000_);_(* \(#,##0.00000000\);_(* &quot;-&quot;??_);_(@_)"/>
    <numFmt numFmtId="203" formatCode="#,##0.0000"/>
    <numFmt numFmtId="204" formatCode="#,##0.0"/>
    <numFmt numFmtId="205" formatCode="_(* #,##0.00000_);_(* \(#,##0.00000\);_(* &quot;-&quot;??_);_(@_)"/>
    <numFmt numFmtId="206" formatCode="0.00000%"/>
    <numFmt numFmtId="207" formatCode="0.000000%"/>
  </numFmts>
  <fonts count="1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4"/>
      <name val="Arial"/>
      <family val="2"/>
    </font>
    <font>
      <sz val="10"/>
      <name val="Arial"/>
      <family val="2"/>
    </font>
    <font>
      <sz val="10"/>
      <color indexed="9"/>
      <name val="Arial"/>
      <family val="2"/>
    </font>
    <font>
      <b/>
      <sz val="10"/>
      <color indexed="8"/>
      <name val="Arial"/>
      <family val="2"/>
    </font>
    <font>
      <b/>
      <u/>
      <sz val="10"/>
      <color indexed="8"/>
      <name val="Arial"/>
      <family val="2"/>
    </font>
    <font>
      <b/>
      <u/>
      <sz val="12"/>
      <color indexed="8"/>
      <name val="Arial"/>
      <family val="2"/>
    </font>
    <font>
      <u/>
      <sz val="12"/>
      <color indexed="8"/>
      <name val="Arial"/>
      <family val="2"/>
    </font>
    <font>
      <b/>
      <sz val="12"/>
      <color indexed="8"/>
      <name val="Arial"/>
      <family val="2"/>
    </font>
    <font>
      <b/>
      <sz val="14"/>
      <color indexed="8"/>
      <name val="Arial"/>
      <family val="2"/>
    </font>
    <font>
      <sz val="14"/>
      <color indexed="8"/>
      <name val="Arial"/>
      <family val="2"/>
    </font>
    <font>
      <b/>
      <u/>
      <sz val="14"/>
      <color indexed="8"/>
      <name val="Arial"/>
      <family val="2"/>
    </font>
    <font>
      <sz val="12"/>
      <name val="Arial"/>
      <family val="2"/>
    </font>
    <font>
      <u/>
      <sz val="16"/>
      <color indexed="8"/>
      <name val="Arial"/>
      <family val="2"/>
    </font>
    <font>
      <sz val="10"/>
      <color indexed="8"/>
      <name val="Arial"/>
      <family val="2"/>
    </font>
    <font>
      <sz val="12"/>
      <color indexed="8"/>
      <name val="Arial"/>
      <family val="2"/>
    </font>
    <font>
      <b/>
      <sz val="8"/>
      <name val="Arial"/>
      <family val="2"/>
    </font>
    <font>
      <sz val="8"/>
      <name val="Arial"/>
      <family val="2"/>
    </font>
    <font>
      <sz val="10"/>
      <color indexed="10"/>
      <name val="Arial"/>
      <family val="2"/>
    </font>
    <font>
      <b/>
      <i/>
      <sz val="14"/>
      <name val="Arial"/>
      <family val="2"/>
    </font>
    <font>
      <b/>
      <i/>
      <sz val="10"/>
      <name val="Arial"/>
      <family val="2"/>
    </font>
    <font>
      <sz val="14"/>
      <name val="Arial"/>
      <family val="2"/>
    </font>
    <font>
      <b/>
      <sz val="16"/>
      <name val="Arial"/>
      <family val="2"/>
    </font>
    <font>
      <b/>
      <sz val="10"/>
      <color indexed="10"/>
      <name val="Arial"/>
      <family val="2"/>
    </font>
    <font>
      <b/>
      <u/>
      <sz val="24"/>
      <color indexed="8"/>
      <name val="Arial"/>
      <family val="2"/>
    </font>
    <font>
      <sz val="13"/>
      <color indexed="8"/>
      <name val="Arial"/>
      <family val="2"/>
    </font>
    <font>
      <b/>
      <sz val="13"/>
      <color indexed="8"/>
      <name val="Arial"/>
      <family val="2"/>
    </font>
    <font>
      <sz val="12"/>
      <name val="Times New Roman"/>
      <family val="1"/>
    </font>
    <font>
      <sz val="20"/>
      <name val="Arial"/>
      <family val="2"/>
    </font>
    <font>
      <b/>
      <sz val="20"/>
      <color indexed="10"/>
      <name val="Arial"/>
      <family val="2"/>
    </font>
    <font>
      <sz val="18"/>
      <color indexed="10"/>
      <name val="Arial"/>
      <family val="2"/>
    </font>
    <font>
      <b/>
      <sz val="8"/>
      <color indexed="8"/>
      <name val="Arial"/>
      <family val="2"/>
    </font>
    <font>
      <sz val="12"/>
      <color indexed="10"/>
      <name val="Arial"/>
      <family val="2"/>
    </font>
    <font>
      <sz val="11"/>
      <name val="Arial"/>
      <family val="2"/>
    </font>
    <font>
      <sz val="9"/>
      <name val="Arial"/>
      <family val="2"/>
    </font>
    <font>
      <sz val="12"/>
      <name val="Tms Rmn"/>
    </font>
    <font>
      <sz val="11"/>
      <name val="Univers Condensed"/>
      <family val="2"/>
    </font>
    <font>
      <sz val="9"/>
      <name val="Times New Roman"/>
      <family val="1"/>
    </font>
    <font>
      <sz val="12"/>
      <name val="Times New Roman"/>
      <family val="1"/>
    </font>
    <font>
      <sz val="10"/>
      <name val="Helv"/>
    </font>
    <font>
      <sz val="11"/>
      <name val="Book Antiqua"/>
      <family val="1"/>
    </font>
    <font>
      <sz val="10"/>
      <name val="MS Sans Serif"/>
      <family val="2"/>
    </font>
    <font>
      <sz val="7"/>
      <name val="Small Fonts"/>
      <family val="2"/>
    </font>
    <font>
      <sz val="10"/>
      <name val="Times New Roman"/>
      <family val="1"/>
    </font>
    <font>
      <b/>
      <sz val="12"/>
      <name val="Times New Roman"/>
      <family val="1"/>
    </font>
    <font>
      <b/>
      <u/>
      <sz val="10"/>
      <name val="Arial"/>
      <family val="2"/>
    </font>
    <font>
      <b/>
      <sz val="11"/>
      <name val="Arial"/>
      <family val="2"/>
    </font>
    <font>
      <b/>
      <u/>
      <sz val="12"/>
      <name val="Arial"/>
      <family val="2"/>
    </font>
    <font>
      <b/>
      <sz val="20"/>
      <name val="Arial"/>
      <family val="2"/>
    </font>
    <font>
      <b/>
      <sz val="13"/>
      <name val="Arial"/>
      <family val="2"/>
    </font>
    <font>
      <b/>
      <sz val="11"/>
      <name val="Arial"/>
      <family val="2"/>
    </font>
    <font>
      <i/>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b/>
      <sz val="10"/>
      <name val="Times New Roman"/>
      <family val="1"/>
    </font>
    <font>
      <i/>
      <sz val="11"/>
      <name val="Arial"/>
      <family val="2"/>
    </font>
    <font>
      <sz val="10"/>
      <color indexed="8"/>
      <name val="Tahoma"/>
      <family val="2"/>
    </font>
    <font>
      <sz val="10"/>
      <name val="Arial"/>
      <family val="2"/>
    </font>
    <font>
      <sz val="8"/>
      <name val="Arial"/>
      <family val="2"/>
    </font>
    <font>
      <b/>
      <sz val="10"/>
      <color indexed="54"/>
      <name val="Arial"/>
      <family val="2"/>
    </font>
    <font>
      <b/>
      <sz val="11"/>
      <name val="Times New Roman"/>
      <family val="1"/>
    </font>
    <font>
      <b/>
      <sz val="9"/>
      <name val="Times New Roman"/>
      <family val="1"/>
    </font>
    <font>
      <sz val="8"/>
      <name val="Arial"/>
      <family val="2"/>
    </font>
    <font>
      <sz val="12"/>
      <name val="Arial"/>
      <family val="2"/>
    </font>
    <font>
      <b/>
      <sz val="10"/>
      <color indexed="8"/>
      <name val="Calibri"/>
      <family val="2"/>
    </font>
    <font>
      <sz val="10"/>
      <color indexed="8"/>
      <name val="Calibri"/>
      <family val="2"/>
    </font>
    <font>
      <b/>
      <sz val="11"/>
      <color indexed="10"/>
      <name val="Calibri"/>
      <family val="2"/>
    </font>
    <font>
      <b/>
      <sz val="11"/>
      <name val="Calibri"/>
      <family val="2"/>
    </font>
    <font>
      <sz val="8"/>
      <name val="Arial"/>
      <family val="2"/>
    </font>
    <font>
      <sz val="12"/>
      <name val="Arial"/>
      <family val="2"/>
    </font>
    <font>
      <b/>
      <sz val="9"/>
      <name val="Arial"/>
      <family val="2"/>
    </font>
    <font>
      <sz val="10"/>
      <color rgb="FFFF0000"/>
      <name val="Arial"/>
      <family val="2"/>
    </font>
    <font>
      <b/>
      <sz val="11"/>
      <color theme="1"/>
      <name val="Calibri"/>
      <family val="2"/>
      <scheme val="minor"/>
    </font>
    <font>
      <sz val="12"/>
      <name val="Arial"/>
      <family val="2"/>
    </font>
    <font>
      <b/>
      <sz val="12"/>
      <color rgb="FF0000FF"/>
      <name val="Arial Narrow"/>
      <family val="2"/>
    </font>
    <font>
      <b/>
      <sz val="12"/>
      <color rgb="FFC00000"/>
      <name val="Arial Narrow"/>
      <family val="2"/>
    </font>
    <font>
      <b/>
      <sz val="12"/>
      <color rgb="FF000000"/>
      <name val="Arial Narrow"/>
      <family val="2"/>
    </font>
    <font>
      <b/>
      <sz val="12"/>
      <color rgb="FFFF0000"/>
      <name val="Arial Narrow"/>
      <family val="2"/>
    </font>
    <font>
      <b/>
      <sz val="14"/>
      <color rgb="FF000000"/>
      <name val="Arial Narrow"/>
      <family val="2"/>
    </font>
    <font>
      <b/>
      <sz val="14"/>
      <color rgb="FFFF0000"/>
      <name val="Arial Narrow"/>
      <family val="2"/>
    </font>
    <font>
      <b/>
      <sz val="14"/>
      <color rgb="FF0000FF"/>
      <name val="Arial Narrow"/>
      <family val="2"/>
    </font>
    <font>
      <b/>
      <sz val="14"/>
      <color rgb="FFC00000"/>
      <name val="Arial Narrow"/>
      <family val="2"/>
    </font>
    <font>
      <b/>
      <sz val="14"/>
      <color rgb="FF0000FF"/>
      <name val="Arial"/>
      <family val="2"/>
    </font>
    <font>
      <b/>
      <sz val="14"/>
      <color rgb="FF00B050"/>
      <name val="Arial Narrow"/>
      <family val="2"/>
    </font>
    <font>
      <b/>
      <sz val="12"/>
      <color indexed="8"/>
      <name val="Calibri"/>
      <family val="2"/>
    </font>
    <font>
      <sz val="12"/>
      <name val="Arial"/>
      <family val="2"/>
    </font>
    <font>
      <sz val="10"/>
      <color rgb="FF201F1E"/>
      <name val="Arial"/>
      <family val="2"/>
    </font>
    <font>
      <sz val="12"/>
      <color rgb="FF000000"/>
      <name val="Arial"/>
      <family val="2"/>
    </font>
    <font>
      <sz val="11"/>
      <color rgb="FF000000"/>
      <name val="Calibri"/>
      <family val="2"/>
    </font>
    <font>
      <sz val="16"/>
      <name val="Arial"/>
      <family val="2"/>
    </font>
    <font>
      <sz val="12"/>
      <color rgb="FFFFFFFF"/>
      <name val="Cambria"/>
      <family val="1"/>
    </font>
    <font>
      <sz val="12"/>
      <name val="Cambria"/>
      <family val="1"/>
    </font>
    <font>
      <sz val="10"/>
      <color theme="1"/>
      <name val="Arial"/>
      <family val="2"/>
    </font>
    <font>
      <b/>
      <sz val="12"/>
      <color rgb="FF000000"/>
      <name val="Cambria"/>
      <family val="1"/>
    </font>
    <font>
      <sz val="12"/>
      <color rgb="FF000000"/>
      <name val="Cambria"/>
      <family val="1"/>
    </font>
    <font>
      <sz val="12"/>
      <color theme="1"/>
      <name val="Cambria"/>
      <family val="1"/>
    </font>
    <font>
      <b/>
      <sz val="12"/>
      <color theme="1"/>
      <name val="Cambria"/>
      <family val="1"/>
    </font>
    <font>
      <b/>
      <sz val="16"/>
      <color rgb="FF000000"/>
      <name val="Calibri"/>
      <family val="2"/>
    </font>
    <font>
      <b/>
      <sz val="12"/>
      <color rgb="FF000000"/>
      <name val="Calibri"/>
      <family val="2"/>
    </font>
    <font>
      <b/>
      <sz val="11"/>
      <color rgb="FF000000"/>
      <name val="Calibri"/>
      <family val="2"/>
    </font>
    <font>
      <sz val="18"/>
      <name val="Arial"/>
      <family val="2"/>
    </font>
    <font>
      <b/>
      <sz val="14.5"/>
      <color rgb="FF000000"/>
      <name val="Myriad Pro"/>
    </font>
    <font>
      <sz val="14.5"/>
      <color rgb="FF000000"/>
      <name val="Myriad Pro"/>
    </font>
    <font>
      <b/>
      <sz val="12"/>
      <name val="Bronk"/>
    </font>
    <font>
      <sz val="11"/>
      <name val="Calibri"/>
      <family val="2"/>
      <scheme val="minor"/>
    </font>
    <font>
      <sz val="11"/>
      <color theme="1"/>
      <name val="Cambria"/>
      <family val="1"/>
      <scheme val="major"/>
    </font>
    <font>
      <i/>
      <sz val="12"/>
      <name val="Arial"/>
      <family val="2"/>
    </font>
    <font>
      <b/>
      <sz val="10"/>
      <color rgb="FFFF0000"/>
      <name val="Arial"/>
      <family val="2"/>
    </font>
    <font>
      <b/>
      <sz val="10"/>
      <color theme="1"/>
      <name val="Calibri"/>
      <family val="2"/>
      <scheme val="minor"/>
    </font>
    <font>
      <sz val="10"/>
      <color theme="1"/>
      <name val="Calibri"/>
      <family val="2"/>
      <scheme val="minor"/>
    </font>
    <font>
      <b/>
      <i/>
      <u/>
      <sz val="8"/>
      <name val="Arial"/>
      <family val="2"/>
    </font>
    <font>
      <b/>
      <i/>
      <sz val="8"/>
      <name val="Arial"/>
      <family val="2"/>
    </font>
    <font>
      <sz val="9"/>
      <color rgb="FF000000"/>
      <name val="Cambria"/>
      <family val="1"/>
    </font>
    <font>
      <sz val="10"/>
      <name val="Cambria"/>
      <family val="1"/>
    </font>
    <font>
      <sz val="9"/>
      <name val="Cambria"/>
      <family val="1"/>
    </font>
    <font>
      <b/>
      <sz val="9"/>
      <color rgb="FF000000"/>
      <name val="Cambria"/>
      <family val="1"/>
    </font>
    <font>
      <b/>
      <u val="double"/>
      <sz val="14"/>
      <name val="Arial"/>
      <family val="2"/>
    </font>
    <font>
      <sz val="11"/>
      <color indexed="8"/>
      <name val="Calibri"/>
      <family val="2"/>
      <scheme val="minor"/>
    </font>
    <font>
      <sz val="10"/>
      <color theme="1"/>
      <name val="Verdana"/>
      <family val="2"/>
    </font>
    <font>
      <sz val="10"/>
      <color rgb="FF000000"/>
      <name val="Arial"/>
      <family val="2"/>
    </font>
    <font>
      <b/>
      <sz val="10"/>
      <color theme="3" tint="0.79998168889431442"/>
      <name val="Arial"/>
      <family val="2"/>
    </font>
    <font>
      <sz val="10"/>
      <color theme="3" tint="0.79998168889431442"/>
      <name val="Arial"/>
      <family val="2"/>
    </font>
    <font>
      <b/>
      <sz val="11"/>
      <color rgb="FFFF0000"/>
      <name val="Calibri"/>
      <family val="2"/>
      <scheme val="minor"/>
    </font>
    <font>
      <b/>
      <u/>
      <sz val="10"/>
      <color theme="3" tint="0.79998168889431442"/>
      <name val="Arial"/>
      <family val="2"/>
    </font>
    <font>
      <b/>
      <sz val="11"/>
      <name val="Calibri"/>
      <family val="2"/>
      <scheme val="minor"/>
    </font>
    <font>
      <sz val="9"/>
      <color rgb="FF000000"/>
      <name val="Calibri"/>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solid">
        <fgColor indexed="18"/>
        <bgColor indexed="64"/>
      </patternFill>
    </fill>
    <fill>
      <patternFill patternType="solid">
        <fgColor indexed="9"/>
        <bgColor indexed="64"/>
      </patternFill>
    </fill>
    <fill>
      <patternFill patternType="solid">
        <fgColor rgb="FFFFFF00"/>
        <bgColor indexed="64"/>
      </patternFill>
    </fill>
    <fill>
      <patternFill patternType="solid">
        <fgColor rgb="FFF2DDDC"/>
        <bgColor indexed="64"/>
      </patternFill>
    </fill>
    <fill>
      <patternFill patternType="solid">
        <fgColor rgb="FFD7E4BC"/>
        <bgColor indexed="64"/>
      </patternFill>
    </fill>
    <fill>
      <patternFill patternType="solid">
        <fgColor rgb="FFB6DDE8"/>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66FF99"/>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FFD966"/>
        <bgColor indexed="64"/>
      </patternFill>
    </fill>
    <fill>
      <patternFill patternType="solid">
        <fgColor rgb="FFB4C7E7"/>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3" tint="0.39997558519241921"/>
        <bgColor indexed="64"/>
      </patternFill>
    </fill>
  </fills>
  <borders count="1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n">
        <color indexed="8"/>
      </left>
      <right/>
      <top style="thin">
        <color indexed="64"/>
      </top>
      <bottom style="thin">
        <color indexed="64"/>
      </bottom>
      <diagonal/>
    </border>
    <border>
      <left/>
      <right style="thick">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ck">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medium">
        <color indexed="64"/>
      </right>
      <top style="double">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8"/>
      </right>
      <top style="thin">
        <color indexed="64"/>
      </top>
      <bottom style="thin">
        <color indexed="64"/>
      </bottom>
      <diagonal/>
    </border>
    <border>
      <left/>
      <right style="thin">
        <color indexed="8"/>
      </right>
      <top/>
      <bottom style="thin">
        <color indexed="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ck">
        <color indexed="8"/>
      </left>
      <right/>
      <top style="thin">
        <color indexed="8"/>
      </top>
      <bottom style="thin">
        <color indexed="8"/>
      </bottom>
      <diagonal/>
    </border>
    <border>
      <left style="thick">
        <color indexed="8"/>
      </left>
      <right/>
      <top/>
      <bottom/>
      <diagonal/>
    </border>
    <border>
      <left style="thick">
        <color indexed="8"/>
      </left>
      <right/>
      <top style="thin">
        <color indexed="8"/>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64"/>
      </top>
      <bottom/>
      <diagonal/>
    </border>
    <border>
      <left/>
      <right/>
      <top style="thin">
        <color indexed="8"/>
      </top>
      <bottom style="thin">
        <color indexed="8"/>
      </bottom>
      <diagonal/>
    </border>
    <border>
      <left style="thin">
        <color indexed="64"/>
      </left>
      <right/>
      <top/>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18"/>
      </left>
      <right style="medium">
        <color indexed="18"/>
      </right>
      <top/>
      <bottom style="medium">
        <color indexed="18"/>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18"/>
      </right>
      <top/>
      <bottom/>
      <diagonal/>
    </border>
    <border>
      <left style="thin">
        <color indexed="64"/>
      </left>
      <right/>
      <top/>
      <bottom style="thin">
        <color indexed="64"/>
      </bottom>
      <diagonal/>
    </border>
    <border>
      <left style="thin">
        <color indexed="8"/>
      </left>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style="medium">
        <color indexed="64"/>
      </bottom>
      <diagonal/>
    </border>
    <border>
      <left style="thin">
        <color indexed="8"/>
      </left>
      <right style="thin">
        <color indexed="8"/>
      </right>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18"/>
      </left>
      <right style="medium">
        <color indexed="18"/>
      </right>
      <top style="medium">
        <color indexed="1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double">
        <color indexed="64"/>
      </bottom>
      <diagonal/>
    </border>
    <border>
      <left/>
      <right style="medium">
        <color rgb="FF000000"/>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bottom/>
      <diagonal/>
    </border>
    <border>
      <left style="medium">
        <color indexed="64"/>
      </left>
      <right style="thin">
        <color indexed="8"/>
      </right>
      <top/>
      <bottom style="thin">
        <color indexed="64"/>
      </bottom>
      <diagonal/>
    </border>
    <border>
      <left style="thin">
        <color indexed="8"/>
      </left>
      <right style="medium">
        <color indexed="64"/>
      </right>
      <top/>
      <bottom style="thin">
        <color indexed="64"/>
      </bottom>
      <diagonal/>
    </border>
    <border>
      <left/>
      <right style="thick">
        <color indexed="64"/>
      </right>
      <top/>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s>
  <cellStyleXfs count="280">
    <xf numFmtId="0" fontId="0" fillId="0" borderId="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43" fillId="0" borderId="0" applyNumberFormat="0" applyFill="0" applyBorder="0" applyAlignment="0" applyProtection="0"/>
    <xf numFmtId="179" fontId="44" fillId="0" borderId="0" applyFill="0" applyBorder="0" applyAlignment="0"/>
    <xf numFmtId="177" fontId="45" fillId="0" borderId="0" applyFill="0" applyBorder="0" applyAlignment="0"/>
    <xf numFmtId="167" fontId="45" fillId="0" borderId="0" applyFill="0" applyBorder="0" applyAlignment="0"/>
    <xf numFmtId="180" fontId="44" fillId="0" borderId="0" applyFill="0" applyBorder="0" applyAlignment="0"/>
    <xf numFmtId="176" fontId="44" fillId="0" borderId="0" applyFill="0" applyBorder="0" applyAlignment="0"/>
    <xf numFmtId="179" fontId="44" fillId="0" borderId="0" applyFill="0" applyBorder="0" applyAlignment="0"/>
    <xf numFmtId="181" fontId="44" fillId="0" borderId="0" applyFill="0" applyBorder="0" applyAlignment="0"/>
    <xf numFmtId="177" fontId="45" fillId="0" borderId="0" applyFill="0" applyBorder="0" applyAlignment="0"/>
    <xf numFmtId="0" fontId="64" fillId="20" borderId="1" applyNumberFormat="0" applyAlignment="0" applyProtection="0"/>
    <xf numFmtId="0" fontId="65" fillId="21" borderId="2" applyNumberFormat="0" applyAlignment="0" applyProtection="0"/>
    <xf numFmtId="165" fontId="6" fillId="0" borderId="0" applyFont="0" applyFill="0" applyBorder="0" applyAlignment="0" applyProtection="0"/>
    <xf numFmtId="0" fontId="47" fillId="0" borderId="3"/>
    <xf numFmtId="179" fontId="4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6" fillId="0" borderId="0" applyFont="0" applyFill="0" applyBorder="0" applyAlignment="0" applyProtection="0"/>
    <xf numFmtId="0" fontId="47" fillId="0" borderId="3"/>
    <xf numFmtId="177" fontId="45" fillId="0" borderId="0" applyFont="0" applyFill="0" applyBorder="0" applyAlignment="0" applyProtection="0"/>
    <xf numFmtId="15" fontId="48" fillId="0" borderId="0" applyFont="0" applyFill="0" applyBorder="0" applyAlignment="0"/>
    <xf numFmtId="14" fontId="22" fillId="0" borderId="0" applyFill="0" applyBorder="0" applyAlignment="0"/>
    <xf numFmtId="38" fontId="49" fillId="0" borderId="4">
      <alignment vertical="center"/>
    </xf>
    <xf numFmtId="179" fontId="44" fillId="0" borderId="0" applyFill="0" applyBorder="0" applyAlignment="0"/>
    <xf numFmtId="177" fontId="45" fillId="0" borderId="0" applyFill="0" applyBorder="0" applyAlignment="0"/>
    <xf numFmtId="179" fontId="44" fillId="0" borderId="0" applyFill="0" applyBorder="0" applyAlignment="0"/>
    <xf numFmtId="181" fontId="44" fillId="0" borderId="0" applyFill="0" applyBorder="0" applyAlignment="0"/>
    <xf numFmtId="177" fontId="45" fillId="0" borderId="0" applyFill="0" applyBorder="0" applyAlignment="0"/>
    <xf numFmtId="0" fontId="66" fillId="0" borderId="0" applyNumberFormat="0" applyFill="0" applyBorder="0" applyAlignment="0" applyProtection="0"/>
    <xf numFmtId="0" fontId="67" fillId="4" borderId="0" applyNumberFormat="0" applyBorder="0" applyAlignment="0" applyProtection="0"/>
    <xf numFmtId="38" fontId="25" fillId="22" borderId="0" applyNumberFormat="0" applyBorder="0" applyAlignment="0" applyProtection="0"/>
    <xf numFmtId="0" fontId="8" fillId="0" borderId="5" applyNumberFormat="0" applyAlignment="0" applyProtection="0">
      <alignment horizontal="left" vertical="center"/>
    </xf>
    <xf numFmtId="0" fontId="8" fillId="0" borderId="6">
      <alignment horizontal="left" vertical="center"/>
    </xf>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7" borderId="1" applyNumberFormat="0" applyAlignment="0" applyProtection="0"/>
    <xf numFmtId="10" fontId="25" fillId="23" borderId="10" applyNumberFormat="0" applyBorder="0" applyAlignment="0" applyProtection="0"/>
    <xf numFmtId="179" fontId="44" fillId="0" borderId="0" applyFill="0" applyBorder="0" applyAlignment="0"/>
    <xf numFmtId="177" fontId="45" fillId="0" borderId="0" applyFill="0" applyBorder="0" applyAlignment="0"/>
    <xf numFmtId="179" fontId="44" fillId="0" borderId="0" applyFill="0" applyBorder="0" applyAlignment="0"/>
    <xf numFmtId="181" fontId="44" fillId="0" borderId="0" applyFill="0" applyBorder="0" applyAlignment="0"/>
    <xf numFmtId="177" fontId="45" fillId="0" borderId="0" applyFill="0" applyBorder="0" applyAlignment="0"/>
    <xf numFmtId="0" fontId="72" fillId="0" borderId="11" applyNumberFormat="0" applyFill="0" applyAlignment="0" applyProtection="0"/>
    <xf numFmtId="0" fontId="73" fillId="24" borderId="0" applyNumberFormat="0" applyBorder="0" applyAlignment="0" applyProtection="0"/>
    <xf numFmtId="37" fontId="50" fillId="0" borderId="0"/>
    <xf numFmtId="178" fontId="6" fillId="0" borderId="0"/>
    <xf numFmtId="0" fontId="81" fillId="0" borderId="0"/>
    <xf numFmtId="0" fontId="10" fillId="0" borderId="0"/>
    <xf numFmtId="0" fontId="10" fillId="0" borderId="0"/>
    <xf numFmtId="0" fontId="88" fillId="25" borderId="0"/>
    <xf numFmtId="0" fontId="20" fillId="25" borderId="0"/>
    <xf numFmtId="0" fontId="94" fillId="25" borderId="0"/>
    <xf numFmtId="0" fontId="94" fillId="25" borderId="0"/>
    <xf numFmtId="0" fontId="61" fillId="0" borderId="0"/>
    <xf numFmtId="0" fontId="6" fillId="0" borderId="0"/>
    <xf numFmtId="0" fontId="20" fillId="25" borderId="0"/>
    <xf numFmtId="0" fontId="10" fillId="26" borderId="12" applyNumberFormat="0" applyFont="0" applyAlignment="0" applyProtection="0"/>
    <xf numFmtId="0" fontId="74" fillId="20" borderId="13" applyNumberFormat="0" applyAlignment="0" applyProtection="0"/>
    <xf numFmtId="9" fontId="6" fillId="0" borderId="0" applyFont="0" applyFill="0" applyBorder="0" applyAlignment="0" applyProtection="0"/>
    <xf numFmtId="176" fontId="44" fillId="0" borderId="0" applyFont="0" applyFill="0" applyBorder="0" applyAlignment="0" applyProtection="0"/>
    <xf numFmtId="182" fontId="44" fillId="0" borderId="0" applyFont="0" applyFill="0" applyBorder="0" applyAlignment="0" applyProtection="0"/>
    <xf numFmtId="10" fontId="6" fillId="0" borderId="0" applyFont="0" applyFill="0" applyBorder="0" applyAlignment="0" applyProtection="0"/>
    <xf numFmtId="9" fontId="8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1" fillId="0" borderId="0" applyFont="0" applyFill="0" applyBorder="0" applyAlignment="0" applyProtection="0"/>
    <xf numFmtId="184" fontId="6" fillId="0" borderId="0" applyFill="0" applyBorder="0" applyAlignment="0"/>
    <xf numFmtId="177" fontId="45" fillId="0" borderId="0" applyFill="0" applyBorder="0" applyAlignment="0"/>
    <xf numFmtId="184" fontId="6" fillId="0" borderId="0" applyFill="0" applyBorder="0" applyAlignment="0"/>
    <xf numFmtId="185" fontId="6" fillId="0" borderId="0" applyFill="0" applyBorder="0" applyAlignment="0"/>
    <xf numFmtId="177" fontId="45" fillId="0" borderId="0" applyFill="0" applyBorder="0" applyAlignment="0"/>
    <xf numFmtId="49" fontId="22" fillId="0" borderId="0" applyFill="0" applyBorder="0" applyAlignment="0"/>
    <xf numFmtId="186" fontId="6" fillId="0" borderId="0" applyFill="0" applyBorder="0" applyAlignment="0"/>
    <xf numFmtId="187" fontId="6" fillId="0" borderId="0" applyFill="0" applyBorder="0" applyAlignment="0"/>
    <xf numFmtId="0" fontId="75" fillId="0" borderId="0" applyNumberFormat="0" applyFill="0" applyBorder="0" applyAlignment="0" applyProtection="0"/>
    <xf numFmtId="0" fontId="76" fillId="0" borderId="14" applyNumberFormat="0" applyFill="0" applyAlignment="0" applyProtection="0"/>
    <xf numFmtId="0" fontId="77" fillId="0" borderId="0" applyNumberFormat="0" applyFill="0" applyBorder="0" applyAlignment="0" applyProtection="0"/>
    <xf numFmtId="0" fontId="98" fillId="25" borderId="0"/>
    <xf numFmtId="0" fontId="5" fillId="0" borderId="0"/>
    <xf numFmtId="0" fontId="110" fillId="25" borderId="0"/>
    <xf numFmtId="0" fontId="6" fillId="0" borderId="0"/>
    <xf numFmtId="0" fontId="6" fillId="0" borderId="0"/>
    <xf numFmtId="9" fontId="6" fillId="0" borderId="0" applyFont="0" applyFill="0" applyBorder="0" applyAlignment="0" applyProtection="0"/>
    <xf numFmtId="0" fontId="20" fillId="25" borderId="0"/>
    <xf numFmtId="0" fontId="6" fillId="0" borderId="0"/>
    <xf numFmtId="9" fontId="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9"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142" fillId="0" borderId="0"/>
    <xf numFmtId="0" fontId="3" fillId="0" borderId="0"/>
    <xf numFmtId="43" fontId="6" fillId="0" borderId="0" applyFont="0" applyFill="0" applyBorder="0" applyAlignment="0" applyProtection="0"/>
    <xf numFmtId="0" fontId="142"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0" fontId="3" fillId="0" borderId="0"/>
    <xf numFmtId="43" fontId="6" fillId="0" borderId="0" applyFont="0" applyFill="0" applyBorder="0" applyAlignment="0" applyProtection="0"/>
    <xf numFmtId="0" fontId="3" fillId="0" borderId="0"/>
    <xf numFmtId="43" fontId="6" fillId="0" borderId="0" applyFont="0" applyFill="0" applyBorder="0" applyAlignment="0" applyProtection="0"/>
    <xf numFmtId="0" fontId="3" fillId="0" borderId="0"/>
    <xf numFmtId="43" fontId="6" fillId="0" borderId="0" applyFont="0" applyFill="0" applyBorder="0" applyAlignment="0" applyProtection="0"/>
    <xf numFmtId="0" fontId="3"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6" fillId="0" borderId="0" applyFont="0" applyFill="0" applyBorder="0" applyAlignment="0" applyProtection="0"/>
    <xf numFmtId="0" fontId="3"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6" fillId="0" borderId="0" applyFont="0" applyFill="0" applyBorder="0" applyAlignment="0" applyProtection="0"/>
    <xf numFmtId="0" fontId="3" fillId="0" borderId="0"/>
    <xf numFmtId="43" fontId="6"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43" fontId="6" fillId="0" borderId="0" applyFont="0" applyFill="0" applyBorder="0" applyAlignment="0" applyProtection="0"/>
    <xf numFmtId="0" fontId="3" fillId="0" borderId="0"/>
    <xf numFmtId="0" fontId="2" fillId="0" borderId="0"/>
    <xf numFmtId="43" fontId="6" fillId="0" borderId="0" applyFont="0" applyFill="0" applyBorder="0" applyAlignment="0" applyProtection="0"/>
    <xf numFmtId="43" fontId="6" fillId="0" borderId="0" applyFont="0" applyFill="0" applyBorder="0" applyAlignment="0" applyProtection="0"/>
    <xf numFmtId="0" fontId="2" fillId="0" borderId="0"/>
    <xf numFmtId="43" fontId="6" fillId="0" borderId="0" applyFont="0" applyFill="0" applyBorder="0" applyAlignment="0" applyProtection="0"/>
    <xf numFmtId="0" fontId="2" fillId="0" borderId="0"/>
    <xf numFmtId="0" fontId="2" fillId="0" borderId="0"/>
    <xf numFmtId="43"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43" fontId="6" fillId="0" borderId="0" applyFont="0" applyFill="0" applyBorder="0" applyAlignment="0" applyProtection="0"/>
    <xf numFmtId="43" fontId="6" fillId="0" borderId="0" applyFont="0" applyFill="0" applyBorder="0" applyAlignment="0" applyProtection="0"/>
    <xf numFmtId="0" fontId="2" fillId="0" borderId="0"/>
    <xf numFmtId="43" fontId="6" fillId="0" borderId="0" applyFont="0" applyFill="0" applyBorder="0" applyAlignment="0" applyProtection="0"/>
    <xf numFmtId="0" fontId="2" fillId="0" borderId="0"/>
    <xf numFmtId="43" fontId="6" fillId="0" borderId="0" applyFont="0" applyFill="0" applyBorder="0" applyAlignment="0" applyProtection="0"/>
    <xf numFmtId="43" fontId="6"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2"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43" fontId="6" fillId="0" borderId="0" applyFont="0" applyFill="0" applyBorder="0" applyAlignment="0" applyProtection="0"/>
    <xf numFmtId="0" fontId="2" fillId="0" borderId="0"/>
    <xf numFmtId="0" fontId="2" fillId="0" borderId="0"/>
    <xf numFmtId="43" fontId="6" fillId="0" borderId="0" applyFont="0" applyFill="0" applyBorder="0" applyAlignment="0" applyProtection="0"/>
    <xf numFmtId="0" fontId="2" fillId="0" borderId="0"/>
  </cellStyleXfs>
  <cellXfs count="2233">
    <xf numFmtId="0" fontId="0" fillId="0" borderId="0" xfId="0"/>
    <xf numFmtId="0" fontId="0" fillId="0" borderId="0" xfId="0" applyAlignment="1">
      <alignment horizontal="right"/>
    </xf>
    <xf numFmtId="0" fontId="7" fillId="0" borderId="0" xfId="0" applyFont="1"/>
    <xf numFmtId="0" fontId="7" fillId="0" borderId="0" xfId="0" applyFont="1" applyAlignment="1">
      <alignment horizontal="right"/>
    </xf>
    <xf numFmtId="167" fontId="0" fillId="0" borderId="0" xfId="0" applyNumberFormat="1"/>
    <xf numFmtId="0" fontId="8" fillId="0" borderId="0" xfId="0" applyFont="1"/>
    <xf numFmtId="0" fontId="9" fillId="0" borderId="0" xfId="0" applyFont="1"/>
    <xf numFmtId="2" fontId="0" fillId="0" borderId="0" xfId="0" applyNumberFormat="1"/>
    <xf numFmtId="0" fontId="0" fillId="0" borderId="0" xfId="0" applyAlignment="1">
      <alignment horizontal="center"/>
    </xf>
    <xf numFmtId="1" fontId="0" fillId="0" borderId="0" xfId="0" applyNumberFormat="1"/>
    <xf numFmtId="0" fontId="10" fillId="0" borderId="0" xfId="0" applyFont="1"/>
    <xf numFmtId="9" fontId="7" fillId="0" borderId="0" xfId="88" applyFont="1" applyFill="1" applyAlignment="1">
      <alignment horizontal="center"/>
    </xf>
    <xf numFmtId="2" fontId="7" fillId="0" borderId="0" xfId="0" applyNumberFormat="1" applyFont="1"/>
    <xf numFmtId="0" fontId="11" fillId="0" borderId="0" xfId="0" applyFont="1"/>
    <xf numFmtId="2" fontId="7" fillId="0" borderId="15" xfId="0" applyNumberFormat="1" applyFont="1" applyBorder="1"/>
    <xf numFmtId="1" fontId="0" fillId="0" borderId="15" xfId="0" applyNumberFormat="1" applyBorder="1"/>
    <xf numFmtId="0" fontId="0" fillId="0" borderId="15" xfId="0" applyBorder="1"/>
    <xf numFmtId="0" fontId="7" fillId="0" borderId="15" xfId="0" applyFont="1" applyBorder="1"/>
    <xf numFmtId="0" fontId="7" fillId="0" borderId="15" xfId="0" applyFont="1" applyBorder="1" applyAlignment="1">
      <alignment horizontal="left"/>
    </xf>
    <xf numFmtId="0" fontId="7" fillId="0" borderId="15" xfId="0" applyFont="1" applyBorder="1" applyAlignment="1">
      <alignment horizontal="center"/>
    </xf>
    <xf numFmtId="0" fontId="12" fillId="0" borderId="0" xfId="0" applyFont="1"/>
    <xf numFmtId="0" fontId="13" fillId="0" borderId="0" xfId="0" applyFont="1"/>
    <xf numFmtId="0" fontId="15" fillId="0" borderId="0" xfId="0" applyFont="1" applyAlignment="1">
      <alignment horizontal="centerContinuous"/>
    </xf>
    <xf numFmtId="0" fontId="0" fillId="0" borderId="10" xfId="0" applyBorder="1"/>
    <xf numFmtId="0" fontId="0" fillId="0" borderId="10" xfId="0" applyBorder="1" applyAlignment="1">
      <alignment horizontal="right"/>
    </xf>
    <xf numFmtId="0" fontId="16" fillId="0" borderId="0" xfId="0" applyFont="1"/>
    <xf numFmtId="0" fontId="0" fillId="0" borderId="0" xfId="0" applyAlignment="1">
      <alignment horizontal="centerContinuous"/>
    </xf>
    <xf numFmtId="0" fontId="19" fillId="0" borderId="0" xfId="0" applyFont="1" applyAlignment="1">
      <alignment horizontal="centerContinuous" vertical="top" wrapText="1"/>
    </xf>
    <xf numFmtId="0" fontId="7" fillId="0" borderId="10" xfId="0" applyFont="1" applyBorder="1"/>
    <xf numFmtId="0" fontId="0" fillId="0" borderId="10" xfId="0" applyBorder="1" applyAlignment="1">
      <alignment horizontal="center"/>
    </xf>
    <xf numFmtId="0" fontId="7" fillId="0" borderId="0" xfId="0" applyFont="1" applyAlignment="1">
      <alignment horizontal="center"/>
    </xf>
    <xf numFmtId="0" fontId="7" fillId="0" borderId="0" xfId="0" applyFont="1" applyAlignment="1">
      <alignment horizontal="left"/>
    </xf>
    <xf numFmtId="0" fontId="15" fillId="0" borderId="0" xfId="0" applyFont="1" applyAlignment="1">
      <alignment horizontal="centerContinuous" vertical="top" wrapText="1"/>
    </xf>
    <xf numFmtId="0" fontId="7" fillId="0" borderId="10" xfId="0" applyFont="1" applyBorder="1" applyAlignment="1">
      <alignment wrapText="1"/>
    </xf>
    <xf numFmtId="0" fontId="7" fillId="0" borderId="22" xfId="0" applyFont="1" applyBorder="1" applyAlignment="1">
      <alignment horizontal="center"/>
    </xf>
    <xf numFmtId="0" fontId="7" fillId="0" borderId="10" xfId="0" applyFont="1" applyBorder="1" applyAlignment="1">
      <alignment horizontal="center"/>
    </xf>
    <xf numFmtId="2" fontId="0" fillId="0" borderId="10" xfId="0" applyNumberFormat="1" applyBorder="1"/>
    <xf numFmtId="2" fontId="7" fillId="0" borderId="10" xfId="0" applyNumberFormat="1" applyFont="1" applyBorder="1"/>
    <xf numFmtId="0" fontId="20" fillId="0" borderId="0" xfId="85" applyFill="1"/>
    <xf numFmtId="0" fontId="20" fillId="0" borderId="0" xfId="85" applyFill="1" applyAlignment="1">
      <alignment horizontal="centerContinuous"/>
    </xf>
    <xf numFmtId="0" fontId="8" fillId="0" borderId="0" xfId="85" applyFont="1" applyFill="1" applyAlignment="1">
      <alignment horizontal="right"/>
    </xf>
    <xf numFmtId="0" fontId="15" fillId="0" borderId="0" xfId="85" applyFont="1" applyFill="1" applyAlignment="1">
      <alignment horizontal="centerContinuous"/>
    </xf>
    <xf numFmtId="0" fontId="16" fillId="0" borderId="0" xfId="85" applyFont="1" applyFill="1" applyAlignment="1">
      <alignment horizontal="centerContinuous"/>
    </xf>
    <xf numFmtId="0" fontId="12" fillId="0" borderId="23" xfId="85" applyFont="1" applyFill="1" applyBorder="1" applyAlignment="1">
      <alignment horizontal="center"/>
    </xf>
    <xf numFmtId="0" fontId="12" fillId="0" borderId="24" xfId="85" applyFont="1" applyFill="1" applyBorder="1" applyAlignment="1">
      <alignment horizontal="center"/>
    </xf>
    <xf numFmtId="0" fontId="12" fillId="0" borderId="25" xfId="85" applyFont="1" applyFill="1" applyBorder="1" applyAlignment="1">
      <alignment horizontal="center"/>
    </xf>
    <xf numFmtId="0" fontId="12" fillId="0" borderId="0" xfId="85" applyFont="1" applyFill="1" applyAlignment="1">
      <alignment horizontal="center"/>
    </xf>
    <xf numFmtId="0" fontId="12" fillId="0" borderId="19" xfId="85" applyFont="1" applyFill="1" applyBorder="1" applyAlignment="1">
      <alignment horizontal="center"/>
    </xf>
    <xf numFmtId="0" fontId="12" fillId="0" borderId="26" xfId="85" applyFont="1" applyFill="1" applyBorder="1" applyAlignment="1">
      <alignment horizontal="center"/>
    </xf>
    <xf numFmtId="0" fontId="12" fillId="0" borderId="26" xfId="85" applyFont="1" applyFill="1" applyBorder="1"/>
    <xf numFmtId="0" fontId="12" fillId="0" borderId="27" xfId="85" applyFont="1" applyFill="1" applyBorder="1" applyAlignment="1">
      <alignment horizontal="center"/>
    </xf>
    <xf numFmtId="0" fontId="12" fillId="0" borderId="0" xfId="85" applyFont="1" applyFill="1"/>
    <xf numFmtId="0" fontId="12" fillId="0" borderId="28" xfId="85" applyFont="1" applyFill="1" applyBorder="1" applyAlignment="1">
      <alignment horizontal="center"/>
    </xf>
    <xf numFmtId="0" fontId="12" fillId="0" borderId="29" xfId="85" applyFont="1" applyFill="1" applyBorder="1" applyAlignment="1">
      <alignment horizontal="center"/>
    </xf>
    <xf numFmtId="0" fontId="12" fillId="0" borderId="30" xfId="85" applyFont="1" applyFill="1" applyBorder="1" applyAlignment="1">
      <alignment horizontal="center"/>
    </xf>
    <xf numFmtId="0" fontId="12" fillId="0" borderId="31" xfId="85" applyFont="1" applyFill="1" applyBorder="1" applyAlignment="1">
      <alignment horizontal="center"/>
    </xf>
    <xf numFmtId="0" fontId="12" fillId="0" borderId="32" xfId="85" applyFont="1" applyFill="1" applyBorder="1" applyAlignment="1">
      <alignment horizontal="center"/>
    </xf>
    <xf numFmtId="0" fontId="12" fillId="0" borderId="33" xfId="85" applyFont="1" applyFill="1" applyBorder="1" applyAlignment="1">
      <alignment horizontal="center"/>
    </xf>
    <xf numFmtId="0" fontId="12" fillId="0" borderId="34" xfId="85" applyFont="1" applyFill="1" applyBorder="1" applyAlignment="1">
      <alignment horizontal="center"/>
    </xf>
    <xf numFmtId="0" fontId="17" fillId="0" borderId="0" xfId="85" applyFont="1" applyFill="1"/>
    <xf numFmtId="0" fontId="16" fillId="0" borderId="0" xfId="85" applyFont="1" applyFill="1"/>
    <xf numFmtId="0" fontId="20" fillId="0" borderId="10" xfId="85" applyFill="1" applyBorder="1"/>
    <xf numFmtId="0" fontId="20" fillId="0" borderId="0" xfId="85" applyFill="1" applyAlignment="1">
      <alignment horizontal="center"/>
    </xf>
    <xf numFmtId="0" fontId="8" fillId="0" borderId="0" xfId="85" applyFont="1" applyFill="1"/>
    <xf numFmtId="0" fontId="0" fillId="0" borderId="0" xfId="0" applyAlignment="1">
      <alignment wrapText="1"/>
    </xf>
    <xf numFmtId="0" fontId="7" fillId="0" borderId="0" xfId="0" applyFont="1" applyAlignment="1">
      <alignment horizontal="centerContinuous"/>
    </xf>
    <xf numFmtId="0" fontId="0" fillId="0" borderId="10" xfId="0" applyBorder="1" applyAlignment="1">
      <alignment wrapText="1"/>
    </xf>
    <xf numFmtId="0" fontId="0" fillId="0" borderId="10" xfId="0" applyBorder="1" applyAlignment="1">
      <alignment horizontal="centerContinuous"/>
    </xf>
    <xf numFmtId="0" fontId="24" fillId="0" borderId="0" xfId="0" applyFont="1"/>
    <xf numFmtId="0" fontId="7" fillId="0" borderId="10" xfId="0" applyFont="1" applyBorder="1" applyAlignment="1">
      <alignment vertical="top" wrapText="1"/>
    </xf>
    <xf numFmtId="0" fontId="7" fillId="0" borderId="10" xfId="0" applyFont="1" applyBorder="1" applyAlignment="1">
      <alignment horizontal="center" vertical="top" wrapText="1"/>
    </xf>
    <xf numFmtId="0" fontId="7" fillId="0" borderId="10" xfId="0" applyFont="1" applyBorder="1" applyAlignment="1">
      <alignment horizontal="right"/>
    </xf>
    <xf numFmtId="174" fontId="0" fillId="0" borderId="0" xfId="0" applyNumberFormat="1"/>
    <xf numFmtId="173" fontId="0" fillId="0" borderId="0" xfId="0" applyNumberFormat="1"/>
    <xf numFmtId="1" fontId="0" fillId="0" borderId="10" xfId="0" applyNumberFormat="1" applyBorder="1"/>
    <xf numFmtId="167" fontId="0" fillId="0" borderId="10" xfId="0" applyNumberFormat="1" applyBorder="1"/>
    <xf numFmtId="2" fontId="0" fillId="0" borderId="10" xfId="0" applyNumberFormat="1" applyBorder="1" applyAlignment="1">
      <alignment horizontal="center"/>
    </xf>
    <xf numFmtId="0" fontId="0" fillId="0" borderId="38" xfId="0" applyBorder="1"/>
    <xf numFmtId="0" fontId="7" fillId="0" borderId="36" xfId="0" applyFont="1" applyBorder="1" applyAlignment="1">
      <alignment wrapText="1"/>
    </xf>
    <xf numFmtId="0" fontId="7" fillId="0" borderId="39" xfId="0" applyFont="1" applyBorder="1" applyAlignment="1">
      <alignment horizontal="centerContinuous" wrapText="1"/>
    </xf>
    <xf numFmtId="0" fontId="7" fillId="0" borderId="39" xfId="0" applyFont="1" applyBorder="1" applyAlignment="1">
      <alignment horizontal="centerContinuous"/>
    </xf>
    <xf numFmtId="0" fontId="7" fillId="0" borderId="37" xfId="0" applyFont="1" applyBorder="1" applyAlignment="1">
      <alignment horizontal="centerContinuous" wrapText="1"/>
    </xf>
    <xf numFmtId="0" fontId="7" fillId="0" borderId="3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wrapText="1"/>
    </xf>
    <xf numFmtId="0" fontId="0" fillId="0" borderId="42" xfId="0" applyBorder="1"/>
    <xf numFmtId="2" fontId="0" fillId="0" borderId="42" xfId="0" applyNumberFormat="1" applyBorder="1"/>
    <xf numFmtId="0" fontId="0" fillId="0" borderId="45" xfId="0" applyBorder="1"/>
    <xf numFmtId="2" fontId="7" fillId="0" borderId="42" xfId="0" applyNumberFormat="1" applyFont="1" applyBorder="1"/>
    <xf numFmtId="0" fontId="0" fillId="0" borderId="46" xfId="0" applyBorder="1"/>
    <xf numFmtId="2" fontId="7" fillId="0" borderId="45" xfId="0" applyNumberFormat="1" applyFont="1" applyBorder="1"/>
    <xf numFmtId="0" fontId="0" fillId="0" borderId="40" xfId="0" applyBorder="1"/>
    <xf numFmtId="10" fontId="0" fillId="0" borderId="0" xfId="88" applyNumberFormat="1" applyFont="1"/>
    <xf numFmtId="0" fontId="0" fillId="0" borderId="10" xfId="0" applyBorder="1" applyAlignment="1">
      <alignment horizontal="left"/>
    </xf>
    <xf numFmtId="169" fontId="0" fillId="0" borderId="10" xfId="0" applyNumberFormat="1" applyBorder="1"/>
    <xf numFmtId="2" fontId="20" fillId="0" borderId="0" xfId="85" applyNumberFormat="1" applyFill="1"/>
    <xf numFmtId="10" fontId="0" fillId="0" borderId="0" xfId="0" applyNumberFormat="1"/>
    <xf numFmtId="10" fontId="0" fillId="0" borderId="10" xfId="88" applyNumberFormat="1" applyFont="1" applyFill="1" applyBorder="1"/>
    <xf numFmtId="2" fontId="7" fillId="0" borderId="53" xfId="0" applyNumberFormat="1" applyFont="1" applyBorder="1"/>
    <xf numFmtId="2" fontId="0" fillId="0" borderId="38" xfId="0" applyNumberFormat="1" applyBorder="1"/>
    <xf numFmtId="2" fontId="7" fillId="0" borderId="0" xfId="0" applyNumberFormat="1" applyFont="1" applyAlignment="1">
      <alignment horizontal="right"/>
    </xf>
    <xf numFmtId="2" fontId="0" fillId="0" borderId="0" xfId="0" applyNumberFormat="1" applyAlignment="1">
      <alignment horizontal="centerContinuous"/>
    </xf>
    <xf numFmtId="2" fontId="0" fillId="0" borderId="10" xfId="0" applyNumberFormat="1" applyBorder="1" applyAlignment="1">
      <alignment horizontal="centerContinuous"/>
    </xf>
    <xf numFmtId="169" fontId="0" fillId="0" borderId="0" xfId="0" applyNumberFormat="1"/>
    <xf numFmtId="169" fontId="0" fillId="0" borderId="0" xfId="0" applyNumberFormat="1" applyAlignment="1">
      <alignment horizontal="centerContinuous"/>
    </xf>
    <xf numFmtId="169" fontId="0" fillId="0" borderId="10" xfId="0" applyNumberFormat="1" applyBorder="1" applyAlignment="1">
      <alignment horizontal="centerContinuous"/>
    </xf>
    <xf numFmtId="2" fontId="7" fillId="0" borderId="10" xfId="0" applyNumberFormat="1" applyFont="1" applyBorder="1" applyAlignment="1">
      <alignment horizontal="centerContinuous"/>
    </xf>
    <xf numFmtId="2" fontId="0" fillId="0" borderId="50" xfId="0" applyNumberFormat="1" applyBorder="1"/>
    <xf numFmtId="0" fontId="8" fillId="0" borderId="0" xfId="0" applyFont="1" applyAlignment="1">
      <alignment horizontal="right"/>
    </xf>
    <xf numFmtId="167" fontId="20" fillId="0" borderId="0" xfId="85" applyNumberFormat="1" applyFill="1"/>
    <xf numFmtId="0" fontId="12" fillId="0" borderId="55" xfId="85" applyFont="1" applyFill="1" applyBorder="1" applyAlignment="1">
      <alignment horizontal="center"/>
    </xf>
    <xf numFmtId="0" fontId="12" fillId="0" borderId="3" xfId="85" applyFont="1" applyFill="1" applyBorder="1" applyAlignment="1">
      <alignment horizontal="center"/>
    </xf>
    <xf numFmtId="0" fontId="12" fillId="0" borderId="56" xfId="85" applyFont="1" applyFill="1" applyBorder="1" applyAlignment="1">
      <alignment horizontal="center"/>
    </xf>
    <xf numFmtId="0" fontId="12" fillId="0" borderId="35" xfId="85" applyFont="1" applyFill="1" applyBorder="1" applyAlignment="1">
      <alignment horizontal="center"/>
    </xf>
    <xf numFmtId="0" fontId="7" fillId="0" borderId="46" xfId="0" applyFont="1" applyBorder="1"/>
    <xf numFmtId="0" fontId="7" fillId="0" borderId="45" xfId="0" applyFont="1" applyBorder="1"/>
    <xf numFmtId="0" fontId="7" fillId="0" borderId="45" xfId="0" applyFont="1" applyBorder="1" applyAlignment="1">
      <alignment horizontal="right"/>
    </xf>
    <xf numFmtId="9" fontId="0" fillId="0" borderId="0" xfId="88" applyFont="1"/>
    <xf numFmtId="49" fontId="30" fillId="0" borderId="0" xfId="0" applyNumberFormat="1" applyFont="1"/>
    <xf numFmtId="0" fontId="0" fillId="0" borderId="58" xfId="0" applyBorder="1"/>
    <xf numFmtId="0" fontId="0" fillId="0" borderId="60" xfId="0" applyBorder="1"/>
    <xf numFmtId="0" fontId="0" fillId="0" borderId="61" xfId="0" applyBorder="1"/>
    <xf numFmtId="0" fontId="16" fillId="0" borderId="61" xfId="0" applyFont="1" applyBorder="1"/>
    <xf numFmtId="0" fontId="0" fillId="0" borderId="62" xfId="0" applyBorder="1"/>
    <xf numFmtId="0" fontId="0" fillId="0" borderId="28" xfId="0" applyBorder="1"/>
    <xf numFmtId="0" fontId="0" fillId="0" borderId="63" xfId="0" applyBorder="1"/>
    <xf numFmtId="0" fontId="0" fillId="0" borderId="64" xfId="0" applyBorder="1"/>
    <xf numFmtId="0" fontId="0" fillId="0" borderId="32" xfId="0" applyBorder="1"/>
    <xf numFmtId="0" fontId="0" fillId="0" borderId="65" xfId="0" applyBorder="1"/>
    <xf numFmtId="2" fontId="0" fillId="0" borderId="64" xfId="0" applyNumberFormat="1" applyBorder="1"/>
    <xf numFmtId="2" fontId="0" fillId="0" borderId="32" xfId="0" applyNumberFormat="1" applyBorder="1"/>
    <xf numFmtId="2" fontId="0" fillId="0" borderId="65" xfId="0" applyNumberFormat="1" applyBorder="1"/>
    <xf numFmtId="1" fontId="0" fillId="0" borderId="64" xfId="0" applyNumberFormat="1" applyBorder="1"/>
    <xf numFmtId="2" fontId="7" fillId="0" borderId="64" xfId="0" applyNumberFormat="1" applyFont="1" applyBorder="1"/>
    <xf numFmtId="2" fontId="7" fillId="0" borderId="32" xfId="0" applyNumberFormat="1" applyFont="1" applyBorder="1"/>
    <xf numFmtId="2" fontId="7" fillId="0" borderId="65" xfId="0" applyNumberFormat="1" applyFont="1" applyBorder="1"/>
    <xf numFmtId="0" fontId="0" fillId="0" borderId="66" xfId="0" applyBorder="1"/>
    <xf numFmtId="0" fontId="0" fillId="0" borderId="67" xfId="0" applyBorder="1"/>
    <xf numFmtId="0" fontId="0" fillId="0" borderId="68" xfId="0" applyBorder="1"/>
    <xf numFmtId="0" fontId="0" fillId="0" borderId="69" xfId="0" applyBorder="1"/>
    <xf numFmtId="2" fontId="0" fillId="0" borderId="67" xfId="0" applyNumberFormat="1" applyBorder="1"/>
    <xf numFmtId="2" fontId="0" fillId="0" borderId="68" xfId="0" applyNumberFormat="1" applyBorder="1"/>
    <xf numFmtId="2" fontId="0" fillId="0" borderId="69" xfId="0" applyNumberFormat="1" applyBorder="1"/>
    <xf numFmtId="2" fontId="26" fillId="0" borderId="10" xfId="0" applyNumberFormat="1" applyFont="1" applyBorder="1"/>
    <xf numFmtId="0" fontId="31" fillId="0" borderId="0" xfId="0" applyFont="1"/>
    <xf numFmtId="2" fontId="31" fillId="0" borderId="0" xfId="0" applyNumberFormat="1" applyFont="1"/>
    <xf numFmtId="0" fontId="32" fillId="0" borderId="0" xfId="85" applyFont="1" applyFill="1"/>
    <xf numFmtId="2" fontId="20" fillId="0" borderId="0" xfId="85" applyNumberFormat="1" applyFill="1" applyAlignment="1">
      <alignment horizontal="center"/>
    </xf>
    <xf numFmtId="2" fontId="20" fillId="0" borderId="0" xfId="85" applyNumberFormat="1" applyFill="1" applyAlignment="1">
      <alignment horizontal="left" indent="2"/>
    </xf>
    <xf numFmtId="1" fontId="7" fillId="0" borderId="0" xfId="0" applyNumberFormat="1" applyFont="1"/>
    <xf numFmtId="2" fontId="0" fillId="0" borderId="0" xfId="0" applyNumberFormat="1" applyAlignment="1">
      <alignment horizontal="right"/>
    </xf>
    <xf numFmtId="10" fontId="31" fillId="0" borderId="0" xfId="88" applyNumberFormat="1" applyFont="1" applyFill="1"/>
    <xf numFmtId="2" fontId="7" fillId="0" borderId="50" xfId="0" applyNumberFormat="1" applyFont="1" applyBorder="1"/>
    <xf numFmtId="0" fontId="20" fillId="0" borderId="40" xfId="85" applyFill="1" applyBorder="1"/>
    <xf numFmtId="2" fontId="26" fillId="0" borderId="0" xfId="0" applyNumberFormat="1" applyFont="1"/>
    <xf numFmtId="0" fontId="36" fillId="0" borderId="0" xfId="85" applyFont="1" applyFill="1"/>
    <xf numFmtId="10" fontId="20" fillId="0" borderId="0" xfId="88" applyNumberFormat="1" applyFont="1" applyFill="1"/>
    <xf numFmtId="167" fontId="8" fillId="0" borderId="0" xfId="85" applyNumberFormat="1" applyFont="1" applyFill="1"/>
    <xf numFmtId="167" fontId="7" fillId="0" borderId="0" xfId="0" applyNumberFormat="1" applyFont="1"/>
    <xf numFmtId="0" fontId="38" fillId="0" borderId="0" xfId="0" applyFont="1" applyAlignment="1">
      <alignment horizontal="right"/>
    </xf>
    <xf numFmtId="0" fontId="26" fillId="0" borderId="0" xfId="0" applyFont="1"/>
    <xf numFmtId="2" fontId="31" fillId="0" borderId="15" xfId="0" applyNumberFormat="1" applyFont="1" applyBorder="1"/>
    <xf numFmtId="9" fontId="31" fillId="0" borderId="0" xfId="88" applyFont="1" applyFill="1" applyAlignment="1">
      <alignment horizontal="center"/>
    </xf>
    <xf numFmtId="10" fontId="31" fillId="0" borderId="0" xfId="88" applyNumberFormat="1" applyFont="1" applyFill="1" applyAlignment="1">
      <alignment horizontal="center"/>
    </xf>
    <xf numFmtId="0" fontId="0" fillId="0" borderId="74" xfId="0" applyBorder="1"/>
    <xf numFmtId="0" fontId="40" fillId="0" borderId="0" xfId="85" applyFont="1" applyFill="1"/>
    <xf numFmtId="2" fontId="40" fillId="0" borderId="0" xfId="85" applyNumberFormat="1" applyFont="1" applyFill="1"/>
    <xf numFmtId="9" fontId="40" fillId="0" borderId="0" xfId="88" applyFont="1" applyFill="1"/>
    <xf numFmtId="0" fontId="7" fillId="0" borderId="10" xfId="85" applyFont="1" applyFill="1" applyBorder="1" applyAlignment="1">
      <alignment horizontal="center"/>
    </xf>
    <xf numFmtId="0" fontId="25" fillId="0" borderId="10" xfId="0" applyFont="1" applyBorder="1" applyAlignment="1">
      <alignment wrapText="1"/>
    </xf>
    <xf numFmtId="10" fontId="20" fillId="0" borderId="0" xfId="85" applyNumberFormat="1" applyFill="1"/>
    <xf numFmtId="10" fontId="20" fillId="0" borderId="0" xfId="88" applyNumberFormat="1" applyFont="1" applyFill="1" applyBorder="1"/>
    <xf numFmtId="2" fontId="33" fillId="0" borderId="0" xfId="85" applyNumberFormat="1" applyFont="1" applyFill="1" applyAlignment="1">
      <alignment horizontal="right"/>
    </xf>
    <xf numFmtId="0" fontId="7" fillId="0" borderId="0" xfId="85" applyFont="1" applyFill="1"/>
    <xf numFmtId="0" fontId="39" fillId="0" borderId="35" xfId="85" applyFont="1" applyFill="1" applyBorder="1" applyAlignment="1">
      <alignment horizontal="center" vertical="center" wrapText="1" shrinkToFit="1"/>
    </xf>
    <xf numFmtId="1" fontId="20" fillId="0" borderId="0" xfId="85" applyNumberFormat="1" applyFill="1"/>
    <xf numFmtId="2" fontId="20" fillId="0" borderId="0" xfId="85" applyNumberFormat="1" applyFill="1" applyAlignment="1">
      <alignment horizontal="right"/>
    </xf>
    <xf numFmtId="1" fontId="0" fillId="0" borderId="65" xfId="0" applyNumberFormat="1" applyBorder="1"/>
    <xf numFmtId="1" fontId="7" fillId="0" borderId="65" xfId="0" applyNumberFormat="1" applyFont="1" applyBorder="1"/>
    <xf numFmtId="0" fontId="9" fillId="0" borderId="0" xfId="85" applyFont="1" applyFill="1"/>
    <xf numFmtId="10" fontId="31" fillId="0" borderId="0" xfId="0" applyNumberFormat="1" applyFont="1"/>
    <xf numFmtId="9" fontId="31" fillId="0" borderId="0" xfId="88" applyFont="1" applyFill="1"/>
    <xf numFmtId="170" fontId="31" fillId="0" borderId="0" xfId="88" applyNumberFormat="1" applyFont="1" applyFill="1"/>
    <xf numFmtId="0" fontId="24" fillId="0" borderId="0" xfId="85" applyFont="1" applyFill="1" applyAlignment="1">
      <alignment horizontal="center" vertical="center" wrapText="1" shrinkToFit="1"/>
    </xf>
    <xf numFmtId="2" fontId="8" fillId="0" borderId="0" xfId="85" applyNumberFormat="1" applyFont="1" applyFill="1" applyAlignment="1">
      <alignment horizontal="center"/>
    </xf>
    <xf numFmtId="1" fontId="8" fillId="0" borderId="0" xfId="85" applyNumberFormat="1" applyFont="1" applyFill="1"/>
    <xf numFmtId="0" fontId="10" fillId="0" borderId="0" xfId="84" applyFont="1" applyProtection="1">
      <protection locked="0"/>
    </xf>
    <xf numFmtId="0" fontId="10" fillId="0" borderId="0" xfId="84" applyFont="1" applyAlignment="1" applyProtection="1">
      <alignment horizontal="center" vertical="center"/>
      <protection locked="0"/>
    </xf>
    <xf numFmtId="0" fontId="10" fillId="0" borderId="0" xfId="84" applyFont="1" applyAlignment="1" applyProtection="1">
      <alignment wrapText="1"/>
      <protection locked="0"/>
    </xf>
    <xf numFmtId="0" fontId="10" fillId="0" borderId="0" xfId="84" applyFont="1" applyAlignment="1" applyProtection="1">
      <alignment horizontal="left"/>
      <protection locked="0"/>
    </xf>
    <xf numFmtId="0" fontId="7" fillId="0" borderId="10" xfId="84" applyFont="1" applyBorder="1" applyAlignment="1" applyProtection="1">
      <alignment horizontal="center" vertical="center" wrapText="1"/>
      <protection locked="0"/>
    </xf>
    <xf numFmtId="0" fontId="12" fillId="0" borderId="10" xfId="85" applyFont="1" applyFill="1" applyBorder="1"/>
    <xf numFmtId="0" fontId="21" fillId="0" borderId="10" xfId="85" applyFont="1" applyFill="1" applyBorder="1" applyAlignment="1">
      <alignment horizontal="centerContinuous"/>
    </xf>
    <xf numFmtId="0" fontId="15" fillId="0" borderId="10" xfId="85" applyFont="1" applyFill="1" applyBorder="1" applyAlignment="1">
      <alignment horizontal="centerContinuous"/>
    </xf>
    <xf numFmtId="0" fontId="12" fillId="0" borderId="10" xfId="85" applyFont="1" applyFill="1" applyBorder="1" applyAlignment="1">
      <alignment horizontal="center"/>
    </xf>
    <xf numFmtId="0" fontId="7" fillId="0" borderId="10" xfId="85" applyFont="1" applyFill="1" applyBorder="1"/>
    <xf numFmtId="0" fontId="8" fillId="0" borderId="10" xfId="85" applyFont="1" applyFill="1" applyBorder="1"/>
    <xf numFmtId="0" fontId="21" fillId="0" borderId="41" xfId="85" applyFont="1" applyFill="1" applyBorder="1" applyAlignment="1">
      <alignment horizontal="centerContinuous"/>
    </xf>
    <xf numFmtId="0" fontId="15" fillId="0" borderId="41" xfId="85" applyFont="1" applyFill="1" applyBorder="1" applyAlignment="1">
      <alignment horizontal="centerContinuous"/>
    </xf>
    <xf numFmtId="0" fontId="12" fillId="0" borderId="40" xfId="85" applyFont="1" applyFill="1" applyBorder="1" applyAlignment="1">
      <alignment horizontal="center"/>
    </xf>
    <xf numFmtId="0" fontId="12" fillId="0" borderId="41" xfId="85" applyFont="1" applyFill="1" applyBorder="1" applyAlignment="1">
      <alignment horizontal="center"/>
    </xf>
    <xf numFmtId="168" fontId="0" fillId="0" borderId="0" xfId="0" applyNumberFormat="1"/>
    <xf numFmtId="1" fontId="33" fillId="0" borderId="0" xfId="85" applyNumberFormat="1" applyFont="1" applyFill="1" applyAlignment="1">
      <alignment horizontal="right"/>
    </xf>
    <xf numFmtId="14" fontId="0" fillId="0" borderId="0" xfId="0" applyNumberFormat="1"/>
    <xf numFmtId="1" fontId="0" fillId="0" borderId="65" xfId="0" applyNumberFormat="1" applyBorder="1" applyAlignment="1">
      <alignment horizontal="right"/>
    </xf>
    <xf numFmtId="0" fontId="53" fillId="0" borderId="0" xfId="0" applyFont="1"/>
    <xf numFmtId="15" fontId="0" fillId="0" borderId="0" xfId="0" applyNumberFormat="1"/>
    <xf numFmtId="0" fontId="25" fillId="0" borderId="0" xfId="0" applyFont="1" applyAlignment="1">
      <alignment horizontal="center" wrapText="1" shrinkToFit="1"/>
    </xf>
    <xf numFmtId="1" fontId="0" fillId="0" borderId="0" xfId="0" applyNumberFormat="1" applyAlignment="1">
      <alignment horizontal="right"/>
    </xf>
    <xf numFmtId="1" fontId="56" fillId="0" borderId="0" xfId="0" applyNumberFormat="1" applyFont="1"/>
    <xf numFmtId="17" fontId="0" fillId="0" borderId="0" xfId="0" applyNumberFormat="1"/>
    <xf numFmtId="0" fontId="0" fillId="0" borderId="0" xfId="0" applyAlignment="1">
      <alignment horizontal="left"/>
    </xf>
    <xf numFmtId="16" fontId="0" fillId="0" borderId="0" xfId="0" applyNumberFormat="1" applyAlignment="1">
      <alignment horizontal="right"/>
    </xf>
    <xf numFmtId="10" fontId="7" fillId="0" borderId="0" xfId="88" applyNumberFormat="1" applyFont="1"/>
    <xf numFmtId="0" fontId="24" fillId="0" borderId="15" xfId="0" applyFont="1" applyBorder="1" applyAlignment="1">
      <alignment horizontal="center" vertical="center" wrapText="1" shrinkToFit="1"/>
    </xf>
    <xf numFmtId="2" fontId="6" fillId="0" borderId="0" xfId="0" applyNumberFormat="1" applyFont="1"/>
    <xf numFmtId="0" fontId="0" fillId="0" borderId="0" xfId="0" applyAlignment="1">
      <alignment wrapText="1" shrinkToFit="1"/>
    </xf>
    <xf numFmtId="0" fontId="24" fillId="0" borderId="15" xfId="0" applyFont="1" applyBorder="1"/>
    <xf numFmtId="0" fontId="39" fillId="0" borderId="17" xfId="85" applyFont="1" applyFill="1" applyBorder="1" applyAlignment="1">
      <alignment horizontal="center" vertical="center" wrapText="1"/>
    </xf>
    <xf numFmtId="0" fontId="24" fillId="0" borderId="15" xfId="0" applyFont="1" applyBorder="1" applyAlignment="1">
      <alignment horizontal="center" wrapText="1" shrinkToFit="1"/>
    </xf>
    <xf numFmtId="10" fontId="0" fillId="0" borderId="10" xfId="0" applyNumberFormat="1" applyBorder="1"/>
    <xf numFmtId="2" fontId="26" fillId="0" borderId="0" xfId="0" applyNumberFormat="1" applyFont="1" applyAlignment="1">
      <alignment horizontal="center"/>
    </xf>
    <xf numFmtId="9" fontId="0" fillId="0" borderId="0" xfId="0" applyNumberFormat="1"/>
    <xf numFmtId="9" fontId="20" fillId="0" borderId="0" xfId="88" applyFont="1" applyFill="1"/>
    <xf numFmtId="189" fontId="0" fillId="0" borderId="0" xfId="0" applyNumberFormat="1"/>
    <xf numFmtId="174" fontId="0" fillId="0" borderId="42" xfId="0" applyNumberFormat="1" applyBorder="1"/>
    <xf numFmtId="0" fontId="8" fillId="0" borderId="45" xfId="0" applyFont="1" applyBorder="1" applyAlignment="1">
      <alignment horizontal="center"/>
    </xf>
    <xf numFmtId="165" fontId="0" fillId="0" borderId="0" xfId="37" applyFont="1"/>
    <xf numFmtId="0" fontId="7" fillId="0" borderId="45" xfId="0" applyFont="1" applyBorder="1" applyAlignment="1">
      <alignment horizontal="left"/>
    </xf>
    <xf numFmtId="0" fontId="41" fillId="28" borderId="86" xfId="0" applyFont="1" applyFill="1" applyBorder="1" applyAlignment="1">
      <alignment vertical="top" wrapText="1"/>
    </xf>
    <xf numFmtId="0" fontId="0" fillId="0" borderId="88" xfId="0" applyBorder="1"/>
    <xf numFmtId="0" fontId="8" fillId="0" borderId="0" xfId="0" applyFont="1" applyAlignment="1">
      <alignment horizontal="center" vertical="center" wrapText="1"/>
    </xf>
    <xf numFmtId="0" fontId="20" fillId="0" borderId="0" xfId="85" applyFill="1" applyAlignment="1">
      <alignment wrapText="1"/>
    </xf>
    <xf numFmtId="0" fontId="59" fillId="0" borderId="0" xfId="0" applyFont="1"/>
    <xf numFmtId="175" fontId="0" fillId="0" borderId="0" xfId="0" applyNumberFormat="1"/>
    <xf numFmtId="0" fontId="41" fillId="28" borderId="0" xfId="0" applyFont="1" applyFill="1" applyAlignment="1">
      <alignment vertical="top"/>
    </xf>
    <xf numFmtId="0" fontId="41" fillId="28" borderId="0" xfId="0" applyFont="1" applyFill="1" applyAlignment="1">
      <alignment vertical="top" wrapText="1"/>
    </xf>
    <xf numFmtId="167" fontId="41" fillId="28" borderId="0" xfId="0" applyNumberFormat="1" applyFont="1" applyFill="1" applyAlignment="1">
      <alignment horizontal="center"/>
    </xf>
    <xf numFmtId="167" fontId="41" fillId="28" borderId="0" xfId="0" applyNumberFormat="1" applyFont="1" applyFill="1"/>
    <xf numFmtId="2" fontId="41" fillId="28" borderId="0" xfId="0" applyNumberFormat="1" applyFont="1" applyFill="1" applyAlignment="1">
      <alignment horizontal="center"/>
    </xf>
    <xf numFmtId="2" fontId="41" fillId="28" borderId="0" xfId="0" applyNumberFormat="1" applyFont="1" applyFill="1"/>
    <xf numFmtId="0" fontId="41" fillId="28" borderId="0" xfId="0" applyFont="1" applyFill="1" applyAlignment="1">
      <alignment horizontal="center"/>
    </xf>
    <xf numFmtId="2" fontId="6" fillId="0" borderId="10" xfId="0" applyNumberFormat="1" applyFont="1" applyBorder="1"/>
    <xf numFmtId="0" fontId="7" fillId="0" borderId="10" xfId="84" applyFont="1" applyBorder="1" applyAlignment="1" applyProtection="1">
      <alignment wrapText="1"/>
      <protection locked="0"/>
    </xf>
    <xf numFmtId="0" fontId="41" fillId="28" borderId="87" xfId="0" applyFont="1" applyFill="1" applyBorder="1" applyAlignment="1">
      <alignment horizontal="left" vertical="top" indent="1"/>
    </xf>
    <xf numFmtId="0" fontId="58" fillId="28" borderId="87" xfId="0" applyFont="1" applyFill="1" applyBorder="1" applyAlignment="1">
      <alignment horizontal="left" vertical="top" indent="2"/>
    </xf>
    <xf numFmtId="0" fontId="41" fillId="28" borderId="87" xfId="0" applyFont="1" applyFill="1" applyBorder="1" applyAlignment="1">
      <alignment horizontal="left" vertical="top" indent="2"/>
    </xf>
    <xf numFmtId="0" fontId="80" fillId="28" borderId="86" xfId="0" applyFont="1" applyFill="1" applyBorder="1" applyAlignment="1">
      <alignment vertical="top" wrapText="1"/>
    </xf>
    <xf numFmtId="0" fontId="80" fillId="28" borderId="87" xfId="0" applyFont="1" applyFill="1" applyBorder="1" applyAlignment="1">
      <alignment vertical="top"/>
    </xf>
    <xf numFmtId="0" fontId="80" fillId="0" borderId="87" xfId="0" applyFont="1" applyBorder="1" applyAlignment="1">
      <alignment vertical="top"/>
    </xf>
    <xf numFmtId="0" fontId="80" fillId="0" borderId="86" xfId="0" applyFont="1" applyBorder="1" applyAlignment="1">
      <alignment vertical="top" wrapText="1"/>
    </xf>
    <xf numFmtId="0" fontId="39" fillId="0" borderId="77" xfId="85" applyFont="1" applyFill="1" applyBorder="1" applyAlignment="1">
      <alignment horizontal="center" vertical="center" wrapText="1" shrinkToFit="1"/>
    </xf>
    <xf numFmtId="170" fontId="0" fillId="0" borderId="0" xfId="88" applyNumberFormat="1" applyFont="1"/>
    <xf numFmtId="0" fontId="55" fillId="0" borderId="0" xfId="85" applyFont="1" applyFill="1" applyAlignment="1">
      <alignment horizontal="center"/>
    </xf>
    <xf numFmtId="10" fontId="20" fillId="0" borderId="0" xfId="88" applyNumberFormat="1" applyFont="1" applyFill="1" applyAlignment="1">
      <alignment horizontal="center"/>
    </xf>
    <xf numFmtId="0" fontId="20" fillId="0" borderId="0" xfId="85" applyFill="1" applyAlignment="1">
      <alignment horizontal="center" wrapText="1"/>
    </xf>
    <xf numFmtId="0" fontId="8" fillId="0" borderId="42" xfId="0" applyFont="1" applyBorder="1" applyAlignment="1">
      <alignment horizontal="center"/>
    </xf>
    <xf numFmtId="2" fontId="0" fillId="0" borderId="0" xfId="0" applyNumberFormat="1" applyAlignment="1">
      <alignment horizontal="center"/>
    </xf>
    <xf numFmtId="0" fontId="7" fillId="0" borderId="6" xfId="0" applyFont="1" applyBorder="1" applyAlignment="1">
      <alignment horizontal="center" wrapText="1"/>
    </xf>
    <xf numFmtId="0" fontId="7" fillId="0" borderId="0" xfId="0" applyFont="1" applyAlignment="1">
      <alignment horizontal="center" wrapText="1"/>
    </xf>
    <xf numFmtId="10" fontId="0" fillId="0" borderId="0" xfId="0" applyNumberFormat="1" applyAlignment="1">
      <alignment horizontal="center"/>
    </xf>
    <xf numFmtId="167" fontId="20" fillId="0" borderId="10" xfId="85" applyNumberFormat="1" applyFill="1" applyBorder="1" applyAlignment="1">
      <alignment horizontal="center"/>
    </xf>
    <xf numFmtId="1" fontId="80" fillId="0" borderId="86" xfId="0" applyNumberFormat="1" applyFont="1" applyBorder="1" applyAlignment="1">
      <alignment horizontal="right" vertical="top" wrapText="1"/>
    </xf>
    <xf numFmtId="2" fontId="80" fillId="28" borderId="86" xfId="0" applyNumberFormat="1" applyFont="1" applyFill="1" applyBorder="1" applyAlignment="1">
      <alignment horizontal="right"/>
    </xf>
    <xf numFmtId="165" fontId="41" fillId="28" borderId="86" xfId="37" applyFont="1" applyFill="1" applyBorder="1" applyAlignment="1">
      <alignment horizontal="right"/>
    </xf>
    <xf numFmtId="10" fontId="80" fillId="28" borderId="86" xfId="88" applyNumberFormat="1" applyFont="1" applyFill="1" applyBorder="1" applyAlignment="1">
      <alignment horizontal="right"/>
    </xf>
    <xf numFmtId="1" fontId="80" fillId="28" borderId="86" xfId="0" applyNumberFormat="1" applyFont="1" applyFill="1" applyBorder="1" applyAlignment="1">
      <alignment horizontal="right"/>
    </xf>
    <xf numFmtId="165" fontId="41" fillId="28" borderId="93" xfId="37" applyFont="1" applyFill="1" applyBorder="1" applyAlignment="1">
      <alignment horizontal="right"/>
    </xf>
    <xf numFmtId="0" fontId="0" fillId="0" borderId="41" xfId="0" applyBorder="1"/>
    <xf numFmtId="166" fontId="25" fillId="0" borderId="0" xfId="45" applyFont="1" applyFill="1" applyBorder="1"/>
    <xf numFmtId="165" fontId="41" fillId="28" borderId="10" xfId="37" applyFont="1" applyFill="1" applyBorder="1" applyAlignment="1">
      <alignment horizontal="right"/>
    </xf>
    <xf numFmtId="165" fontId="54" fillId="28" borderId="10" xfId="37" applyFont="1" applyFill="1" applyBorder="1" applyAlignment="1">
      <alignment horizontal="right"/>
    </xf>
    <xf numFmtId="0" fontId="14" fillId="0" borderId="0" xfId="85" applyFont="1" applyFill="1" applyAlignment="1">
      <alignment horizontal="left"/>
    </xf>
    <xf numFmtId="0" fontId="16" fillId="0" borderId="0" xfId="85" applyFont="1" applyFill="1" applyAlignment="1">
      <alignment horizontal="center"/>
    </xf>
    <xf numFmtId="0" fontId="20" fillId="0" borderId="10" xfId="85" applyFill="1" applyBorder="1" applyAlignment="1">
      <alignment horizontal="center"/>
    </xf>
    <xf numFmtId="167" fontId="20" fillId="0" borderId="0" xfId="85" applyNumberFormat="1" applyFill="1" applyAlignment="1">
      <alignment horizontal="center"/>
    </xf>
    <xf numFmtId="0" fontId="16" fillId="0" borderId="10" xfId="85" applyFont="1" applyFill="1" applyBorder="1" applyAlignment="1">
      <alignment horizontal="center"/>
    </xf>
    <xf numFmtId="1" fontId="20" fillId="0" borderId="0" xfId="85" applyNumberFormat="1" applyFill="1" applyAlignment="1">
      <alignment horizontal="center"/>
    </xf>
    <xf numFmtId="174" fontId="7" fillId="0" borderId="47" xfId="0" applyNumberFormat="1" applyFont="1" applyBorder="1"/>
    <xf numFmtId="174" fontId="7" fillId="0" borderId="48" xfId="0" applyNumberFormat="1" applyFont="1" applyBorder="1"/>
    <xf numFmtId="2" fontId="41" fillId="28" borderId="86" xfId="37" applyNumberFormat="1" applyFont="1" applyFill="1" applyBorder="1" applyAlignment="1">
      <alignment horizontal="right"/>
    </xf>
    <xf numFmtId="0" fontId="8" fillId="0" borderId="0" xfId="85" applyFont="1" applyFill="1" applyAlignment="1">
      <alignment horizontal="center"/>
    </xf>
    <xf numFmtId="0" fontId="20" fillId="0" borderId="10" xfId="85" applyFill="1" applyBorder="1" applyAlignment="1">
      <alignment horizontal="centerContinuous"/>
    </xf>
    <xf numFmtId="0" fontId="16" fillId="0" borderId="10" xfId="85" applyFont="1" applyFill="1" applyBorder="1" applyAlignment="1">
      <alignment horizontal="centerContinuous"/>
    </xf>
    <xf numFmtId="10" fontId="8" fillId="0" borderId="0" xfId="85" applyNumberFormat="1" applyFont="1" applyFill="1" applyAlignment="1">
      <alignment horizontal="right"/>
    </xf>
    <xf numFmtId="0" fontId="20" fillId="0" borderId="0" xfId="85" applyFill="1" applyAlignment="1">
      <alignment horizontal="right"/>
    </xf>
    <xf numFmtId="0" fontId="17" fillId="0" borderId="0" xfId="0" applyFont="1" applyAlignment="1">
      <alignment vertical="center"/>
    </xf>
    <xf numFmtId="0" fontId="12" fillId="0" borderId="10" xfId="0" applyFont="1" applyBorder="1" applyAlignment="1">
      <alignment horizontal="left" vertical="center"/>
    </xf>
    <xf numFmtId="2" fontId="0" fillId="0" borderId="41" xfId="0" applyNumberFormat="1" applyBorder="1"/>
    <xf numFmtId="0" fontId="7" fillId="0" borderId="10" xfId="84" applyFont="1" applyBorder="1" applyAlignment="1" applyProtection="1">
      <alignment horizontal="right" wrapText="1"/>
      <protection locked="0"/>
    </xf>
    <xf numFmtId="0" fontId="35" fillId="0" borderId="0" xfId="78" applyFont="1"/>
    <xf numFmtId="0" fontId="35" fillId="0" borderId="0" xfId="78" applyFont="1" applyAlignment="1">
      <alignment vertical="top" wrapText="1"/>
    </xf>
    <xf numFmtId="0" fontId="45" fillId="0" borderId="0" xfId="78" applyFont="1" applyAlignment="1">
      <alignment vertical="top" wrapText="1"/>
    </xf>
    <xf numFmtId="0" fontId="45" fillId="0" borderId="0" xfId="78" applyFont="1"/>
    <xf numFmtId="2" fontId="7" fillId="0" borderId="0" xfId="0" applyNumberFormat="1" applyFont="1" applyAlignment="1">
      <alignment horizontal="center"/>
    </xf>
    <xf numFmtId="173" fontId="20" fillId="0" borderId="0" xfId="85" applyNumberFormat="1" applyFill="1"/>
    <xf numFmtId="2" fontId="7" fillId="0" borderId="47" xfId="0" applyNumberFormat="1" applyFont="1" applyBorder="1"/>
    <xf numFmtId="2" fontId="7" fillId="0" borderId="48" xfId="0" applyNumberFormat="1" applyFont="1" applyBorder="1"/>
    <xf numFmtId="9" fontId="0" fillId="0" borderId="0" xfId="88" applyFont="1" applyFill="1"/>
    <xf numFmtId="1" fontId="0" fillId="0" borderId="0" xfId="37" applyNumberFormat="1" applyFont="1"/>
    <xf numFmtId="0" fontId="20" fillId="0" borderId="0" xfId="0" applyFont="1"/>
    <xf numFmtId="0" fontId="8" fillId="0" borderId="42" xfId="0" applyFont="1" applyBorder="1" applyAlignment="1">
      <alignment horizontal="right"/>
    </xf>
    <xf numFmtId="2" fontId="0" fillId="29" borderId="0" xfId="0" applyNumberFormat="1" applyFill="1"/>
    <xf numFmtId="0" fontId="97" fillId="0" borderId="0" xfId="0" applyFont="1"/>
    <xf numFmtId="0" fontId="97" fillId="0" borderId="10" xfId="0" applyFont="1" applyBorder="1"/>
    <xf numFmtId="195" fontId="0" fillId="0" borderId="0" xfId="0" applyNumberFormat="1" applyAlignment="1">
      <alignment horizontal="center"/>
    </xf>
    <xf numFmtId="10" fontId="0" fillId="0" borderId="10" xfId="88" applyNumberFormat="1" applyFont="1" applyBorder="1"/>
    <xf numFmtId="0" fontId="24" fillId="0" borderId="10" xfId="0" applyFont="1" applyBorder="1" applyAlignment="1">
      <alignment wrapText="1"/>
    </xf>
    <xf numFmtId="167" fontId="41" fillId="0" borderId="0" xfId="85" applyNumberFormat="1" applyFont="1" applyFill="1" applyAlignment="1">
      <alignment horizontal="center"/>
    </xf>
    <xf numFmtId="167" fontId="41" fillId="0" borderId="0" xfId="85" applyNumberFormat="1" applyFont="1" applyFill="1"/>
    <xf numFmtId="167" fontId="7" fillId="0" borderId="10" xfId="0" applyNumberFormat="1" applyFont="1" applyBorder="1"/>
    <xf numFmtId="0" fontId="20" fillId="0" borderId="0" xfId="80" applyFill="1"/>
    <xf numFmtId="0" fontId="17" fillId="0" borderId="0" xfId="80" applyFont="1" applyFill="1"/>
    <xf numFmtId="0" fontId="8" fillId="0" borderId="0" xfId="80" applyFont="1" applyFill="1" applyAlignment="1">
      <alignment horizontal="right"/>
    </xf>
    <xf numFmtId="0" fontId="8" fillId="0" borderId="0" xfId="80" applyFont="1" applyFill="1"/>
    <xf numFmtId="2" fontId="35" fillId="0" borderId="0" xfId="78" applyNumberFormat="1" applyFont="1"/>
    <xf numFmtId="168" fontId="7" fillId="0" borderId="0" xfId="0" applyNumberFormat="1" applyFont="1"/>
    <xf numFmtId="2" fontId="7" fillId="0" borderId="46" xfId="0" applyNumberFormat="1" applyFont="1" applyBorder="1"/>
    <xf numFmtId="0" fontId="99" fillId="32" borderId="118" xfId="0" applyFont="1" applyFill="1" applyBorder="1" applyAlignment="1">
      <alignment horizontal="center" vertical="center" wrapText="1" readingOrder="1"/>
    </xf>
    <xf numFmtId="0" fontId="99" fillId="0" borderId="118" xfId="0" applyFont="1" applyBorder="1" applyAlignment="1">
      <alignment horizontal="center" vertical="center" wrapText="1" readingOrder="1"/>
    </xf>
    <xf numFmtId="0" fontId="100" fillId="0" borderId="118" xfId="0" applyFont="1" applyBorder="1" applyAlignment="1">
      <alignment horizontal="left" vertical="center" wrapText="1" readingOrder="1"/>
    </xf>
    <xf numFmtId="0" fontId="101" fillId="0" borderId="118" xfId="0" applyFont="1" applyBorder="1" applyAlignment="1">
      <alignment horizontal="center" vertical="center" wrapText="1" readingOrder="1"/>
    </xf>
    <xf numFmtId="0" fontId="101" fillId="0" borderId="118" xfId="0" applyFont="1" applyBorder="1" applyAlignment="1">
      <alignment horizontal="left" vertical="center" wrapText="1" readingOrder="1"/>
    </xf>
    <xf numFmtId="0" fontId="101" fillId="0" borderId="118" xfId="0" applyFont="1" applyBorder="1" applyAlignment="1">
      <alignment horizontal="right" vertical="center" wrapText="1"/>
    </xf>
    <xf numFmtId="0" fontId="99" fillId="0" borderId="118" xfId="0" applyFont="1" applyBorder="1" applyAlignment="1">
      <alignment horizontal="left" vertical="center" wrapText="1" readingOrder="1"/>
    </xf>
    <xf numFmtId="0" fontId="102" fillId="0" borderId="118" xfId="0" applyFont="1" applyBorder="1" applyAlignment="1">
      <alignment horizontal="left" vertical="center" wrapText="1" readingOrder="1"/>
    </xf>
    <xf numFmtId="0" fontId="103" fillId="0" borderId="118" xfId="0" applyFont="1" applyBorder="1" applyAlignment="1">
      <alignment horizontal="left" vertical="center" wrapText="1" readingOrder="1"/>
    </xf>
    <xf numFmtId="0" fontId="103" fillId="0" borderId="118" xfId="0" applyFont="1" applyBorder="1" applyAlignment="1">
      <alignment horizontal="right" vertical="center" wrapText="1"/>
    </xf>
    <xf numFmtId="0" fontId="104" fillId="0" borderId="118" xfId="0" applyFont="1" applyBorder="1" applyAlignment="1">
      <alignment horizontal="left" vertical="center" wrapText="1" readingOrder="1"/>
    </xf>
    <xf numFmtId="0" fontId="105" fillId="0" borderId="118" xfId="0" applyFont="1" applyBorder="1" applyAlignment="1">
      <alignment horizontal="left" vertical="center" wrapText="1" readingOrder="1"/>
    </xf>
    <xf numFmtId="0" fontId="105" fillId="0" borderId="118" xfId="0" applyFont="1" applyBorder="1" applyAlignment="1">
      <alignment horizontal="right" vertical="center" wrapText="1"/>
    </xf>
    <xf numFmtId="0" fontId="106" fillId="0" borderId="118" xfId="0" applyFont="1" applyBorder="1" applyAlignment="1">
      <alignment horizontal="left" vertical="center" wrapText="1" readingOrder="1"/>
    </xf>
    <xf numFmtId="2" fontId="101" fillId="0" borderId="118" xfId="0" applyNumberFormat="1" applyFont="1" applyBorder="1" applyAlignment="1">
      <alignment horizontal="right" vertical="center" wrapText="1"/>
    </xf>
    <xf numFmtId="2" fontId="99" fillId="0" borderId="118" xfId="0" applyNumberFormat="1" applyFont="1" applyBorder="1" applyAlignment="1">
      <alignment horizontal="right" vertical="center" wrapText="1"/>
    </xf>
    <xf numFmtId="2" fontId="102" fillId="0" borderId="118" xfId="0" applyNumberFormat="1" applyFont="1" applyBorder="1" applyAlignment="1">
      <alignment horizontal="right" vertical="center" wrapText="1"/>
    </xf>
    <xf numFmtId="2" fontId="100" fillId="0" borderId="118" xfId="0" applyNumberFormat="1" applyFont="1" applyBorder="1" applyAlignment="1">
      <alignment horizontal="right" vertical="center" wrapText="1"/>
    </xf>
    <xf numFmtId="2" fontId="104" fillId="0" borderId="118" xfId="0" applyNumberFormat="1" applyFont="1" applyBorder="1" applyAlignment="1">
      <alignment horizontal="right" vertical="center" wrapText="1"/>
    </xf>
    <xf numFmtId="2" fontId="103" fillId="0" borderId="118" xfId="0" applyNumberFormat="1" applyFont="1" applyBorder="1" applyAlignment="1">
      <alignment horizontal="right" vertical="center" wrapText="1"/>
    </xf>
    <xf numFmtId="2" fontId="106" fillId="0" borderId="118" xfId="0" applyNumberFormat="1" applyFont="1" applyBorder="1" applyAlignment="1">
      <alignment horizontal="right" vertical="center" wrapText="1"/>
    </xf>
    <xf numFmtId="2" fontId="105" fillId="0" borderId="118" xfId="0" applyNumberFormat="1" applyFont="1" applyBorder="1" applyAlignment="1">
      <alignment horizontal="right" vertical="center" wrapText="1"/>
    </xf>
    <xf numFmtId="0" fontId="108" fillId="0" borderId="118" xfId="0" applyFont="1" applyBorder="1" applyAlignment="1">
      <alignment horizontal="left" vertical="center" wrapText="1" readingOrder="1"/>
    </xf>
    <xf numFmtId="1" fontId="26" fillId="0" borderId="0" xfId="0" applyNumberFormat="1" applyFont="1"/>
    <xf numFmtId="0" fontId="6" fillId="0" borderId="10" xfId="0" applyFont="1" applyBorder="1"/>
    <xf numFmtId="0" fontId="6" fillId="0" borderId="0" xfId="85" applyFont="1" applyFill="1" applyAlignment="1">
      <alignment horizontal="center"/>
    </xf>
    <xf numFmtId="175" fontId="20" fillId="0" borderId="0" xfId="85" applyNumberFormat="1" applyFill="1" applyAlignment="1">
      <alignment horizontal="center"/>
    </xf>
    <xf numFmtId="0" fontId="6" fillId="0" borderId="0" xfId="85" applyFont="1" applyFill="1"/>
    <xf numFmtId="0" fontId="6" fillId="0" borderId="0" xfId="0" applyFont="1"/>
    <xf numFmtId="2" fontId="29" fillId="33" borderId="0" xfId="0" applyNumberFormat="1" applyFont="1" applyFill="1"/>
    <xf numFmtId="2" fontId="7" fillId="0" borderId="73" xfId="0" applyNumberFormat="1" applyFont="1" applyBorder="1"/>
    <xf numFmtId="0" fontId="6" fillId="0" borderId="10" xfId="0" applyFont="1" applyBorder="1" applyAlignment="1">
      <alignment wrapText="1"/>
    </xf>
    <xf numFmtId="0" fontId="9" fillId="0" borderId="52" xfId="0" applyFont="1" applyBorder="1"/>
    <xf numFmtId="168" fontId="7" fillId="0" borderId="45" xfId="0" applyNumberFormat="1" applyFont="1" applyBorder="1"/>
    <xf numFmtId="10" fontId="0" fillId="29" borderId="0" xfId="0" applyNumberFormat="1" applyFill="1"/>
    <xf numFmtId="0" fontId="20" fillId="0" borderId="0" xfId="115" applyFill="1" applyAlignment="1">
      <alignment horizontal="center" vertical="center"/>
    </xf>
    <xf numFmtId="0" fontId="17" fillId="0" borderId="0" xfId="115" applyFont="1" applyFill="1"/>
    <xf numFmtId="0" fontId="18" fillId="0" borderId="0" xfId="115" applyFont="1" applyFill="1" applyAlignment="1">
      <alignment vertical="center"/>
    </xf>
    <xf numFmtId="0" fontId="8" fillId="0" borderId="0" xfId="115" applyFont="1" applyFill="1" applyAlignment="1">
      <alignment horizontal="right" vertical="center"/>
    </xf>
    <xf numFmtId="0" fontId="8" fillId="0" borderId="0" xfId="115" applyFont="1" applyFill="1" applyAlignment="1">
      <alignment vertical="center"/>
    </xf>
    <xf numFmtId="0" fontId="20" fillId="0" borderId="0" xfId="115" applyFill="1" applyAlignment="1">
      <alignment vertical="center"/>
    </xf>
    <xf numFmtId="0" fontId="17" fillId="0" borderId="0" xfId="115" applyFont="1" applyFill="1" applyAlignment="1">
      <alignment vertical="center"/>
    </xf>
    <xf numFmtId="0" fontId="19" fillId="0" borderId="0" xfId="115" applyFont="1" applyFill="1" applyAlignment="1">
      <alignment vertical="center"/>
    </xf>
    <xf numFmtId="0" fontId="16" fillId="0" borderId="19" xfId="115" applyFont="1" applyFill="1" applyBorder="1" applyAlignment="1">
      <alignment horizontal="center" vertical="center"/>
    </xf>
    <xf numFmtId="0" fontId="17" fillId="0" borderId="0" xfId="115" applyFont="1" applyFill="1" applyAlignment="1">
      <alignment horizontal="center" vertical="center"/>
    </xf>
    <xf numFmtId="0" fontId="20" fillId="0" borderId="19" xfId="115" applyFill="1" applyBorder="1" applyAlignment="1">
      <alignment horizontal="center" vertical="center"/>
    </xf>
    <xf numFmtId="0" fontId="18" fillId="0" borderId="10" xfId="115" applyFont="1" applyFill="1" applyBorder="1" applyAlignment="1">
      <alignment vertical="center"/>
    </xf>
    <xf numFmtId="0" fontId="17" fillId="0" borderId="10" xfId="115" applyFont="1" applyFill="1" applyBorder="1" applyAlignment="1">
      <alignment vertical="center"/>
    </xf>
    <xf numFmtId="0" fontId="20" fillId="0" borderId="0" xfId="115" applyFill="1" applyAlignment="1">
      <alignment horizontal="center" vertical="center" wrapText="1"/>
    </xf>
    <xf numFmtId="0" fontId="18" fillId="0" borderId="10" xfId="115" applyFont="1" applyFill="1" applyBorder="1" applyAlignment="1">
      <alignment horizontal="center" vertical="center"/>
    </xf>
    <xf numFmtId="168" fontId="18" fillId="0" borderId="10" xfId="115" applyNumberFormat="1" applyFont="1" applyFill="1" applyBorder="1" applyAlignment="1">
      <alignment horizontal="center" vertical="center" wrapText="1"/>
    </xf>
    <xf numFmtId="167" fontId="18" fillId="0" borderId="10" xfId="115" applyNumberFormat="1" applyFont="1" applyFill="1" applyBorder="1" applyAlignment="1">
      <alignment vertical="center"/>
    </xf>
    <xf numFmtId="2" fontId="18" fillId="0" borderId="10" xfId="115" applyNumberFormat="1" applyFont="1" applyFill="1" applyBorder="1" applyAlignment="1">
      <alignment vertical="center"/>
    </xf>
    <xf numFmtId="0" fontId="18" fillId="0" borderId="10" xfId="115" applyFont="1" applyFill="1" applyBorder="1" applyAlignment="1">
      <alignment vertical="center" wrapText="1"/>
    </xf>
    <xf numFmtId="0" fontId="18" fillId="0" borderId="0" xfId="115" applyFont="1" applyFill="1" applyAlignment="1">
      <alignment vertical="center" wrapText="1"/>
    </xf>
    <xf numFmtId="0" fontId="16" fillId="0" borderId="0" xfId="115" applyFont="1" applyFill="1" applyAlignment="1">
      <alignment horizontal="center" vertical="center"/>
    </xf>
    <xf numFmtId="0" fontId="17" fillId="0" borderId="10" xfId="115" applyFont="1" applyFill="1" applyBorder="1" applyAlignment="1">
      <alignment vertical="center" wrapText="1"/>
    </xf>
    <xf numFmtId="2" fontId="20" fillId="0" borderId="0" xfId="115" applyNumberFormat="1" applyFill="1" applyAlignment="1">
      <alignment vertical="center"/>
    </xf>
    <xf numFmtId="0" fontId="19" fillId="0" borderId="10" xfId="115" applyFont="1" applyFill="1" applyBorder="1" applyAlignment="1">
      <alignment vertical="center" wrapText="1"/>
    </xf>
    <xf numFmtId="0" fontId="18" fillId="0" borderId="10" xfId="115" applyFont="1" applyFill="1" applyBorder="1" applyAlignment="1">
      <alignment horizontal="right" vertical="center"/>
    </xf>
    <xf numFmtId="0" fontId="16" fillId="0" borderId="10" xfId="115" applyFont="1" applyFill="1" applyBorder="1" applyAlignment="1">
      <alignment vertical="center" wrapText="1"/>
    </xf>
    <xf numFmtId="0" fontId="20" fillId="0" borderId="27" xfId="115" applyFill="1" applyBorder="1" applyAlignment="1">
      <alignment horizontal="center" vertical="center"/>
    </xf>
    <xf numFmtId="0" fontId="20" fillId="0" borderId="0" xfId="115" applyFill="1" applyAlignment="1">
      <alignment vertical="center" wrapText="1"/>
    </xf>
    <xf numFmtId="0" fontId="20" fillId="0" borderId="0" xfId="115" applyFill="1"/>
    <xf numFmtId="0" fontId="8" fillId="0" borderId="0" xfId="115" applyFont="1" applyFill="1"/>
    <xf numFmtId="0" fontId="17" fillId="0" borderId="0" xfId="115" applyFont="1" applyFill="1" applyAlignment="1">
      <alignment horizontal="left" vertical="center"/>
    </xf>
    <xf numFmtId="0" fontId="18" fillId="0" borderId="10" xfId="115" applyFont="1" applyFill="1" applyBorder="1" applyAlignment="1">
      <alignment horizontal="left" vertical="center" wrapText="1"/>
    </xf>
    <xf numFmtId="167" fontId="20" fillId="0" borderId="0" xfId="115" applyNumberFormat="1" applyFill="1" applyAlignment="1">
      <alignment vertical="center"/>
    </xf>
    <xf numFmtId="0" fontId="18" fillId="0" borderId="0" xfId="115" applyFont="1" applyFill="1"/>
    <xf numFmtId="0" fontId="8" fillId="0" borderId="0" xfId="115" applyFont="1" applyFill="1" applyAlignment="1">
      <alignment horizontal="right"/>
    </xf>
    <xf numFmtId="0" fontId="17" fillId="0" borderId="0" xfId="115" applyFont="1" applyFill="1" applyAlignment="1">
      <alignment horizontal="left"/>
    </xf>
    <xf numFmtId="0" fontId="20" fillId="0" borderId="10" xfId="115" applyFill="1" applyBorder="1"/>
    <xf numFmtId="0" fontId="18" fillId="0" borderId="10" xfId="115" applyFont="1" applyFill="1" applyBorder="1" applyAlignment="1">
      <alignment horizontal="center"/>
    </xf>
    <xf numFmtId="0" fontId="18" fillId="0" borderId="10" xfId="115" applyFont="1" applyFill="1" applyBorder="1"/>
    <xf numFmtId="0" fontId="18" fillId="0" borderId="22" xfId="115" applyFont="1" applyFill="1" applyBorder="1"/>
    <xf numFmtId="168" fontId="18" fillId="0" borderId="10" xfId="115" applyNumberFormat="1" applyFont="1" applyFill="1" applyBorder="1" applyAlignment="1">
      <alignment horizontal="center"/>
    </xf>
    <xf numFmtId="167" fontId="18" fillId="0" borderId="10" xfId="115" applyNumberFormat="1" applyFont="1" applyFill="1" applyBorder="1"/>
    <xf numFmtId="0" fontId="16" fillId="0" borderId="10" xfId="115" applyFont="1" applyFill="1" applyBorder="1" applyAlignment="1">
      <alignment horizontal="center" vertical="center" wrapText="1"/>
    </xf>
    <xf numFmtId="0" fontId="18" fillId="0" borderId="0" xfId="115" applyFont="1" applyFill="1" applyAlignment="1">
      <alignment horizontal="center"/>
    </xf>
    <xf numFmtId="167" fontId="20" fillId="0" borderId="0" xfId="115" applyNumberFormat="1" applyFill="1"/>
    <xf numFmtId="0" fontId="16" fillId="0" borderId="0" xfId="115" applyFont="1" applyFill="1"/>
    <xf numFmtId="2" fontId="36" fillId="0" borderId="0" xfId="85" applyNumberFormat="1" applyFont="1" applyFill="1"/>
    <xf numFmtId="0" fontId="6" fillId="0" borderId="52" xfId="85" applyFont="1" applyFill="1" applyBorder="1"/>
    <xf numFmtId="0" fontId="6" fillId="0" borderId="0" xfId="0" applyFont="1" applyAlignment="1">
      <alignment horizontal="left"/>
    </xf>
    <xf numFmtId="0" fontId="0" fillId="33" borderId="0" xfId="0" applyFill="1"/>
    <xf numFmtId="0" fontId="6" fillId="0" borderId="10" xfId="84" applyBorder="1" applyAlignment="1" applyProtection="1">
      <alignment wrapText="1"/>
      <protection locked="0"/>
    </xf>
    <xf numFmtId="1" fontId="6" fillId="0" borderId="0" xfId="0" applyNumberFormat="1" applyFont="1"/>
    <xf numFmtId="167" fontId="6" fillId="0" borderId="0" xfId="85" applyNumberFormat="1" applyFont="1" applyFill="1"/>
    <xf numFmtId="190" fontId="6" fillId="0" borderId="0" xfId="85" applyNumberFormat="1" applyFont="1" applyFill="1"/>
    <xf numFmtId="2" fontId="6" fillId="0" borderId="0" xfId="85" applyNumberFormat="1" applyFont="1" applyFill="1"/>
    <xf numFmtId="168" fontId="20" fillId="0" borderId="0" xfId="115" applyNumberFormat="1" applyFill="1" applyAlignment="1">
      <alignment vertical="center"/>
    </xf>
    <xf numFmtId="0" fontId="6" fillId="29" borderId="0" xfId="0" applyFont="1" applyFill="1"/>
    <xf numFmtId="0" fontId="0" fillId="29" borderId="0" xfId="0" applyFill="1"/>
    <xf numFmtId="0" fontId="6" fillId="0" borderId="10" xfId="85" applyFont="1" applyFill="1" applyBorder="1"/>
    <xf numFmtId="0" fontId="20" fillId="0" borderId="10" xfId="115" applyFill="1" applyBorder="1" applyAlignment="1">
      <alignment horizontal="center" vertical="center"/>
    </xf>
    <xf numFmtId="0" fontId="18" fillId="0" borderId="10" xfId="115" applyFont="1" applyFill="1" applyBorder="1" applyAlignment="1">
      <alignment horizontal="center" vertical="center" wrapText="1"/>
    </xf>
    <xf numFmtId="0" fontId="17" fillId="0" borderId="10" xfId="115" applyFont="1" applyFill="1" applyBorder="1" applyAlignment="1">
      <alignment horizontal="center" vertical="center" wrapText="1"/>
    </xf>
    <xf numFmtId="2" fontId="18" fillId="0" borderId="0" xfId="115" applyNumberFormat="1" applyFont="1" applyFill="1" applyAlignment="1">
      <alignment vertical="center"/>
    </xf>
    <xf numFmtId="167" fontId="18" fillId="0" borderId="0" xfId="115" applyNumberFormat="1" applyFont="1" applyFill="1" applyAlignment="1">
      <alignment vertical="center"/>
    </xf>
    <xf numFmtId="0" fontId="29" fillId="0" borderId="10" xfId="0" applyFont="1" applyBorder="1"/>
    <xf numFmtId="0" fontId="29" fillId="0" borderId="38" xfId="0" applyFont="1" applyBorder="1"/>
    <xf numFmtId="0" fontId="6" fillId="0" borderId="0" xfId="118"/>
    <xf numFmtId="0" fontId="6" fillId="0" borderId="19" xfId="85" applyFont="1" applyFill="1" applyBorder="1"/>
    <xf numFmtId="0" fontId="6" fillId="0" borderId="27" xfId="85" applyFont="1" applyFill="1" applyBorder="1"/>
    <xf numFmtId="0" fontId="6" fillId="0" borderId="33" xfId="85" applyFont="1" applyFill="1" applyBorder="1"/>
    <xf numFmtId="1" fontId="6" fillId="0" borderId="0" xfId="85" applyNumberFormat="1" applyFont="1" applyFill="1" applyAlignment="1">
      <alignment horizontal="center"/>
    </xf>
    <xf numFmtId="1" fontId="6" fillId="0" borderId="0" xfId="85" applyNumberFormat="1" applyFont="1" applyFill="1"/>
    <xf numFmtId="0" fontId="6" fillId="0" borderId="35" xfId="85" applyFont="1" applyFill="1" applyBorder="1"/>
    <xf numFmtId="0" fontId="6" fillId="0" borderId="32" xfId="85" applyFont="1" applyFill="1" applyBorder="1"/>
    <xf numFmtId="0" fontId="6" fillId="0" borderId="34" xfId="85" applyFont="1" applyFill="1" applyBorder="1"/>
    <xf numFmtId="0" fontId="12" fillId="0" borderId="70" xfId="85" applyFont="1" applyFill="1" applyBorder="1" applyAlignment="1">
      <alignment horizontal="center"/>
    </xf>
    <xf numFmtId="0" fontId="12" fillId="0" borderId="76" xfId="85" applyFont="1" applyFill="1" applyBorder="1" applyAlignment="1">
      <alignment horizontal="center"/>
    </xf>
    <xf numFmtId="0" fontId="12" fillId="0" borderId="77" xfId="85" applyFont="1" applyFill="1" applyBorder="1" applyAlignment="1">
      <alignment horizontal="center"/>
    </xf>
    <xf numFmtId="0" fontId="12" fillId="0" borderId="17" xfId="85" applyFont="1" applyFill="1" applyBorder="1" applyAlignment="1">
      <alignment horizontal="center"/>
    </xf>
    <xf numFmtId="2" fontId="16" fillId="0" borderId="0" xfId="85" applyNumberFormat="1" applyFont="1" applyFill="1" applyAlignment="1">
      <alignment horizontal="right"/>
    </xf>
    <xf numFmtId="0" fontId="6" fillId="0" borderId="0" xfId="0" applyFont="1" applyAlignment="1">
      <alignment horizontal="right"/>
    </xf>
    <xf numFmtId="0" fontId="6" fillId="0" borderId="41" xfId="0" applyFont="1" applyBorder="1"/>
    <xf numFmtId="1" fontId="6" fillId="0" borderId="10" xfId="0" applyNumberFormat="1" applyFont="1" applyBorder="1"/>
    <xf numFmtId="1" fontId="6" fillId="0" borderId="41" xfId="0" applyNumberFormat="1" applyFont="1" applyBorder="1"/>
    <xf numFmtId="0" fontId="6" fillId="0" borderId="0" xfId="84" applyAlignment="1" applyProtection="1">
      <alignment wrapText="1"/>
      <protection locked="0"/>
    </xf>
    <xf numFmtId="0" fontId="6" fillId="0" borderId="0" xfId="84" applyAlignment="1" applyProtection="1">
      <alignment horizontal="centerContinuous" wrapText="1"/>
      <protection locked="0"/>
    </xf>
    <xf numFmtId="2" fontId="6" fillId="0" borderId="10" xfId="0" applyNumberFormat="1" applyFont="1" applyBorder="1" applyAlignment="1">
      <alignment horizontal="right"/>
    </xf>
    <xf numFmtId="2" fontId="6" fillId="0" borderId="50" xfId="0" applyNumberFormat="1" applyFont="1" applyBorder="1"/>
    <xf numFmtId="0" fontId="6" fillId="0" borderId="0" xfId="0" applyFont="1" applyAlignment="1">
      <alignment horizontal="centerContinuous"/>
    </xf>
    <xf numFmtId="0" fontId="6" fillId="0" borderId="10" xfId="0" applyFont="1" applyBorder="1" applyAlignment="1">
      <alignment horizontal="center" vertical="top" wrapText="1"/>
    </xf>
    <xf numFmtId="0" fontId="6" fillId="0" borderId="45" xfId="0" applyFont="1" applyBorder="1"/>
    <xf numFmtId="191" fontId="6" fillId="0" borderId="0" xfId="0" applyNumberFormat="1" applyFont="1" applyAlignment="1">
      <alignment horizontal="center"/>
    </xf>
    <xf numFmtId="15" fontId="6" fillId="0" borderId="0" xfId="0" applyNumberFormat="1" applyFont="1"/>
    <xf numFmtId="10" fontId="7" fillId="0" borderId="0" xfId="88" applyNumberFormat="1" applyFont="1" applyFill="1"/>
    <xf numFmtId="10" fontId="7" fillId="0" borderId="0" xfId="88" applyNumberFormat="1" applyFont="1" applyFill="1" applyAlignment="1">
      <alignment horizontal="center"/>
    </xf>
    <xf numFmtId="0" fontId="6" fillId="0" borderId="15" xfId="0" applyFont="1" applyBorder="1"/>
    <xf numFmtId="0" fontId="54" fillId="0" borderId="0" xfId="0" applyFont="1" applyAlignment="1">
      <alignment vertical="top" wrapText="1"/>
    </xf>
    <xf numFmtId="2" fontId="54" fillId="28" borderId="0" xfId="0" applyNumberFormat="1" applyFont="1" applyFill="1" applyAlignment="1">
      <alignment horizontal="center"/>
    </xf>
    <xf numFmtId="2" fontId="54" fillId="28" borderId="0" xfId="0" applyNumberFormat="1" applyFont="1" applyFill="1"/>
    <xf numFmtId="0" fontId="54" fillId="28" borderId="0" xfId="0" applyFont="1" applyFill="1" applyAlignment="1">
      <alignment vertical="top"/>
    </xf>
    <xf numFmtId="0" fontId="54" fillId="28" borderId="0" xfId="0" applyFont="1" applyFill="1" applyAlignment="1">
      <alignment vertical="top" wrapText="1"/>
    </xf>
    <xf numFmtId="168" fontId="54" fillId="28" borderId="0" xfId="0" applyNumberFormat="1" applyFont="1" applyFill="1" applyAlignment="1">
      <alignment horizontal="center"/>
    </xf>
    <xf numFmtId="0" fontId="54" fillId="27" borderId="85" xfId="0" applyFont="1" applyFill="1" applyBorder="1" applyAlignment="1">
      <alignment vertical="top" wrapText="1"/>
    </xf>
    <xf numFmtId="0" fontId="54" fillId="27" borderId="86" xfId="0" applyFont="1" applyFill="1" applyBorder="1" applyAlignment="1">
      <alignment vertical="top" wrapText="1"/>
    </xf>
    <xf numFmtId="0" fontId="54" fillId="28" borderId="87" xfId="0" applyFont="1" applyFill="1" applyBorder="1" applyAlignment="1">
      <alignment horizontal="left" vertical="top" indent="2"/>
    </xf>
    <xf numFmtId="0" fontId="54" fillId="28" borderId="86" xfId="0" applyFont="1" applyFill="1" applyBorder="1" applyAlignment="1">
      <alignment vertical="top" wrapText="1"/>
    </xf>
    <xf numFmtId="2" fontId="54" fillId="28" borderId="86" xfId="37" applyNumberFormat="1" applyFont="1" applyFill="1" applyBorder="1" applyAlignment="1">
      <alignment horizontal="right"/>
    </xf>
    <xf numFmtId="165" fontId="54" fillId="28" borderId="86" xfId="37" applyFont="1" applyFill="1" applyBorder="1" applyAlignment="1">
      <alignment horizontal="right"/>
    </xf>
    <xf numFmtId="0" fontId="54" fillId="28" borderId="87" xfId="0" applyFont="1" applyFill="1" applyBorder="1" applyAlignment="1">
      <alignment vertical="top"/>
    </xf>
    <xf numFmtId="165" fontId="54" fillId="28" borderId="87" xfId="37" applyFont="1" applyFill="1" applyBorder="1" applyAlignment="1">
      <alignment horizontal="right" vertical="top" indent="2"/>
    </xf>
    <xf numFmtId="165" fontId="54" fillId="28" borderId="58" xfId="37" applyFont="1" applyFill="1" applyBorder="1" applyAlignment="1">
      <alignment horizontal="right" vertical="top" indent="2"/>
    </xf>
    <xf numFmtId="0" fontId="54" fillId="28" borderId="0" xfId="0" applyFont="1" applyFill="1" applyAlignment="1">
      <alignment horizontal="left" vertical="top" indent="2"/>
    </xf>
    <xf numFmtId="0" fontId="61" fillId="0" borderId="10" xfId="0" applyFont="1" applyBorder="1" applyAlignment="1">
      <alignment horizontal="center"/>
    </xf>
    <xf numFmtId="0" fontId="76" fillId="0" borderId="10" xfId="0" applyFont="1" applyBorder="1" applyAlignment="1">
      <alignment horizontal="center" wrapText="1"/>
    </xf>
    <xf numFmtId="0" fontId="61" fillId="0" borderId="10" xfId="0" applyFont="1" applyBorder="1"/>
    <xf numFmtId="0" fontId="76" fillId="0" borderId="10" xfId="0" applyFont="1" applyBorder="1" applyAlignment="1">
      <alignment horizontal="center"/>
    </xf>
    <xf numFmtId="0" fontId="76" fillId="0" borderId="10" xfId="0" applyFont="1" applyBorder="1"/>
    <xf numFmtId="0" fontId="6" fillId="0" borderId="40" xfId="0" applyFont="1" applyBorder="1"/>
    <xf numFmtId="2" fontId="7" fillId="34" borderId="0" xfId="0" applyNumberFormat="1" applyFont="1" applyFill="1"/>
    <xf numFmtId="2" fontId="7" fillId="36" borderId="0" xfId="0" applyNumberFormat="1" applyFont="1" applyFill="1"/>
    <xf numFmtId="0" fontId="113" fillId="0" borderId="89" xfId="0" applyFont="1" applyBorder="1"/>
    <xf numFmtId="2" fontId="18" fillId="0" borderId="0" xfId="115" applyNumberFormat="1" applyFont="1" applyFill="1"/>
    <xf numFmtId="0" fontId="114" fillId="0" borderId="0" xfId="115" applyFont="1" applyFill="1" applyAlignment="1">
      <alignment vertical="center"/>
    </xf>
    <xf numFmtId="2" fontId="114" fillId="0" borderId="0" xfId="115" applyNumberFormat="1" applyFont="1" applyFill="1" applyAlignment="1">
      <alignment vertical="center"/>
    </xf>
    <xf numFmtId="2" fontId="96" fillId="0" borderId="0" xfId="0" applyNumberFormat="1" applyFont="1"/>
    <xf numFmtId="0" fontId="96" fillId="0" borderId="0" xfId="0" applyFont="1"/>
    <xf numFmtId="170" fontId="20" fillId="0" borderId="0" xfId="88" applyNumberFormat="1" applyFont="1" applyFill="1" applyAlignment="1">
      <alignment horizontal="center"/>
    </xf>
    <xf numFmtId="0" fontId="97" fillId="37" borderId="10" xfId="0" applyFont="1" applyFill="1" applyBorder="1" applyAlignment="1">
      <alignment horizontal="center" vertical="center"/>
    </xf>
    <xf numFmtId="0" fontId="0" fillId="33" borderId="10" xfId="0" applyFill="1" applyBorder="1"/>
    <xf numFmtId="0" fontId="0" fillId="0" borderId="10" xfId="0" applyBorder="1" applyAlignment="1">
      <alignment horizontal="center" vertical="center"/>
    </xf>
    <xf numFmtId="0" fontId="0" fillId="0" borderId="10" xfId="0" applyBorder="1" applyAlignment="1">
      <alignment horizontal="left" vertical="center"/>
    </xf>
    <xf numFmtId="17" fontId="6" fillId="0" borderId="0" xfId="85" applyNumberFormat="1" applyFont="1" applyFill="1" applyAlignment="1">
      <alignment horizontal="center"/>
    </xf>
    <xf numFmtId="17" fontId="20" fillId="0" borderId="0" xfId="85" applyNumberFormat="1" applyFill="1" applyAlignment="1">
      <alignment horizontal="center"/>
    </xf>
    <xf numFmtId="9" fontId="20" fillId="0" borderId="0" xfId="85" applyNumberFormat="1" applyFill="1"/>
    <xf numFmtId="0" fontId="6" fillId="0" borderId="0" xfId="0" applyFont="1" applyAlignment="1">
      <alignment wrapText="1"/>
    </xf>
    <xf numFmtId="0" fontId="0" fillId="0" borderId="0" xfId="0" applyAlignment="1">
      <alignment horizontal="center" vertical="center"/>
    </xf>
    <xf numFmtId="189" fontId="8" fillId="0" borderId="10" xfId="37" applyNumberFormat="1" applyFont="1" applyFill="1" applyBorder="1" applyAlignment="1">
      <alignment horizontal="center" vertical="center"/>
    </xf>
    <xf numFmtId="3" fontId="0" fillId="0" borderId="0" xfId="0" applyNumberFormat="1"/>
    <xf numFmtId="2" fontId="116" fillId="0" borderId="125" xfId="0" applyNumberFormat="1" applyFont="1" applyBorder="1" applyAlignment="1">
      <alignment wrapText="1"/>
    </xf>
    <xf numFmtId="2" fontId="116" fillId="0" borderId="126" xfId="0" applyNumberFormat="1" applyFont="1" applyBorder="1" applyAlignment="1">
      <alignment wrapText="1"/>
    </xf>
    <xf numFmtId="2" fontId="116" fillId="0" borderId="127" xfId="0" applyNumberFormat="1" applyFont="1" applyBorder="1" applyAlignment="1">
      <alignment wrapText="1"/>
    </xf>
    <xf numFmtId="2" fontId="116" fillId="0" borderId="120" xfId="0" applyNumberFormat="1" applyFont="1" applyBorder="1" applyAlignment="1">
      <alignment wrapText="1"/>
    </xf>
    <xf numFmtId="0" fontId="120" fillId="0" borderId="40" xfId="0" applyFont="1" applyBorder="1" applyAlignment="1">
      <alignment horizontal="left" vertical="center" wrapText="1"/>
    </xf>
    <xf numFmtId="0" fontId="121" fillId="0" borderId="41" xfId="0" applyFont="1" applyBorder="1" applyAlignment="1">
      <alignment horizontal="center" vertical="center" wrapText="1"/>
    </xf>
    <xf numFmtId="0" fontId="119" fillId="0" borderId="40" xfId="0" applyFont="1" applyBorder="1" applyAlignment="1">
      <alignment horizontal="left" vertical="center" wrapText="1"/>
    </xf>
    <xf numFmtId="2" fontId="119" fillId="0" borderId="41" xfId="0" applyNumberFormat="1" applyFont="1" applyBorder="1" applyAlignment="1">
      <alignment horizontal="center" vertical="center" wrapText="1"/>
    </xf>
    <xf numFmtId="2" fontId="118" fillId="0" borderId="41" xfId="0" applyNumberFormat="1" applyFont="1" applyBorder="1" applyAlignment="1">
      <alignment horizontal="center" vertical="center" wrapText="1"/>
    </xf>
    <xf numFmtId="0" fontId="119" fillId="0" borderId="90" xfId="0" applyFont="1" applyBorder="1" applyAlignment="1">
      <alignment horizontal="left" vertical="center" wrapText="1"/>
    </xf>
    <xf numFmtId="2" fontId="118" fillId="0" borderId="92" xfId="0" applyNumberFormat="1" applyFont="1" applyBorder="1" applyAlignment="1">
      <alignment horizontal="center" vertical="center" wrapText="1"/>
    </xf>
    <xf numFmtId="170" fontId="121" fillId="0" borderId="41" xfId="88" applyNumberFormat="1" applyFont="1" applyFill="1" applyBorder="1" applyAlignment="1">
      <alignment horizontal="center" vertical="center" wrapText="1"/>
    </xf>
    <xf numFmtId="1" fontId="121" fillId="0" borderId="41" xfId="0" applyNumberFormat="1" applyFont="1" applyBorder="1" applyAlignment="1">
      <alignment horizontal="center" vertical="center" wrapText="1"/>
    </xf>
    <xf numFmtId="2" fontId="121" fillId="0" borderId="41" xfId="0" applyNumberFormat="1" applyFont="1" applyBorder="1" applyAlignment="1">
      <alignment horizontal="center" vertical="center" wrapText="1"/>
    </xf>
    <xf numFmtId="0" fontId="120" fillId="0" borderId="90" xfId="0" applyFont="1" applyBorder="1" applyAlignment="1">
      <alignment horizontal="left" vertical="center" wrapText="1"/>
    </xf>
    <xf numFmtId="2" fontId="121" fillId="0" borderId="92" xfId="0" applyNumberFormat="1" applyFont="1" applyBorder="1" applyAlignment="1">
      <alignment horizontal="center" vertical="center" wrapText="1"/>
    </xf>
    <xf numFmtId="0" fontId="120" fillId="0" borderId="128" xfId="0" applyFont="1" applyBorder="1" applyAlignment="1">
      <alignment horizontal="left" vertical="center" wrapText="1"/>
    </xf>
    <xf numFmtId="0" fontId="121" fillId="0" borderId="129" xfId="0" applyFont="1" applyBorder="1" applyAlignment="1">
      <alignment horizontal="center" vertical="center" wrapText="1"/>
    </xf>
    <xf numFmtId="0" fontId="117" fillId="0" borderId="45" xfId="0" applyFont="1" applyBorder="1"/>
    <xf numFmtId="0" fontId="36" fillId="0" borderId="0" xfId="85" applyFont="1" applyFill="1" applyAlignment="1">
      <alignment horizontal="right"/>
    </xf>
    <xf numFmtId="10" fontId="7" fillId="0" borderId="0" xfId="88" applyNumberFormat="1" applyFont="1" applyBorder="1"/>
    <xf numFmtId="170" fontId="7" fillId="0" borderId="0" xfId="88" applyNumberFormat="1" applyFont="1" applyBorder="1"/>
    <xf numFmtId="10" fontId="7" fillId="0" borderId="0" xfId="0" applyNumberFormat="1" applyFont="1"/>
    <xf numFmtId="0" fontId="6" fillId="0" borderId="10" xfId="0" applyFont="1" applyBorder="1" applyAlignment="1">
      <alignment horizontal="center"/>
    </xf>
    <xf numFmtId="2" fontId="6" fillId="0" borderId="41" xfId="0" applyNumberFormat="1" applyFont="1" applyBorder="1"/>
    <xf numFmtId="0" fontId="0" fillId="0" borderId="92" xfId="0" applyBorder="1"/>
    <xf numFmtId="0" fontId="7" fillId="0" borderId="10" xfId="0" applyFont="1" applyBorder="1" applyAlignment="1">
      <alignment horizontal="left"/>
    </xf>
    <xf numFmtId="14" fontId="7" fillId="0" borderId="79" xfId="0" applyNumberFormat="1" applyFont="1" applyBorder="1"/>
    <xf numFmtId="0" fontId="7" fillId="0" borderId="81" xfId="0" applyFont="1" applyBorder="1"/>
    <xf numFmtId="0" fontId="24" fillId="0" borderId="40" xfId="0" applyFont="1" applyBorder="1" applyAlignment="1">
      <alignment horizontal="center"/>
    </xf>
    <xf numFmtId="0" fontId="8" fillId="0" borderId="40" xfId="0" applyFont="1" applyBorder="1"/>
    <xf numFmtId="0" fontId="6" fillId="0" borderId="90" xfId="0" applyFont="1" applyBorder="1" applyAlignment="1">
      <alignment horizontal="right"/>
    </xf>
    <xf numFmtId="0" fontId="7" fillId="0" borderId="80" xfId="0" applyFont="1" applyBorder="1"/>
    <xf numFmtId="0" fontId="6" fillId="0" borderId="130" xfId="0" applyFont="1" applyBorder="1"/>
    <xf numFmtId="0" fontId="6" fillId="0" borderId="79" xfId="0" applyFont="1" applyBorder="1"/>
    <xf numFmtId="1" fontId="6" fillId="0" borderId="50" xfId="0" applyNumberFormat="1" applyFont="1" applyBorder="1"/>
    <xf numFmtId="1" fontId="6" fillId="0" borderId="131" xfId="0" applyNumberFormat="1" applyFont="1" applyBorder="1"/>
    <xf numFmtId="1" fontId="6" fillId="0" borderId="80" xfId="0" applyNumberFormat="1" applyFont="1" applyBorder="1"/>
    <xf numFmtId="1" fontId="6" fillId="0" borderId="81" xfId="0" applyNumberFormat="1" applyFont="1" applyBorder="1"/>
    <xf numFmtId="1" fontId="6" fillId="0" borderId="91" xfId="0" applyNumberFormat="1" applyFont="1" applyBorder="1"/>
    <xf numFmtId="0" fontId="24" fillId="0" borderId="10" xfId="0" applyFont="1" applyBorder="1" applyAlignment="1">
      <alignment horizontal="center" vertical="top" wrapText="1"/>
    </xf>
    <xf numFmtId="0" fontId="24" fillId="0" borderId="41" xfId="0" applyFont="1" applyBorder="1" applyAlignment="1">
      <alignment horizontal="center" vertical="top" wrapText="1"/>
    </xf>
    <xf numFmtId="0" fontId="6" fillId="0" borderId="10" xfId="0" applyFont="1" applyBorder="1" applyAlignment="1">
      <alignment horizontal="left"/>
    </xf>
    <xf numFmtId="167" fontId="0" fillId="0" borderId="10" xfId="0" applyNumberFormat="1" applyBorder="1" applyAlignment="1">
      <alignment horizontal="right"/>
    </xf>
    <xf numFmtId="167" fontId="7" fillId="0" borderId="10" xfId="0" applyNumberFormat="1" applyFont="1" applyBorder="1" applyAlignment="1">
      <alignment horizontal="right"/>
    </xf>
    <xf numFmtId="0" fontId="0" fillId="39" borderId="10" xfId="0" applyFill="1" applyBorder="1" applyAlignment="1">
      <alignment horizontal="left"/>
    </xf>
    <xf numFmtId="167" fontId="7" fillId="39" borderId="10" xfId="0" applyNumberFormat="1" applyFont="1" applyFill="1" applyBorder="1" applyAlignment="1">
      <alignment horizontal="right"/>
    </xf>
    <xf numFmtId="167" fontId="0" fillId="39" borderId="10" xfId="0" applyNumberFormat="1" applyFill="1" applyBorder="1" applyAlignment="1">
      <alignment horizontal="right"/>
    </xf>
    <xf numFmtId="0" fontId="6" fillId="39" borderId="10" xfId="0" applyFont="1" applyFill="1" applyBorder="1" applyAlignment="1">
      <alignment horizontal="left"/>
    </xf>
    <xf numFmtId="10" fontId="0" fillId="39" borderId="10" xfId="88" applyNumberFormat="1" applyFont="1" applyFill="1" applyBorder="1" applyAlignment="1">
      <alignment horizontal="right"/>
    </xf>
    <xf numFmtId="0" fontId="7" fillId="39" borderId="10" xfId="0" applyFont="1" applyFill="1" applyBorder="1" applyAlignment="1">
      <alignment horizontal="left"/>
    </xf>
    <xf numFmtId="10" fontId="7" fillId="39" borderId="10" xfId="88" applyNumberFormat="1" applyFont="1" applyFill="1" applyBorder="1" applyAlignment="1">
      <alignment horizontal="right"/>
    </xf>
    <xf numFmtId="10" fontId="0" fillId="39" borderId="10" xfId="0" applyNumberFormat="1" applyFill="1" applyBorder="1" applyAlignment="1">
      <alignment horizontal="right"/>
    </xf>
    <xf numFmtId="10" fontId="6" fillId="39" borderId="10" xfId="0" applyNumberFormat="1" applyFont="1" applyFill="1" applyBorder="1" applyAlignment="1">
      <alignment horizontal="right"/>
    </xf>
    <xf numFmtId="0" fontId="7" fillId="39" borderId="10" xfId="0" applyFont="1" applyFill="1" applyBorder="1" applyAlignment="1">
      <alignment horizontal="center" vertical="center" wrapText="1"/>
    </xf>
    <xf numFmtId="0" fontId="7" fillId="0" borderId="79" xfId="0" applyFont="1" applyBorder="1"/>
    <xf numFmtId="0" fontId="7" fillId="0" borderId="132" xfId="0" applyFont="1" applyBorder="1" applyAlignment="1">
      <alignment horizontal="center"/>
    </xf>
    <xf numFmtId="0" fontId="7" fillId="39" borderId="40" xfId="0" applyFont="1" applyFill="1" applyBorder="1" applyAlignment="1">
      <alignment horizontal="center" vertical="center" wrapText="1"/>
    </xf>
    <xf numFmtId="0" fontId="0" fillId="39" borderId="90" xfId="0" applyFill="1" applyBorder="1"/>
    <xf numFmtId="0" fontId="0" fillId="40" borderId="10" xfId="0" applyFill="1" applyBorder="1" applyAlignment="1">
      <alignment horizontal="center"/>
    </xf>
    <xf numFmtId="1" fontId="0" fillId="40" borderId="10" xfId="0" applyNumberFormat="1" applyFill="1" applyBorder="1" applyAlignment="1">
      <alignment horizontal="center"/>
    </xf>
    <xf numFmtId="0" fontId="29" fillId="39" borderId="38" xfId="0" applyFont="1" applyFill="1" applyBorder="1" applyAlignment="1">
      <alignment horizontal="center"/>
    </xf>
    <xf numFmtId="1" fontId="29" fillId="39" borderId="38" xfId="0" applyNumberFormat="1" applyFont="1" applyFill="1" applyBorder="1" applyAlignment="1">
      <alignment horizontal="center"/>
    </xf>
    <xf numFmtId="1" fontId="29" fillId="39" borderId="52" xfId="0" applyNumberFormat="1" applyFont="1" applyFill="1" applyBorder="1" applyAlignment="1">
      <alignment horizontal="center"/>
    </xf>
    <xf numFmtId="1" fontId="29" fillId="39" borderId="89" xfId="0" applyNumberFormat="1" applyFont="1" applyFill="1" applyBorder="1" applyAlignment="1">
      <alignment horizontal="center"/>
    </xf>
    <xf numFmtId="0" fontId="7" fillId="0" borderId="0" xfId="0" applyFont="1" applyAlignment="1">
      <alignment wrapText="1"/>
    </xf>
    <xf numFmtId="0" fontId="12" fillId="0" borderId="0" xfId="0" applyFont="1" applyAlignment="1">
      <alignment wrapText="1"/>
    </xf>
    <xf numFmtId="0" fontId="113" fillId="0" borderId="0" xfId="0" applyFont="1"/>
    <xf numFmtId="0" fontId="0" fillId="0" borderId="10" xfId="0" applyBorder="1" applyAlignment="1">
      <alignment horizontal="center" vertical="center" wrapText="1"/>
    </xf>
    <xf numFmtId="0" fontId="7" fillId="29" borderId="0" xfId="0" applyFont="1" applyFill="1"/>
    <xf numFmtId="9" fontId="0" fillId="29" borderId="0" xfId="88" applyFont="1" applyFill="1"/>
    <xf numFmtId="10" fontId="0" fillId="29" borderId="0" xfId="88" applyNumberFormat="1" applyFont="1" applyFill="1"/>
    <xf numFmtId="0" fontId="124" fillId="0" borderId="128" xfId="0" applyFont="1" applyBorder="1" applyAlignment="1">
      <alignment wrapText="1"/>
    </xf>
    <xf numFmtId="0" fontId="124" fillId="0" borderId="89" xfId="0" applyFont="1" applyBorder="1" applyAlignment="1">
      <alignment wrapText="1"/>
    </xf>
    <xf numFmtId="0" fontId="113" fillId="0" borderId="128" xfId="0" applyFont="1" applyBorder="1" applyAlignment="1">
      <alignment wrapText="1"/>
    </xf>
    <xf numFmtId="0" fontId="113" fillId="0" borderId="89" xfId="0" applyFont="1" applyBorder="1" applyAlignment="1">
      <alignment wrapText="1"/>
    </xf>
    <xf numFmtId="0" fontId="124" fillId="0" borderId="134" xfId="0" applyFont="1" applyBorder="1" applyAlignment="1">
      <alignment wrapText="1"/>
    </xf>
    <xf numFmtId="0" fontId="124" fillId="0" borderId="135" xfId="0" applyFont="1" applyBorder="1" applyAlignment="1">
      <alignment wrapText="1"/>
    </xf>
    <xf numFmtId="0" fontId="123" fillId="0" borderId="0" xfId="0" applyFont="1" applyAlignment="1">
      <alignment wrapText="1"/>
    </xf>
    <xf numFmtId="0" fontId="124" fillId="0" borderId="136" xfId="0" applyFont="1" applyBorder="1" applyAlignment="1">
      <alignment wrapText="1"/>
    </xf>
    <xf numFmtId="0" fontId="124" fillId="0" borderId="22" xfId="0" applyFont="1" applyBorder="1" applyAlignment="1">
      <alignment wrapText="1"/>
    </xf>
    <xf numFmtId="0" fontId="113" fillId="41" borderId="89" xfId="0" applyFont="1" applyFill="1" applyBorder="1"/>
    <xf numFmtId="0" fontId="124" fillId="0" borderId="89" xfId="0" applyFont="1" applyBorder="1"/>
    <xf numFmtId="0" fontId="124" fillId="0" borderId="135" xfId="0" applyFont="1" applyBorder="1"/>
    <xf numFmtId="0" fontId="126" fillId="42" borderId="137" xfId="0" applyFont="1" applyFill="1" applyBorder="1" applyAlignment="1">
      <alignment horizontal="right" wrapText="1" readingOrder="1"/>
    </xf>
    <xf numFmtId="0" fontId="125" fillId="43" borderId="137" xfId="0" applyFont="1" applyFill="1" applyBorder="1" applyAlignment="1">
      <alignment horizontal="right" wrapText="1"/>
    </xf>
    <xf numFmtId="0" fontId="127" fillId="43" borderId="137" xfId="0" applyFont="1" applyFill="1" applyBorder="1" applyAlignment="1">
      <alignment horizontal="right" wrapText="1" readingOrder="1"/>
    </xf>
    <xf numFmtId="0" fontId="8" fillId="0" borderId="0" xfId="0" applyFont="1" applyAlignment="1">
      <alignment horizontal="centerContinuous"/>
    </xf>
    <xf numFmtId="0" fontId="0" fillId="0" borderId="52" xfId="0" applyBorder="1"/>
    <xf numFmtId="2" fontId="81" fillId="0" borderId="10" xfId="0" applyNumberFormat="1" applyFont="1" applyBorder="1" applyAlignment="1">
      <alignment vertical="top"/>
    </xf>
    <xf numFmtId="2" fontId="7" fillId="0" borderId="10" xfId="0" applyNumberFormat="1" applyFont="1" applyBorder="1" applyAlignment="1">
      <alignment horizontal="right"/>
    </xf>
    <xf numFmtId="0" fontId="7" fillId="0" borderId="74" xfId="0" applyFont="1" applyBorder="1"/>
    <xf numFmtId="0" fontId="6" fillId="0" borderId="0" xfId="84" applyProtection="1">
      <protection locked="0"/>
    </xf>
    <xf numFmtId="0" fontId="39" fillId="0" borderId="77" xfId="85" applyFont="1" applyFill="1" applyBorder="1" applyAlignment="1">
      <alignment horizontal="center" vertical="center" wrapText="1"/>
    </xf>
    <xf numFmtId="0" fontId="24" fillId="0" borderId="10" xfId="0" applyFont="1" applyBorder="1" applyAlignment="1">
      <alignment horizontal="center" vertical="center" wrapText="1"/>
    </xf>
    <xf numFmtId="0" fontId="8" fillId="0" borderId="0" xfId="0" applyFont="1" applyAlignment="1">
      <alignment horizontal="center"/>
    </xf>
    <xf numFmtId="0" fontId="42" fillId="0" borderId="0" xfId="0" applyFont="1"/>
    <xf numFmtId="10" fontId="42" fillId="0" borderId="0" xfId="88" applyNumberFormat="1" applyFont="1" applyFill="1"/>
    <xf numFmtId="10" fontId="20" fillId="0" borderId="0" xfId="0" applyNumberFormat="1" applyFont="1"/>
    <xf numFmtId="0" fontId="13" fillId="0" borderId="0" xfId="0" applyFont="1" applyAlignment="1">
      <alignment horizontal="left"/>
    </xf>
    <xf numFmtId="0" fontId="16" fillId="0" borderId="0" xfId="0" applyFont="1" applyAlignment="1">
      <alignment horizontal="centerContinuous"/>
    </xf>
    <xf numFmtId="0" fontId="7" fillId="0" borderId="16" xfId="0" applyFont="1" applyBorder="1" applyAlignment="1">
      <alignment horizontal="center"/>
    </xf>
    <xf numFmtId="0" fontId="7" fillId="0" borderId="17" xfId="0" applyFont="1" applyBorder="1" applyAlignment="1">
      <alignment horizontal="center"/>
    </xf>
    <xf numFmtId="17" fontId="7" fillId="0" borderId="17" xfId="0" applyNumberFormat="1" applyFont="1" applyBorder="1" applyAlignment="1">
      <alignment horizontal="center"/>
    </xf>
    <xf numFmtId="2" fontId="7" fillId="0" borderId="17" xfId="0" applyNumberFormat="1" applyFont="1" applyBorder="1" applyAlignment="1">
      <alignment horizontal="center"/>
    </xf>
    <xf numFmtId="0" fontId="7" fillId="0" borderId="20" xfId="0" applyFont="1" applyBorder="1" applyAlignment="1">
      <alignment horizontal="center"/>
    </xf>
    <xf numFmtId="0" fontId="7" fillId="0" borderId="19" xfId="0" applyFont="1" applyBorder="1" applyAlignment="1">
      <alignment horizontal="center"/>
    </xf>
    <xf numFmtId="2" fontId="7" fillId="0" borderId="19" xfId="0" applyNumberFormat="1" applyFont="1" applyBorder="1" applyAlignment="1">
      <alignment horizontal="center"/>
    </xf>
    <xf numFmtId="2" fontId="7" fillId="0" borderId="27" xfId="0" applyNumberFormat="1" applyFont="1" applyBorder="1" applyAlignment="1">
      <alignment horizontal="center"/>
    </xf>
    <xf numFmtId="2" fontId="7" fillId="0" borderId="21" xfId="0" applyNumberFormat="1" applyFont="1" applyBorder="1" applyAlignment="1">
      <alignment horizontal="center"/>
    </xf>
    <xf numFmtId="2" fontId="0" fillId="0" borderId="84" xfId="0" applyNumberFormat="1" applyBorder="1"/>
    <xf numFmtId="0" fontId="51" fillId="0" borderId="0" xfId="77" applyFont="1"/>
    <xf numFmtId="0" fontId="85" fillId="0" borderId="0" xfId="77" applyFont="1" applyAlignment="1">
      <alignment vertical="center" wrapText="1"/>
    </xf>
    <xf numFmtId="0" fontId="52" fillId="0" borderId="75" xfId="77" applyFont="1" applyBorder="1"/>
    <xf numFmtId="0" fontId="52" fillId="0" borderId="6" xfId="77" applyFont="1" applyBorder="1"/>
    <xf numFmtId="0" fontId="52" fillId="0" borderId="22" xfId="77" applyFont="1" applyBorder="1"/>
    <xf numFmtId="0" fontId="51" fillId="0" borderId="10" xfId="77" applyFont="1" applyBorder="1"/>
    <xf numFmtId="0" fontId="79" fillId="0" borderId="10" xfId="77" applyFont="1" applyBorder="1" applyAlignment="1">
      <alignment horizontal="center" vertical="top" wrapText="1"/>
    </xf>
    <xf numFmtId="0" fontId="51" fillId="0" borderId="10" xfId="77" applyFont="1" applyBorder="1" applyAlignment="1">
      <alignment vertical="top"/>
    </xf>
    <xf numFmtId="0" fontId="35" fillId="0" borderId="10" xfId="77" applyFont="1" applyBorder="1" applyAlignment="1">
      <alignment vertical="center" wrapText="1"/>
    </xf>
    <xf numFmtId="2" fontId="51" fillId="0" borderId="0" xfId="77" applyNumberFormat="1" applyFont="1"/>
    <xf numFmtId="0" fontId="7" fillId="0" borderId="0" xfId="112" applyFont="1"/>
    <xf numFmtId="0" fontId="6" fillId="0" borderId="0" xfId="112"/>
    <xf numFmtId="0" fontId="6" fillId="0" borderId="10" xfId="112" applyBorder="1"/>
    <xf numFmtId="167" fontId="6" fillId="0" borderId="0" xfId="112" applyNumberFormat="1"/>
    <xf numFmtId="9" fontId="6" fillId="0" borderId="0" xfId="88" applyFill="1"/>
    <xf numFmtId="0" fontId="7" fillId="0" borderId="10" xfId="0" applyFont="1" applyBorder="1" applyAlignment="1">
      <alignment horizontal="center" vertical="center" wrapText="1"/>
    </xf>
    <xf numFmtId="165" fontId="0" fillId="0" borderId="92" xfId="37" applyFont="1" applyFill="1" applyBorder="1"/>
    <xf numFmtId="0" fontId="28" fillId="0" borderId="0" xfId="0" applyFont="1"/>
    <xf numFmtId="165" fontId="7" fillId="0" borderId="0" xfId="37" applyFont="1"/>
    <xf numFmtId="198" fontId="7" fillId="0" borderId="0" xfId="37" applyNumberFormat="1" applyFont="1"/>
    <xf numFmtId="49" fontId="7" fillId="0" borderId="15" xfId="0" applyNumberFormat="1" applyFont="1" applyBorder="1" applyAlignment="1">
      <alignment horizontal="center" vertical="center"/>
    </xf>
    <xf numFmtId="0" fontId="20" fillId="0" borderId="10" xfId="85" applyFill="1" applyBorder="1" applyAlignment="1">
      <alignment horizontal="center" vertical="center"/>
    </xf>
    <xf numFmtId="165" fontId="6" fillId="0" borderId="0" xfId="37" applyFont="1" applyFill="1"/>
    <xf numFmtId="1" fontId="111" fillId="35" borderId="10" xfId="0" applyNumberFormat="1" applyFont="1" applyFill="1" applyBorder="1" applyAlignment="1">
      <alignment horizontal="center" vertical="center" wrapText="1"/>
    </xf>
    <xf numFmtId="1" fontId="111" fillId="29" borderId="10" xfId="0" applyNumberFormat="1" applyFont="1" applyFill="1" applyBorder="1" applyAlignment="1">
      <alignment horizontal="center" vertical="center" wrapText="1"/>
    </xf>
    <xf numFmtId="165" fontId="0" fillId="0" borderId="0" xfId="37" applyFont="1" applyFill="1" applyBorder="1"/>
    <xf numFmtId="17" fontId="7" fillId="0" borderId="10" xfId="0" applyNumberFormat="1" applyFont="1" applyBorder="1" applyAlignment="1">
      <alignment horizontal="center"/>
    </xf>
    <xf numFmtId="2" fontId="0" fillId="35" borderId="0" xfId="0" applyNumberFormat="1" applyFill="1"/>
    <xf numFmtId="2" fontId="6" fillId="35" borderId="0" xfId="0" applyNumberFormat="1" applyFont="1" applyFill="1"/>
    <xf numFmtId="0" fontId="6" fillId="35" borderId="59" xfId="0" applyFont="1" applyFill="1" applyBorder="1"/>
    <xf numFmtId="2" fontId="6" fillId="35" borderId="45" xfId="0" applyNumberFormat="1" applyFont="1" applyFill="1" applyBorder="1"/>
    <xf numFmtId="2" fontId="7" fillId="35" borderId="0" xfId="0" applyNumberFormat="1" applyFont="1" applyFill="1"/>
    <xf numFmtId="2" fontId="6" fillId="35" borderId="59" xfId="0" applyNumberFormat="1" applyFont="1" applyFill="1" applyBorder="1"/>
    <xf numFmtId="0" fontId="7" fillId="35" borderId="0" xfId="0" applyFont="1" applyFill="1" applyAlignment="1">
      <alignment horizontal="right"/>
    </xf>
    <xf numFmtId="0" fontId="0" fillId="35" borderId="0" xfId="0" applyFill="1"/>
    <xf numFmtId="1" fontId="0" fillId="35" borderId="0" xfId="0" applyNumberFormat="1" applyFill="1"/>
    <xf numFmtId="2" fontId="26" fillId="35" borderId="0" xfId="0" applyNumberFormat="1" applyFont="1" applyFill="1"/>
    <xf numFmtId="2" fontId="31" fillId="35" borderId="0" xfId="0" applyNumberFormat="1" applyFont="1" applyFill="1"/>
    <xf numFmtId="49" fontId="7" fillId="35" borderId="15" xfId="0" applyNumberFormat="1" applyFont="1" applyFill="1" applyBorder="1" applyAlignment="1">
      <alignment horizontal="center" vertical="center"/>
    </xf>
    <xf numFmtId="0" fontId="24" fillId="35" borderId="15" xfId="0" applyFont="1" applyFill="1" applyBorder="1" applyAlignment="1">
      <alignment horizontal="center" vertical="center" wrapText="1" shrinkToFit="1"/>
    </xf>
    <xf numFmtId="167" fontId="0" fillId="35" borderId="0" xfId="0" applyNumberFormat="1" applyFill="1"/>
    <xf numFmtId="10" fontId="6" fillId="0" borderId="0" xfId="85" applyNumberFormat="1" applyFont="1" applyFill="1"/>
    <xf numFmtId="200" fontId="20" fillId="0" borderId="0" xfId="85" applyNumberFormat="1" applyFill="1"/>
    <xf numFmtId="169" fontId="20" fillId="0" borderId="0" xfId="85" applyNumberFormat="1" applyFill="1"/>
    <xf numFmtId="167" fontId="6" fillId="0" borderId="0" xfId="0" applyNumberFormat="1" applyFont="1"/>
    <xf numFmtId="165" fontId="20" fillId="0" borderId="0" xfId="37" applyFont="1" applyFill="1"/>
    <xf numFmtId="201" fontId="6" fillId="0" borderId="0" xfId="37" applyNumberFormat="1" applyFont="1" applyFill="1"/>
    <xf numFmtId="197" fontId="6" fillId="0" borderId="0" xfId="37" applyNumberFormat="1" applyFont="1" applyFill="1"/>
    <xf numFmtId="202" fontId="6" fillId="0" borderId="0" xfId="37" applyNumberFormat="1" applyFont="1" applyFill="1"/>
    <xf numFmtId="167" fontId="8" fillId="0" borderId="10" xfId="85" applyNumberFormat="1" applyFont="1" applyFill="1" applyBorder="1" applyAlignment="1">
      <alignment vertical="center"/>
    </xf>
    <xf numFmtId="0" fontId="129" fillId="0" borderId="0" xfId="80" applyFont="1" applyFill="1"/>
    <xf numFmtId="0" fontId="20" fillId="0" borderId="0" xfId="80" applyFill="1" applyAlignment="1">
      <alignment horizontal="center" vertical="center"/>
    </xf>
    <xf numFmtId="0" fontId="128" fillId="0" borderId="0" xfId="80" applyFont="1" applyFill="1" applyAlignment="1">
      <alignment horizontal="center" vertical="center"/>
    </xf>
    <xf numFmtId="0" fontId="7" fillId="0" borderId="10" xfId="0" applyFont="1" applyBorder="1" applyAlignment="1">
      <alignment horizontal="center" vertical="center"/>
    </xf>
    <xf numFmtId="0" fontId="113" fillId="35" borderId="89" xfId="0" applyFont="1" applyFill="1" applyBorder="1" applyAlignment="1">
      <alignment wrapText="1"/>
    </xf>
    <xf numFmtId="0" fontId="124" fillId="35" borderId="89" xfId="0" applyFont="1" applyFill="1" applyBorder="1" applyAlignment="1">
      <alignment wrapText="1"/>
    </xf>
    <xf numFmtId="0" fontId="124" fillId="35" borderId="135" xfId="0" applyFont="1" applyFill="1" applyBorder="1" applyAlignment="1">
      <alignment wrapText="1"/>
    </xf>
    <xf numFmtId="2" fontId="113" fillId="35" borderId="89" xfId="0" applyNumberFormat="1" applyFont="1" applyFill="1" applyBorder="1" applyAlignment="1">
      <alignment wrapText="1"/>
    </xf>
    <xf numFmtId="2" fontId="124" fillId="35" borderId="89" xfId="0" applyNumberFormat="1" applyFont="1" applyFill="1" applyBorder="1" applyAlignment="1">
      <alignment wrapText="1"/>
    </xf>
    <xf numFmtId="2" fontId="124" fillId="35" borderId="135" xfId="0" applyNumberFormat="1" applyFont="1" applyFill="1" applyBorder="1" applyAlignment="1">
      <alignment wrapText="1"/>
    </xf>
    <xf numFmtId="0" fontId="113" fillId="35" borderId="136" xfId="0" applyFont="1" applyFill="1" applyBorder="1"/>
    <xf numFmtId="0" fontId="124" fillId="35" borderId="136" xfId="0" applyFont="1" applyFill="1" applyBorder="1" applyAlignment="1">
      <alignment wrapText="1"/>
    </xf>
    <xf numFmtId="2" fontId="113" fillId="35" borderId="136" xfId="0" applyNumberFormat="1" applyFont="1" applyFill="1" applyBorder="1"/>
    <xf numFmtId="2" fontId="124" fillId="35" borderId="136" xfId="0" applyNumberFormat="1" applyFont="1" applyFill="1" applyBorder="1" applyAlignment="1">
      <alignment wrapText="1"/>
    </xf>
    <xf numFmtId="2" fontId="124" fillId="35" borderId="48" xfId="0" applyNumberFormat="1" applyFont="1" applyFill="1" applyBorder="1" applyAlignment="1">
      <alignment wrapText="1"/>
    </xf>
    <xf numFmtId="2" fontId="0" fillId="0" borderId="0" xfId="0" applyNumberFormat="1" applyAlignment="1">
      <alignment horizontal="center" vertical="center"/>
    </xf>
    <xf numFmtId="167" fontId="17" fillId="0" borderId="10" xfId="115" applyNumberFormat="1" applyFont="1" applyFill="1" applyBorder="1" applyAlignment="1">
      <alignment vertical="center"/>
    </xf>
    <xf numFmtId="2" fontId="17" fillId="0" borderId="10" xfId="115" applyNumberFormat="1" applyFont="1" applyFill="1" applyBorder="1" applyAlignment="1">
      <alignment vertical="center"/>
    </xf>
    <xf numFmtId="0" fontId="8" fillId="0" borderId="10" xfId="115" applyFont="1" applyFill="1" applyBorder="1" applyAlignment="1">
      <alignment horizontal="center" vertical="center"/>
    </xf>
    <xf numFmtId="0" fontId="7" fillId="0" borderId="10" xfId="112" applyFont="1" applyBorder="1" applyAlignment="1">
      <alignment vertical="center" wrapText="1"/>
    </xf>
    <xf numFmtId="165" fontId="18" fillId="0" borderId="0" xfId="37" applyFont="1" applyFill="1" applyAlignment="1">
      <alignment vertical="center"/>
    </xf>
    <xf numFmtId="165" fontId="18" fillId="0" borderId="10" xfId="37" applyFont="1" applyFill="1" applyBorder="1" applyAlignment="1">
      <alignment vertical="center"/>
    </xf>
    <xf numFmtId="167" fontId="29" fillId="0" borderId="10" xfId="115" applyNumberFormat="1" applyFont="1" applyFill="1" applyBorder="1" applyAlignment="1">
      <alignment vertical="center"/>
    </xf>
    <xf numFmtId="0" fontId="131" fillId="0" borderId="0" xfId="115" applyFont="1" applyFill="1" applyAlignment="1">
      <alignment horizontal="right" vertical="center"/>
    </xf>
    <xf numFmtId="2" fontId="131" fillId="0" borderId="0" xfId="115" applyNumberFormat="1" applyFont="1" applyFill="1" applyAlignment="1">
      <alignment horizontal="right" vertical="center"/>
    </xf>
    <xf numFmtId="167" fontId="131" fillId="0" borderId="0" xfId="115" applyNumberFormat="1" applyFont="1" applyFill="1" applyAlignment="1">
      <alignment horizontal="right" vertical="center"/>
    </xf>
    <xf numFmtId="165" fontId="20" fillId="0" borderId="0" xfId="37" applyFont="1" applyFill="1" applyAlignment="1">
      <alignment vertical="center"/>
    </xf>
    <xf numFmtId="183" fontId="20" fillId="0" borderId="0" xfId="37" applyNumberFormat="1" applyFont="1" applyFill="1" applyAlignment="1">
      <alignment vertical="center"/>
    </xf>
    <xf numFmtId="1" fontId="20" fillId="0" borderId="0" xfId="37" applyNumberFormat="1" applyFont="1" applyFill="1" applyAlignment="1">
      <alignment vertical="center"/>
    </xf>
    <xf numFmtId="1" fontId="20" fillId="0" borderId="0" xfId="115" applyNumberFormat="1" applyFill="1" applyAlignment="1">
      <alignment vertical="center"/>
    </xf>
    <xf numFmtId="167" fontId="96" fillId="0" borderId="0" xfId="85" applyNumberFormat="1" applyFont="1" applyFill="1"/>
    <xf numFmtId="183" fontId="18" fillId="0" borderId="0" xfId="37" applyNumberFormat="1" applyFont="1" applyFill="1" applyAlignment="1">
      <alignment vertical="center"/>
    </xf>
    <xf numFmtId="1" fontId="18" fillId="0" borderId="3" xfId="115" applyNumberFormat="1" applyFont="1" applyFill="1" applyBorder="1" applyAlignment="1">
      <alignment vertical="center"/>
    </xf>
    <xf numFmtId="167" fontId="8" fillId="0" borderId="0" xfId="115" applyNumberFormat="1" applyFont="1" applyFill="1" applyAlignment="1">
      <alignment vertical="center"/>
    </xf>
    <xf numFmtId="190" fontId="20" fillId="0" borderId="0" xfId="115" applyNumberFormat="1" applyFill="1" applyAlignment="1">
      <alignment vertical="center"/>
    </xf>
    <xf numFmtId="1" fontId="8" fillId="0" borderId="0" xfId="115" applyNumberFormat="1" applyFont="1" applyFill="1" applyAlignment="1">
      <alignment vertical="center"/>
    </xf>
    <xf numFmtId="2" fontId="18" fillId="0" borderId="10" xfId="37" applyNumberFormat="1" applyFont="1" applyFill="1" applyBorder="1" applyAlignment="1">
      <alignment vertical="center"/>
    </xf>
    <xf numFmtId="167" fontId="18" fillId="0" borderId="10" xfId="37" applyNumberFormat="1" applyFont="1" applyFill="1" applyBorder="1" applyAlignment="1">
      <alignment vertical="center"/>
    </xf>
    <xf numFmtId="190" fontId="8" fillId="0" borderId="0" xfId="115" applyNumberFormat="1" applyFont="1" applyFill="1" applyAlignment="1">
      <alignment vertical="center"/>
    </xf>
    <xf numFmtId="9" fontId="20" fillId="0" borderId="0" xfId="88" applyFont="1" applyFill="1" applyAlignment="1">
      <alignment vertical="center"/>
    </xf>
    <xf numFmtId="10" fontId="20" fillId="0" borderId="0" xfId="88" applyNumberFormat="1" applyFont="1" applyFill="1" applyAlignment="1">
      <alignment vertical="center"/>
    </xf>
    <xf numFmtId="167" fontId="20" fillId="0" borderId="10" xfId="85" applyNumberFormat="1" applyFill="1" applyBorder="1" applyAlignment="1">
      <alignment horizontal="center" vertical="center"/>
    </xf>
    <xf numFmtId="167" fontId="24" fillId="0" borderId="10" xfId="85" applyNumberFormat="1" applyFont="1" applyFill="1" applyBorder="1" applyAlignment="1">
      <alignment horizontal="center" vertical="center" wrapText="1"/>
    </xf>
    <xf numFmtId="0" fontId="7" fillId="0" borderId="10" xfId="85" applyFont="1" applyFill="1" applyBorder="1" applyAlignment="1">
      <alignment horizontal="center" vertical="center"/>
    </xf>
    <xf numFmtId="2" fontId="6" fillId="0" borderId="0" xfId="85" applyNumberFormat="1" applyFont="1" applyFill="1" applyAlignment="1">
      <alignment horizontal="center"/>
    </xf>
    <xf numFmtId="0" fontId="12" fillId="0" borderId="10" xfId="0" applyFont="1" applyBorder="1" applyAlignment="1">
      <alignment horizontal="left" vertical="center" wrapText="1"/>
    </xf>
    <xf numFmtId="1" fontId="18" fillId="0" borderId="10" xfId="115" applyNumberFormat="1" applyFont="1" applyFill="1" applyBorder="1"/>
    <xf numFmtId="0" fontId="17" fillId="0" borderId="10" xfId="115" applyFont="1" applyFill="1" applyBorder="1"/>
    <xf numFmtId="1" fontId="17" fillId="0" borderId="10" xfId="115" applyNumberFormat="1" applyFont="1" applyFill="1" applyBorder="1"/>
    <xf numFmtId="167" fontId="17" fillId="0" borderId="10" xfId="115" applyNumberFormat="1" applyFont="1" applyFill="1" applyBorder="1"/>
    <xf numFmtId="167" fontId="20" fillId="0" borderId="0" xfId="115" applyNumberFormat="1" applyFill="1" applyAlignment="1">
      <alignment horizontal="center"/>
    </xf>
    <xf numFmtId="167" fontId="20" fillId="0" borderId="0" xfId="115" applyNumberFormat="1" applyFill="1" applyAlignment="1">
      <alignment horizontal="center" vertical="center"/>
    </xf>
    <xf numFmtId="0" fontId="8" fillId="0" borderId="10" xfId="115" applyFont="1" applyFill="1" applyBorder="1"/>
    <xf numFmtId="0" fontId="17" fillId="0" borderId="50" xfId="115" applyFont="1" applyFill="1" applyBorder="1" applyAlignment="1">
      <alignment horizontal="center" vertical="center" wrapText="1"/>
    </xf>
    <xf numFmtId="1" fontId="20" fillId="0" borderId="0" xfId="115" applyNumberFormat="1" applyFill="1"/>
    <xf numFmtId="167" fontId="18" fillId="0" borderId="0" xfId="115" applyNumberFormat="1" applyFont="1" applyFill="1"/>
    <xf numFmtId="170" fontId="18" fillId="0" borderId="0" xfId="88" applyNumberFormat="1" applyFont="1" applyFill="1"/>
    <xf numFmtId="2" fontId="8" fillId="0" borderId="0" xfId="85" applyNumberFormat="1" applyFont="1" applyFill="1"/>
    <xf numFmtId="167" fontId="8" fillId="0" borderId="0" xfId="115" applyNumberFormat="1" applyFont="1" applyFill="1" applyAlignment="1">
      <alignment horizontal="center"/>
    </xf>
    <xf numFmtId="0" fontId="7" fillId="39" borderId="88" xfId="0" applyFont="1" applyFill="1" applyBorder="1"/>
    <xf numFmtId="0" fontId="7" fillId="39" borderId="0" xfId="0" applyFont="1" applyFill="1" applyAlignment="1">
      <alignment horizontal="center" vertical="center" wrapText="1"/>
    </xf>
    <xf numFmtId="0" fontId="7" fillId="39" borderId="74" xfId="0" applyFont="1" applyFill="1" applyBorder="1" applyAlignment="1">
      <alignment horizontal="center" vertical="center" wrapText="1"/>
    </xf>
    <xf numFmtId="0" fontId="7" fillId="39" borderId="104" xfId="0" applyFont="1" applyFill="1" applyBorder="1" applyAlignment="1">
      <alignment wrapText="1"/>
    </xf>
    <xf numFmtId="10" fontId="0" fillId="39" borderId="10" xfId="0" applyNumberFormat="1" applyFill="1" applyBorder="1"/>
    <xf numFmtId="0" fontId="24" fillId="0" borderId="10" xfId="85" applyFont="1" applyFill="1" applyBorder="1" applyAlignment="1">
      <alignment horizontal="center" vertical="center" wrapText="1"/>
    </xf>
    <xf numFmtId="2" fontId="0" fillId="0" borderId="10" xfId="0" applyNumberFormat="1" applyBorder="1" applyAlignment="1">
      <alignment horizontal="right" vertical="center"/>
    </xf>
    <xf numFmtId="1" fontId="8" fillId="0" borderId="0" xfId="115" applyNumberFormat="1" applyFont="1" applyFill="1"/>
    <xf numFmtId="167" fontId="8" fillId="0" borderId="0" xfId="115" applyNumberFormat="1" applyFont="1" applyFill="1"/>
    <xf numFmtId="2" fontId="20" fillId="0" borderId="35" xfId="85" applyNumberFormat="1" applyFill="1" applyBorder="1" applyAlignment="1">
      <alignment horizontal="center" vertical="center"/>
    </xf>
    <xf numFmtId="2" fontId="8" fillId="0" borderId="35" xfId="85" applyNumberFormat="1" applyFont="1" applyFill="1" applyBorder="1" applyAlignment="1">
      <alignment horizontal="center" vertical="center"/>
    </xf>
    <xf numFmtId="2" fontId="7" fillId="0" borderId="10" xfId="0" applyNumberFormat="1" applyFont="1" applyBorder="1" applyAlignment="1">
      <alignment horizontal="center" vertical="center"/>
    </xf>
    <xf numFmtId="1" fontId="7" fillId="0" borderId="10" xfId="0" applyNumberFormat="1" applyFont="1" applyBorder="1" applyAlignment="1">
      <alignment horizontal="center"/>
    </xf>
    <xf numFmtId="1" fontId="6" fillId="0" borderId="10" xfId="0" applyNumberFormat="1" applyFont="1" applyBorder="1" applyAlignment="1">
      <alignment horizontal="center"/>
    </xf>
    <xf numFmtId="1" fontId="6" fillId="0" borderId="10" xfId="0" applyNumberFormat="1" applyFont="1" applyBorder="1" applyAlignment="1">
      <alignment horizontal="center" vertical="center"/>
    </xf>
    <xf numFmtId="0" fontId="6" fillId="45" borderId="61" xfId="0" applyFont="1" applyFill="1" applyBorder="1"/>
    <xf numFmtId="0" fontId="6" fillId="45" borderId="66" xfId="0" applyFont="1" applyFill="1" applyBorder="1"/>
    <xf numFmtId="167" fontId="0" fillId="45" borderId="10" xfId="0" applyNumberFormat="1" applyFill="1" applyBorder="1"/>
    <xf numFmtId="0" fontId="0" fillId="45" borderId="10" xfId="0" applyFill="1" applyBorder="1"/>
    <xf numFmtId="10" fontId="0" fillId="46" borderId="10" xfId="88" applyNumberFormat="1" applyFont="1" applyFill="1" applyBorder="1"/>
    <xf numFmtId="10" fontId="6" fillId="46" borderId="10" xfId="88" applyNumberFormat="1" applyFont="1" applyFill="1" applyBorder="1"/>
    <xf numFmtId="9" fontId="0" fillId="46" borderId="10" xfId="0" applyNumberFormat="1" applyFill="1" applyBorder="1"/>
    <xf numFmtId="10" fontId="0" fillId="46" borderId="10" xfId="0" applyNumberFormat="1" applyFill="1" applyBorder="1"/>
    <xf numFmtId="10" fontId="6" fillId="46" borderId="10" xfId="0" applyNumberFormat="1" applyFont="1" applyFill="1" applyBorder="1"/>
    <xf numFmtId="0" fontId="0" fillId="47" borderId="10" xfId="0" applyFill="1" applyBorder="1"/>
    <xf numFmtId="0" fontId="7" fillId="0" borderId="0" xfId="0" applyFont="1" applyAlignment="1">
      <alignment horizontal="center" vertical="center"/>
    </xf>
    <xf numFmtId="2" fontId="7" fillId="0" borderId="10" xfId="0" applyNumberFormat="1" applyFont="1" applyBorder="1" applyAlignment="1">
      <alignment horizontal="right" vertical="center"/>
    </xf>
    <xf numFmtId="165" fontId="0" fillId="0" borderId="91" xfId="37" applyFont="1" applyFill="1" applyBorder="1"/>
    <xf numFmtId="165" fontId="0" fillId="0" borderId="90" xfId="37" applyFont="1" applyFill="1" applyBorder="1"/>
    <xf numFmtId="0" fontId="17" fillId="0" borderId="80" xfId="115" applyFont="1" applyFill="1" applyBorder="1" applyAlignment="1">
      <alignment vertical="center"/>
    </xf>
    <xf numFmtId="0" fontId="17" fillId="0" borderId="81" xfId="115" applyFont="1" applyFill="1" applyBorder="1" applyAlignment="1">
      <alignment vertical="center"/>
    </xf>
    <xf numFmtId="0" fontId="20" fillId="0" borderId="40" xfId="115" applyFill="1" applyBorder="1" applyAlignment="1">
      <alignment horizontal="center" vertical="center"/>
    </xf>
    <xf numFmtId="2" fontId="18" fillId="0" borderId="41" xfId="115" applyNumberFormat="1" applyFont="1" applyFill="1" applyBorder="1" applyAlignment="1">
      <alignment vertical="center"/>
    </xf>
    <xf numFmtId="2" fontId="17" fillId="0" borderId="41" xfId="115" applyNumberFormat="1" applyFont="1" applyFill="1" applyBorder="1" applyAlignment="1">
      <alignment vertical="center"/>
    </xf>
    <xf numFmtId="0" fontId="20" fillId="0" borderId="90" xfId="115" applyFill="1" applyBorder="1" applyAlignment="1">
      <alignment horizontal="center" vertical="center"/>
    </xf>
    <xf numFmtId="0" fontId="17" fillId="0" borderId="91" xfId="115" applyFont="1" applyFill="1" applyBorder="1" applyAlignment="1">
      <alignment vertical="center" wrapText="1"/>
    </xf>
    <xf numFmtId="0" fontId="17" fillId="0" borderId="91" xfId="115" applyFont="1" applyFill="1" applyBorder="1" applyAlignment="1">
      <alignment vertical="center"/>
    </xf>
    <xf numFmtId="167" fontId="17" fillId="0" borderId="91" xfId="115" applyNumberFormat="1" applyFont="1" applyFill="1" applyBorder="1" applyAlignment="1">
      <alignment vertical="center"/>
    </xf>
    <xf numFmtId="2" fontId="17" fillId="0" borderId="91" xfId="115" applyNumberFormat="1" applyFont="1" applyFill="1" applyBorder="1" applyAlignment="1">
      <alignment vertical="center"/>
    </xf>
    <xf numFmtId="2" fontId="17" fillId="0" borderId="92" xfId="115" applyNumberFormat="1" applyFont="1" applyFill="1" applyBorder="1" applyAlignment="1">
      <alignment vertical="center"/>
    </xf>
    <xf numFmtId="0" fontId="20" fillId="0" borderId="128" xfId="115" applyFill="1" applyBorder="1" applyAlignment="1">
      <alignment horizontal="center" vertical="center"/>
    </xf>
    <xf numFmtId="0" fontId="18" fillId="0" borderId="38" xfId="115" applyFont="1" applyFill="1" applyBorder="1" applyAlignment="1">
      <alignment horizontal="center" vertical="center" wrapText="1"/>
    </xf>
    <xf numFmtId="0" fontId="18" fillId="0" borderId="38" xfId="115" applyFont="1" applyFill="1" applyBorder="1" applyAlignment="1">
      <alignment vertical="center"/>
    </xf>
    <xf numFmtId="0" fontId="18" fillId="0" borderId="38" xfId="115" applyFont="1" applyFill="1" applyBorder="1" applyAlignment="1">
      <alignment horizontal="center" vertical="center"/>
    </xf>
    <xf numFmtId="0" fontId="18" fillId="0" borderId="129" xfId="115" applyFont="1" applyFill="1" applyBorder="1" applyAlignment="1">
      <alignment horizontal="center" vertical="center"/>
    </xf>
    <xf numFmtId="0" fontId="17" fillId="0" borderId="91" xfId="115" applyFont="1" applyFill="1" applyBorder="1" applyAlignment="1">
      <alignment horizontal="center" vertical="center" wrapText="1"/>
    </xf>
    <xf numFmtId="0" fontId="17" fillId="0" borderId="92" xfId="115" applyFont="1" applyFill="1" applyBorder="1" applyAlignment="1">
      <alignment horizontal="center" vertical="center" wrapText="1"/>
    </xf>
    <xf numFmtId="0" fontId="18" fillId="0" borderId="94" xfId="115" applyFont="1" applyFill="1" applyBorder="1" applyAlignment="1">
      <alignment vertical="center"/>
    </xf>
    <xf numFmtId="1" fontId="18" fillId="0" borderId="75" xfId="115" applyNumberFormat="1" applyFont="1" applyFill="1" applyBorder="1" applyAlignment="1">
      <alignment vertical="center"/>
    </xf>
    <xf numFmtId="1" fontId="17" fillId="0" borderId="75" xfId="115" applyNumberFormat="1" applyFont="1" applyFill="1" applyBorder="1" applyAlignment="1">
      <alignment vertical="center"/>
    </xf>
    <xf numFmtId="1" fontId="17" fillId="0" borderId="140" xfId="115" applyNumberFormat="1" applyFont="1" applyFill="1" applyBorder="1" applyAlignment="1">
      <alignment vertical="center"/>
    </xf>
    <xf numFmtId="0" fontId="17" fillId="0" borderId="141" xfId="115" applyFont="1" applyFill="1" applyBorder="1" applyAlignment="1">
      <alignment vertical="center"/>
    </xf>
    <xf numFmtId="0" fontId="17" fillId="0" borderId="142" xfId="115" applyFont="1" applyFill="1" applyBorder="1" applyAlignment="1">
      <alignment horizontal="center" vertical="center" wrapText="1"/>
    </xf>
    <xf numFmtId="0" fontId="18" fillId="0" borderId="89" xfId="115" applyFont="1" applyFill="1" applyBorder="1" applyAlignment="1">
      <alignment vertical="center"/>
    </xf>
    <xf numFmtId="167" fontId="18" fillId="0" borderId="22" xfId="115" applyNumberFormat="1" applyFont="1" applyFill="1" applyBorder="1" applyAlignment="1">
      <alignment vertical="center"/>
    </xf>
    <xf numFmtId="167" fontId="17" fillId="0" borderId="22" xfId="115" applyNumberFormat="1" applyFont="1" applyFill="1" applyBorder="1" applyAlignment="1">
      <alignment vertical="center"/>
    </xf>
    <xf numFmtId="167" fontId="17" fillId="0" borderId="142" xfId="115" applyNumberFormat="1" applyFont="1" applyFill="1" applyBorder="1" applyAlignment="1">
      <alignment vertical="center"/>
    </xf>
    <xf numFmtId="0" fontId="17" fillId="0" borderId="79" xfId="115" applyFont="1" applyFill="1" applyBorder="1" applyAlignment="1">
      <alignment vertical="center"/>
    </xf>
    <xf numFmtId="0" fontId="17" fillId="0" borderId="90" xfId="115" applyFont="1" applyFill="1" applyBorder="1" applyAlignment="1">
      <alignment horizontal="center" vertical="center" wrapText="1"/>
    </xf>
    <xf numFmtId="0" fontId="18" fillId="0" borderId="128" xfId="115" applyFont="1" applyFill="1" applyBorder="1" applyAlignment="1">
      <alignment vertical="center"/>
    </xf>
    <xf numFmtId="0" fontId="18" fillId="0" borderId="129" xfId="115" applyFont="1" applyFill="1" applyBorder="1" applyAlignment="1">
      <alignment vertical="center"/>
    </xf>
    <xf numFmtId="0" fontId="18" fillId="0" borderId="40" xfId="115" applyFont="1" applyFill="1" applyBorder="1" applyAlignment="1">
      <alignment vertical="center"/>
    </xf>
    <xf numFmtId="167" fontId="18" fillId="0" borderId="41" xfId="115" applyNumberFormat="1" applyFont="1" applyFill="1" applyBorder="1" applyAlignment="1">
      <alignment vertical="center"/>
    </xf>
    <xf numFmtId="167" fontId="17" fillId="0" borderId="41" xfId="115" applyNumberFormat="1" applyFont="1" applyFill="1" applyBorder="1" applyAlignment="1">
      <alignment vertical="center"/>
    </xf>
    <xf numFmtId="0" fontId="17" fillId="0" borderId="90" xfId="115" applyFont="1" applyFill="1" applyBorder="1" applyAlignment="1">
      <alignment vertical="center"/>
    </xf>
    <xf numFmtId="167" fontId="17" fillId="0" borderId="92" xfId="115" applyNumberFormat="1" applyFont="1" applyFill="1" applyBorder="1" applyAlignment="1">
      <alignment vertical="center"/>
    </xf>
    <xf numFmtId="2" fontId="18" fillId="0" borderId="41" xfId="37" applyNumberFormat="1" applyFont="1" applyFill="1" applyBorder="1" applyAlignment="1">
      <alignment vertical="center"/>
    </xf>
    <xf numFmtId="1" fontId="18" fillId="0" borderId="75" xfId="37" applyNumberFormat="1" applyFont="1" applyFill="1" applyBorder="1" applyAlignment="1">
      <alignment vertical="center"/>
    </xf>
    <xf numFmtId="167" fontId="18" fillId="0" borderId="22" xfId="37" applyNumberFormat="1" applyFont="1" applyFill="1" applyBorder="1" applyAlignment="1">
      <alignment vertical="center"/>
    </xf>
    <xf numFmtId="167" fontId="17" fillId="0" borderId="40" xfId="115" applyNumberFormat="1" applyFont="1" applyFill="1" applyBorder="1" applyAlignment="1">
      <alignment vertical="center"/>
    </xf>
    <xf numFmtId="165" fontId="18" fillId="0" borderId="40" xfId="37" applyFont="1" applyFill="1" applyBorder="1" applyAlignment="1">
      <alignment vertical="center"/>
    </xf>
    <xf numFmtId="167" fontId="18" fillId="0" borderId="41" xfId="37" applyNumberFormat="1" applyFont="1" applyFill="1" applyBorder="1" applyAlignment="1">
      <alignment vertical="center"/>
    </xf>
    <xf numFmtId="167" fontId="17" fillId="0" borderId="90" xfId="115" applyNumberFormat="1" applyFont="1" applyFill="1" applyBorder="1" applyAlignment="1">
      <alignment vertical="center"/>
    </xf>
    <xf numFmtId="0" fontId="20" fillId="0" borderId="79" xfId="115" applyFill="1" applyBorder="1" applyAlignment="1">
      <alignment horizontal="center" vertical="center"/>
    </xf>
    <xf numFmtId="0" fontId="8" fillId="0" borderId="90" xfId="115" applyFont="1" applyFill="1" applyBorder="1" applyAlignment="1">
      <alignment horizontal="center" vertical="center"/>
    </xf>
    <xf numFmtId="0" fontId="19" fillId="0" borderId="139" xfId="115" applyFont="1" applyFill="1" applyBorder="1" applyAlignment="1">
      <alignment vertical="center" wrapText="1"/>
    </xf>
    <xf numFmtId="0" fontId="19" fillId="0" borderId="75" xfId="115" applyFont="1" applyFill="1" applyBorder="1" applyAlignment="1">
      <alignment vertical="center" wrapText="1"/>
    </xf>
    <xf numFmtId="0" fontId="18" fillId="0" borderId="75" xfId="115" applyFont="1" applyFill="1" applyBorder="1" applyAlignment="1">
      <alignment vertical="center" wrapText="1"/>
    </xf>
    <xf numFmtId="0" fontId="18" fillId="0" borderId="75" xfId="115" applyFont="1" applyFill="1" applyBorder="1" applyAlignment="1">
      <alignment horizontal="center" vertical="center" wrapText="1"/>
    </xf>
    <xf numFmtId="168" fontId="18" fillId="0" borderId="75" xfId="115" applyNumberFormat="1" applyFont="1" applyFill="1" applyBorder="1" applyAlignment="1">
      <alignment horizontal="center" vertical="center" wrapText="1"/>
    </xf>
    <xf numFmtId="0" fontId="16" fillId="0" borderId="140" xfId="115" applyFont="1" applyFill="1" applyBorder="1" applyAlignment="1">
      <alignment vertical="center" wrapText="1"/>
    </xf>
    <xf numFmtId="0" fontId="18" fillId="0" borderId="22" xfId="115" applyFont="1" applyFill="1" applyBorder="1" applyAlignment="1">
      <alignment vertical="center"/>
    </xf>
    <xf numFmtId="0" fontId="17" fillId="0" borderId="142" xfId="115" applyFont="1" applyFill="1" applyBorder="1" applyAlignment="1">
      <alignment vertical="center"/>
    </xf>
    <xf numFmtId="0" fontId="18" fillId="0" borderId="41" xfId="115" applyFont="1" applyFill="1" applyBorder="1" applyAlignment="1">
      <alignment vertical="center"/>
    </xf>
    <xf numFmtId="0" fontId="17" fillId="0" borderId="92" xfId="115" applyFont="1" applyFill="1" applyBorder="1" applyAlignment="1">
      <alignment vertical="center"/>
    </xf>
    <xf numFmtId="0" fontId="18" fillId="0" borderId="94" xfId="115" applyFont="1" applyFill="1" applyBorder="1" applyAlignment="1">
      <alignment horizontal="center" vertical="center" wrapText="1"/>
    </xf>
    <xf numFmtId="167" fontId="18" fillId="0" borderId="38" xfId="115" applyNumberFormat="1" applyFont="1" applyFill="1" applyBorder="1" applyAlignment="1">
      <alignment vertical="center"/>
    </xf>
    <xf numFmtId="167" fontId="18" fillId="0" borderId="129" xfId="115" applyNumberFormat="1" applyFont="1" applyFill="1" applyBorder="1" applyAlignment="1">
      <alignment vertical="center"/>
    </xf>
    <xf numFmtId="0" fontId="18" fillId="0" borderId="140" xfId="115" applyFont="1" applyFill="1" applyBorder="1" applyAlignment="1">
      <alignment vertical="center" wrapText="1"/>
    </xf>
    <xf numFmtId="0" fontId="8" fillId="0" borderId="40" xfId="115" applyFont="1" applyFill="1" applyBorder="1" applyAlignment="1">
      <alignment horizontal="center" vertical="center"/>
    </xf>
    <xf numFmtId="0" fontId="18" fillId="0" borderId="75" xfId="115" applyFont="1" applyFill="1" applyBorder="1" applyAlignment="1">
      <alignment vertical="center"/>
    </xf>
    <xf numFmtId="0" fontId="17" fillId="0" borderId="75" xfId="115" applyFont="1" applyFill="1" applyBorder="1" applyAlignment="1">
      <alignment vertical="center"/>
    </xf>
    <xf numFmtId="0" fontId="17" fillId="0" borderId="140" xfId="115" applyFont="1" applyFill="1" applyBorder="1" applyAlignment="1">
      <alignment horizontal="center" vertical="center" wrapText="1"/>
    </xf>
    <xf numFmtId="0" fontId="17" fillId="0" borderId="140" xfId="115" applyFont="1" applyFill="1" applyBorder="1" applyAlignment="1">
      <alignment vertical="center"/>
    </xf>
    <xf numFmtId="0" fontId="18" fillId="0" borderId="89" xfId="115" applyFont="1" applyFill="1" applyBorder="1" applyAlignment="1">
      <alignment horizontal="center" vertical="center"/>
    </xf>
    <xf numFmtId="2" fontId="17" fillId="0" borderId="22" xfId="115" applyNumberFormat="1" applyFont="1" applyFill="1" applyBorder="1" applyAlignment="1">
      <alignment vertical="center"/>
    </xf>
    <xf numFmtId="2" fontId="17" fillId="0" borderId="142" xfId="115" applyNumberFormat="1" applyFont="1" applyFill="1" applyBorder="1" applyAlignment="1">
      <alignment vertical="center"/>
    </xf>
    <xf numFmtId="167" fontId="18" fillId="0" borderId="40" xfId="115" applyNumberFormat="1" applyFont="1" applyFill="1" applyBorder="1" applyAlignment="1">
      <alignment vertical="center"/>
    </xf>
    <xf numFmtId="0" fontId="17" fillId="0" borderId="41" xfId="115" applyFont="1" applyFill="1" applyBorder="1" applyAlignment="1">
      <alignment vertical="center"/>
    </xf>
    <xf numFmtId="167" fontId="18" fillId="0" borderId="41" xfId="115" applyNumberFormat="1" applyFont="1" applyFill="1" applyBorder="1" applyAlignment="1">
      <alignment horizontal="right" vertical="center"/>
    </xf>
    <xf numFmtId="0" fontId="18" fillId="0" borderId="75" xfId="115" applyFont="1" applyFill="1" applyBorder="1" applyAlignment="1">
      <alignment horizontal="center" vertical="center"/>
    </xf>
    <xf numFmtId="167" fontId="29" fillId="0" borderId="41" xfId="115" applyNumberFormat="1" applyFont="1" applyFill="1" applyBorder="1" applyAlignment="1">
      <alignment vertical="center"/>
    </xf>
    <xf numFmtId="168" fontId="18" fillId="0" borderId="94" xfId="115" applyNumberFormat="1" applyFont="1" applyFill="1" applyBorder="1" applyAlignment="1">
      <alignment horizontal="center" vertical="center" wrapText="1"/>
    </xf>
    <xf numFmtId="167" fontId="29" fillId="0" borderId="38" xfId="115" applyNumberFormat="1" applyFont="1" applyFill="1" applyBorder="1" applyAlignment="1">
      <alignment vertical="center"/>
    </xf>
    <xf numFmtId="167" fontId="29" fillId="0" borderId="129" xfId="115" applyNumberFormat="1" applyFont="1" applyFill="1" applyBorder="1" applyAlignment="1">
      <alignment vertical="center"/>
    </xf>
    <xf numFmtId="0" fontId="18" fillId="0" borderId="38" xfId="115" applyFont="1" applyFill="1" applyBorder="1" applyAlignment="1">
      <alignment horizontal="right" vertical="center"/>
    </xf>
    <xf numFmtId="167" fontId="18" fillId="0" borderId="129" xfId="115" applyNumberFormat="1" applyFont="1" applyFill="1" applyBorder="1" applyAlignment="1">
      <alignment horizontal="right" vertical="center"/>
    </xf>
    <xf numFmtId="0" fontId="18" fillId="0" borderId="140" xfId="115" applyFont="1" applyFill="1" applyBorder="1" applyAlignment="1">
      <alignment horizontal="center" vertical="center" wrapText="1"/>
    </xf>
    <xf numFmtId="0" fontId="8" fillId="0" borderId="38" xfId="115" applyFont="1" applyFill="1" applyBorder="1" applyAlignment="1">
      <alignment horizontal="center" vertical="center"/>
    </xf>
    <xf numFmtId="0" fontId="17" fillId="0" borderId="38" xfId="115" applyFont="1" applyFill="1" applyBorder="1" applyAlignment="1">
      <alignment vertical="center" wrapText="1"/>
    </xf>
    <xf numFmtId="0" fontId="17" fillId="0" borderId="38" xfId="115" applyFont="1" applyFill="1" applyBorder="1" applyAlignment="1">
      <alignment vertical="center"/>
    </xf>
    <xf numFmtId="2" fontId="17" fillId="0" borderId="38" xfId="115" applyNumberFormat="1" applyFont="1" applyFill="1" applyBorder="1" applyAlignment="1">
      <alignment vertical="center"/>
    </xf>
    <xf numFmtId="1" fontId="17" fillId="0" borderId="94" xfId="115" applyNumberFormat="1" applyFont="1" applyFill="1" applyBorder="1" applyAlignment="1">
      <alignment vertical="center"/>
    </xf>
    <xf numFmtId="2" fontId="17" fillId="0" borderId="89" xfId="115" applyNumberFormat="1" applyFont="1" applyFill="1" applyBorder="1" applyAlignment="1">
      <alignment vertical="center"/>
    </xf>
    <xf numFmtId="167" fontId="17" fillId="0" borderId="134" xfId="115" applyNumberFormat="1" applyFont="1" applyFill="1" applyBorder="1" applyAlignment="1">
      <alignment vertical="center"/>
    </xf>
    <xf numFmtId="167" fontId="17" fillId="0" borderId="147" xfId="115" applyNumberFormat="1" applyFont="1" applyFill="1" applyBorder="1" applyAlignment="1">
      <alignment vertical="center"/>
    </xf>
    <xf numFmtId="167" fontId="17" fillId="0" borderId="105" xfId="115" applyNumberFormat="1" applyFont="1" applyFill="1" applyBorder="1" applyAlignment="1">
      <alignment vertical="center"/>
    </xf>
    <xf numFmtId="0" fontId="8" fillId="0" borderId="79" xfId="85" applyFont="1" applyFill="1" applyBorder="1"/>
    <xf numFmtId="0" fontId="8" fillId="0" borderId="80" xfId="85" applyFont="1" applyFill="1" applyBorder="1"/>
    <xf numFmtId="0" fontId="24" fillId="0" borderId="90" xfId="85" applyFont="1" applyFill="1" applyBorder="1" applyAlignment="1">
      <alignment vertical="center" wrapText="1"/>
    </xf>
    <xf numFmtId="0" fontId="24" fillId="0" borderId="91" xfId="85" applyFont="1" applyFill="1" applyBorder="1" applyAlignment="1">
      <alignment vertical="center" wrapText="1"/>
    </xf>
    <xf numFmtId="0" fontId="24" fillId="0" borderId="91" xfId="85" applyFont="1" applyFill="1" applyBorder="1" applyAlignment="1">
      <alignment horizontal="center" vertical="center" wrapText="1"/>
    </xf>
    <xf numFmtId="0" fontId="24" fillId="0" borderId="128" xfId="85" applyFont="1" applyFill="1" applyBorder="1" applyAlignment="1">
      <alignment horizontal="center" vertical="center" wrapText="1"/>
    </xf>
    <xf numFmtId="0" fontId="24" fillId="0" borderId="40" xfId="85" applyFont="1" applyFill="1" applyBorder="1" applyAlignment="1">
      <alignment horizontal="center" vertical="center" wrapText="1"/>
    </xf>
    <xf numFmtId="0" fontId="20" fillId="0" borderId="40" xfId="85" applyFill="1" applyBorder="1" applyAlignment="1">
      <alignment horizontal="center"/>
    </xf>
    <xf numFmtId="0" fontId="16" fillId="0" borderId="91" xfId="85" applyFont="1" applyFill="1" applyBorder="1" applyAlignment="1">
      <alignment horizontal="center"/>
    </xf>
    <xf numFmtId="167" fontId="8" fillId="0" borderId="92" xfId="85" applyNumberFormat="1" applyFont="1" applyFill="1" applyBorder="1" applyAlignment="1">
      <alignment horizontal="center"/>
    </xf>
    <xf numFmtId="0" fontId="12" fillId="0" borderId="91" xfId="0" applyFont="1" applyBorder="1" applyAlignment="1">
      <alignment horizontal="left" vertical="center"/>
    </xf>
    <xf numFmtId="167" fontId="8" fillId="0" borderId="47" xfId="85" applyNumberFormat="1" applyFont="1" applyFill="1" applyBorder="1" applyAlignment="1">
      <alignment vertical="center"/>
    </xf>
    <xf numFmtId="193" fontId="54" fillId="0" borderId="91" xfId="37" applyNumberFormat="1" applyFont="1" applyFill="1" applyBorder="1" applyAlignment="1">
      <alignment horizontal="center" vertical="center"/>
    </xf>
    <xf numFmtId="167" fontId="24" fillId="0" borderId="75" xfId="85" applyNumberFormat="1" applyFont="1" applyFill="1" applyBorder="1" applyAlignment="1">
      <alignment horizontal="center" vertical="center" wrapText="1"/>
    </xf>
    <xf numFmtId="167" fontId="8" fillId="0" borderId="144" xfId="85" applyNumberFormat="1" applyFont="1" applyFill="1" applyBorder="1" applyAlignment="1">
      <alignment horizontal="center"/>
    </xf>
    <xf numFmtId="167" fontId="24" fillId="0" borderId="40" xfId="85" applyNumberFormat="1" applyFont="1" applyFill="1" applyBorder="1" applyAlignment="1">
      <alignment horizontal="center" vertical="center" wrapText="1"/>
    </xf>
    <xf numFmtId="0" fontId="24" fillId="0" borderId="41" xfId="85" applyFont="1" applyFill="1" applyBorder="1" applyAlignment="1">
      <alignment horizontal="center" vertical="center" wrapText="1"/>
    </xf>
    <xf numFmtId="167" fontId="20" fillId="0" borderId="40" xfId="85" applyNumberFormat="1" applyFill="1" applyBorder="1" applyAlignment="1">
      <alignment horizontal="center" vertical="center"/>
    </xf>
    <xf numFmtId="193" fontId="54" fillId="0" borderId="75" xfId="37" applyNumberFormat="1" applyFont="1" applyFill="1" applyBorder="1" applyAlignment="1">
      <alignment horizontal="center" vertical="center"/>
    </xf>
    <xf numFmtId="193" fontId="54" fillId="0" borderId="140" xfId="37" applyNumberFormat="1" applyFont="1" applyFill="1" applyBorder="1" applyAlignment="1">
      <alignment horizontal="center" vertical="center"/>
    </xf>
    <xf numFmtId="189" fontId="8" fillId="0" borderId="40" xfId="37" applyNumberFormat="1" applyFont="1" applyFill="1" applyBorder="1" applyAlignment="1">
      <alignment horizontal="center" vertical="center"/>
    </xf>
    <xf numFmtId="193" fontId="54" fillId="0" borderId="90" xfId="37" applyNumberFormat="1" applyFont="1" applyFill="1" applyBorder="1" applyAlignment="1">
      <alignment horizontal="center" vertical="center"/>
    </xf>
    <xf numFmtId="0" fontId="8" fillId="0" borderId="40" xfId="85" applyFont="1" applyFill="1" applyBorder="1" applyAlignment="1">
      <alignment horizontal="center"/>
    </xf>
    <xf numFmtId="0" fontId="8" fillId="0" borderId="90" xfId="85" applyFont="1" applyFill="1" applyBorder="1" applyAlignment="1">
      <alignment horizontal="center"/>
    </xf>
    <xf numFmtId="0" fontId="8" fillId="0" borderId="128" xfId="85" applyFont="1" applyFill="1" applyBorder="1" applyAlignment="1">
      <alignment horizontal="center"/>
    </xf>
    <xf numFmtId="0" fontId="16" fillId="0" borderId="38" xfId="85" applyFont="1" applyFill="1" applyBorder="1" applyAlignment="1">
      <alignment horizontal="center"/>
    </xf>
    <xf numFmtId="0" fontId="8" fillId="0" borderId="38" xfId="85" applyFont="1" applyFill="1" applyBorder="1"/>
    <xf numFmtId="0" fontId="8" fillId="0" borderId="38" xfId="85" applyFont="1" applyFill="1" applyBorder="1" applyAlignment="1">
      <alignment horizontal="center"/>
    </xf>
    <xf numFmtId="0" fontId="16" fillId="0" borderId="129" xfId="85" applyFont="1" applyFill="1" applyBorder="1" applyAlignment="1">
      <alignment horizontal="center"/>
    </xf>
    <xf numFmtId="0" fontId="8" fillId="0" borderId="91" xfId="85" applyFont="1" applyFill="1" applyBorder="1"/>
    <xf numFmtId="0" fontId="8" fillId="0" borderId="92" xfId="85" applyFont="1" applyFill="1" applyBorder="1"/>
    <xf numFmtId="0" fontId="54" fillId="0" borderId="80" xfId="85" applyFont="1" applyFill="1" applyBorder="1" applyAlignment="1">
      <alignment vertical="center" wrapText="1"/>
    </xf>
    <xf numFmtId="0" fontId="8" fillId="0" borderId="79" xfId="85" applyFont="1" applyFill="1" applyBorder="1" applyAlignment="1">
      <alignment vertical="center" wrapText="1"/>
    </xf>
    <xf numFmtId="0" fontId="97" fillId="0" borderId="10" xfId="0" applyFont="1" applyBorder="1" applyAlignment="1">
      <alignment horizontal="center" vertical="center"/>
    </xf>
    <xf numFmtId="0" fontId="97" fillId="0" borderId="10" xfId="0" applyFont="1" applyBorder="1" applyAlignment="1">
      <alignment horizontal="left" vertical="center"/>
    </xf>
    <xf numFmtId="0" fontId="6" fillId="0" borderId="10" xfId="0" applyFont="1" applyBorder="1" applyAlignment="1">
      <alignment horizontal="left" vertical="center"/>
    </xf>
    <xf numFmtId="0" fontId="97" fillId="0" borderId="50" xfId="0" applyFont="1" applyBorder="1" applyAlignment="1">
      <alignment horizontal="center" vertical="center"/>
    </xf>
    <xf numFmtId="0" fontId="97" fillId="0" borderId="50" xfId="0" applyFont="1" applyBorder="1" applyAlignment="1">
      <alignment horizontal="left" vertical="center"/>
    </xf>
    <xf numFmtId="0" fontId="0" fillId="0" borderId="10" xfId="0" applyBorder="1" applyAlignment="1">
      <alignment vertical="center"/>
    </xf>
    <xf numFmtId="2" fontId="0" fillId="0" borderId="10" xfId="0" applyNumberFormat="1" applyBorder="1" applyAlignment="1">
      <alignment vertical="center"/>
    </xf>
    <xf numFmtId="2" fontId="7" fillId="0" borderId="10" xfId="0" applyNumberFormat="1" applyFont="1" applyBorder="1" applyAlignment="1">
      <alignment vertical="center"/>
    </xf>
    <xf numFmtId="10" fontId="0" fillId="0" borderId="10" xfId="0" applyNumberFormat="1" applyBorder="1" applyAlignment="1">
      <alignment vertical="center"/>
    </xf>
    <xf numFmtId="2" fontId="0" fillId="29" borderId="10" xfId="0" applyNumberFormat="1" applyFill="1" applyBorder="1" applyAlignment="1">
      <alignment vertical="center"/>
    </xf>
    <xf numFmtId="0" fontId="7" fillId="46" borderId="0" xfId="0" applyFont="1" applyFill="1" applyAlignment="1">
      <alignment horizontal="center"/>
    </xf>
    <xf numFmtId="2" fontId="0" fillId="46" borderId="0" xfId="0" applyNumberFormat="1" applyFill="1" applyAlignment="1">
      <alignment horizontal="center"/>
    </xf>
    <xf numFmtId="0" fontId="0" fillId="46" borderId="0" xfId="0" applyFill="1" applyAlignment="1">
      <alignment horizontal="center"/>
    </xf>
    <xf numFmtId="2" fontId="7" fillId="46" borderId="0" xfId="0" applyNumberFormat="1" applyFont="1" applyFill="1" applyAlignment="1">
      <alignment horizontal="center"/>
    </xf>
    <xf numFmtId="9" fontId="0" fillId="0" borderId="10" xfId="0" applyNumberFormat="1" applyBorder="1"/>
    <xf numFmtId="1" fontId="7" fillId="0" borderId="10" xfId="0" applyNumberFormat="1" applyFont="1" applyBorder="1"/>
    <xf numFmtId="0" fontId="120" fillId="0" borderId="0" xfId="0" applyFont="1" applyAlignment="1">
      <alignment horizontal="left" vertical="center" wrapText="1"/>
    </xf>
    <xf numFmtId="2" fontId="121" fillId="0" borderId="0" xfId="0" applyNumberFormat="1" applyFont="1" applyAlignment="1">
      <alignment horizontal="center" vertical="center" wrapText="1"/>
    </xf>
    <xf numFmtId="10" fontId="121" fillId="0" borderId="41" xfId="88" applyNumberFormat="1" applyFont="1" applyFill="1" applyBorder="1" applyAlignment="1">
      <alignment horizontal="center" vertical="center" wrapText="1"/>
    </xf>
    <xf numFmtId="4" fontId="0" fillId="0" borderId="10" xfId="0" applyNumberFormat="1" applyBorder="1" applyAlignment="1">
      <alignment horizontal="right" vertical="center"/>
    </xf>
    <xf numFmtId="0" fontId="7" fillId="0" borderId="0" xfId="0" applyFont="1" applyAlignment="1">
      <alignment vertical="center" wrapText="1"/>
    </xf>
    <xf numFmtId="0" fontId="0" fillId="48" borderId="10" xfId="0" applyFill="1" applyBorder="1"/>
    <xf numFmtId="0" fontId="0" fillId="48" borderId="10" xfId="0" applyFill="1" applyBorder="1" applyAlignment="1">
      <alignment horizontal="center"/>
    </xf>
    <xf numFmtId="0" fontId="6" fillId="0" borderId="0" xfId="0" applyFont="1" applyAlignment="1">
      <alignment horizontal="center"/>
    </xf>
    <xf numFmtId="0" fontId="0" fillId="0" borderId="0" xfId="0"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6" fillId="0" borderId="10" xfId="0" applyFont="1" applyBorder="1" applyAlignment="1">
      <alignment horizontal="center" vertical="center"/>
    </xf>
    <xf numFmtId="0" fontId="22" fillId="0" borderId="10" xfId="0" applyFont="1" applyBorder="1" applyAlignment="1">
      <alignment horizontal="left" vertical="center"/>
    </xf>
    <xf numFmtId="2" fontId="6" fillId="0" borderId="10" xfId="0" applyNumberFormat="1" applyFont="1" applyBorder="1" applyAlignment="1">
      <alignment horizontal="center" vertical="center"/>
    </xf>
    <xf numFmtId="0" fontId="8" fillId="0" borderId="10" xfId="85" applyFont="1" applyFill="1" applyBorder="1" applyAlignment="1">
      <alignment vertical="center" wrapText="1"/>
    </xf>
    <xf numFmtId="0" fontId="54" fillId="0" borderId="10" xfId="85" applyFont="1" applyFill="1" applyBorder="1" applyAlignment="1">
      <alignment vertical="center" wrapText="1"/>
    </xf>
    <xf numFmtId="0" fontId="8" fillId="0" borderId="10" xfId="85" applyFont="1" applyFill="1" applyBorder="1" applyAlignment="1">
      <alignment horizontal="center"/>
    </xf>
    <xf numFmtId="10" fontId="0" fillId="0" borderId="0" xfId="88" applyNumberFormat="1" applyFont="1" applyFill="1" applyBorder="1"/>
    <xf numFmtId="4" fontId="7" fillId="0" borderId="10" xfId="0" applyNumberFormat="1" applyFont="1" applyBorder="1" applyAlignment="1">
      <alignment horizontal="right" vertical="center"/>
    </xf>
    <xf numFmtId="0" fontId="7" fillId="0" borderId="10" xfId="0" applyFont="1" applyBorder="1" applyAlignment="1">
      <alignment horizontal="left" wrapText="1"/>
    </xf>
    <xf numFmtId="0" fontId="6" fillId="0" borderId="10" xfId="0" applyFont="1" applyBorder="1" applyAlignment="1">
      <alignment horizontal="left" wrapText="1"/>
    </xf>
    <xf numFmtId="0" fontId="6" fillId="0" borderId="10" xfId="0" applyFont="1" applyBorder="1" applyAlignment="1">
      <alignment horizontal="center" vertical="center" wrapText="1"/>
    </xf>
    <xf numFmtId="2" fontId="6" fillId="0" borderId="10"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0" borderId="50" xfId="0" applyFont="1" applyBorder="1" applyAlignment="1">
      <alignment horizontal="center" vertical="center" wrapText="1"/>
    </xf>
    <xf numFmtId="0" fontId="7" fillId="0" borderId="50" xfId="0" applyFont="1" applyBorder="1" applyAlignment="1">
      <alignment wrapText="1"/>
    </xf>
    <xf numFmtId="2" fontId="7" fillId="0" borderId="50" xfId="0" applyNumberFormat="1" applyFont="1" applyBorder="1" applyAlignment="1">
      <alignment horizontal="right" vertical="center"/>
    </xf>
    <xf numFmtId="4" fontId="7" fillId="0" borderId="50" xfId="0" applyNumberFormat="1" applyFont="1" applyBorder="1" applyAlignment="1">
      <alignment horizontal="right" vertical="center"/>
    </xf>
    <xf numFmtId="0" fontId="0" fillId="0" borderId="0" xfId="0" applyAlignment="1">
      <alignment horizontal="center" vertical="center" wrapText="1"/>
    </xf>
    <xf numFmtId="0" fontId="7" fillId="0" borderId="0" xfId="0" applyFont="1" applyAlignment="1">
      <alignment horizontal="right" wrapText="1"/>
    </xf>
    <xf numFmtId="2" fontId="7" fillId="0" borderId="0" xfId="0" applyNumberFormat="1" applyFont="1" applyAlignment="1">
      <alignment horizontal="right" vertical="center"/>
    </xf>
    <xf numFmtId="4" fontId="7" fillId="0" borderId="0" xfId="0" applyNumberFormat="1" applyFont="1" applyAlignment="1">
      <alignment horizontal="right" vertical="center"/>
    </xf>
    <xf numFmtId="2" fontId="0" fillId="0" borderId="0" xfId="0" applyNumberFormat="1" applyAlignment="1">
      <alignment horizontal="right" vertical="center"/>
    </xf>
    <xf numFmtId="4" fontId="0" fillId="0" borderId="0" xfId="0" applyNumberFormat="1" applyAlignment="1">
      <alignment horizontal="right" vertical="center"/>
    </xf>
    <xf numFmtId="2" fontId="0" fillId="0" borderId="0" xfId="88" applyNumberFormat="1" applyFont="1" applyFill="1" applyBorder="1" applyAlignment="1">
      <alignment horizontal="right" vertical="center"/>
    </xf>
    <xf numFmtId="203" fontId="0" fillId="0" borderId="0" xfId="0" applyNumberFormat="1" applyAlignment="1">
      <alignment horizontal="right" vertical="center"/>
    </xf>
    <xf numFmtId="9" fontId="7" fillId="0" borderId="0" xfId="88" applyFont="1" applyBorder="1"/>
    <xf numFmtId="0" fontId="25" fillId="0" borderId="0" xfId="0" applyFont="1" applyAlignment="1">
      <alignment horizontal="center" vertical="center"/>
    </xf>
    <xf numFmtId="0" fontId="25" fillId="0" borderId="0" xfId="0" applyFont="1" applyAlignment="1">
      <alignment wrapText="1"/>
    </xf>
    <xf numFmtId="0" fontId="6" fillId="35" borderId="0" xfId="0" applyFont="1" applyFill="1" applyAlignment="1">
      <alignment horizontal="center" vertical="center"/>
    </xf>
    <xf numFmtId="1" fontId="6" fillId="35" borderId="0" xfId="0" applyNumberFormat="1" applyFont="1" applyFill="1" applyAlignment="1">
      <alignment horizontal="center" vertical="center"/>
    </xf>
    <xf numFmtId="0" fontId="24" fillId="0" borderId="0" xfId="0" applyFont="1" applyAlignment="1">
      <alignment horizontal="center" vertical="center"/>
    </xf>
    <xf numFmtId="0" fontId="24" fillId="0" borderId="0" xfId="0" applyFont="1" applyAlignment="1">
      <alignment wrapText="1"/>
    </xf>
    <xf numFmtId="0" fontId="7" fillId="35" borderId="0" xfId="0" applyFont="1" applyFill="1" applyAlignment="1">
      <alignment horizontal="center" vertical="center"/>
    </xf>
    <xf numFmtId="1" fontId="7" fillId="35" borderId="0" xfId="0" applyNumberFormat="1" applyFont="1" applyFill="1" applyAlignment="1">
      <alignment horizontal="center" vertical="center"/>
    </xf>
    <xf numFmtId="165" fontId="0" fillId="0" borderId="0" xfId="37" applyFont="1" applyBorder="1"/>
    <xf numFmtId="9" fontId="0" fillId="0" borderId="0" xfId="88" applyFont="1" applyBorder="1"/>
    <xf numFmtId="0" fontId="6" fillId="0" borderId="0" xfId="0" applyFont="1" applyAlignment="1">
      <alignment horizontal="center" vertical="center" wrapText="1"/>
    </xf>
    <xf numFmtId="2" fontId="6" fillId="0" borderId="0" xfId="0" applyNumberFormat="1" applyFont="1" applyAlignment="1">
      <alignment horizontal="right" vertical="center"/>
    </xf>
    <xf numFmtId="4" fontId="6" fillId="0" borderId="0" xfId="0" applyNumberFormat="1" applyFont="1" applyAlignment="1">
      <alignment horizontal="right" vertical="center"/>
    </xf>
    <xf numFmtId="0" fontId="6" fillId="0" borderId="0" xfId="0" applyFont="1" applyAlignment="1">
      <alignment horizontal="left" wrapText="1"/>
    </xf>
    <xf numFmtId="2" fontId="7" fillId="0" borderId="10" xfId="0" applyNumberFormat="1" applyFont="1" applyBorder="1" applyAlignment="1">
      <alignment horizontal="center" vertical="center" wrapText="1"/>
    </xf>
    <xf numFmtId="2" fontId="0" fillId="0" borderId="10" xfId="0" applyNumberFormat="1" applyBorder="1" applyAlignment="1">
      <alignment horizontal="center" vertical="center"/>
    </xf>
    <xf numFmtId="165" fontId="0" fillId="0" borderId="0" xfId="37" applyFont="1" applyFill="1" applyBorder="1" applyAlignment="1">
      <alignment horizontal="right" vertical="center"/>
    </xf>
    <xf numFmtId="165" fontId="7" fillId="0" borderId="0" xfId="37" applyFont="1" applyBorder="1" applyAlignment="1">
      <alignment horizontal="right" vertical="center"/>
    </xf>
    <xf numFmtId="2" fontId="7" fillId="0" borderId="0" xfId="0" applyNumberFormat="1" applyFont="1" applyAlignment="1">
      <alignment horizontal="center" vertical="center" wrapText="1"/>
    </xf>
    <xf numFmtId="1" fontId="6" fillId="0" borderId="0" xfId="0" applyNumberFormat="1" applyFont="1" applyAlignment="1">
      <alignment horizontal="right" vertical="center"/>
    </xf>
    <xf numFmtId="0" fontId="6" fillId="0" borderId="10" xfId="0" applyFont="1" applyBorder="1" applyAlignment="1">
      <alignment horizontal="left" vertical="center" wrapText="1"/>
    </xf>
    <xf numFmtId="0" fontId="8" fillId="0" borderId="0" xfId="0" applyFont="1" applyAlignment="1">
      <alignment vertical="center"/>
    </xf>
    <xf numFmtId="167" fontId="6" fillId="0" borderId="10" xfId="0" applyNumberFormat="1" applyFont="1" applyBorder="1" applyAlignment="1">
      <alignment horizontal="center"/>
    </xf>
    <xf numFmtId="43" fontId="0" fillId="0" borderId="0" xfId="0" applyNumberFormat="1"/>
    <xf numFmtId="0" fontId="24" fillId="0" borderId="92" xfId="85" applyFont="1" applyFill="1" applyBorder="1" applyAlignment="1">
      <alignment horizontal="center" vertical="center" wrapText="1"/>
    </xf>
    <xf numFmtId="165" fontId="8" fillId="0" borderId="38" xfId="37" applyFont="1" applyFill="1" applyBorder="1" applyAlignment="1">
      <alignment horizontal="left" vertical="center" wrapText="1"/>
    </xf>
    <xf numFmtId="165" fontId="8" fillId="0" borderId="10" xfId="37" applyFont="1" applyFill="1" applyBorder="1" applyAlignment="1">
      <alignment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75" xfId="0" applyFont="1" applyBorder="1" applyAlignment="1">
      <alignment horizontal="center" vertical="center" wrapText="1"/>
    </xf>
    <xf numFmtId="0" fontId="8" fillId="0" borderId="22" xfId="0" applyFont="1" applyBorder="1" applyAlignment="1">
      <alignment horizontal="center" vertical="center" wrapText="1"/>
    </xf>
    <xf numFmtId="0" fontId="24" fillId="0" borderId="10" xfId="0" applyFont="1" applyBorder="1" applyAlignment="1">
      <alignment horizontal="center" vertical="center"/>
    </xf>
    <xf numFmtId="0" fontId="25" fillId="0" borderId="0" xfId="0" applyFont="1"/>
    <xf numFmtId="2" fontId="8" fillId="0" borderId="10" xfId="0" applyNumberFormat="1" applyFont="1" applyBorder="1" applyAlignment="1">
      <alignment horizontal="center" vertical="center"/>
    </xf>
    <xf numFmtId="0" fontId="20" fillId="0" borderId="0" xfId="0" applyFont="1" applyAlignment="1">
      <alignment horizontal="center"/>
    </xf>
    <xf numFmtId="167" fontId="20" fillId="0" borderId="0" xfId="0" applyNumberFormat="1" applyFont="1"/>
    <xf numFmtId="0" fontId="20" fillId="0" borderId="10" xfId="0" applyFont="1" applyBorder="1" applyAlignment="1">
      <alignment horizontal="center" vertical="center"/>
    </xf>
    <xf numFmtId="171" fontId="8" fillId="0" borderId="10" xfId="0" applyNumberFormat="1" applyFont="1" applyBorder="1" applyAlignment="1">
      <alignment horizontal="center" vertical="center"/>
    </xf>
    <xf numFmtId="0" fontId="16" fillId="0" borderId="149" xfId="0" applyFont="1" applyBorder="1" applyAlignment="1">
      <alignment horizontal="left" vertical="center" wrapText="1"/>
    </xf>
    <xf numFmtId="0" fontId="16" fillId="0" borderId="150" xfId="0" applyFont="1" applyBorder="1" applyAlignment="1">
      <alignment horizontal="left" vertical="center" wrapText="1"/>
    </xf>
    <xf numFmtId="0" fontId="16" fillId="0" borderId="150" xfId="0" applyFont="1" applyBorder="1" applyAlignment="1">
      <alignment horizontal="center" vertical="center" wrapText="1"/>
    </xf>
    <xf numFmtId="0" fontId="16" fillId="0" borderId="151" xfId="0" applyFont="1" applyBorder="1" applyAlignment="1">
      <alignment horizontal="center" vertical="center" wrapText="1"/>
    </xf>
    <xf numFmtId="0" fontId="0" fillId="0" borderId="107" xfId="0" applyBorder="1"/>
    <xf numFmtId="0" fontId="0" fillId="0" borderId="19" xfId="0" applyBorder="1"/>
    <xf numFmtId="0" fontId="16" fillId="0" borderId="19" xfId="0" applyFont="1" applyBorder="1" applyAlignment="1">
      <alignment horizontal="center"/>
    </xf>
    <xf numFmtId="0" fontId="16" fillId="0" borderId="152" xfId="0" applyFont="1" applyBorder="1" applyAlignment="1">
      <alignment horizontal="center"/>
    </xf>
    <xf numFmtId="0" fontId="0" fillId="0" borderId="153" xfId="0" applyBorder="1"/>
    <xf numFmtId="0" fontId="0" fillId="0" borderId="154" xfId="0" applyBorder="1"/>
    <xf numFmtId="0" fontId="16" fillId="0" borderId="40" xfId="0" applyFont="1" applyBorder="1" applyAlignment="1">
      <alignment horizontal="right"/>
    </xf>
    <xf numFmtId="0" fontId="16" fillId="0" borderId="10" xfId="0" applyFont="1" applyBorder="1"/>
    <xf numFmtId="0" fontId="16" fillId="0" borderId="10" xfId="0" applyFont="1" applyBorder="1" applyAlignment="1">
      <alignment horizontal="center"/>
    </xf>
    <xf numFmtId="0" fontId="0" fillId="0" borderId="40" xfId="0" applyBorder="1" applyAlignment="1">
      <alignment horizontal="right"/>
    </xf>
    <xf numFmtId="0" fontId="16" fillId="0" borderId="45" xfId="0" applyFont="1" applyBorder="1"/>
    <xf numFmtId="0" fontId="0" fillId="0" borderId="47" xfId="0" applyBorder="1"/>
    <xf numFmtId="0" fontId="0" fillId="0" borderId="48" xfId="0" applyBorder="1"/>
    <xf numFmtId="0" fontId="12" fillId="0" borderId="0" xfId="0" applyFont="1" applyAlignment="1">
      <alignment horizontal="left"/>
    </xf>
    <xf numFmtId="0" fontId="17" fillId="0" borderId="0" xfId="0" applyFont="1" applyAlignment="1">
      <alignment horizontal="centerContinuous"/>
    </xf>
    <xf numFmtId="0" fontId="18" fillId="0" borderId="0" xfId="0" applyFont="1" applyAlignment="1">
      <alignment horizontal="centerContinuous"/>
    </xf>
    <xf numFmtId="0" fontId="16" fillId="0" borderId="0" xfId="0" applyFont="1" applyAlignment="1">
      <alignment horizontal="right"/>
    </xf>
    <xf numFmtId="1" fontId="6" fillId="0" borderId="10" xfId="0" applyNumberFormat="1" applyFont="1" applyBorder="1" applyAlignment="1">
      <alignment horizontal="left"/>
    </xf>
    <xf numFmtId="1" fontId="0" fillId="0" borderId="10" xfId="0" applyNumberFormat="1" applyBorder="1" applyAlignment="1">
      <alignment horizontal="left"/>
    </xf>
    <xf numFmtId="1" fontId="6" fillId="0" borderId="10" xfId="0" applyNumberFormat="1" applyFont="1" applyBorder="1" applyAlignment="1">
      <alignment horizontal="right"/>
    </xf>
    <xf numFmtId="0" fontId="17" fillId="0" borderId="10" xfId="0" applyFont="1" applyBorder="1"/>
    <xf numFmtId="10" fontId="0" fillId="0" borderId="10" xfId="0" applyNumberFormat="1" applyBorder="1" applyAlignment="1">
      <alignment horizontal="right"/>
    </xf>
    <xf numFmtId="0" fontId="0" fillId="0" borderId="0" xfId="0" applyAlignment="1">
      <alignment horizontal="centerContinuous" vertical="top" wrapText="1"/>
    </xf>
    <xf numFmtId="0" fontId="0" fillId="0" borderId="43" xfId="0" applyBorder="1"/>
    <xf numFmtId="0" fontId="0" fillId="0" borderId="49" xfId="0" applyBorder="1"/>
    <xf numFmtId="0" fontId="0" fillId="0" borderId="44" xfId="0" applyBorder="1"/>
    <xf numFmtId="0" fontId="16" fillId="0" borderId="90" xfId="0" applyFont="1" applyBorder="1" applyAlignment="1">
      <alignment horizontal="center"/>
    </xf>
    <xf numFmtId="0" fontId="16" fillId="0" borderId="91" xfId="0" applyFont="1" applyBorder="1" applyAlignment="1">
      <alignment horizontal="center"/>
    </xf>
    <xf numFmtId="0" fontId="16" fillId="0" borderId="92" xfId="0" applyFont="1" applyBorder="1" applyAlignment="1">
      <alignment horizontal="center"/>
    </xf>
    <xf numFmtId="0" fontId="0" fillId="0" borderId="128" xfId="0" applyBorder="1"/>
    <xf numFmtId="0" fontId="0" fillId="0" borderId="129" xfId="0" applyBorder="1"/>
    <xf numFmtId="0" fontId="16" fillId="0" borderId="128" xfId="0" applyFont="1" applyBorder="1" applyAlignment="1">
      <alignment horizontal="center"/>
    </xf>
    <xf numFmtId="0" fontId="16" fillId="0" borderId="38" xfId="0" applyFont="1" applyBorder="1" applyAlignment="1">
      <alignment horizontal="center"/>
    </xf>
    <xf numFmtId="0" fontId="16" fillId="0" borderId="129" xfId="0" applyFont="1" applyBorder="1" applyAlignment="1">
      <alignment horizontal="center"/>
    </xf>
    <xf numFmtId="167" fontId="31" fillId="0" borderId="0" xfId="0" applyNumberFormat="1" applyFont="1"/>
    <xf numFmtId="165" fontId="6" fillId="0" borderId="0" xfId="37" applyFill="1" applyProtection="1">
      <protection locked="0"/>
    </xf>
    <xf numFmtId="0" fontId="16" fillId="0" borderId="10" xfId="0" applyFont="1" applyBorder="1" applyAlignment="1">
      <alignment horizontal="right"/>
    </xf>
    <xf numFmtId="0" fontId="16" fillId="0" borderId="10" xfId="0" applyFont="1" applyBorder="1" applyAlignment="1">
      <alignment horizontal="center" vertical="top"/>
    </xf>
    <xf numFmtId="0" fontId="15" fillId="0" borderId="10" xfId="0" applyFont="1" applyBorder="1" applyAlignment="1">
      <alignment horizontal="center"/>
    </xf>
    <xf numFmtId="10" fontId="0" fillId="0" borderId="0" xfId="88" applyNumberFormat="1" applyFont="1" applyFill="1"/>
    <xf numFmtId="0" fontId="53" fillId="0" borderId="10" xfId="0" applyFont="1" applyBorder="1" applyAlignment="1">
      <alignment horizontal="center" vertical="center"/>
    </xf>
    <xf numFmtId="0" fontId="55" fillId="0" borderId="0" xfId="0" applyFont="1"/>
    <xf numFmtId="2" fontId="0" fillId="0" borderId="10" xfId="88" applyNumberFormat="1" applyFont="1" applyFill="1" applyBorder="1" applyAlignment="1">
      <alignment horizontal="right" vertical="center"/>
    </xf>
    <xf numFmtId="9" fontId="7" fillId="0" borderId="42" xfId="88" applyFont="1" applyFill="1" applyBorder="1"/>
    <xf numFmtId="165" fontId="0" fillId="0" borderId="10" xfId="37" applyFont="1" applyFill="1" applyBorder="1"/>
    <xf numFmtId="165" fontId="0" fillId="0" borderId="41" xfId="37" applyFont="1" applyFill="1" applyBorder="1"/>
    <xf numFmtId="165" fontId="0" fillId="0" borderId="40" xfId="37" applyFont="1" applyFill="1" applyBorder="1"/>
    <xf numFmtId="9" fontId="0" fillId="0" borderId="40" xfId="88" applyFont="1" applyFill="1" applyBorder="1"/>
    <xf numFmtId="9" fontId="0" fillId="0" borderId="10" xfId="88" applyFont="1" applyFill="1" applyBorder="1"/>
    <xf numFmtId="165" fontId="0" fillId="0" borderId="0" xfId="37" applyFont="1" applyFill="1"/>
    <xf numFmtId="166" fontId="24" fillId="0" borderId="0" xfId="45" applyFont="1" applyFill="1" applyBorder="1"/>
    <xf numFmtId="174" fontId="0" fillId="0" borderId="41" xfId="37" applyNumberFormat="1" applyFont="1" applyFill="1" applyBorder="1"/>
    <xf numFmtId="0" fontId="7" fillId="0" borderId="53" xfId="0" applyFont="1" applyBorder="1" applyAlignment="1">
      <alignment horizontal="center" vertical="center" wrapText="1"/>
    </xf>
    <xf numFmtId="197" fontId="0" fillId="0" borderId="0" xfId="37" applyNumberFormat="1" applyFont="1" applyFill="1"/>
    <xf numFmtId="0" fontId="0" fillId="0" borderId="10" xfId="0" applyBorder="1" applyAlignment="1">
      <alignment vertical="center" wrapText="1"/>
    </xf>
    <xf numFmtId="2" fontId="6" fillId="0" borderId="49" xfId="0" applyNumberFormat="1" applyFont="1" applyBorder="1"/>
    <xf numFmtId="10" fontId="0" fillId="0" borderId="15" xfId="88" applyNumberFormat="1" applyFont="1" applyFill="1" applyBorder="1"/>
    <xf numFmtId="10" fontId="0" fillId="0" borderId="54" xfId="88" applyNumberFormat="1" applyFont="1" applyFill="1" applyBorder="1"/>
    <xf numFmtId="199" fontId="0" fillId="0" borderId="0" xfId="37" applyNumberFormat="1" applyFont="1" applyFill="1"/>
    <xf numFmtId="0" fontId="29" fillId="0" borderId="0" xfId="0" applyFont="1"/>
    <xf numFmtId="0" fontId="7" fillId="0" borderId="10" xfId="112" applyFont="1" applyBorder="1" applyAlignment="1">
      <alignment horizontal="center"/>
    </xf>
    <xf numFmtId="0" fontId="7" fillId="0" borderId="10" xfId="112" quotePrefix="1" applyFont="1" applyBorder="1" applyAlignment="1">
      <alignment horizontal="center"/>
    </xf>
    <xf numFmtId="0" fontId="7" fillId="0" borderId="10" xfId="112" applyFont="1" applyBorder="1" applyAlignment="1">
      <alignment horizontal="right"/>
    </xf>
    <xf numFmtId="0" fontId="6" fillId="0" borderId="10" xfId="112" applyBorder="1" applyAlignment="1">
      <alignment horizontal="center"/>
    </xf>
    <xf numFmtId="0" fontId="6" fillId="0" borderId="57" xfId="0" applyFont="1" applyBorder="1"/>
    <xf numFmtId="0" fontId="6" fillId="29" borderId="58" xfId="0" applyFont="1" applyFill="1" applyBorder="1"/>
    <xf numFmtId="0" fontId="6" fillId="0" borderId="43" xfId="0" applyFont="1" applyBorder="1"/>
    <xf numFmtId="0" fontId="6" fillId="0" borderId="46" xfId="0" applyFont="1" applyBorder="1"/>
    <xf numFmtId="0" fontId="6" fillId="0" borderId="59" xfId="0" applyFont="1" applyBorder="1"/>
    <xf numFmtId="0" fontId="6" fillId="0" borderId="49" xfId="0" applyFont="1" applyBorder="1"/>
    <xf numFmtId="2" fontId="6" fillId="0" borderId="44" xfId="0" applyNumberFormat="1" applyFont="1" applyBorder="1"/>
    <xf numFmtId="0" fontId="6" fillId="0" borderId="42" xfId="0" applyFont="1" applyBorder="1"/>
    <xf numFmtId="2" fontId="6" fillId="35" borderId="42" xfId="0" applyNumberFormat="1" applyFont="1" applyFill="1" applyBorder="1"/>
    <xf numFmtId="2" fontId="6" fillId="0" borderId="45" xfId="0" applyNumberFormat="1" applyFont="1" applyBorder="1"/>
    <xf numFmtId="2" fontId="6" fillId="0" borderId="42" xfId="0" applyNumberFormat="1" applyFont="1" applyBorder="1"/>
    <xf numFmtId="1" fontId="6" fillId="0" borderId="42" xfId="0" applyNumberFormat="1" applyFont="1" applyBorder="1"/>
    <xf numFmtId="168" fontId="6" fillId="0" borderId="0" xfId="0" applyNumberFormat="1" applyFont="1"/>
    <xf numFmtId="1" fontId="6" fillId="0" borderId="45" xfId="0" applyNumberFormat="1" applyFont="1" applyBorder="1"/>
    <xf numFmtId="0" fontId="6" fillId="29" borderId="45" xfId="0" applyFont="1" applyFill="1" applyBorder="1"/>
    <xf numFmtId="2" fontId="6" fillId="29" borderId="0" xfId="0" applyNumberFormat="1" applyFont="1" applyFill="1"/>
    <xf numFmtId="0" fontId="6" fillId="0" borderId="45" xfId="0" applyFont="1" applyBorder="1" applyAlignment="1">
      <alignment horizontal="right"/>
    </xf>
    <xf numFmtId="2" fontId="6" fillId="29" borderId="42" xfId="0" applyNumberFormat="1" applyFont="1" applyFill="1" applyBorder="1"/>
    <xf numFmtId="0" fontId="6" fillId="29" borderId="42" xfId="0" applyFont="1" applyFill="1" applyBorder="1"/>
    <xf numFmtId="0" fontId="20" fillId="0" borderId="0" xfId="0" applyFont="1" applyAlignment="1">
      <alignment horizontal="left"/>
    </xf>
    <xf numFmtId="0" fontId="7" fillId="0" borderId="10" xfId="118" applyFont="1" applyBorder="1" applyAlignment="1">
      <alignment horizontal="center" vertical="center" wrapText="1"/>
    </xf>
    <xf numFmtId="0" fontId="6" fillId="0" borderId="10" xfId="118" applyBorder="1" applyAlignment="1">
      <alignment horizontal="center"/>
    </xf>
    <xf numFmtId="0" fontId="7" fillId="0" borderId="10" xfId="118" applyFont="1" applyBorder="1" applyAlignment="1">
      <alignment wrapText="1"/>
    </xf>
    <xf numFmtId="0" fontId="6" fillId="0" borderId="10" xfId="118" applyBorder="1" applyAlignment="1">
      <alignment wrapText="1"/>
    </xf>
    <xf numFmtId="0" fontId="7" fillId="0" borderId="10" xfId="118" applyFont="1" applyBorder="1" applyAlignment="1">
      <alignment horizontal="center"/>
    </xf>
    <xf numFmtId="0" fontId="7" fillId="0" borderId="10" xfId="118" applyFont="1" applyBorder="1"/>
    <xf numFmtId="0" fontId="7" fillId="0" borderId="10" xfId="118" applyFont="1" applyBorder="1" applyAlignment="1">
      <alignment vertical="center" wrapText="1"/>
    </xf>
    <xf numFmtId="0" fontId="7" fillId="0" borderId="10" xfId="118" applyFont="1" applyBorder="1" applyAlignment="1">
      <alignment horizontal="center" wrapText="1"/>
    </xf>
    <xf numFmtId="0" fontId="22" fillId="0" borderId="10" xfId="118" applyFont="1" applyBorder="1" applyAlignment="1">
      <alignment horizontal="center"/>
    </xf>
    <xf numFmtId="0" fontId="6" fillId="0" borderId="10" xfId="118" applyBorder="1" applyAlignment="1">
      <alignment horizontal="center" vertical="center" wrapText="1"/>
    </xf>
    <xf numFmtId="0" fontId="12" fillId="0" borderId="10" xfId="118" applyFont="1" applyBorder="1" applyAlignment="1">
      <alignment vertical="center" wrapText="1"/>
    </xf>
    <xf numFmtId="0" fontId="12" fillId="0" borderId="10" xfId="118" applyFont="1" applyBorder="1" applyAlignment="1">
      <alignment wrapText="1"/>
    </xf>
    <xf numFmtId="0" fontId="12" fillId="0" borderId="10" xfId="118" applyFont="1" applyBorder="1" applyAlignment="1">
      <alignment horizontal="center" wrapText="1"/>
    </xf>
    <xf numFmtId="0" fontId="6" fillId="0" borderId="10" xfId="118" applyBorder="1" applyAlignment="1">
      <alignment horizontal="center" vertical="top"/>
    </xf>
    <xf numFmtId="0" fontId="6" fillId="0" borderId="10" xfId="118" applyBorder="1"/>
    <xf numFmtId="0" fontId="6" fillId="0" borderId="10" xfId="118" applyBorder="1" applyAlignment="1">
      <alignment horizontal="justify" vertical="top" wrapText="1"/>
    </xf>
    <xf numFmtId="0" fontId="7" fillId="0" borderId="10" xfId="118" applyFont="1" applyBorder="1" applyAlignment="1">
      <alignment horizontal="center" vertical="top" wrapText="1"/>
    </xf>
    <xf numFmtId="0" fontId="6" fillId="0" borderId="10" xfId="118" applyBorder="1" applyAlignment="1">
      <alignment horizontal="center" vertical="top" wrapText="1"/>
    </xf>
    <xf numFmtId="0" fontId="6" fillId="0" borderId="10" xfId="118" applyBorder="1" applyAlignment="1">
      <alignment horizontal="center" vertical="center"/>
    </xf>
    <xf numFmtId="2" fontId="7" fillId="29" borderId="0" xfId="0" applyNumberFormat="1" applyFont="1" applyFill="1"/>
    <xf numFmtId="0" fontId="26" fillId="29" borderId="0" xfId="0" applyFont="1" applyFill="1"/>
    <xf numFmtId="2" fontId="26" fillId="29" borderId="0" xfId="0" applyNumberFormat="1" applyFont="1" applyFill="1"/>
    <xf numFmtId="2" fontId="31" fillId="29" borderId="0" xfId="0" applyNumberFormat="1" applyFont="1" applyFill="1"/>
    <xf numFmtId="17" fontId="6" fillId="0" borderId="10" xfId="0" applyNumberFormat="1" applyFont="1" applyBorder="1" applyAlignment="1">
      <alignment horizontal="left" vertical="center" wrapText="1"/>
    </xf>
    <xf numFmtId="2" fontId="7" fillId="0" borderId="10" xfId="0" applyNumberFormat="1" applyFont="1" applyBorder="1" applyAlignment="1">
      <alignment horizontal="center" wrapText="1"/>
    </xf>
    <xf numFmtId="2" fontId="7" fillId="0" borderId="88" xfId="0" applyNumberFormat="1" applyFont="1" applyBorder="1" applyAlignment="1">
      <alignment vertical="center"/>
    </xf>
    <xf numFmtId="0" fontId="118" fillId="0" borderId="0" xfId="0" applyFont="1" applyAlignment="1">
      <alignment horizontal="center" vertical="center" wrapText="1"/>
    </xf>
    <xf numFmtId="0" fontId="121" fillId="0" borderId="0" xfId="0" applyFont="1" applyAlignment="1">
      <alignment horizontal="center" vertical="center" wrapText="1"/>
    </xf>
    <xf numFmtId="2" fontId="119" fillId="0" borderId="0" xfId="0" applyNumberFormat="1" applyFont="1" applyAlignment="1">
      <alignment horizontal="center" vertical="center" wrapText="1"/>
    </xf>
    <xf numFmtId="2" fontId="118" fillId="0" borderId="0" xfId="0" applyNumberFormat="1" applyFont="1" applyAlignment="1">
      <alignment horizontal="center" vertical="center" wrapText="1"/>
    </xf>
    <xf numFmtId="183" fontId="8" fillId="0" borderId="0" xfId="37" applyNumberFormat="1" applyFont="1" applyFill="1" applyBorder="1" applyAlignment="1">
      <alignment horizontal="center"/>
    </xf>
    <xf numFmtId="10" fontId="0" fillId="0" borderId="10" xfId="88" applyNumberFormat="1" applyFont="1" applyFill="1" applyBorder="1" applyAlignment="1">
      <alignment horizontal="center" vertical="center"/>
    </xf>
    <xf numFmtId="1" fontId="6" fillId="0" borderId="10" xfId="0" applyNumberFormat="1" applyFont="1" applyBorder="1" applyAlignment="1">
      <alignment horizontal="right" vertical="center"/>
    </xf>
    <xf numFmtId="170" fontId="0" fillId="0" borderId="0" xfId="0" applyNumberFormat="1"/>
    <xf numFmtId="0" fontId="7" fillId="0" borderId="0" xfId="0" applyFont="1" applyAlignment="1">
      <alignment horizontal="center" vertical="center" wrapText="1"/>
    </xf>
    <xf numFmtId="0" fontId="6" fillId="0" borderId="45" xfId="112" applyBorder="1"/>
    <xf numFmtId="2" fontId="6" fillId="35" borderId="45" xfId="112" applyNumberFormat="1" applyFill="1" applyBorder="1"/>
    <xf numFmtId="2" fontId="6" fillId="35" borderId="0" xfId="112" applyNumberFormat="1" applyFill="1"/>
    <xf numFmtId="2" fontId="6" fillId="35" borderId="42" xfId="112" applyNumberFormat="1" applyFill="1" applyBorder="1"/>
    <xf numFmtId="9" fontId="0" fillId="0" borderId="0" xfId="92" applyFont="1" applyFill="1"/>
    <xf numFmtId="2" fontId="0" fillId="0" borderId="155" xfId="0" applyNumberFormat="1" applyBorder="1"/>
    <xf numFmtId="2" fontId="6" fillId="0" borderId="155" xfId="0" applyNumberFormat="1" applyFont="1" applyBorder="1"/>
    <xf numFmtId="0" fontId="0" fillId="0" borderId="155" xfId="0" applyBorder="1"/>
    <xf numFmtId="2" fontId="28" fillId="0" borderId="0" xfId="0" applyNumberFormat="1" applyFont="1"/>
    <xf numFmtId="2" fontId="96" fillId="0" borderId="0" xfId="112" applyNumberFormat="1" applyFont="1"/>
    <xf numFmtId="0" fontId="96" fillId="0" borderId="0" xfId="112" applyFont="1"/>
    <xf numFmtId="2" fontId="96" fillId="29" borderId="0" xfId="112" applyNumberFormat="1" applyFont="1" applyFill="1" applyAlignment="1">
      <alignment horizontal="right" vertical="center"/>
    </xf>
    <xf numFmtId="2" fontId="132" fillId="0" borderId="0" xfId="0" applyNumberFormat="1" applyFont="1"/>
    <xf numFmtId="10" fontId="132" fillId="46" borderId="0" xfId="112" applyNumberFormat="1" applyFont="1" applyFill="1" applyAlignment="1">
      <alignment horizontal="center" vertical="center"/>
    </xf>
    <xf numFmtId="0" fontId="7" fillId="0" borderId="84" xfId="0" applyFont="1" applyBorder="1" applyAlignment="1">
      <alignment horizontal="center" vertical="center" wrapText="1"/>
    </xf>
    <xf numFmtId="0" fontId="0" fillId="0" borderId="38" xfId="0" applyBorder="1" applyAlignment="1">
      <alignment horizontal="center" vertical="center"/>
    </xf>
    <xf numFmtId="0" fontId="7" fillId="0" borderId="53" xfId="0" applyFont="1" applyBorder="1" applyAlignment="1">
      <alignment horizontal="center" vertical="center"/>
    </xf>
    <xf numFmtId="2" fontId="0" fillId="0" borderId="0" xfId="0" applyNumberFormat="1" applyAlignment="1">
      <alignment vertical="center"/>
    </xf>
    <xf numFmtId="2" fontId="6" fillId="39" borderId="0" xfId="0" applyNumberFormat="1" applyFont="1" applyFill="1"/>
    <xf numFmtId="2" fontId="7" fillId="39" borderId="15" xfId="0" applyNumberFormat="1" applyFont="1" applyFill="1" applyBorder="1"/>
    <xf numFmtId="2" fontId="0" fillId="39" borderId="0" xfId="0" applyNumberFormat="1" applyFill="1"/>
    <xf numFmtId="2" fontId="7" fillId="39" borderId="0" xfId="0" applyNumberFormat="1" applyFont="1" applyFill="1"/>
    <xf numFmtId="0" fontId="26" fillId="39" borderId="0" xfId="0" applyFont="1" applyFill="1"/>
    <xf numFmtId="2" fontId="26" fillId="39" borderId="0" xfId="0" applyNumberFormat="1" applyFont="1" applyFill="1"/>
    <xf numFmtId="2" fontId="31" fillId="39" borderId="15" xfId="0" applyNumberFormat="1" applyFont="1" applyFill="1" applyBorder="1"/>
    <xf numFmtId="2" fontId="31" fillId="39" borderId="0" xfId="0" applyNumberFormat="1" applyFont="1" applyFill="1"/>
    <xf numFmtId="1" fontId="0" fillId="29" borderId="10" xfId="0" applyNumberFormat="1" applyFill="1" applyBorder="1" applyAlignment="1">
      <alignment horizontal="center"/>
    </xf>
    <xf numFmtId="2" fontId="31" fillId="29" borderId="15" xfId="0" applyNumberFormat="1" applyFont="1" applyFill="1" applyBorder="1"/>
    <xf numFmtId="2" fontId="0" fillId="46" borderId="0" xfId="0" applyNumberFormat="1" applyFill="1"/>
    <xf numFmtId="0" fontId="0" fillId="46" borderId="0" xfId="0" applyFill="1"/>
    <xf numFmtId="168" fontId="0" fillId="46" borderId="0" xfId="0" applyNumberFormat="1" applyFill="1" applyAlignment="1">
      <alignment horizontal="center"/>
    </xf>
    <xf numFmtId="10" fontId="0" fillId="46" borderId="0" xfId="0" applyNumberFormat="1" applyFill="1"/>
    <xf numFmtId="0" fontId="7" fillId="46" borderId="0" xfId="0" applyFont="1" applyFill="1"/>
    <xf numFmtId="173" fontId="0" fillId="46" borderId="0" xfId="0" applyNumberFormat="1" applyFill="1"/>
    <xf numFmtId="10" fontId="0" fillId="46" borderId="0" xfId="88" applyNumberFormat="1" applyFont="1" applyFill="1"/>
    <xf numFmtId="2" fontId="0" fillId="46" borderId="0" xfId="0" applyNumberFormat="1" applyFill="1" applyAlignment="1">
      <alignment horizontal="center" vertical="center"/>
    </xf>
    <xf numFmtId="0" fontId="0" fillId="46" borderId="0" xfId="0" applyFill="1" applyAlignment="1">
      <alignment horizontal="center" vertical="center"/>
    </xf>
    <xf numFmtId="2" fontId="7" fillId="46" borderId="0" xfId="0" applyNumberFormat="1" applyFont="1" applyFill="1" applyAlignment="1">
      <alignment horizontal="center" vertical="center"/>
    </xf>
    <xf numFmtId="2" fontId="6" fillId="46" borderId="0" xfId="0" applyNumberFormat="1" applyFont="1" applyFill="1" applyAlignment="1">
      <alignment horizontal="center" vertical="center"/>
    </xf>
    <xf numFmtId="165" fontId="0" fillId="46" borderId="0" xfId="37" applyFont="1" applyFill="1" applyAlignment="1">
      <alignment horizontal="center" vertical="center"/>
    </xf>
    <xf numFmtId="165" fontId="7" fillId="46" borderId="0" xfId="37" applyFont="1" applyFill="1" applyAlignment="1">
      <alignment horizontal="center" vertical="center"/>
    </xf>
    <xf numFmtId="165" fontId="0" fillId="46" borderId="0" xfId="37" applyFont="1" applyFill="1"/>
    <xf numFmtId="165" fontId="0" fillId="46" borderId="0" xfId="37" applyFont="1" applyFill="1" applyAlignment="1">
      <alignment horizontal="center"/>
    </xf>
    <xf numFmtId="0" fontId="53" fillId="46" borderId="0" xfId="0" applyFont="1" applyFill="1" applyAlignment="1">
      <alignment horizontal="center"/>
    </xf>
    <xf numFmtId="165" fontId="7" fillId="46" borderId="0" xfId="37" applyFont="1" applyFill="1"/>
    <xf numFmtId="1" fontId="0" fillId="46" borderId="0" xfId="0" applyNumberFormat="1" applyFill="1" applyAlignment="1">
      <alignment horizontal="center" vertical="center"/>
    </xf>
    <xf numFmtId="10" fontId="132" fillId="46" borderId="0" xfId="0" applyNumberFormat="1" applyFont="1" applyFill="1" applyAlignment="1">
      <alignment horizontal="center"/>
    </xf>
    <xf numFmtId="165" fontId="6" fillId="46" borderId="0" xfId="37" applyFont="1" applyFill="1" applyAlignment="1">
      <alignment horizontal="center" vertical="center"/>
    </xf>
    <xf numFmtId="165" fontId="130" fillId="0" borderId="0" xfId="37" applyFont="1" applyFill="1" applyBorder="1"/>
    <xf numFmtId="17" fontId="24" fillId="0" borderId="90" xfId="85" applyNumberFormat="1" applyFont="1" applyFill="1" applyBorder="1" applyAlignment="1">
      <alignment horizontal="center" vertical="center" wrapText="1"/>
    </xf>
    <xf numFmtId="17" fontId="24" fillId="0" borderId="91" xfId="85" applyNumberFormat="1" applyFont="1" applyFill="1" applyBorder="1" applyAlignment="1">
      <alignment horizontal="center" vertical="center" wrapText="1"/>
    </xf>
    <xf numFmtId="165" fontId="20" fillId="0" borderId="0" xfId="37" applyFont="1" applyFill="1" applyAlignment="1">
      <alignment horizontal="center"/>
    </xf>
    <xf numFmtId="1" fontId="6" fillId="33" borderId="10" xfId="0" applyNumberFormat="1" applyFont="1" applyFill="1" applyBorder="1" applyAlignment="1">
      <alignment horizontal="center" vertical="center"/>
    </xf>
    <xf numFmtId="1" fontId="6" fillId="29" borderId="10" xfId="0" applyNumberFormat="1" applyFont="1" applyFill="1" applyBorder="1" applyAlignment="1">
      <alignment horizontal="center"/>
    </xf>
    <xf numFmtId="1" fontId="6" fillId="29" borderId="10" xfId="0" applyNumberFormat="1" applyFont="1" applyFill="1" applyBorder="1" applyAlignment="1">
      <alignment horizontal="center" vertical="center"/>
    </xf>
    <xf numFmtId="0" fontId="6" fillId="45" borderId="0" xfId="0" applyFont="1" applyFill="1"/>
    <xf numFmtId="206" fontId="0" fillId="0" borderId="0" xfId="0" applyNumberFormat="1"/>
    <xf numFmtId="207" fontId="0" fillId="0" borderId="0" xfId="0" applyNumberFormat="1"/>
    <xf numFmtId="0" fontId="7" fillId="47" borderId="10" xfId="0" applyFont="1" applyFill="1" applyBorder="1" applyAlignment="1">
      <alignment horizontal="center" vertical="center"/>
    </xf>
    <xf numFmtId="2" fontId="18" fillId="0" borderId="22" xfId="115" applyNumberFormat="1" applyFont="1" applyFill="1" applyBorder="1" applyAlignment="1">
      <alignment vertical="center"/>
    </xf>
    <xf numFmtId="1" fontId="17" fillId="0" borderId="91" xfId="115" applyNumberFormat="1" applyFont="1" applyFill="1" applyBorder="1" applyAlignment="1">
      <alignment vertical="center"/>
    </xf>
    <xf numFmtId="0" fontId="17" fillId="0" borderId="40" xfId="115" applyFont="1" applyFill="1" applyBorder="1" applyAlignment="1">
      <alignment vertical="center"/>
    </xf>
    <xf numFmtId="1" fontId="17" fillId="0" borderId="10" xfId="115" applyNumberFormat="1" applyFont="1" applyFill="1" applyBorder="1" applyAlignment="1">
      <alignment vertical="center"/>
    </xf>
    <xf numFmtId="1" fontId="18" fillId="0" borderId="75" xfId="115" applyNumberFormat="1" applyFont="1" applyFill="1" applyBorder="1" applyAlignment="1">
      <alignment vertical="center" wrapText="1"/>
    </xf>
    <xf numFmtId="1" fontId="18" fillId="0" borderId="0" xfId="37" applyNumberFormat="1" applyFont="1" applyFill="1" applyAlignment="1">
      <alignment vertical="center"/>
    </xf>
    <xf numFmtId="1" fontId="7" fillId="35" borderId="10" xfId="0" applyNumberFormat="1" applyFont="1" applyFill="1" applyBorder="1" applyAlignment="1">
      <alignment horizontal="center"/>
    </xf>
    <xf numFmtId="1" fontId="6" fillId="35" borderId="10" xfId="0" applyNumberFormat="1" applyFont="1" applyFill="1" applyBorder="1" applyAlignment="1">
      <alignment horizontal="center"/>
    </xf>
    <xf numFmtId="1" fontId="17" fillId="0" borderId="113" xfId="115" applyNumberFormat="1" applyFont="1" applyFill="1" applyBorder="1" applyAlignment="1">
      <alignment vertical="center"/>
    </xf>
    <xf numFmtId="1" fontId="17" fillId="0" borderId="0" xfId="115" applyNumberFormat="1" applyFont="1" applyFill="1" applyAlignment="1">
      <alignment vertical="center"/>
    </xf>
    <xf numFmtId="0" fontId="0" fillId="29" borderId="10" xfId="0" applyFill="1" applyBorder="1"/>
    <xf numFmtId="1" fontId="18" fillId="0" borderId="10" xfId="115" applyNumberFormat="1" applyFont="1" applyFill="1" applyBorder="1" applyAlignment="1">
      <alignment vertical="center"/>
    </xf>
    <xf numFmtId="165" fontId="18" fillId="0" borderId="0" xfId="37" applyFont="1" applyFill="1" applyBorder="1" applyAlignment="1">
      <alignment vertical="center"/>
    </xf>
    <xf numFmtId="167" fontId="17" fillId="0" borderId="130" xfId="115" applyNumberFormat="1" applyFont="1" applyFill="1" applyBorder="1" applyAlignment="1">
      <alignment vertical="center"/>
    </xf>
    <xf numFmtId="0" fontId="17" fillId="0" borderId="50" xfId="115" applyFont="1" applyFill="1" applyBorder="1" applyAlignment="1">
      <alignment vertical="center"/>
    </xf>
    <xf numFmtId="0" fontId="0" fillId="29" borderId="10" xfId="0" applyFill="1" applyBorder="1" applyAlignment="1">
      <alignment horizontal="left" vertical="center" wrapText="1"/>
    </xf>
    <xf numFmtId="0" fontId="0" fillId="29" borderId="10" xfId="0" applyFill="1" applyBorder="1" applyAlignment="1">
      <alignment horizontal="center"/>
    </xf>
    <xf numFmtId="167" fontId="129" fillId="0" borderId="10" xfId="80" applyNumberFormat="1" applyFont="1" applyFill="1" applyBorder="1" applyAlignment="1">
      <alignment vertical="center"/>
    </xf>
    <xf numFmtId="2" fontId="129" fillId="0" borderId="10" xfId="80" applyNumberFormat="1" applyFont="1" applyFill="1" applyBorder="1" applyAlignment="1">
      <alignment vertical="center"/>
    </xf>
    <xf numFmtId="167" fontId="129" fillId="0" borderId="10" xfId="80" applyNumberFormat="1" applyFont="1" applyFill="1" applyBorder="1" applyAlignment="1">
      <alignment horizontal="center" vertical="center"/>
    </xf>
    <xf numFmtId="2" fontId="81" fillId="0" borderId="10" xfId="0" applyNumberFormat="1" applyFont="1" applyBorder="1" applyAlignment="1">
      <alignment horizontal="right" vertical="center"/>
    </xf>
    <xf numFmtId="0" fontId="7" fillId="0" borderId="53" xfId="0" applyFont="1" applyBorder="1" applyAlignment="1">
      <alignment vertical="center"/>
    </xf>
    <xf numFmtId="2" fontId="0" fillId="0" borderId="75" xfId="0" applyNumberFormat="1" applyBorder="1" applyAlignment="1">
      <alignment horizontal="center" vertical="center"/>
    </xf>
    <xf numFmtId="183" fontId="0" fillId="0" borderId="0" xfId="37" applyNumberFormat="1" applyFont="1"/>
    <xf numFmtId="0" fontId="7" fillId="0" borderId="45" xfId="0" applyFont="1" applyBorder="1" applyAlignment="1">
      <alignment horizontal="center" vertical="center"/>
    </xf>
    <xf numFmtId="0" fontId="7" fillId="0" borderId="42" xfId="0" applyFont="1" applyBorder="1" applyAlignment="1">
      <alignment horizontal="center"/>
    </xf>
    <xf numFmtId="2" fontId="7" fillId="0" borderId="57" xfId="0" applyNumberFormat="1" applyFont="1" applyBorder="1"/>
    <xf numFmtId="0" fontId="0" fillId="0" borderId="5" xfId="0" applyBorder="1"/>
    <xf numFmtId="0" fontId="0" fillId="0" borderId="98" xfId="0" applyBorder="1"/>
    <xf numFmtId="0" fontId="7" fillId="0" borderId="57" xfId="0" applyFont="1" applyBorder="1"/>
    <xf numFmtId="0" fontId="0" fillId="0" borderId="45" xfId="0" applyBorder="1" applyAlignment="1">
      <alignment horizontal="center" vertical="center"/>
    </xf>
    <xf numFmtId="0" fontId="0" fillId="0" borderId="42" xfId="0"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58" xfId="0" applyFont="1" applyBorder="1"/>
    <xf numFmtId="0" fontId="7" fillId="0" borderId="116" xfId="0" applyFont="1" applyBorder="1" applyAlignment="1">
      <alignment horizontal="center" vertical="center"/>
    </xf>
    <xf numFmtId="0" fontId="7" fillId="0" borderId="73" xfId="0" applyFont="1" applyBorder="1" applyAlignment="1">
      <alignment horizontal="center" vertical="center"/>
    </xf>
    <xf numFmtId="0" fontId="0" fillId="0" borderId="59" xfId="0" applyBorder="1" applyAlignment="1">
      <alignment horizontal="center"/>
    </xf>
    <xf numFmtId="0" fontId="0" fillId="0" borderId="59" xfId="0" applyBorder="1" applyAlignment="1">
      <alignment horizontal="center" vertical="center"/>
    </xf>
    <xf numFmtId="1" fontId="0" fillId="0" borderId="45" xfId="0" applyNumberFormat="1" applyBorder="1" applyAlignment="1">
      <alignment horizontal="center" vertical="center"/>
    </xf>
    <xf numFmtId="1" fontId="0" fillId="0" borderId="59" xfId="0" applyNumberFormat="1" applyBorder="1" applyAlignment="1">
      <alignment horizontal="center" vertical="center"/>
    </xf>
    <xf numFmtId="2" fontId="6" fillId="29" borderId="45" xfId="0" applyNumberFormat="1" applyFont="1" applyFill="1" applyBorder="1"/>
    <xf numFmtId="0" fontId="7" fillId="0" borderId="58" xfId="0" applyFont="1" applyBorder="1" applyAlignment="1">
      <alignment horizontal="center"/>
    </xf>
    <xf numFmtId="1" fontId="6" fillId="29" borderId="0" xfId="0" applyNumberFormat="1" applyFont="1" applyFill="1"/>
    <xf numFmtId="168" fontId="6" fillId="29" borderId="0" xfId="0" applyNumberFormat="1" applyFont="1" applyFill="1"/>
    <xf numFmtId="2" fontId="6" fillId="33" borderId="0" xfId="0" applyNumberFormat="1" applyFont="1" applyFill="1"/>
    <xf numFmtId="167" fontId="42" fillId="0" borderId="0" xfId="0" applyNumberFormat="1" applyFont="1"/>
    <xf numFmtId="0" fontId="7" fillId="46" borderId="10" xfId="0" applyFont="1" applyFill="1" applyBorder="1"/>
    <xf numFmtId="0" fontId="6" fillId="46" borderId="10" xfId="0" applyFont="1" applyFill="1" applyBorder="1"/>
    <xf numFmtId="9" fontId="7" fillId="46" borderId="10" xfId="88" applyFont="1" applyFill="1" applyBorder="1"/>
    <xf numFmtId="0" fontId="7" fillId="45" borderId="10" xfId="0" applyFont="1" applyFill="1" applyBorder="1"/>
    <xf numFmtId="0" fontId="6" fillId="45" borderId="10" xfId="0" applyFont="1" applyFill="1" applyBorder="1"/>
    <xf numFmtId="10" fontId="0" fillId="45" borderId="10" xfId="88" applyNumberFormat="1" applyFont="1" applyFill="1" applyBorder="1"/>
    <xf numFmtId="0" fontId="6" fillId="0" borderId="0" xfId="0" applyFont="1" applyAlignment="1">
      <alignment horizontal="left" vertical="center" wrapText="1"/>
    </xf>
    <xf numFmtId="10" fontId="7" fillId="46" borderId="10" xfId="88" applyNumberFormat="1" applyFont="1" applyFill="1" applyBorder="1"/>
    <xf numFmtId="165" fontId="31" fillId="0" borderId="0" xfId="37" applyFont="1"/>
    <xf numFmtId="17" fontId="7" fillId="0" borderId="10" xfId="85" applyNumberFormat="1" applyFont="1" applyFill="1" applyBorder="1" applyAlignment="1">
      <alignment horizontal="center" vertical="center"/>
    </xf>
    <xf numFmtId="173" fontId="6" fillId="0" borderId="10" xfId="0" applyNumberFormat="1" applyFont="1" applyBorder="1"/>
    <xf numFmtId="0" fontId="6" fillId="0" borderId="10" xfId="0" applyFont="1" applyBorder="1" applyAlignment="1">
      <alignment vertical="center"/>
    </xf>
    <xf numFmtId="167" fontId="6" fillId="0" borderId="10" xfId="85" applyNumberFormat="1" applyFont="1" applyFill="1" applyBorder="1" applyAlignment="1">
      <alignment horizontal="center" vertical="center"/>
    </xf>
    <xf numFmtId="167" fontId="7" fillId="0" borderId="10" xfId="85" applyNumberFormat="1" applyFont="1" applyFill="1" applyBorder="1" applyAlignment="1">
      <alignment horizontal="center" vertical="center"/>
    </xf>
    <xf numFmtId="2" fontId="96" fillId="0" borderId="10" xfId="85" applyNumberFormat="1" applyFont="1" applyFill="1" applyBorder="1" applyAlignment="1">
      <alignment horizontal="right" vertical="center"/>
    </xf>
    <xf numFmtId="2" fontId="6" fillId="0" borderId="10" xfId="85" applyNumberFormat="1" applyFont="1" applyFill="1" applyBorder="1" applyAlignment="1">
      <alignment horizontal="right" vertical="center"/>
    </xf>
    <xf numFmtId="2" fontId="96" fillId="0" borderId="10" xfId="0" applyNumberFormat="1" applyFont="1" applyBorder="1" applyAlignment="1">
      <alignment horizontal="right" vertical="center"/>
    </xf>
    <xf numFmtId="2" fontId="132" fillId="0" borderId="10" xfId="0" applyNumberFormat="1" applyFont="1" applyBorder="1" applyAlignment="1">
      <alignment horizontal="right" vertical="center"/>
    </xf>
    <xf numFmtId="1" fontId="96" fillId="0" borderId="10" xfId="85" applyNumberFormat="1" applyFont="1" applyFill="1" applyBorder="1" applyAlignment="1">
      <alignment horizontal="center"/>
    </xf>
    <xf numFmtId="0" fontId="143" fillId="0" borderId="10" xfId="0" applyFont="1" applyBorder="1" applyAlignment="1">
      <alignment vertical="center"/>
    </xf>
    <xf numFmtId="0" fontId="76" fillId="8" borderId="10" xfId="11" applyFont="1" applyBorder="1" applyAlignment="1">
      <alignment horizontal="center" vertical="center"/>
    </xf>
    <xf numFmtId="0" fontId="25" fillId="0" borderId="10" xfId="0" applyFont="1" applyBorder="1"/>
    <xf numFmtId="4" fontId="7" fillId="0" borderId="10" xfId="112" applyNumberFormat="1" applyFont="1" applyBorder="1" applyAlignment="1">
      <alignment horizontal="center"/>
    </xf>
    <xf numFmtId="4" fontId="7" fillId="0" borderId="38" xfId="112" applyNumberFormat="1" applyFont="1" applyBorder="1" applyAlignment="1">
      <alignment horizontal="center"/>
    </xf>
    <xf numFmtId="2" fontId="0" fillId="0" borderId="22" xfId="0" applyNumberFormat="1" applyBorder="1" applyAlignment="1">
      <alignment horizontal="center"/>
    </xf>
    <xf numFmtId="0" fontId="144" fillId="0" borderId="0" xfId="0" applyFont="1" applyAlignment="1">
      <alignment horizontal="center" vertical="center"/>
    </xf>
    <xf numFmtId="0" fontId="144" fillId="0" borderId="10" xfId="0" applyFont="1" applyBorder="1" applyAlignment="1">
      <alignment horizontal="center" vertical="center"/>
    </xf>
    <xf numFmtId="0" fontId="7" fillId="46" borderId="10" xfId="0" applyFont="1" applyFill="1" applyBorder="1" applyAlignment="1">
      <alignment horizontal="center"/>
    </xf>
    <xf numFmtId="0" fontId="7" fillId="46" borderId="10" xfId="0" applyFont="1" applyFill="1" applyBorder="1" applyAlignment="1">
      <alignment horizontal="left" vertical="center"/>
    </xf>
    <xf numFmtId="0" fontId="7" fillId="46" borderId="10" xfId="0" applyFont="1" applyFill="1" applyBorder="1" applyAlignment="1">
      <alignment horizontal="center" vertical="center"/>
    </xf>
    <xf numFmtId="1" fontId="6" fillId="0" borderId="10" xfId="112" applyNumberFormat="1" applyBorder="1" applyAlignment="1">
      <alignment horizontal="center" vertical="center"/>
    </xf>
    <xf numFmtId="1" fontId="7" fillId="0" borderId="10" xfId="0" applyNumberFormat="1" applyFont="1" applyBorder="1" applyAlignment="1">
      <alignment horizontal="right" vertical="center"/>
    </xf>
    <xf numFmtId="2" fontId="6" fillId="0" borderId="10" xfId="0" applyNumberFormat="1" applyFont="1" applyBorder="1" applyAlignment="1">
      <alignment vertical="center"/>
    </xf>
    <xf numFmtId="173" fontId="6" fillId="0" borderId="10" xfId="0" applyNumberFormat="1" applyFont="1" applyBorder="1" applyAlignment="1">
      <alignment vertical="center"/>
    </xf>
    <xf numFmtId="0" fontId="59" fillId="0" borderId="0" xfId="0" applyFont="1" applyAlignment="1">
      <alignment horizontal="center" vertical="center"/>
    </xf>
    <xf numFmtId="10" fontId="7" fillId="46" borderId="0" xfId="0" applyNumberFormat="1" applyFont="1" applyFill="1" applyAlignment="1">
      <alignment horizontal="center"/>
    </xf>
    <xf numFmtId="10" fontId="7" fillId="46" borderId="0" xfId="0" applyNumberFormat="1" applyFont="1" applyFill="1" applyAlignment="1">
      <alignment horizontal="center" vertical="center"/>
    </xf>
    <xf numFmtId="167" fontId="0" fillId="46" borderId="0" xfId="0" applyNumberFormat="1" applyFill="1" applyAlignment="1">
      <alignment horizontal="center"/>
    </xf>
    <xf numFmtId="2" fontId="0" fillId="29" borderId="0" xfId="0" applyNumberFormat="1" applyFill="1" applyAlignment="1">
      <alignment horizontal="center"/>
    </xf>
    <xf numFmtId="2" fontId="6" fillId="0" borderId="50" xfId="0" applyNumberFormat="1" applyFont="1" applyBorder="1" applyAlignment="1">
      <alignment horizontal="right"/>
    </xf>
    <xf numFmtId="2" fontId="0" fillId="0" borderId="38" xfId="0" applyNumberFormat="1" applyBorder="1" applyAlignment="1">
      <alignment horizontal="center" vertical="center"/>
    </xf>
    <xf numFmtId="2" fontId="0" fillId="0" borderId="94" xfId="0" applyNumberFormat="1" applyBorder="1" applyAlignment="1">
      <alignment horizontal="center" vertical="center"/>
    </xf>
    <xf numFmtId="2" fontId="0" fillId="0" borderId="50" xfId="0" applyNumberFormat="1" applyBorder="1" applyAlignment="1">
      <alignment horizontal="center" vertical="center"/>
    </xf>
    <xf numFmtId="2" fontId="0" fillId="0" borderId="113" xfId="0" applyNumberFormat="1" applyBorder="1" applyAlignment="1">
      <alignment horizontal="center" vertical="center"/>
    </xf>
    <xf numFmtId="2" fontId="7" fillId="0" borderId="53" xfId="0" applyNumberFormat="1" applyFont="1" applyBorder="1" applyAlignment="1">
      <alignment horizontal="center" vertical="center"/>
    </xf>
    <xf numFmtId="2" fontId="7" fillId="0" borderId="156" xfId="0" applyNumberFormat="1" applyFont="1" applyBorder="1" applyAlignment="1">
      <alignment horizontal="center" vertical="center"/>
    </xf>
    <xf numFmtId="1" fontId="0" fillId="0" borderId="10" xfId="0" applyNumberFormat="1" applyBorder="1" applyAlignment="1">
      <alignment horizontal="center" vertical="center"/>
    </xf>
    <xf numFmtId="2" fontId="24" fillId="0" borderId="10" xfId="0" applyNumberFormat="1" applyFont="1" applyBorder="1" applyAlignment="1">
      <alignment horizontal="center" vertical="center" wrapText="1"/>
    </xf>
    <xf numFmtId="169" fontId="24" fillId="0" borderId="10" xfId="0" applyNumberFormat="1" applyFont="1" applyBorder="1" applyAlignment="1">
      <alignment horizontal="center" vertical="center" wrapText="1"/>
    </xf>
    <xf numFmtId="165" fontId="0" fillId="0" borderId="0" xfId="37" applyFont="1" applyBorder="1" applyAlignment="1">
      <alignment horizontal="right"/>
    </xf>
    <xf numFmtId="0" fontId="6" fillId="0" borderId="17" xfId="85" applyFont="1" applyFill="1" applyBorder="1"/>
    <xf numFmtId="1" fontId="0" fillId="0" borderId="10" xfId="0" applyNumberFormat="1" applyBorder="1" applyAlignment="1">
      <alignment vertical="center"/>
    </xf>
    <xf numFmtId="0" fontId="7" fillId="0" borderId="10" xfId="112" applyFont="1" applyBorder="1" applyAlignment="1">
      <alignment horizontal="center" vertical="center" wrapText="1"/>
    </xf>
    <xf numFmtId="0" fontId="7" fillId="0" borderId="10" xfId="112" applyFont="1" applyBorder="1" applyAlignment="1">
      <alignment horizontal="center" vertical="center"/>
    </xf>
    <xf numFmtId="0" fontId="6" fillId="0" borderId="10" xfId="112" applyBorder="1" applyAlignment="1">
      <alignment horizontal="center" vertical="center"/>
    </xf>
    <xf numFmtId="17" fontId="7" fillId="0" borderId="10" xfId="112" applyNumberFormat="1" applyFont="1" applyBorder="1" applyAlignment="1">
      <alignment horizontal="right" vertical="center"/>
    </xf>
    <xf numFmtId="0" fontId="7" fillId="0" borderId="10" xfId="112" applyFont="1" applyBorder="1" applyAlignment="1">
      <alignment horizontal="right" vertical="center"/>
    </xf>
    <xf numFmtId="167" fontId="6" fillId="0" borderId="10" xfId="112" applyNumberFormat="1" applyBorder="1" applyAlignment="1">
      <alignment horizontal="right" vertical="center"/>
    </xf>
    <xf numFmtId="0" fontId="6" fillId="0" borderId="10" xfId="112" applyBorder="1" applyAlignment="1">
      <alignment horizontal="right" vertical="center"/>
    </xf>
    <xf numFmtId="167" fontId="7" fillId="0" borderId="10" xfId="112" applyNumberFormat="1" applyFont="1" applyBorder="1" applyAlignment="1">
      <alignment horizontal="right" vertical="center"/>
    </xf>
    <xf numFmtId="9" fontId="61" fillId="0" borderId="10" xfId="97" applyFont="1" applyFill="1" applyBorder="1" applyAlignment="1">
      <alignment horizontal="right" vertical="center"/>
    </xf>
    <xf numFmtId="9" fontId="76" fillId="0" borderId="10" xfId="97" applyFont="1" applyFill="1" applyBorder="1" applyAlignment="1">
      <alignment horizontal="right" vertical="center"/>
    </xf>
    <xf numFmtId="170" fontId="61" fillId="0" borderId="10" xfId="97" applyNumberFormat="1" applyFont="1" applyFill="1" applyBorder="1" applyAlignment="1">
      <alignment horizontal="right" vertical="center"/>
    </xf>
    <xf numFmtId="0" fontId="7" fillId="0" borderId="10" xfId="112" quotePrefix="1" applyFont="1" applyBorder="1" applyAlignment="1">
      <alignment horizontal="center" vertical="center"/>
    </xf>
    <xf numFmtId="2" fontId="6" fillId="0" borderId="10" xfId="116" applyNumberFormat="1" applyBorder="1" applyAlignment="1">
      <alignment vertical="center"/>
    </xf>
    <xf numFmtId="0" fontId="7" fillId="0" borderId="10" xfId="0" applyFont="1" applyBorder="1" applyAlignment="1">
      <alignment vertical="center"/>
    </xf>
    <xf numFmtId="0" fontId="6" fillId="0" borderId="10" xfId="0" applyFont="1" applyBorder="1" applyAlignment="1">
      <alignment horizontal="right" vertical="center"/>
    </xf>
    <xf numFmtId="0" fontId="0" fillId="0" borderId="0" xfId="0" applyAlignment="1">
      <alignment vertical="center"/>
    </xf>
    <xf numFmtId="0" fontId="7" fillId="0" borderId="10" xfId="0" applyFont="1" applyBorder="1" applyAlignment="1">
      <alignment horizontal="left" vertical="center" wrapText="1"/>
    </xf>
    <xf numFmtId="0" fontId="6" fillId="0" borderId="10" xfId="0" applyFont="1" applyBorder="1" applyAlignment="1">
      <alignment vertical="center" wrapText="1"/>
    </xf>
    <xf numFmtId="0" fontId="7" fillId="0" borderId="10" xfId="0" applyFont="1" applyBorder="1" applyAlignment="1">
      <alignment horizontal="right" vertical="center"/>
    </xf>
    <xf numFmtId="0" fontId="6" fillId="0" borderId="88" xfId="0" applyFont="1" applyBorder="1" applyAlignment="1">
      <alignment vertical="center"/>
    </xf>
    <xf numFmtId="0" fontId="22" fillId="0" borderId="10" xfId="0" applyFont="1" applyBorder="1" applyAlignment="1">
      <alignment horizontal="right" vertical="center"/>
    </xf>
    <xf numFmtId="0" fontId="0" fillId="0" borderId="10" xfId="0" applyBorder="1" applyAlignment="1">
      <alignment horizontal="right" vertical="center"/>
    </xf>
    <xf numFmtId="167" fontId="20" fillId="0" borderId="10" xfId="85" applyNumberFormat="1" applyFill="1" applyBorder="1" applyAlignment="1">
      <alignment horizontal="right" vertical="center"/>
    </xf>
    <xf numFmtId="2" fontId="20" fillId="0" borderId="10" xfId="85" applyNumberFormat="1" applyFill="1" applyBorder="1" applyAlignment="1">
      <alignment horizontal="right" vertical="center"/>
    </xf>
    <xf numFmtId="2" fontId="20" fillId="0" borderId="41" xfId="85" applyNumberFormat="1" applyFill="1" applyBorder="1" applyAlignment="1">
      <alignment horizontal="right" vertical="center"/>
    </xf>
    <xf numFmtId="167" fontId="8" fillId="0" borderId="10" xfId="85" applyNumberFormat="1" applyFont="1" applyFill="1" applyBorder="1" applyAlignment="1">
      <alignment horizontal="center" vertical="center"/>
    </xf>
    <xf numFmtId="1" fontId="8" fillId="0" borderId="10" xfId="85" applyNumberFormat="1" applyFont="1" applyFill="1" applyBorder="1" applyAlignment="1">
      <alignment horizontal="right" vertical="center"/>
    </xf>
    <xf numFmtId="1" fontId="8" fillId="0" borderId="41" xfId="85" applyNumberFormat="1" applyFont="1" applyFill="1" applyBorder="1" applyAlignment="1">
      <alignment horizontal="right" vertical="center"/>
    </xf>
    <xf numFmtId="167" fontId="8" fillId="0" borderId="41" xfId="85" applyNumberFormat="1" applyFont="1" applyFill="1" applyBorder="1" applyAlignment="1">
      <alignment horizontal="center" vertical="center"/>
    </xf>
    <xf numFmtId="0" fontId="16" fillId="0" borderId="91" xfId="85" applyFont="1" applyFill="1" applyBorder="1" applyAlignment="1">
      <alignment horizontal="center" vertical="center"/>
    </xf>
    <xf numFmtId="167" fontId="8" fillId="0" borderId="91" xfId="85" applyNumberFormat="1" applyFont="1" applyFill="1" applyBorder="1" applyAlignment="1">
      <alignment horizontal="center" vertical="center"/>
    </xf>
    <xf numFmtId="2" fontId="8" fillId="0" borderId="91" xfId="85" applyNumberFormat="1" applyFont="1" applyFill="1" applyBorder="1" applyAlignment="1">
      <alignment horizontal="center" vertical="center"/>
    </xf>
    <xf numFmtId="167" fontId="8" fillId="0" borderId="92" xfId="85" applyNumberFormat="1" applyFont="1" applyFill="1" applyBorder="1" applyAlignment="1">
      <alignment horizontal="center" vertical="center"/>
    </xf>
    <xf numFmtId="0" fontId="16" fillId="0" borderId="38" xfId="85" applyFont="1" applyFill="1" applyBorder="1" applyAlignment="1">
      <alignment horizontal="center" vertical="center"/>
    </xf>
    <xf numFmtId="0" fontId="20" fillId="0" borderId="10" xfId="85" applyFill="1" applyBorder="1" applyAlignment="1">
      <alignment horizontal="left" vertical="center"/>
    </xf>
    <xf numFmtId="0" fontId="20" fillId="0" borderId="10" xfId="85" applyFill="1" applyBorder="1" applyAlignment="1">
      <alignment vertical="center"/>
    </xf>
    <xf numFmtId="0" fontId="16" fillId="0" borderId="10" xfId="85" applyFont="1" applyFill="1" applyBorder="1" applyAlignment="1">
      <alignment horizontal="center" vertical="center"/>
    </xf>
    <xf numFmtId="0" fontId="8" fillId="0" borderId="10" xfId="85" applyFont="1" applyFill="1" applyBorder="1" applyAlignment="1">
      <alignment vertical="center"/>
    </xf>
    <xf numFmtId="0" fontId="8" fillId="0" borderId="10" xfId="85" applyFont="1" applyFill="1" applyBorder="1" applyAlignment="1">
      <alignment horizontal="center" vertical="center"/>
    </xf>
    <xf numFmtId="10" fontId="20" fillId="0" borderId="10" xfId="88" applyNumberFormat="1" applyFont="1" applyFill="1" applyBorder="1" applyAlignment="1">
      <alignment horizontal="right" vertical="center"/>
    </xf>
    <xf numFmtId="167" fontId="8" fillId="0" borderId="10" xfId="85" applyNumberFormat="1" applyFont="1" applyFill="1" applyBorder="1" applyAlignment="1">
      <alignment horizontal="right" vertical="center"/>
    </xf>
    <xf numFmtId="10" fontId="8" fillId="0" borderId="10" xfId="88" applyNumberFormat="1" applyFont="1" applyFill="1" applyBorder="1" applyAlignment="1">
      <alignment horizontal="right" vertical="center"/>
    </xf>
    <xf numFmtId="0" fontId="20" fillId="0" borderId="10" xfId="85" applyFill="1" applyBorder="1" applyAlignment="1">
      <alignment vertical="center" wrapText="1"/>
    </xf>
    <xf numFmtId="0" fontId="16" fillId="0" borderId="10" xfId="85" applyFont="1" applyFill="1" applyBorder="1" applyAlignment="1">
      <alignment vertical="center"/>
    </xf>
    <xf numFmtId="2" fontId="8" fillId="0" borderId="10" xfId="85" applyNumberFormat="1" applyFont="1" applyFill="1" applyBorder="1" applyAlignment="1">
      <alignment horizontal="center" vertical="center"/>
    </xf>
    <xf numFmtId="167" fontId="20" fillId="0" borderId="10" xfId="85" applyNumberFormat="1" applyFill="1" applyBorder="1" applyAlignment="1">
      <alignment vertical="center"/>
    </xf>
    <xf numFmtId="0" fontId="0" fillId="0" borderId="40" xfId="0" applyBorder="1" applyAlignment="1">
      <alignment vertical="center"/>
    </xf>
    <xf numFmtId="2" fontId="0" fillId="0" borderId="41" xfId="0" applyNumberFormat="1" applyBorder="1" applyAlignment="1">
      <alignment vertical="center"/>
    </xf>
    <xf numFmtId="2" fontId="0" fillId="0" borderId="40" xfId="0" applyNumberFormat="1" applyBorder="1" applyAlignment="1">
      <alignment vertical="center"/>
    </xf>
    <xf numFmtId="10" fontId="0" fillId="0" borderId="40" xfId="88" applyNumberFormat="1" applyFont="1" applyFill="1" applyBorder="1" applyAlignment="1">
      <alignment vertical="center"/>
    </xf>
    <xf numFmtId="10" fontId="26" fillId="0" borderId="10" xfId="88" applyNumberFormat="1" applyFont="1" applyFill="1" applyBorder="1" applyAlignment="1">
      <alignment vertical="center"/>
    </xf>
    <xf numFmtId="10" fontId="0" fillId="0" borderId="10" xfId="88" applyNumberFormat="1" applyFont="1" applyFill="1" applyBorder="1" applyAlignment="1">
      <alignment vertical="center"/>
    </xf>
    <xf numFmtId="10" fontId="0" fillId="0" borderId="41" xfId="88" applyNumberFormat="1" applyFont="1" applyFill="1" applyBorder="1" applyAlignment="1">
      <alignment vertical="center"/>
    </xf>
    <xf numFmtId="0" fontId="0" fillId="0" borderId="41" xfId="0" applyBorder="1" applyAlignment="1">
      <alignment vertical="center"/>
    </xf>
    <xf numFmtId="0" fontId="16" fillId="0" borderId="40" xfId="0" applyFont="1" applyBorder="1" applyAlignment="1">
      <alignment vertical="center"/>
    </xf>
    <xf numFmtId="0" fontId="16" fillId="0" borderId="10" xfId="0" applyFont="1" applyBorder="1" applyAlignment="1">
      <alignment vertical="center"/>
    </xf>
    <xf numFmtId="0" fontId="16" fillId="0" borderId="41" xfId="0" applyFont="1" applyBorder="1" applyAlignment="1">
      <alignment vertical="center"/>
    </xf>
    <xf numFmtId="1" fontId="6" fillId="0" borderId="40" xfId="0" applyNumberFormat="1" applyFont="1" applyBorder="1" applyAlignment="1">
      <alignment vertical="center"/>
    </xf>
    <xf numFmtId="1" fontId="6" fillId="0" borderId="10" xfId="0" applyNumberFormat="1" applyFont="1" applyBorder="1" applyAlignment="1">
      <alignment vertical="center"/>
    </xf>
    <xf numFmtId="1" fontId="6" fillId="0" borderId="41" xfId="0" applyNumberFormat="1" applyFont="1" applyBorder="1" applyAlignment="1">
      <alignment vertical="center"/>
    </xf>
    <xf numFmtId="1" fontId="0" fillId="0" borderId="40" xfId="0" applyNumberFormat="1" applyBorder="1" applyAlignment="1">
      <alignment vertical="center"/>
    </xf>
    <xf numFmtId="1" fontId="0" fillId="0" borderId="41" xfId="0" applyNumberFormat="1" applyBorder="1" applyAlignment="1">
      <alignment vertical="center"/>
    </xf>
    <xf numFmtId="1" fontId="0" fillId="0" borderId="90" xfId="0" applyNumberFormat="1" applyBorder="1" applyAlignment="1">
      <alignment vertical="center"/>
    </xf>
    <xf numFmtId="1" fontId="0" fillId="0" borderId="91" xfId="0" applyNumberFormat="1" applyBorder="1" applyAlignment="1">
      <alignment vertical="center"/>
    </xf>
    <xf numFmtId="1" fontId="0" fillId="0" borderId="92" xfId="0" applyNumberFormat="1" applyBorder="1" applyAlignment="1">
      <alignment vertical="center"/>
    </xf>
    <xf numFmtId="0" fontId="7" fillId="0" borderId="91" xfId="0" applyFont="1" applyBorder="1" applyAlignment="1">
      <alignment vertical="center"/>
    </xf>
    <xf numFmtId="0" fontId="7" fillId="0" borderId="38" xfId="0" applyFont="1" applyBorder="1" applyAlignment="1">
      <alignment vertical="center"/>
    </xf>
    <xf numFmtId="0" fontId="0" fillId="0" borderId="91" xfId="0" applyBorder="1" applyAlignment="1">
      <alignment vertical="center"/>
    </xf>
    <xf numFmtId="0" fontId="0" fillId="0" borderId="41" xfId="0" applyBorder="1" applyAlignment="1">
      <alignment horizontal="center" vertical="center"/>
    </xf>
    <xf numFmtId="0" fontId="16" fillId="0" borderId="41" xfId="0" applyFont="1" applyBorder="1" applyAlignment="1">
      <alignment horizontal="center" vertical="center"/>
    </xf>
    <xf numFmtId="0" fontId="6" fillId="0" borderId="41" xfId="0" applyFont="1" applyBorder="1" applyAlignment="1">
      <alignment horizontal="center" vertical="center"/>
    </xf>
    <xf numFmtId="0" fontId="6" fillId="0" borderId="92" xfId="0" applyFont="1" applyBorder="1" applyAlignment="1">
      <alignment horizontal="center" vertical="center"/>
    </xf>
    <xf numFmtId="0" fontId="7" fillId="0" borderId="90" xfId="0" applyFont="1" applyBorder="1" applyAlignment="1">
      <alignment horizontal="center" vertical="center"/>
    </xf>
    <xf numFmtId="0" fontId="0" fillId="0" borderId="128" xfId="0" applyBorder="1" applyAlignment="1">
      <alignment horizontal="center" vertical="center"/>
    </xf>
    <xf numFmtId="0" fontId="0" fillId="0" borderId="40" xfId="0" applyBorder="1" applyAlignment="1">
      <alignment horizontal="center" vertical="center"/>
    </xf>
    <xf numFmtId="0" fontId="0" fillId="0" borderId="90" xfId="0" applyBorder="1" applyAlignment="1">
      <alignment horizontal="center" vertical="center"/>
    </xf>
    <xf numFmtId="0" fontId="0" fillId="0" borderId="10" xfId="0" applyBorder="1" applyAlignment="1">
      <alignment horizontal="left" vertical="center" wrapText="1"/>
    </xf>
    <xf numFmtId="0" fontId="16" fillId="0" borderId="10" xfId="0" applyFont="1" applyBorder="1" applyAlignment="1">
      <alignment horizontal="center" vertical="center"/>
    </xf>
    <xf numFmtId="0" fontId="0" fillId="0" borderId="38" xfId="0" applyBorder="1" applyAlignment="1">
      <alignment vertical="center"/>
    </xf>
    <xf numFmtId="0" fontId="6" fillId="0" borderId="50" xfId="0" applyFont="1" applyBorder="1" applyAlignment="1">
      <alignment vertical="center" wrapText="1"/>
    </xf>
    <xf numFmtId="0" fontId="0" fillId="0" borderId="22" xfId="0" applyBorder="1" applyAlignment="1">
      <alignment vertical="center"/>
    </xf>
    <xf numFmtId="0" fontId="0" fillId="0" borderId="74" xfId="0" applyBorder="1" applyAlignment="1">
      <alignment vertical="center"/>
    </xf>
    <xf numFmtId="0" fontId="7" fillId="0" borderId="22" xfId="0" applyFont="1" applyBorder="1" applyAlignment="1">
      <alignment vertical="center"/>
    </xf>
    <xf numFmtId="0" fontId="7" fillId="0" borderId="10" xfId="84" applyFont="1" applyBorder="1" applyAlignment="1" applyProtection="1">
      <alignment horizontal="right" vertical="center" wrapText="1"/>
      <protection locked="0"/>
    </xf>
    <xf numFmtId="0" fontId="86" fillId="0" borderId="10" xfId="78" applyFont="1" applyBorder="1" applyAlignment="1">
      <alignment horizontal="center" vertical="center" wrapText="1"/>
    </xf>
    <xf numFmtId="0" fontId="86" fillId="0" borderId="10" xfId="78" applyFont="1" applyBorder="1" applyAlignment="1">
      <alignment vertical="center"/>
    </xf>
    <xf numFmtId="0" fontId="35" fillId="0" borderId="10" xfId="78" applyFont="1" applyBorder="1" applyAlignment="1">
      <alignment vertical="center"/>
    </xf>
    <xf numFmtId="0" fontId="52" fillId="0" borderId="10" xfId="78" applyFont="1" applyBorder="1" applyAlignment="1">
      <alignment vertical="center"/>
    </xf>
    <xf numFmtId="0" fontId="35" fillId="0" borderId="10" xfId="78" applyFont="1" applyBorder="1" applyAlignment="1">
      <alignment vertical="center" wrapText="1"/>
    </xf>
    <xf numFmtId="2" fontId="35" fillId="0" borderId="10" xfId="78" applyNumberFormat="1" applyFont="1" applyBorder="1" applyAlignment="1">
      <alignment vertical="center"/>
    </xf>
    <xf numFmtId="0" fontId="52" fillId="0" borderId="10" xfId="78" applyFont="1" applyBorder="1" applyAlignment="1">
      <alignment vertical="center" wrapText="1"/>
    </xf>
    <xf numFmtId="0" fontId="52" fillId="0" borderId="10" xfId="78" applyFont="1" applyBorder="1" applyAlignment="1">
      <alignment horizontal="center" vertical="center"/>
    </xf>
    <xf numFmtId="0" fontId="52" fillId="0" borderId="10" xfId="78" applyFont="1" applyBorder="1" applyAlignment="1">
      <alignment horizontal="center" vertical="center" wrapText="1"/>
    </xf>
    <xf numFmtId="0" fontId="6" fillId="0" borderId="40" xfId="85" applyFont="1" applyFill="1" applyBorder="1" applyAlignment="1">
      <alignment vertical="center"/>
    </xf>
    <xf numFmtId="0" fontId="6" fillId="0" borderId="10" xfId="85" applyFont="1" applyFill="1" applyBorder="1" applyAlignment="1">
      <alignment horizontal="center" vertical="center"/>
    </xf>
    <xf numFmtId="0" fontId="12" fillId="0" borderId="10" xfId="85" applyFont="1" applyFill="1" applyBorder="1" applyAlignment="1">
      <alignment horizontal="center" vertical="center"/>
    </xf>
    <xf numFmtId="0" fontId="6" fillId="0" borderId="10" xfId="85" applyFont="1" applyFill="1" applyBorder="1" applyAlignment="1">
      <alignment vertical="center"/>
    </xf>
    <xf numFmtId="0" fontId="12" fillId="0" borderId="41" xfId="85" applyFont="1" applyFill="1" applyBorder="1" applyAlignment="1">
      <alignment horizontal="center" vertical="center"/>
    </xf>
    <xf numFmtId="1" fontId="12" fillId="0" borderId="10" xfId="85" applyNumberFormat="1" applyFont="1" applyFill="1" applyBorder="1" applyAlignment="1">
      <alignment horizontal="center" vertical="center"/>
    </xf>
    <xf numFmtId="0" fontId="6" fillId="0" borderId="40" xfId="85" applyFont="1" applyFill="1" applyBorder="1" applyAlignment="1">
      <alignment horizontal="center" vertical="center"/>
    </xf>
    <xf numFmtId="1" fontId="6" fillId="0" borderId="10" xfId="85" applyNumberFormat="1" applyFont="1" applyFill="1" applyBorder="1" applyAlignment="1">
      <alignment horizontal="center" vertical="center"/>
    </xf>
    <xf numFmtId="9" fontId="7" fillId="0" borderId="10" xfId="85" applyNumberFormat="1" applyFont="1" applyFill="1" applyBorder="1" applyAlignment="1">
      <alignment horizontal="center" vertical="center"/>
    </xf>
    <xf numFmtId="0" fontId="22" fillId="0" borderId="10" xfId="85" applyFont="1" applyFill="1" applyBorder="1" applyAlignment="1">
      <alignment horizontal="center" vertical="center"/>
    </xf>
    <xf numFmtId="167" fontId="6" fillId="0" borderId="41" xfId="85" applyNumberFormat="1" applyFont="1" applyFill="1" applyBorder="1" applyAlignment="1">
      <alignment horizontal="center" vertical="center"/>
    </xf>
    <xf numFmtId="0" fontId="6" fillId="0" borderId="10" xfId="85" applyFont="1" applyFill="1" applyBorder="1" applyAlignment="1">
      <alignment horizontal="left" vertical="center"/>
    </xf>
    <xf numFmtId="10" fontId="7" fillId="0" borderId="10" xfId="85" applyNumberFormat="1" applyFont="1" applyFill="1" applyBorder="1" applyAlignment="1">
      <alignment horizontal="center" vertical="center"/>
    </xf>
    <xf numFmtId="167" fontId="22" fillId="0" borderId="10" xfId="85" applyNumberFormat="1" applyFont="1" applyFill="1" applyBorder="1" applyAlignment="1">
      <alignment horizontal="center" vertical="center"/>
    </xf>
    <xf numFmtId="10" fontId="7" fillId="0" borderId="41" xfId="88" applyNumberFormat="1" applyFont="1" applyFill="1" applyBorder="1" applyAlignment="1">
      <alignment horizontal="center" vertical="center"/>
    </xf>
    <xf numFmtId="10" fontId="6" fillId="0" borderId="41" xfId="85" applyNumberFormat="1" applyFont="1" applyFill="1" applyBorder="1" applyAlignment="1">
      <alignment horizontal="center" vertical="center"/>
    </xf>
    <xf numFmtId="0" fontId="12" fillId="0" borderId="10" xfId="85" applyFont="1" applyFill="1" applyBorder="1" applyAlignment="1">
      <alignment vertical="center"/>
    </xf>
    <xf numFmtId="1" fontId="7" fillId="0" borderId="10" xfId="85" applyNumberFormat="1" applyFont="1" applyFill="1" applyBorder="1" applyAlignment="1">
      <alignment horizontal="center" vertical="center"/>
    </xf>
    <xf numFmtId="10" fontId="6" fillId="0" borderId="10" xfId="85" applyNumberFormat="1" applyFont="1" applyFill="1" applyBorder="1" applyAlignment="1">
      <alignment horizontal="center" vertical="center"/>
    </xf>
    <xf numFmtId="167" fontId="6" fillId="0" borderId="10" xfId="85" applyNumberFormat="1" applyFont="1" applyFill="1" applyBorder="1" applyAlignment="1">
      <alignment vertical="center"/>
    </xf>
    <xf numFmtId="10" fontId="6" fillId="0" borderId="10" xfId="85" applyNumberFormat="1" applyFont="1" applyFill="1" applyBorder="1" applyAlignment="1">
      <alignment vertical="center"/>
    </xf>
    <xf numFmtId="10" fontId="6" fillId="0" borderId="41" xfId="85" applyNumberFormat="1" applyFont="1" applyFill="1" applyBorder="1" applyAlignment="1">
      <alignment vertical="center"/>
    </xf>
    <xf numFmtId="0" fontId="6" fillId="0" borderId="10" xfId="85" applyFont="1" applyFill="1" applyBorder="1" applyAlignment="1">
      <alignment vertical="center" wrapText="1"/>
    </xf>
    <xf numFmtId="0" fontId="7" fillId="0" borderId="10" xfId="85" applyFont="1" applyFill="1" applyBorder="1" applyAlignment="1">
      <alignment vertical="center"/>
    </xf>
    <xf numFmtId="167" fontId="96" fillId="0" borderId="10" xfId="85" applyNumberFormat="1" applyFont="1" applyFill="1" applyBorder="1" applyAlignment="1">
      <alignment vertical="center"/>
    </xf>
    <xf numFmtId="0" fontId="96" fillId="0" borderId="10" xfId="85" applyFont="1" applyFill="1" applyBorder="1" applyAlignment="1">
      <alignment vertical="center"/>
    </xf>
    <xf numFmtId="10" fontId="132" fillId="0" borderId="10" xfId="85" applyNumberFormat="1" applyFont="1" applyFill="1" applyBorder="1" applyAlignment="1">
      <alignment horizontal="center" vertical="center"/>
    </xf>
    <xf numFmtId="1" fontId="8" fillId="0" borderId="10" xfId="85" applyNumberFormat="1" applyFont="1" applyFill="1" applyBorder="1" applyAlignment="1">
      <alignment horizontal="center" vertical="center"/>
    </xf>
    <xf numFmtId="10" fontId="8" fillId="0" borderId="10" xfId="85" applyNumberFormat="1" applyFont="1" applyFill="1" applyBorder="1" applyAlignment="1">
      <alignment horizontal="center" vertical="center"/>
    </xf>
    <xf numFmtId="10" fontId="8" fillId="0" borderId="41" xfId="88" applyNumberFormat="1" applyFont="1" applyFill="1" applyBorder="1" applyAlignment="1">
      <alignment horizontal="center" vertical="center"/>
    </xf>
    <xf numFmtId="0" fontId="8" fillId="0" borderId="10" xfId="85" applyFont="1" applyFill="1" applyBorder="1" applyAlignment="1">
      <alignment horizontal="right" vertical="center"/>
    </xf>
    <xf numFmtId="0" fontId="6" fillId="0" borderId="10" xfId="85" applyFont="1" applyFill="1" applyBorder="1" applyAlignment="1">
      <alignment horizontal="right" vertical="center"/>
    </xf>
    <xf numFmtId="167" fontId="6" fillId="0" borderId="10" xfId="85" applyNumberFormat="1" applyFont="1" applyFill="1" applyBorder="1" applyAlignment="1">
      <alignment horizontal="right" vertical="center"/>
    </xf>
    <xf numFmtId="10" fontId="8" fillId="0" borderId="10" xfId="88" applyNumberFormat="1" applyFont="1" applyFill="1" applyBorder="1" applyAlignment="1">
      <alignment vertical="center"/>
    </xf>
    <xf numFmtId="10" fontId="7" fillId="0" borderId="10" xfId="85" applyNumberFormat="1" applyFont="1" applyFill="1" applyBorder="1" applyAlignment="1">
      <alignment vertical="center"/>
    </xf>
    <xf numFmtId="9" fontId="8" fillId="0" borderId="41" xfId="85" applyNumberFormat="1" applyFont="1" applyFill="1" applyBorder="1" applyAlignment="1">
      <alignment vertical="center"/>
    </xf>
    <xf numFmtId="0" fontId="20" fillId="0" borderId="10" xfId="85" applyFill="1" applyBorder="1" applyAlignment="1">
      <alignment horizontal="right" vertical="center"/>
    </xf>
    <xf numFmtId="0" fontId="20" fillId="0" borderId="91" xfId="85" applyFill="1" applyBorder="1" applyAlignment="1">
      <alignment vertical="center"/>
    </xf>
    <xf numFmtId="0" fontId="20" fillId="0" borderId="91" xfId="85" applyFill="1" applyBorder="1" applyAlignment="1">
      <alignment horizontal="right" vertical="center"/>
    </xf>
    <xf numFmtId="10" fontId="8" fillId="0" borderId="91" xfId="85" applyNumberFormat="1" applyFont="1" applyFill="1" applyBorder="1" applyAlignment="1">
      <alignment horizontal="right" vertical="center"/>
    </xf>
    <xf numFmtId="170" fontId="8" fillId="0" borderId="92" xfId="88" applyNumberFormat="1" applyFont="1" applyFill="1" applyBorder="1" applyAlignment="1">
      <alignment vertical="center"/>
    </xf>
    <xf numFmtId="0" fontId="20" fillId="0" borderId="10" xfId="0" applyFont="1" applyBorder="1" applyAlignment="1">
      <alignment vertical="center"/>
    </xf>
    <xf numFmtId="0" fontId="8" fillId="0" borderId="10" xfId="0" applyFont="1" applyBorder="1" applyAlignment="1">
      <alignment vertical="center"/>
    </xf>
    <xf numFmtId="0" fontId="20" fillId="0" borderId="32" xfId="85" applyFill="1" applyBorder="1" applyAlignment="1">
      <alignment horizontal="left" vertical="center"/>
    </xf>
    <xf numFmtId="0" fontId="20" fillId="0" borderId="35" xfId="85" applyFill="1" applyBorder="1" applyAlignment="1">
      <alignment horizontal="center" vertical="center"/>
    </xf>
    <xf numFmtId="1" fontId="20" fillId="0" borderId="35" xfId="85" applyNumberFormat="1" applyFill="1" applyBorder="1" applyAlignment="1">
      <alignment horizontal="center" vertical="center"/>
    </xf>
    <xf numFmtId="0" fontId="20" fillId="0" borderId="35" xfId="85" applyFill="1" applyBorder="1" applyAlignment="1">
      <alignment vertical="center"/>
    </xf>
    <xf numFmtId="0" fontId="20" fillId="0" borderId="0" xfId="85" applyFill="1" applyAlignment="1">
      <alignment vertical="center"/>
    </xf>
    <xf numFmtId="0" fontId="20" fillId="0" borderId="0" xfId="0" applyFont="1" applyAlignment="1">
      <alignment vertical="center"/>
    </xf>
    <xf numFmtId="2" fontId="20" fillId="0" borderId="35" xfId="85" applyNumberFormat="1" applyFill="1" applyBorder="1" applyAlignment="1">
      <alignment vertical="center"/>
    </xf>
    <xf numFmtId="167" fontId="20" fillId="0" borderId="35" xfId="85" applyNumberFormat="1" applyFill="1" applyBorder="1" applyAlignment="1">
      <alignment vertical="center"/>
    </xf>
    <xf numFmtId="2" fontId="20" fillId="0" borderId="83" xfId="85" applyNumberFormat="1" applyFill="1" applyBorder="1" applyAlignment="1">
      <alignment vertical="center"/>
    </xf>
    <xf numFmtId="2" fontId="20" fillId="0" borderId="10" xfId="85" applyNumberFormat="1" applyFill="1" applyBorder="1" applyAlignment="1">
      <alignment vertical="center"/>
    </xf>
    <xf numFmtId="0" fontId="20" fillId="0" borderId="22" xfId="0" applyFont="1" applyBorder="1" applyAlignment="1">
      <alignment vertical="center"/>
    </xf>
    <xf numFmtId="167" fontId="20" fillId="0" borderId="35" xfId="85" applyNumberFormat="1" applyFill="1" applyBorder="1" applyAlignment="1">
      <alignment horizontal="right" vertical="center"/>
    </xf>
    <xf numFmtId="167" fontId="20" fillId="0" borderId="35" xfId="85" applyNumberFormat="1" applyFill="1" applyBorder="1" applyAlignment="1">
      <alignment horizontal="center" vertical="center"/>
    </xf>
    <xf numFmtId="1" fontId="20" fillId="0" borderId="35" xfId="85" applyNumberFormat="1" applyFill="1" applyBorder="1" applyAlignment="1">
      <alignment vertical="center"/>
    </xf>
    <xf numFmtId="0" fontId="20" fillId="0" borderId="17" xfId="85" applyFill="1" applyBorder="1" applyAlignment="1">
      <alignment horizontal="left" vertical="center"/>
    </xf>
    <xf numFmtId="1" fontId="20" fillId="0" borderId="35" xfId="85" applyNumberFormat="1" applyFill="1" applyBorder="1" applyAlignment="1">
      <alignment horizontal="right" vertical="center"/>
    </xf>
    <xf numFmtId="9" fontId="33" fillId="0" borderId="35" xfId="88" applyFont="1" applyFill="1" applyBorder="1" applyAlignment="1">
      <alignment horizontal="center" vertical="center"/>
    </xf>
    <xf numFmtId="0" fontId="8" fillId="0" borderId="56" xfId="85" applyFont="1" applyFill="1" applyBorder="1" applyAlignment="1">
      <alignment horizontal="right" vertical="center"/>
    </xf>
    <xf numFmtId="167" fontId="8" fillId="0" borderId="35" xfId="85" applyNumberFormat="1" applyFont="1" applyFill="1" applyBorder="1" applyAlignment="1">
      <alignment horizontal="right" vertical="center"/>
    </xf>
    <xf numFmtId="167" fontId="8" fillId="0" borderId="35" xfId="85" applyNumberFormat="1" applyFont="1" applyFill="1" applyBorder="1" applyAlignment="1">
      <alignment horizontal="center" vertical="center"/>
    </xf>
    <xf numFmtId="1" fontId="8" fillId="0" borderId="35" xfId="85" applyNumberFormat="1" applyFont="1" applyFill="1" applyBorder="1" applyAlignment="1">
      <alignment horizontal="center" vertical="center"/>
    </xf>
    <xf numFmtId="2" fontId="8" fillId="0" borderId="35" xfId="85" applyNumberFormat="1" applyFont="1" applyFill="1" applyBorder="1" applyAlignment="1">
      <alignment horizontal="right" vertical="center"/>
    </xf>
    <xf numFmtId="1" fontId="8" fillId="0" borderId="35" xfId="85" applyNumberFormat="1" applyFont="1" applyFill="1" applyBorder="1" applyAlignment="1">
      <alignment vertical="center"/>
    </xf>
    <xf numFmtId="2" fontId="8" fillId="0" borderId="83" xfId="85" applyNumberFormat="1" applyFont="1" applyFill="1" applyBorder="1" applyAlignment="1">
      <alignment horizontal="center" vertical="center"/>
    </xf>
    <xf numFmtId="2" fontId="33" fillId="0" borderId="35" xfId="85" applyNumberFormat="1" applyFont="1" applyFill="1" applyBorder="1" applyAlignment="1">
      <alignment horizontal="center" vertical="center"/>
    </xf>
    <xf numFmtId="2" fontId="20" fillId="0" borderId="0" xfId="85" applyNumberFormat="1" applyFill="1" applyAlignment="1">
      <alignment horizontal="center" vertical="center"/>
    </xf>
    <xf numFmtId="0" fontId="20" fillId="0" borderId="19" xfId="85" applyFill="1" applyBorder="1" applyAlignment="1">
      <alignment horizontal="left" vertical="center"/>
    </xf>
    <xf numFmtId="0" fontId="20" fillId="0" borderId="35" xfId="85" applyFill="1" applyBorder="1" applyAlignment="1">
      <alignment horizontal="left" vertical="center"/>
    </xf>
    <xf numFmtId="2" fontId="8" fillId="0" borderId="83" xfId="85" applyNumberFormat="1" applyFont="1" applyFill="1" applyBorder="1" applyAlignment="1">
      <alignment vertical="center"/>
    </xf>
    <xf numFmtId="2" fontId="8" fillId="0" borderId="10" xfId="85" applyNumberFormat="1" applyFont="1" applyFill="1" applyBorder="1" applyAlignment="1">
      <alignment vertical="center"/>
    </xf>
    <xf numFmtId="2" fontId="20" fillId="0" borderId="35" xfId="85" applyNumberFormat="1" applyFill="1" applyBorder="1" applyAlignment="1">
      <alignment horizontal="right" vertical="center"/>
    </xf>
    <xf numFmtId="167" fontId="20" fillId="0" borderId="0" xfId="85" applyNumberFormat="1" applyFill="1" applyAlignment="1">
      <alignment horizontal="center" vertical="center"/>
    </xf>
    <xf numFmtId="167" fontId="8" fillId="0" borderId="10" xfId="0" applyNumberFormat="1" applyFont="1" applyBorder="1" applyAlignment="1">
      <alignment horizontal="right" vertical="center"/>
    </xf>
    <xf numFmtId="1" fontId="8" fillId="0" borderId="10" xfId="0" applyNumberFormat="1" applyFont="1" applyBorder="1" applyAlignment="1">
      <alignment horizontal="center" vertical="center"/>
    </xf>
    <xf numFmtId="17" fontId="8" fillId="0" borderId="10" xfId="0" applyNumberFormat="1" applyFont="1" applyBorder="1" applyAlignment="1">
      <alignment vertical="center"/>
    </xf>
    <xf numFmtId="167" fontId="8" fillId="0" borderId="10" xfId="0" applyNumberFormat="1" applyFont="1" applyBorder="1" applyAlignment="1">
      <alignment vertical="center"/>
    </xf>
    <xf numFmtId="2" fontId="8" fillId="0" borderId="10" xfId="0" applyNumberFormat="1" applyFont="1" applyBorder="1" applyAlignment="1">
      <alignment vertical="center"/>
    </xf>
    <xf numFmtId="0" fontId="20" fillId="0" borderId="0" xfId="85" applyFill="1" applyAlignment="1">
      <alignment horizontal="center" vertical="center"/>
    </xf>
    <xf numFmtId="0" fontId="8" fillId="0" borderId="32" xfId="85" applyFont="1" applyFill="1" applyBorder="1" applyAlignment="1">
      <alignment horizontal="left" vertical="center"/>
    </xf>
    <xf numFmtId="0" fontId="33" fillId="0" borderId="35" xfId="85" applyFont="1" applyFill="1" applyBorder="1" applyAlignment="1">
      <alignment vertical="center"/>
    </xf>
    <xf numFmtId="167" fontId="34" fillId="0" borderId="35" xfId="85" applyNumberFormat="1" applyFont="1" applyFill="1" applyBorder="1" applyAlignment="1">
      <alignment horizontal="center" vertical="center"/>
    </xf>
    <xf numFmtId="0" fontId="34" fillId="0" borderId="35" xfId="85" applyFont="1" applyFill="1" applyBorder="1" applyAlignment="1">
      <alignment vertical="center"/>
    </xf>
    <xf numFmtId="0" fontId="33" fillId="0" borderId="35" xfId="85" applyFont="1" applyFill="1" applyBorder="1" applyAlignment="1">
      <alignment horizontal="center" vertical="center"/>
    </xf>
    <xf numFmtId="0" fontId="33" fillId="0" borderId="83" xfId="85" applyFont="1" applyFill="1" applyBorder="1" applyAlignment="1">
      <alignment vertical="center"/>
    </xf>
    <xf numFmtId="0" fontId="33" fillId="0" borderId="10" xfId="85" applyFont="1" applyFill="1" applyBorder="1" applyAlignment="1">
      <alignment vertical="center"/>
    </xf>
    <xf numFmtId="0" fontId="20" fillId="0" borderId="70" xfId="85" applyFill="1" applyBorder="1" applyAlignment="1">
      <alignment horizontal="center" vertical="center"/>
    </xf>
    <xf numFmtId="167" fontId="33" fillId="0" borderId="35" xfId="85" applyNumberFormat="1" applyFont="1" applyFill="1" applyBorder="1" applyAlignment="1">
      <alignment horizontal="center" vertical="center"/>
    </xf>
    <xf numFmtId="1" fontId="33" fillId="0" borderId="35" xfId="85" applyNumberFormat="1" applyFont="1" applyFill="1" applyBorder="1" applyAlignment="1">
      <alignment horizontal="center" vertical="center"/>
    </xf>
    <xf numFmtId="2" fontId="33" fillId="0" borderId="35" xfId="85" applyNumberFormat="1" applyFont="1" applyFill="1" applyBorder="1" applyAlignment="1">
      <alignment horizontal="right" vertical="center"/>
    </xf>
    <xf numFmtId="2" fontId="33" fillId="0" borderId="35" xfId="85" applyNumberFormat="1" applyFont="1" applyFill="1" applyBorder="1" applyAlignment="1">
      <alignment vertical="center"/>
    </xf>
    <xf numFmtId="2" fontId="33" fillId="0" borderId="56" xfId="85" applyNumberFormat="1" applyFont="1" applyFill="1" applyBorder="1" applyAlignment="1">
      <alignment vertical="center"/>
    </xf>
    <xf numFmtId="2" fontId="20" fillId="0" borderId="56" xfId="85" applyNumberFormat="1" applyFill="1" applyBorder="1" applyAlignment="1">
      <alignment vertical="center"/>
    </xf>
    <xf numFmtId="2" fontId="34" fillId="0" borderId="35" xfId="85" applyNumberFormat="1" applyFont="1" applyFill="1" applyBorder="1" applyAlignment="1">
      <alignment horizontal="center" vertical="center"/>
    </xf>
    <xf numFmtId="2" fontId="34" fillId="0" borderId="56" xfId="85" applyNumberFormat="1" applyFont="1" applyFill="1" applyBorder="1" applyAlignment="1">
      <alignment horizontal="center" vertical="center"/>
    </xf>
    <xf numFmtId="2" fontId="33" fillId="0" borderId="56" xfId="85" applyNumberFormat="1" applyFont="1" applyFill="1" applyBorder="1" applyAlignment="1">
      <alignment horizontal="center" vertical="center"/>
    </xf>
    <xf numFmtId="1" fontId="33" fillId="0" borderId="35" xfId="85" applyNumberFormat="1" applyFont="1" applyFill="1" applyBorder="1" applyAlignment="1">
      <alignment vertical="center"/>
    </xf>
    <xf numFmtId="0" fontId="20" fillId="0" borderId="77" xfId="85" applyFill="1" applyBorder="1" applyAlignment="1">
      <alignment vertical="center"/>
    </xf>
    <xf numFmtId="2" fontId="33" fillId="0" borderId="83" xfId="85" applyNumberFormat="1" applyFont="1" applyFill="1" applyBorder="1" applyAlignment="1">
      <alignment horizontal="center" vertical="center"/>
    </xf>
    <xf numFmtId="0" fontId="8" fillId="0" borderId="35" xfId="85" applyFont="1" applyFill="1" applyBorder="1" applyAlignment="1">
      <alignment vertical="center"/>
    </xf>
    <xf numFmtId="167" fontId="16" fillId="0" borderId="35" xfId="85" applyNumberFormat="1" applyFont="1" applyFill="1" applyBorder="1" applyAlignment="1">
      <alignment horizontal="center" vertical="center"/>
    </xf>
    <xf numFmtId="1" fontId="16" fillId="0" borderId="35" xfId="85" applyNumberFormat="1" applyFont="1" applyFill="1" applyBorder="1" applyAlignment="1">
      <alignment horizontal="center" vertical="center"/>
    </xf>
    <xf numFmtId="1" fontId="34" fillId="0" borderId="35" xfId="85" applyNumberFormat="1" applyFont="1" applyFill="1" applyBorder="1" applyAlignment="1">
      <alignment vertical="center"/>
    </xf>
    <xf numFmtId="1" fontId="34" fillId="0" borderId="77" xfId="85" applyNumberFormat="1" applyFont="1" applyFill="1" applyBorder="1" applyAlignment="1">
      <alignment vertical="center"/>
    </xf>
    <xf numFmtId="2" fontId="34" fillId="0" borderId="77" xfId="85" applyNumberFormat="1" applyFont="1" applyFill="1" applyBorder="1" applyAlignment="1">
      <alignment vertical="center"/>
    </xf>
    <xf numFmtId="2" fontId="34" fillId="0" borderId="35" xfId="85" applyNumberFormat="1" applyFont="1" applyFill="1" applyBorder="1" applyAlignment="1">
      <alignment vertical="center"/>
    </xf>
    <xf numFmtId="1" fontId="20" fillId="0" borderId="56" xfId="85" applyNumberFormat="1" applyFill="1" applyBorder="1" applyAlignment="1">
      <alignment vertical="center"/>
    </xf>
    <xf numFmtId="2" fontId="34" fillId="0" borderId="35" xfId="85" applyNumberFormat="1" applyFont="1" applyFill="1" applyBorder="1" applyAlignment="1">
      <alignment horizontal="right" vertical="center"/>
    </xf>
    <xf numFmtId="1" fontId="34" fillId="0" borderId="35" xfId="85" applyNumberFormat="1" applyFont="1" applyFill="1" applyBorder="1" applyAlignment="1">
      <alignment horizontal="center" vertical="center"/>
    </xf>
    <xf numFmtId="2" fontId="34" fillId="0" borderId="77" xfId="85" applyNumberFormat="1" applyFont="1" applyFill="1" applyBorder="1" applyAlignment="1">
      <alignment horizontal="center" vertical="center"/>
    </xf>
    <xf numFmtId="1" fontId="33" fillId="0" borderId="83" xfId="85" applyNumberFormat="1" applyFont="1" applyFill="1" applyBorder="1" applyAlignment="1">
      <alignment vertical="center"/>
    </xf>
    <xf numFmtId="1" fontId="33" fillId="0" borderId="10" xfId="85" applyNumberFormat="1" applyFont="1" applyFill="1" applyBorder="1" applyAlignment="1">
      <alignment vertical="center"/>
    </xf>
    <xf numFmtId="2" fontId="33" fillId="0" borderId="10" xfId="85" applyNumberFormat="1" applyFont="1" applyFill="1" applyBorder="1" applyAlignment="1">
      <alignment vertical="center"/>
    </xf>
    <xf numFmtId="2" fontId="33" fillId="0" borderId="10" xfId="85" applyNumberFormat="1" applyFont="1" applyFill="1" applyBorder="1" applyAlignment="1">
      <alignment horizontal="center" vertical="center"/>
    </xf>
    <xf numFmtId="2" fontId="20" fillId="0" borderId="10" xfId="85" applyNumberFormat="1" applyFill="1" applyBorder="1" applyAlignment="1">
      <alignment horizontal="center" vertical="center"/>
    </xf>
    <xf numFmtId="167" fontId="23" fillId="0" borderId="35" xfId="85" applyNumberFormat="1" applyFont="1" applyFill="1" applyBorder="1" applyAlignment="1">
      <alignment horizontal="center" vertical="center"/>
    </xf>
    <xf numFmtId="1" fontId="33" fillId="0" borderId="56" xfId="85" applyNumberFormat="1" applyFont="1" applyFill="1" applyBorder="1" applyAlignment="1">
      <alignment vertical="center"/>
    </xf>
    <xf numFmtId="2" fontId="33" fillId="0" borderId="77" xfId="85" applyNumberFormat="1" applyFont="1" applyFill="1" applyBorder="1" applyAlignment="1">
      <alignment horizontal="center" vertical="center"/>
    </xf>
    <xf numFmtId="1" fontId="33" fillId="0" borderId="83" xfId="85" applyNumberFormat="1" applyFont="1" applyFill="1" applyBorder="1" applyAlignment="1">
      <alignment horizontal="center" vertical="center"/>
    </xf>
    <xf numFmtId="0" fontId="20" fillId="0" borderId="71" xfId="85" applyFill="1" applyBorder="1" applyAlignment="1">
      <alignment horizontal="center" vertical="center"/>
    </xf>
    <xf numFmtId="0" fontId="20" fillId="0" borderId="32" xfId="85" applyFill="1" applyBorder="1" applyAlignment="1">
      <alignment horizontal="center" vertical="center"/>
    </xf>
    <xf numFmtId="0" fontId="20" fillId="0" borderId="32" xfId="85" applyFill="1" applyBorder="1" applyAlignment="1">
      <alignment vertical="center"/>
    </xf>
    <xf numFmtId="167" fontId="33" fillId="0" borderId="3" xfId="85" applyNumberFormat="1" applyFont="1" applyFill="1" applyBorder="1" applyAlignment="1">
      <alignment horizontal="center" vertical="center"/>
    </xf>
    <xf numFmtId="0" fontId="33" fillId="0" borderId="19" xfId="85" applyFont="1" applyFill="1" applyBorder="1" applyAlignment="1">
      <alignment vertical="center"/>
    </xf>
    <xf numFmtId="0" fontId="33" fillId="0" borderId="3" xfId="85" applyFont="1" applyFill="1" applyBorder="1" applyAlignment="1">
      <alignment vertical="center"/>
    </xf>
    <xf numFmtId="2" fontId="33" fillId="0" borderId="19" xfId="85" applyNumberFormat="1" applyFont="1" applyFill="1" applyBorder="1" applyAlignment="1">
      <alignment horizontal="center" vertical="center"/>
    </xf>
    <xf numFmtId="2" fontId="33" fillId="0" borderId="19" xfId="85" applyNumberFormat="1" applyFont="1" applyFill="1" applyBorder="1" applyAlignment="1">
      <alignment vertical="center"/>
    </xf>
    <xf numFmtId="0" fontId="16" fillId="0" borderId="35" xfId="85" applyFont="1" applyFill="1" applyBorder="1" applyAlignment="1">
      <alignment vertical="center"/>
    </xf>
    <xf numFmtId="167" fontId="16" fillId="0" borderId="32" xfId="85" applyNumberFormat="1" applyFont="1" applyFill="1" applyBorder="1" applyAlignment="1">
      <alignment horizontal="center" vertical="center"/>
    </xf>
    <xf numFmtId="1" fontId="16" fillId="0" borderId="32" xfId="85" applyNumberFormat="1" applyFont="1" applyFill="1" applyBorder="1" applyAlignment="1">
      <alignment horizontal="center" vertical="center"/>
    </xf>
    <xf numFmtId="2" fontId="33" fillId="0" borderId="32" xfId="85" applyNumberFormat="1" applyFont="1" applyFill="1" applyBorder="1" applyAlignment="1">
      <alignment horizontal="center" vertical="center"/>
    </xf>
    <xf numFmtId="0" fontId="33" fillId="0" borderId="32" xfId="85" applyFont="1" applyFill="1" applyBorder="1" applyAlignment="1">
      <alignment vertical="center"/>
    </xf>
    <xf numFmtId="2" fontId="16" fillId="0" borderId="32" xfId="85" applyNumberFormat="1" applyFont="1" applyFill="1" applyBorder="1" applyAlignment="1">
      <alignment horizontal="center" vertical="center"/>
    </xf>
    <xf numFmtId="2" fontId="33" fillId="0" borderId="32" xfId="85" applyNumberFormat="1" applyFont="1" applyFill="1" applyBorder="1" applyAlignment="1">
      <alignment vertical="center"/>
    </xf>
    <xf numFmtId="1" fontId="34" fillId="0" borderId="32" xfId="85" applyNumberFormat="1" applyFont="1" applyFill="1" applyBorder="1" applyAlignment="1">
      <alignment horizontal="right" vertical="center"/>
    </xf>
    <xf numFmtId="0" fontId="16" fillId="0" borderId="70" xfId="85" applyFont="1" applyFill="1" applyBorder="1" applyAlignment="1">
      <alignment horizontal="center" vertical="center"/>
    </xf>
    <xf numFmtId="167" fontId="23" fillId="0" borderId="32" xfId="85" applyNumberFormat="1" applyFont="1" applyFill="1" applyBorder="1" applyAlignment="1">
      <alignment horizontal="center" vertical="center"/>
    </xf>
    <xf numFmtId="167" fontId="33" fillId="0" borderId="32" xfId="85" applyNumberFormat="1" applyFont="1" applyFill="1" applyBorder="1" applyAlignment="1">
      <alignment horizontal="center" vertical="center"/>
    </xf>
    <xf numFmtId="1" fontId="33" fillId="0" borderId="32" xfId="85" applyNumberFormat="1" applyFont="1" applyFill="1" applyBorder="1" applyAlignment="1">
      <alignment horizontal="center" vertical="center"/>
    </xf>
    <xf numFmtId="1" fontId="33" fillId="0" borderId="32" xfId="85" applyNumberFormat="1" applyFont="1" applyFill="1" applyBorder="1" applyAlignment="1">
      <alignment vertical="center"/>
    </xf>
    <xf numFmtId="2" fontId="33" fillId="0" borderId="32" xfId="85" applyNumberFormat="1" applyFont="1" applyFill="1" applyBorder="1" applyAlignment="1">
      <alignment horizontal="right" vertical="center"/>
    </xf>
    <xf numFmtId="0" fontId="20" fillId="0" borderId="72" xfId="85" applyFill="1" applyBorder="1" applyAlignment="1">
      <alignment horizontal="center" vertical="center"/>
    </xf>
    <xf numFmtId="0" fontId="41" fillId="0" borderId="10" xfId="0" applyFont="1" applyBorder="1" applyAlignment="1">
      <alignment vertical="center"/>
    </xf>
    <xf numFmtId="2" fontId="33" fillId="0" borderId="83" xfId="85" applyNumberFormat="1" applyFont="1" applyFill="1" applyBorder="1" applyAlignment="1">
      <alignment horizontal="right" vertical="center"/>
    </xf>
    <xf numFmtId="2" fontId="34" fillId="0" borderId="32" xfId="85" applyNumberFormat="1" applyFont="1" applyFill="1" applyBorder="1" applyAlignment="1">
      <alignment vertical="center"/>
    </xf>
    <xf numFmtId="2" fontId="16" fillId="0" borderId="32" xfId="85" applyNumberFormat="1" applyFont="1" applyFill="1" applyBorder="1" applyAlignment="1">
      <alignment horizontal="right" vertical="center"/>
    </xf>
    <xf numFmtId="2" fontId="34" fillId="0" borderId="32" xfId="85" applyNumberFormat="1" applyFont="1" applyFill="1" applyBorder="1" applyAlignment="1">
      <alignment horizontal="center" vertical="center"/>
    </xf>
    <xf numFmtId="167" fontId="34" fillId="0" borderId="32" xfId="85" applyNumberFormat="1" applyFont="1" applyFill="1" applyBorder="1" applyAlignment="1">
      <alignment horizontal="center" vertical="center"/>
    </xf>
    <xf numFmtId="2" fontId="34" fillId="0" borderId="32" xfId="85" applyNumberFormat="1" applyFont="1" applyFill="1" applyBorder="1" applyAlignment="1">
      <alignment horizontal="right" vertical="center"/>
    </xf>
    <xf numFmtId="0" fontId="16" fillId="0" borderId="70" xfId="85" applyFont="1" applyFill="1" applyBorder="1" applyAlignment="1">
      <alignment horizontal="left" vertical="center"/>
    </xf>
    <xf numFmtId="0" fontId="33" fillId="0" borderId="32" xfId="85" applyFont="1" applyFill="1" applyBorder="1" applyAlignment="1">
      <alignment horizontal="center" vertical="center"/>
    </xf>
    <xf numFmtId="1" fontId="33" fillId="0" borderId="17" xfId="85" applyNumberFormat="1" applyFont="1" applyFill="1" applyBorder="1" applyAlignment="1">
      <alignment horizontal="center" vertical="center"/>
    </xf>
    <xf numFmtId="0" fontId="33" fillId="0" borderId="17" xfId="85" applyFont="1" applyFill="1" applyBorder="1" applyAlignment="1">
      <alignment vertical="center"/>
    </xf>
    <xf numFmtId="0" fontId="33" fillId="0" borderId="77" xfId="85" applyFont="1" applyFill="1" applyBorder="1" applyAlignment="1">
      <alignment vertical="center"/>
    </xf>
    <xf numFmtId="2" fontId="33" fillId="0" borderId="17" xfId="85" applyNumberFormat="1" applyFont="1" applyFill="1" applyBorder="1" applyAlignment="1">
      <alignment horizontal="center" vertical="center"/>
    </xf>
    <xf numFmtId="2" fontId="33" fillId="0" borderId="0" xfId="85" applyNumberFormat="1" applyFont="1" applyFill="1" applyAlignment="1">
      <alignment horizontal="center" vertical="center"/>
    </xf>
    <xf numFmtId="0" fontId="33" fillId="0" borderId="10" xfId="85" applyFont="1" applyFill="1" applyBorder="1" applyAlignment="1">
      <alignment horizontal="center" vertical="center"/>
    </xf>
    <xf numFmtId="1" fontId="33" fillId="0" borderId="10" xfId="85" applyNumberFormat="1" applyFont="1" applyFill="1" applyBorder="1" applyAlignment="1">
      <alignment horizontal="center" vertical="center"/>
    </xf>
    <xf numFmtId="167" fontId="34" fillId="0" borderId="32" xfId="85" applyNumberFormat="1" applyFont="1" applyFill="1" applyBorder="1" applyAlignment="1">
      <alignment horizontal="right" vertical="center"/>
    </xf>
    <xf numFmtId="2" fontId="57" fillId="0" borderId="32" xfId="85" applyNumberFormat="1" applyFont="1" applyFill="1" applyBorder="1" applyAlignment="1">
      <alignment horizontal="center" vertical="center"/>
    </xf>
    <xf numFmtId="2" fontId="34" fillId="0" borderId="10" xfId="85" applyNumberFormat="1" applyFont="1" applyFill="1" applyBorder="1" applyAlignment="1">
      <alignment horizontal="center" vertical="center"/>
    </xf>
    <xf numFmtId="167" fontId="16" fillId="0" borderId="32" xfId="85" applyNumberFormat="1" applyFont="1" applyFill="1" applyBorder="1" applyAlignment="1">
      <alignment horizontal="right" vertical="center"/>
    </xf>
    <xf numFmtId="2" fontId="16" fillId="29" borderId="32" xfId="85" applyNumberFormat="1" applyFont="1" applyFill="1" applyBorder="1" applyAlignment="1">
      <alignment horizontal="right" vertical="center"/>
    </xf>
    <xf numFmtId="167" fontId="8" fillId="0" borderId="94" xfId="85" applyNumberFormat="1" applyFont="1" applyFill="1" applyBorder="1" applyAlignment="1">
      <alignment horizontal="center" vertical="center"/>
    </xf>
    <xf numFmtId="0" fontId="8" fillId="0" borderId="130" xfId="85" applyFont="1" applyFill="1" applyBorder="1" applyAlignment="1">
      <alignment horizontal="center" vertical="center"/>
    </xf>
    <xf numFmtId="0" fontId="16" fillId="0" borderId="50" xfId="85" applyFont="1" applyFill="1" applyBorder="1" applyAlignment="1">
      <alignment horizontal="center" vertical="center"/>
    </xf>
    <xf numFmtId="167" fontId="16" fillId="0" borderId="113" xfId="85" applyNumberFormat="1" applyFont="1" applyFill="1" applyBorder="1" applyAlignment="1">
      <alignment horizontal="center" vertical="center"/>
    </xf>
    <xf numFmtId="167" fontId="8" fillId="0" borderId="130" xfId="85" applyNumberFormat="1" applyFont="1" applyFill="1" applyBorder="1" applyAlignment="1">
      <alignment vertical="center"/>
    </xf>
    <xf numFmtId="167" fontId="8" fillId="0" borderId="50" xfId="85" applyNumberFormat="1" applyFont="1" applyFill="1" applyBorder="1" applyAlignment="1">
      <alignment vertical="center"/>
    </xf>
    <xf numFmtId="167" fontId="8" fillId="0" borderId="50" xfId="85" applyNumberFormat="1" applyFont="1" applyFill="1" applyBorder="1" applyAlignment="1">
      <alignment horizontal="center" vertical="center"/>
    </xf>
    <xf numFmtId="167" fontId="16" fillId="0" borderId="50" xfId="85" applyNumberFormat="1" applyFont="1" applyFill="1" applyBorder="1" applyAlignment="1">
      <alignment horizontal="center" vertical="center"/>
    </xf>
    <xf numFmtId="0" fontId="20" fillId="0" borderId="40" xfId="85" applyFill="1" applyBorder="1" applyAlignment="1">
      <alignment horizontal="center" vertical="center"/>
    </xf>
    <xf numFmtId="167" fontId="20" fillId="0" borderId="75" xfId="85" applyNumberFormat="1" applyFill="1" applyBorder="1" applyAlignment="1">
      <alignment horizontal="center" vertical="center"/>
    </xf>
    <xf numFmtId="1" fontId="20" fillId="0" borderId="10" xfId="85" applyNumberFormat="1" applyFill="1" applyBorder="1" applyAlignment="1">
      <alignment horizontal="center" vertical="center"/>
    </xf>
    <xf numFmtId="1" fontId="20" fillId="0" borderId="41" xfId="85" applyNumberFormat="1" applyFill="1" applyBorder="1" applyAlignment="1">
      <alignment horizontal="center" vertical="center"/>
    </xf>
    <xf numFmtId="1" fontId="20" fillId="0" borderId="143" xfId="85" applyNumberFormat="1" applyFill="1" applyBorder="1" applyAlignment="1">
      <alignment horizontal="center" vertical="center"/>
    </xf>
    <xf numFmtId="0" fontId="16" fillId="0" borderId="10" xfId="85" applyFont="1" applyFill="1" applyBorder="1" applyAlignment="1">
      <alignment horizontal="right" vertical="center"/>
    </xf>
    <xf numFmtId="167" fontId="8" fillId="0" borderId="143" xfId="85" applyNumberFormat="1" applyFont="1" applyFill="1" applyBorder="1" applyAlignment="1">
      <alignment horizontal="center" vertical="center"/>
    </xf>
    <xf numFmtId="0" fontId="20" fillId="0" borderId="40" xfId="85" applyFill="1" applyBorder="1" applyAlignment="1">
      <alignment vertical="center"/>
    </xf>
    <xf numFmtId="167" fontId="16" fillId="0" borderId="75" xfId="85" applyNumberFormat="1" applyFont="1" applyFill="1" applyBorder="1" applyAlignment="1">
      <alignment horizontal="center" vertical="center"/>
    </xf>
    <xf numFmtId="167" fontId="20" fillId="0" borderId="41" xfId="85" applyNumberFormat="1" applyFill="1" applyBorder="1" applyAlignment="1">
      <alignment horizontal="center" vertical="center"/>
    </xf>
    <xf numFmtId="167" fontId="20" fillId="0" borderId="143" xfId="85" applyNumberFormat="1" applyFill="1" applyBorder="1" applyAlignment="1">
      <alignment horizontal="center" vertical="center"/>
    </xf>
    <xf numFmtId="1" fontId="20" fillId="0" borderId="40" xfId="85" applyNumberFormat="1" applyFill="1" applyBorder="1" applyAlignment="1">
      <alignment horizontal="center" vertical="center"/>
    </xf>
    <xf numFmtId="167" fontId="8" fillId="0" borderId="40" xfId="85" applyNumberFormat="1" applyFont="1" applyFill="1" applyBorder="1" applyAlignment="1">
      <alignment horizontal="center" vertical="center"/>
    </xf>
    <xf numFmtId="0" fontId="20" fillId="0" borderId="90" xfId="85" applyFill="1" applyBorder="1" applyAlignment="1">
      <alignment horizontal="center" vertical="center"/>
    </xf>
    <xf numFmtId="0" fontId="16" fillId="0" borderId="140" xfId="85" applyFont="1" applyFill="1" applyBorder="1" applyAlignment="1">
      <alignment horizontal="center" vertical="center"/>
    </xf>
    <xf numFmtId="167" fontId="8" fillId="0" borderId="90" xfId="85" applyNumberFormat="1" applyFont="1" applyFill="1" applyBorder="1" applyAlignment="1">
      <alignment horizontal="center" vertical="center"/>
    </xf>
    <xf numFmtId="167" fontId="8" fillId="0" borderId="144" xfId="85" applyNumberFormat="1" applyFont="1" applyFill="1" applyBorder="1" applyAlignment="1">
      <alignment horizontal="center" vertical="center"/>
    </xf>
    <xf numFmtId="0" fontId="20" fillId="0" borderId="43" xfId="85" applyFill="1" applyBorder="1" applyAlignment="1">
      <alignment horizontal="center" vertical="center"/>
    </xf>
    <xf numFmtId="0" fontId="8" fillId="0" borderId="50" xfId="85" applyFont="1" applyFill="1" applyBorder="1" applyAlignment="1">
      <alignment horizontal="center" vertical="center"/>
    </xf>
    <xf numFmtId="0" fontId="8" fillId="0" borderId="50" xfId="85" applyFont="1" applyFill="1" applyBorder="1" applyAlignment="1">
      <alignment vertical="center"/>
    </xf>
    <xf numFmtId="10" fontId="20" fillId="0" borderId="10" xfId="88" applyNumberFormat="1" applyFont="1" applyFill="1" applyBorder="1" applyAlignment="1">
      <alignment horizontal="center" vertical="center"/>
    </xf>
    <xf numFmtId="1" fontId="20" fillId="0" borderId="10" xfId="85" applyNumberFormat="1" applyFill="1" applyBorder="1" applyAlignment="1">
      <alignment horizontal="right" vertical="center"/>
    </xf>
    <xf numFmtId="9" fontId="113" fillId="0" borderId="22" xfId="88" applyFont="1" applyFill="1" applyBorder="1" applyAlignment="1">
      <alignment vertical="center"/>
    </xf>
    <xf numFmtId="167" fontId="129" fillId="0" borderId="0" xfId="80" applyNumberFormat="1" applyFont="1" applyFill="1" applyAlignment="1">
      <alignment horizontal="center" vertical="center"/>
    </xf>
    <xf numFmtId="183" fontId="76" fillId="0" borderId="10" xfId="37" applyNumberFormat="1" applyFont="1" applyFill="1" applyBorder="1" applyAlignment="1">
      <alignment vertical="center"/>
    </xf>
    <xf numFmtId="165" fontId="76" fillId="0" borderId="10" xfId="37" applyFont="1" applyFill="1" applyBorder="1" applyAlignment="1">
      <alignment vertical="center"/>
    </xf>
    <xf numFmtId="165" fontId="89" fillId="0" borderId="10" xfId="37" applyFont="1" applyFill="1" applyBorder="1" applyAlignment="1">
      <alignment horizontal="center" vertical="center"/>
    </xf>
    <xf numFmtId="2" fontId="129" fillId="0" borderId="10" xfId="80" applyNumberFormat="1" applyFont="1" applyFill="1" applyBorder="1" applyAlignment="1">
      <alignment horizontal="center" vertical="center"/>
    </xf>
    <xf numFmtId="173" fontId="129" fillId="0" borderId="10" xfId="80" applyNumberFormat="1" applyFont="1" applyFill="1" applyBorder="1" applyAlignment="1">
      <alignment horizontal="center" vertical="center"/>
    </xf>
    <xf numFmtId="0" fontId="8" fillId="0" borderId="53" xfId="0" applyFont="1" applyBorder="1" applyAlignment="1">
      <alignment horizontal="center" vertical="center"/>
    </xf>
    <xf numFmtId="0" fontId="8" fillId="0" borderId="53" xfId="0" applyFont="1" applyBorder="1" applyAlignment="1">
      <alignment horizontal="center" vertical="center" wrapText="1"/>
    </xf>
    <xf numFmtId="0" fontId="29" fillId="0" borderId="10" xfId="0" applyFont="1" applyBorder="1" applyAlignment="1">
      <alignment horizontal="center" vertical="center"/>
    </xf>
    <xf numFmtId="1" fontId="29" fillId="0" borderId="10" xfId="0" applyNumberFormat="1" applyFont="1" applyBorder="1" applyAlignment="1">
      <alignment horizontal="center" vertical="center"/>
    </xf>
    <xf numFmtId="1" fontId="29" fillId="0" borderId="38" xfId="0" applyNumberFormat="1" applyFont="1" applyBorder="1" applyAlignment="1">
      <alignment horizontal="center" vertical="center"/>
    </xf>
    <xf numFmtId="167" fontId="29" fillId="0" borderId="10" xfId="0" applyNumberFormat="1" applyFont="1" applyBorder="1" applyAlignment="1">
      <alignment horizontal="center" vertical="center"/>
    </xf>
    <xf numFmtId="1" fontId="9" fillId="0" borderId="10" xfId="0" applyNumberFormat="1" applyFont="1" applyBorder="1" applyAlignment="1">
      <alignment horizontal="center" vertical="center"/>
    </xf>
    <xf numFmtId="10" fontId="29" fillId="0" borderId="10" xfId="88" applyNumberFormat="1" applyFont="1" applyBorder="1" applyAlignment="1">
      <alignment horizontal="center" vertical="center"/>
    </xf>
    <xf numFmtId="2" fontId="29" fillId="0" borderId="10" xfId="0" applyNumberFormat="1" applyFont="1" applyBorder="1" applyAlignment="1">
      <alignment horizontal="center" vertical="center"/>
    </xf>
    <xf numFmtId="10" fontId="29" fillId="0" borderId="10" xfId="0" applyNumberFormat="1" applyFont="1" applyBorder="1" applyAlignment="1">
      <alignment horizontal="center" vertical="center"/>
    </xf>
    <xf numFmtId="10" fontId="0" fillId="0" borderId="10" xfId="0" applyNumberFormat="1" applyBorder="1" applyAlignment="1">
      <alignment horizontal="center" vertical="center"/>
    </xf>
    <xf numFmtId="9" fontId="0" fillId="0" borderId="10" xfId="0" applyNumberFormat="1" applyBorder="1" applyAlignment="1">
      <alignment horizontal="center" vertical="center"/>
    </xf>
    <xf numFmtId="17" fontId="7" fillId="0" borderId="10" xfId="0" applyNumberFormat="1" applyFont="1" applyBorder="1" applyAlignment="1">
      <alignment horizontal="center" vertical="center"/>
    </xf>
    <xf numFmtId="0" fontId="97" fillId="0" borderId="10" xfId="0" applyFont="1" applyBorder="1" applyAlignment="1">
      <alignment vertical="center" wrapText="1"/>
    </xf>
    <xf numFmtId="0" fontId="97" fillId="0" borderId="10" xfId="0" applyFont="1" applyBorder="1" applyAlignment="1">
      <alignment horizontal="center" vertical="center" wrapText="1"/>
    </xf>
    <xf numFmtId="0" fontId="97" fillId="0" borderId="10" xfId="0" applyFont="1" applyBorder="1" applyAlignment="1">
      <alignment vertical="center"/>
    </xf>
    <xf numFmtId="9" fontId="0" fillId="0" borderId="10" xfId="88" applyFont="1" applyBorder="1" applyAlignment="1">
      <alignment horizontal="center" vertical="center"/>
    </xf>
    <xf numFmtId="2" fontId="97" fillId="0" borderId="10" xfId="0" applyNumberFormat="1" applyFont="1" applyBorder="1" applyAlignment="1">
      <alignment horizontal="center" vertical="center"/>
    </xf>
    <xf numFmtId="0" fontId="17" fillId="0" borderId="10" xfId="115" applyFont="1" applyFill="1" applyBorder="1" applyAlignment="1">
      <alignment horizontal="center" vertical="center"/>
    </xf>
    <xf numFmtId="167" fontId="61" fillId="0" borderId="10" xfId="83" applyNumberFormat="1" applyBorder="1" applyAlignment="1">
      <alignment vertical="center"/>
    </xf>
    <xf numFmtId="2" fontId="20" fillId="29" borderId="10" xfId="0" applyNumberFormat="1" applyFont="1" applyFill="1" applyBorder="1" applyAlignment="1">
      <alignment horizontal="center" vertical="center"/>
    </xf>
    <xf numFmtId="2" fontId="8" fillId="29" borderId="75" xfId="0" applyNumberFormat="1" applyFont="1" applyFill="1" applyBorder="1" applyAlignment="1">
      <alignment vertical="center"/>
    </xf>
    <xf numFmtId="0" fontId="42" fillId="0" borderId="10" xfId="0" applyFont="1" applyBorder="1" applyAlignment="1">
      <alignment horizontal="left" vertical="center"/>
    </xf>
    <xf numFmtId="0" fontId="61" fillId="0" borderId="0" xfId="83"/>
    <xf numFmtId="0" fontId="89" fillId="0" borderId="10" xfId="83" applyFont="1" applyBorder="1" applyAlignment="1">
      <alignment horizontal="center" vertical="center" wrapText="1"/>
    </xf>
    <xf numFmtId="0" fontId="90" fillId="0" borderId="0" xfId="83" applyFont="1"/>
    <xf numFmtId="17" fontId="89" fillId="0" borderId="10" xfId="83" applyNumberFormat="1" applyFont="1" applyBorder="1" applyAlignment="1">
      <alignment horizontal="center" vertical="center"/>
    </xf>
    <xf numFmtId="0" fontId="89" fillId="0" borderId="10" xfId="83" applyFont="1" applyBorder="1" applyAlignment="1">
      <alignment horizontal="center" vertical="center"/>
    </xf>
    <xf numFmtId="0" fontId="76" fillId="0" borderId="10" xfId="83" applyFont="1" applyBorder="1" applyAlignment="1">
      <alignment vertical="center"/>
    </xf>
    <xf numFmtId="0" fontId="76" fillId="0" borderId="10" xfId="83" applyFont="1" applyBorder="1" applyAlignment="1">
      <alignment horizontal="center" vertical="center"/>
    </xf>
    <xf numFmtId="167" fontId="76" fillId="0" borderId="10" xfId="83" applyNumberFormat="1" applyFont="1" applyBorder="1" applyAlignment="1">
      <alignment vertical="center"/>
    </xf>
    <xf numFmtId="167" fontId="76" fillId="0" borderId="10" xfId="83" applyNumberFormat="1" applyFont="1" applyBorder="1" applyAlignment="1">
      <alignment horizontal="center" vertical="center"/>
    </xf>
    <xf numFmtId="1" fontId="76" fillId="0" borderId="10" xfId="83" applyNumberFormat="1" applyFont="1" applyBorder="1" applyAlignment="1">
      <alignment horizontal="center" vertical="center"/>
    </xf>
    <xf numFmtId="0" fontId="76" fillId="0" borderId="0" xfId="83" applyFont="1"/>
    <xf numFmtId="0" fontId="61" fillId="0" borderId="10" xfId="83" applyBorder="1" applyAlignment="1">
      <alignment vertical="center"/>
    </xf>
    <xf numFmtId="0" fontId="61" fillId="0" borderId="10" xfId="83" applyBorder="1" applyAlignment="1">
      <alignment horizontal="right" vertical="center"/>
    </xf>
    <xf numFmtId="0" fontId="61" fillId="0" borderId="10" xfId="83" applyBorder="1" applyAlignment="1">
      <alignment horizontal="center" vertical="center"/>
    </xf>
    <xf numFmtId="167" fontId="61" fillId="0" borderId="10" xfId="83" applyNumberFormat="1" applyBorder="1" applyAlignment="1">
      <alignment horizontal="center" vertical="center"/>
    </xf>
    <xf numFmtId="9" fontId="61" fillId="0" borderId="0" xfId="88" applyFont="1" applyFill="1"/>
    <xf numFmtId="1" fontId="61" fillId="0" borderId="0" xfId="83" applyNumberFormat="1"/>
    <xf numFmtId="1" fontId="76" fillId="0" borderId="0" xfId="83" applyNumberFormat="1" applyFont="1"/>
    <xf numFmtId="2" fontId="61" fillId="0" borderId="10" xfId="83" applyNumberFormat="1" applyBorder="1" applyAlignment="1">
      <alignment vertical="center"/>
    </xf>
    <xf numFmtId="10" fontId="61" fillId="0" borderId="0" xfId="88" applyNumberFormat="1" applyFont="1" applyFill="1"/>
    <xf numFmtId="0" fontId="61" fillId="0" borderId="50" xfId="83" applyBorder="1" applyAlignment="1">
      <alignment horizontal="center" vertical="center"/>
    </xf>
    <xf numFmtId="0" fontId="61" fillId="0" borderId="50" xfId="83" applyBorder="1" applyAlignment="1">
      <alignment vertical="center"/>
    </xf>
    <xf numFmtId="167" fontId="76" fillId="0" borderId="0" xfId="83" applyNumberFormat="1" applyFont="1"/>
    <xf numFmtId="2" fontId="61" fillId="0" borderId="0" xfId="83" applyNumberFormat="1"/>
    <xf numFmtId="167" fontId="61" fillId="0" borderId="0" xfId="83" applyNumberFormat="1"/>
    <xf numFmtId="0" fontId="61" fillId="0" borderId="10" xfId="83" applyBorder="1" applyAlignment="1">
      <alignment vertical="center" wrapText="1"/>
    </xf>
    <xf numFmtId="0" fontId="61" fillId="0" borderId="0" xfId="83" applyAlignment="1">
      <alignment vertical="center"/>
    </xf>
    <xf numFmtId="0" fontId="113" fillId="0" borderId="89" xfId="0" applyFont="1" applyBorder="1" applyAlignment="1">
      <alignment vertical="center"/>
    </xf>
    <xf numFmtId="1" fontId="76" fillId="0" borderId="10" xfId="83" applyNumberFormat="1" applyFont="1" applyBorder="1" applyAlignment="1">
      <alignment vertical="center"/>
    </xf>
    <xf numFmtId="167" fontId="61" fillId="0" borderId="50" xfId="83" applyNumberFormat="1" applyBorder="1" applyAlignment="1">
      <alignment vertical="center"/>
    </xf>
    <xf numFmtId="0" fontId="113" fillId="0" borderId="114" xfId="0" applyFont="1" applyBorder="1" applyAlignment="1">
      <alignment vertical="center"/>
    </xf>
    <xf numFmtId="0" fontId="92" fillId="0" borderId="10" xfId="83" applyFont="1" applyBorder="1" applyAlignment="1">
      <alignment vertical="center"/>
    </xf>
    <xf numFmtId="0" fontId="92" fillId="0" borderId="10" xfId="83" applyFont="1" applyBorder="1" applyAlignment="1">
      <alignment horizontal="center" vertical="center"/>
    </xf>
    <xf numFmtId="167" fontId="92" fillId="0" borderId="10" xfId="83" applyNumberFormat="1" applyFont="1" applyBorder="1" applyAlignment="1">
      <alignment vertical="center"/>
    </xf>
    <xf numFmtId="0" fontId="91" fillId="0" borderId="0" xfId="83" applyFont="1"/>
    <xf numFmtId="167" fontId="89" fillId="0" borderId="10" xfId="83" applyNumberFormat="1" applyFont="1" applyBorder="1" applyAlignment="1">
      <alignment horizontal="center" vertical="center"/>
    </xf>
    <xf numFmtId="1" fontId="61" fillId="0" borderId="10" xfId="83" applyNumberFormat="1" applyBorder="1" applyAlignment="1">
      <alignment vertical="center"/>
    </xf>
    <xf numFmtId="0" fontId="61" fillId="0" borderId="10" xfId="83" applyBorder="1"/>
    <xf numFmtId="2" fontId="76" fillId="0" borderId="10" xfId="83" applyNumberFormat="1" applyFont="1" applyBorder="1" applyAlignment="1">
      <alignment vertical="center"/>
    </xf>
    <xf numFmtId="0" fontId="61" fillId="0" borderId="0" xfId="83" applyAlignment="1">
      <alignment horizontal="center" vertical="center"/>
    </xf>
    <xf numFmtId="0" fontId="76" fillId="0" borderId="10" xfId="83" applyFont="1" applyBorder="1"/>
    <xf numFmtId="165" fontId="61" fillId="0" borderId="0" xfId="37" applyFont="1" applyFill="1"/>
    <xf numFmtId="0" fontId="76" fillId="0" borderId="0" xfId="83" applyFont="1" applyAlignment="1">
      <alignment horizontal="center" vertical="center"/>
    </xf>
    <xf numFmtId="9" fontId="20" fillId="0" borderId="0" xfId="115" applyNumberFormat="1" applyFill="1" applyAlignment="1">
      <alignment vertical="center"/>
    </xf>
    <xf numFmtId="1" fontId="18" fillId="0" borderId="40" xfId="115" applyNumberFormat="1" applyFont="1" applyFill="1" applyBorder="1" applyAlignment="1">
      <alignment vertical="center"/>
    </xf>
    <xf numFmtId="1" fontId="17" fillId="0" borderId="90" xfId="115" applyNumberFormat="1" applyFont="1" applyFill="1" applyBorder="1" applyAlignment="1">
      <alignment vertical="center"/>
    </xf>
    <xf numFmtId="1" fontId="29" fillId="0" borderId="128" xfId="115" applyNumberFormat="1" applyFont="1" applyFill="1" applyBorder="1" applyAlignment="1">
      <alignment vertical="center"/>
    </xf>
    <xf numFmtId="1" fontId="29" fillId="0" borderId="40" xfId="115" applyNumberFormat="1" applyFont="1" applyFill="1" applyBorder="1" applyAlignment="1">
      <alignment vertical="center"/>
    </xf>
    <xf numFmtId="1" fontId="29" fillId="0" borderId="38" xfId="115" applyNumberFormat="1" applyFont="1" applyFill="1" applyBorder="1" applyAlignment="1">
      <alignment vertical="center"/>
    </xf>
    <xf numFmtId="1" fontId="29" fillId="0" borderId="10" xfId="115" applyNumberFormat="1" applyFont="1" applyFill="1" applyBorder="1" applyAlignment="1">
      <alignment vertical="center"/>
    </xf>
    <xf numFmtId="1" fontId="18" fillId="0" borderId="10" xfId="115" applyNumberFormat="1" applyFont="1" applyFill="1" applyBorder="1" applyAlignment="1">
      <alignment horizontal="center" vertical="center"/>
    </xf>
    <xf numFmtId="167" fontId="18" fillId="0" borderId="10" xfId="115" applyNumberFormat="1" applyFont="1" applyFill="1" applyBorder="1" applyAlignment="1">
      <alignment horizontal="center" vertical="center"/>
    </xf>
    <xf numFmtId="1" fontId="17" fillId="0" borderId="10" xfId="115" applyNumberFormat="1" applyFont="1" applyFill="1" applyBorder="1" applyAlignment="1">
      <alignment horizontal="center" vertical="center"/>
    </xf>
    <xf numFmtId="167" fontId="17" fillId="0" borderId="10" xfId="115" applyNumberFormat="1" applyFont="1" applyFill="1" applyBorder="1" applyAlignment="1">
      <alignment horizontal="center" vertical="center"/>
    </xf>
    <xf numFmtId="49" fontId="7" fillId="0" borderId="10" xfId="0" applyNumberFormat="1" applyFont="1" applyBorder="1" applyAlignment="1">
      <alignment horizontal="center"/>
    </xf>
    <xf numFmtId="0" fontId="7" fillId="0" borderId="10" xfId="0" applyFont="1" applyBorder="1" applyAlignment="1">
      <alignment vertical="center" wrapText="1"/>
    </xf>
    <xf numFmtId="0" fontId="7" fillId="0" borderId="75" xfId="0" applyFont="1" applyBorder="1" applyAlignment="1">
      <alignment horizontal="center"/>
    </xf>
    <xf numFmtId="2" fontId="7" fillId="0" borderId="10" xfId="0" applyNumberFormat="1" applyFont="1" applyBorder="1" applyAlignment="1">
      <alignment horizontal="center"/>
    </xf>
    <xf numFmtId="167" fontId="8" fillId="0" borderId="128" xfId="85" applyNumberFormat="1" applyFont="1" applyFill="1" applyBorder="1" applyAlignment="1">
      <alignment horizontal="center" vertical="center"/>
    </xf>
    <xf numFmtId="167" fontId="8" fillId="0" borderId="38" xfId="85" applyNumberFormat="1" applyFont="1" applyFill="1" applyBorder="1" applyAlignment="1">
      <alignment horizontal="center" vertical="center"/>
    </xf>
    <xf numFmtId="167" fontId="8" fillId="0" borderId="129" xfId="85" applyNumberFormat="1" applyFont="1" applyFill="1" applyBorder="1" applyAlignment="1">
      <alignment horizontal="center" vertical="center"/>
    </xf>
    <xf numFmtId="167" fontId="8" fillId="0" borderId="136" xfId="85" applyNumberFormat="1" applyFont="1" applyFill="1" applyBorder="1" applyAlignment="1">
      <alignment horizontal="center" vertical="center"/>
    </xf>
    <xf numFmtId="0" fontId="24" fillId="0" borderId="42" xfId="85" applyFont="1" applyFill="1" applyBorder="1" applyAlignment="1">
      <alignment horizontal="center" vertical="center" wrapText="1"/>
    </xf>
    <xf numFmtId="0" fontId="16" fillId="0" borderId="131" xfId="85" applyFont="1" applyFill="1" applyBorder="1" applyAlignment="1">
      <alignment horizontal="center" vertical="center"/>
    </xf>
    <xf numFmtId="0" fontId="16" fillId="0" borderId="112" xfId="85" applyFont="1" applyFill="1" applyBorder="1" applyAlignment="1">
      <alignment horizontal="center" vertical="center"/>
    </xf>
    <xf numFmtId="0" fontId="20" fillId="0" borderId="41" xfId="85" applyFill="1" applyBorder="1" applyAlignment="1">
      <alignment horizontal="center" vertical="center"/>
    </xf>
    <xf numFmtId="0" fontId="20" fillId="0" borderId="143" xfId="85" applyFill="1" applyBorder="1" applyAlignment="1">
      <alignment horizontal="center" vertical="center"/>
    </xf>
    <xf numFmtId="0" fontId="84" fillId="0" borderId="0" xfId="0" applyFont="1"/>
    <xf numFmtId="1" fontId="37" fillId="0" borderId="0" xfId="0" applyNumberFormat="1" applyFont="1"/>
    <xf numFmtId="167" fontId="8" fillId="0" borderId="75" xfId="85" applyNumberFormat="1" applyFont="1" applyFill="1" applyBorder="1" applyAlignment="1">
      <alignment horizontal="center" vertical="center"/>
    </xf>
    <xf numFmtId="1" fontId="20" fillId="0" borderId="75" xfId="85" applyNumberFormat="1" applyFill="1" applyBorder="1" applyAlignment="1">
      <alignment horizontal="center" vertical="center"/>
    </xf>
    <xf numFmtId="0" fontId="12" fillId="0" borderId="10" xfId="0" applyFont="1" applyBorder="1" applyAlignment="1">
      <alignment horizontal="center" vertical="center"/>
    </xf>
    <xf numFmtId="0" fontId="12" fillId="0" borderId="91" xfId="0" applyFont="1" applyBorder="1" applyAlignment="1">
      <alignment horizontal="center" vertical="center"/>
    </xf>
    <xf numFmtId="0" fontId="17" fillId="0" borderId="49" xfId="0" applyFont="1" applyBorder="1" applyAlignment="1">
      <alignment vertical="center"/>
    </xf>
    <xf numFmtId="0" fontId="0" fillId="0" borderId="49" xfId="0" applyBorder="1" applyAlignment="1">
      <alignment horizontal="center" vertical="center"/>
    </xf>
    <xf numFmtId="0" fontId="0" fillId="0" borderId="49" xfId="0" applyBorder="1" applyAlignment="1">
      <alignment vertical="center"/>
    </xf>
    <xf numFmtId="0" fontId="0" fillId="0" borderId="44" xfId="0" applyBorder="1" applyAlignment="1">
      <alignment vertical="center"/>
    </xf>
    <xf numFmtId="193" fontId="54" fillId="0" borderId="40" xfId="37" applyNumberFormat="1" applyFont="1" applyFill="1" applyBorder="1" applyAlignment="1">
      <alignment horizontal="center" vertical="center"/>
    </xf>
    <xf numFmtId="193" fontId="54" fillId="0" borderId="10" xfId="37" applyNumberFormat="1" applyFont="1" applyFill="1" applyBorder="1" applyAlignment="1">
      <alignment horizontal="center" vertical="center"/>
    </xf>
    <xf numFmtId="193" fontId="54" fillId="0" borderId="41" xfId="37" applyNumberFormat="1" applyFont="1" applyFill="1" applyBorder="1" applyAlignment="1">
      <alignment horizontal="center" vertical="center"/>
    </xf>
    <xf numFmtId="174" fontId="54" fillId="0" borderId="143" xfId="37" applyNumberFormat="1" applyFont="1" applyFill="1" applyBorder="1" applyAlignment="1">
      <alignment vertical="center"/>
    </xf>
    <xf numFmtId="0" fontId="12" fillId="0" borderId="90" xfId="0" applyFont="1" applyBorder="1" applyAlignment="1">
      <alignment horizontal="left" vertical="center"/>
    </xf>
    <xf numFmtId="167" fontId="20" fillId="0" borderId="10" xfId="0" applyNumberFormat="1" applyFont="1" applyBorder="1" applyAlignment="1">
      <alignment vertical="center"/>
    </xf>
    <xf numFmtId="1" fontId="20" fillId="0" borderId="10" xfId="0" applyNumberFormat="1" applyFont="1" applyBorder="1" applyAlignment="1">
      <alignment vertical="center"/>
    </xf>
    <xf numFmtId="10" fontId="8" fillId="0" borderId="10" xfId="88" applyNumberFormat="1" applyFont="1" applyFill="1" applyBorder="1" applyAlignment="1">
      <alignment horizontal="center" vertical="center"/>
    </xf>
    <xf numFmtId="167" fontId="112" fillId="0" borderId="10" xfId="85" applyNumberFormat="1" applyFont="1" applyFill="1" applyBorder="1" applyAlignment="1">
      <alignment horizontal="right" vertical="center"/>
    </xf>
    <xf numFmtId="2" fontId="112" fillId="0" borderId="10" xfId="85" applyNumberFormat="1" applyFont="1" applyFill="1" applyBorder="1" applyAlignment="1">
      <alignment horizontal="right" vertical="center"/>
    </xf>
    <xf numFmtId="2" fontId="20" fillId="0" borderId="0" xfId="85" applyNumberFormat="1" applyFill="1" applyAlignment="1">
      <alignment horizontal="right" vertical="center"/>
    </xf>
    <xf numFmtId="167" fontId="37" fillId="0" borderId="0" xfId="0" applyNumberFormat="1" applyFont="1"/>
    <xf numFmtId="2" fontId="56" fillId="0" borderId="0" xfId="0" applyNumberFormat="1" applyFont="1"/>
    <xf numFmtId="167" fontId="8" fillId="0" borderId="0" xfId="0" applyNumberFormat="1" applyFont="1"/>
    <xf numFmtId="192" fontId="54" fillId="0" borderId="0" xfId="37" applyNumberFormat="1" applyFont="1" applyFill="1"/>
    <xf numFmtId="167" fontId="20" fillId="0" borderId="10" xfId="112" applyNumberFormat="1" applyFont="1" applyBorder="1" applyAlignment="1">
      <alignment vertical="center"/>
    </xf>
    <xf numFmtId="168" fontId="20" fillId="0" borderId="10" xfId="0" applyNumberFormat="1" applyFont="1" applyBorder="1" applyAlignment="1">
      <alignment vertical="center"/>
    </xf>
    <xf numFmtId="175" fontId="20" fillId="0" borderId="10" xfId="0" applyNumberFormat="1" applyFont="1" applyBorder="1" applyAlignment="1">
      <alignment vertical="center"/>
    </xf>
    <xf numFmtId="2" fontId="8" fillId="0" borderId="10" xfId="85" applyNumberFormat="1" applyFont="1" applyFill="1" applyBorder="1" applyAlignment="1">
      <alignment horizontal="right" vertical="center"/>
    </xf>
    <xf numFmtId="0" fontId="24" fillId="0" borderId="75" xfId="0" applyFont="1" applyBorder="1" applyAlignment="1">
      <alignment horizontal="center" vertical="center" wrapText="1"/>
    </xf>
    <xf numFmtId="2" fontId="20" fillId="0" borderId="10" xfId="0" applyNumberFormat="1" applyFont="1" applyBorder="1" applyAlignment="1">
      <alignment vertical="center"/>
    </xf>
    <xf numFmtId="2" fontId="20" fillId="0" borderId="10" xfId="0" applyNumberFormat="1" applyFont="1" applyBorder="1" applyAlignment="1">
      <alignment horizontal="center" vertical="center"/>
    </xf>
    <xf numFmtId="2" fontId="20" fillId="0" borderId="22" xfId="0" applyNumberFormat="1" applyFont="1" applyBorder="1" applyAlignment="1">
      <alignment horizontal="center" vertical="center"/>
    </xf>
    <xf numFmtId="2" fontId="20" fillId="0" borderId="0" xfId="0" applyNumberFormat="1" applyFont="1" applyAlignment="1">
      <alignment horizontal="center" vertical="center"/>
    </xf>
    <xf numFmtId="1" fontId="20" fillId="0" borderId="10" xfId="0" applyNumberFormat="1" applyFont="1" applyBorder="1" applyAlignment="1">
      <alignment horizontal="center" vertical="center"/>
    </xf>
    <xf numFmtId="1" fontId="20" fillId="0" borderId="10" xfId="0" applyNumberFormat="1" applyFont="1" applyBorder="1" applyAlignment="1">
      <alignment horizontal="right" vertical="center"/>
    </xf>
    <xf numFmtId="0" fontId="20" fillId="0" borderId="10" xfId="0" applyFont="1" applyBorder="1" applyAlignment="1">
      <alignment vertical="center" wrapText="1"/>
    </xf>
    <xf numFmtId="1" fontId="8" fillId="0" borderId="10" xfId="0" applyNumberFormat="1" applyFont="1" applyBorder="1" applyAlignment="1">
      <alignment horizontal="right" vertical="center"/>
    </xf>
    <xf numFmtId="2" fontId="8" fillId="0" borderId="10" xfId="0" applyNumberFormat="1" applyFont="1" applyBorder="1" applyAlignment="1">
      <alignment horizontal="right" vertical="center"/>
    </xf>
    <xf numFmtId="2" fontId="8" fillId="0" borderId="75" xfId="0" applyNumberFormat="1" applyFont="1" applyBorder="1" applyAlignment="1">
      <alignment horizontal="right" vertical="center"/>
    </xf>
    <xf numFmtId="167" fontId="20" fillId="0" borderId="10" xfId="0" applyNumberFormat="1" applyFont="1" applyBorder="1" applyAlignment="1">
      <alignment horizontal="right" vertical="center"/>
    </xf>
    <xf numFmtId="17" fontId="20" fillId="0" borderId="10" xfId="0" applyNumberFormat="1" applyFont="1" applyBorder="1" applyAlignment="1">
      <alignment vertical="center"/>
    </xf>
    <xf numFmtId="2" fontId="20" fillId="0" borderId="75" xfId="0" applyNumberFormat="1" applyFont="1" applyBorder="1" applyAlignment="1">
      <alignment vertical="center"/>
    </xf>
    <xf numFmtId="1" fontId="20" fillId="0" borderId="0" xfId="85" applyNumberFormat="1" applyFill="1" applyAlignment="1">
      <alignment horizontal="center" vertical="center"/>
    </xf>
    <xf numFmtId="0" fontId="8" fillId="0" borderId="10" xfId="0" applyFont="1" applyBorder="1" applyAlignment="1">
      <alignment horizontal="right" vertical="center"/>
    </xf>
    <xf numFmtId="167" fontId="20" fillId="0" borderId="10" xfId="0" applyNumberFormat="1" applyFont="1" applyBorder="1" applyAlignment="1">
      <alignment horizontal="center" vertical="center"/>
    </xf>
    <xf numFmtId="2" fontId="20" fillId="0" borderId="10" xfId="0" applyNumberFormat="1" applyFont="1" applyBorder="1" applyAlignment="1">
      <alignment vertical="center" wrapText="1"/>
    </xf>
    <xf numFmtId="2" fontId="8" fillId="0" borderId="75" xfId="0" applyNumberFormat="1" applyFont="1" applyBorder="1" applyAlignment="1">
      <alignment vertical="center"/>
    </xf>
    <xf numFmtId="0" fontId="6" fillId="0" borderId="0" xfId="84" applyAlignment="1" applyProtection="1">
      <alignment horizontal="center" vertical="center"/>
      <protection locked="0"/>
    </xf>
    <xf numFmtId="0" fontId="7" fillId="0" borderId="0" xfId="84" applyFont="1" applyAlignment="1" applyProtection="1">
      <alignment horizontal="left" wrapText="1"/>
      <protection locked="0"/>
    </xf>
    <xf numFmtId="0" fontId="6" fillId="0" borderId="0" xfId="84" applyAlignment="1" applyProtection="1">
      <alignment horizontal="left"/>
      <protection locked="0"/>
    </xf>
    <xf numFmtId="0" fontId="24" fillId="0" borderId="0" xfId="84" applyFont="1" applyAlignment="1" applyProtection="1">
      <alignment horizontal="center" vertical="center"/>
      <protection locked="0"/>
    </xf>
    <xf numFmtId="0" fontId="24" fillId="0" borderId="10" xfId="84" applyFont="1" applyBorder="1" applyAlignment="1" applyProtection="1">
      <alignment horizontal="center" vertical="center"/>
      <protection locked="0"/>
    </xf>
    <xf numFmtId="0" fontId="24" fillId="0" borderId="10" xfId="84" applyFont="1" applyBorder="1" applyAlignment="1" applyProtection="1">
      <alignment horizontal="center" vertical="center" wrapText="1"/>
      <protection locked="0"/>
    </xf>
    <xf numFmtId="0" fontId="24" fillId="0" borderId="6" xfId="84" applyFont="1" applyBorder="1" applyAlignment="1" applyProtection="1">
      <alignment horizontal="center" vertical="center" wrapText="1"/>
      <protection locked="0"/>
    </xf>
    <xf numFmtId="0" fontId="24" fillId="0" borderId="22" xfId="84" applyFont="1" applyBorder="1" applyAlignment="1" applyProtection="1">
      <alignment horizontal="center" vertical="center" wrapText="1"/>
      <protection locked="0"/>
    </xf>
    <xf numFmtId="0" fontId="24" fillId="0" borderId="0" xfId="84" applyFont="1" applyAlignment="1" applyProtection="1">
      <alignment vertical="center" wrapText="1"/>
      <protection locked="0"/>
    </xf>
    <xf numFmtId="2" fontId="24" fillId="0" borderId="0" xfId="84" applyNumberFormat="1" applyFont="1" applyAlignment="1" applyProtection="1">
      <alignment vertical="center" wrapText="1"/>
      <protection locked="0"/>
    </xf>
    <xf numFmtId="0" fontId="7" fillId="0" borderId="0" xfId="84" applyFont="1" applyAlignment="1" applyProtection="1">
      <alignment horizontal="center" vertical="center"/>
      <protection locked="0"/>
    </xf>
    <xf numFmtId="0" fontId="7" fillId="0" borderId="10" xfId="84" applyFont="1" applyBorder="1" applyAlignment="1" applyProtection="1">
      <alignment horizontal="center" vertical="center"/>
      <protection locked="0"/>
    </xf>
    <xf numFmtId="0" fontId="7" fillId="0" borderId="0" xfId="84" applyFont="1" applyAlignment="1" applyProtection="1">
      <alignment horizontal="center" vertical="center" wrapText="1"/>
      <protection locked="0"/>
    </xf>
    <xf numFmtId="2" fontId="7" fillId="0" borderId="0" xfId="84" applyNumberFormat="1" applyFont="1" applyAlignment="1" applyProtection="1">
      <alignment horizontal="center" vertical="center" wrapText="1"/>
      <protection locked="0"/>
    </xf>
    <xf numFmtId="0" fontId="6" fillId="0" borderId="10" xfId="84" applyBorder="1" applyAlignment="1" applyProtection="1">
      <alignment horizontal="center" vertical="center"/>
      <protection locked="0"/>
    </xf>
    <xf numFmtId="0" fontId="6" fillId="0" borderId="10" xfId="84" applyBorder="1" applyAlignment="1" applyProtection="1">
      <alignment vertical="center" wrapText="1"/>
      <protection locked="0"/>
    </xf>
    <xf numFmtId="2" fontId="6" fillId="0" borderId="10" xfId="84" applyNumberFormat="1" applyBorder="1" applyAlignment="1" applyProtection="1">
      <alignment vertical="center" wrapText="1"/>
      <protection locked="0"/>
    </xf>
    <xf numFmtId="2" fontId="6" fillId="0" borderId="0" xfId="84" applyNumberFormat="1" applyAlignment="1" applyProtection="1">
      <alignment wrapText="1"/>
      <protection locked="0"/>
    </xf>
    <xf numFmtId="2" fontId="6" fillId="0" borderId="0" xfId="84" applyNumberFormat="1" applyProtection="1">
      <protection locked="0"/>
    </xf>
    <xf numFmtId="2" fontId="6" fillId="0" borderId="10" xfId="84" applyNumberFormat="1" applyBorder="1" applyAlignment="1" applyProtection="1">
      <alignment horizontal="right" vertical="center" wrapText="1"/>
      <protection locked="0"/>
    </xf>
    <xf numFmtId="165" fontId="6" fillId="0" borderId="0" xfId="37" applyFill="1" applyAlignment="1" applyProtection="1">
      <alignment wrapText="1"/>
      <protection locked="0"/>
    </xf>
    <xf numFmtId="165" fontId="7" fillId="0" borderId="0" xfId="37" applyFont="1" applyFill="1" applyAlignment="1" applyProtection="1">
      <alignment wrapText="1"/>
      <protection locked="0"/>
    </xf>
    <xf numFmtId="2" fontId="7" fillId="0" borderId="10" xfId="84" applyNumberFormat="1" applyFont="1" applyBorder="1" applyAlignment="1" applyProtection="1">
      <alignment vertical="center" wrapText="1"/>
      <protection locked="0"/>
    </xf>
    <xf numFmtId="2" fontId="7" fillId="0" borderId="10" xfId="84" applyNumberFormat="1" applyFont="1" applyBorder="1" applyAlignment="1" applyProtection="1">
      <alignment horizontal="right" vertical="center" wrapText="1"/>
      <protection locked="0"/>
    </xf>
    <xf numFmtId="2" fontId="28" fillId="0" borderId="10" xfId="84" applyNumberFormat="1" applyFont="1" applyBorder="1" applyAlignment="1" applyProtection="1">
      <alignment horizontal="right" vertical="center" wrapText="1"/>
      <protection locked="0"/>
    </xf>
    <xf numFmtId="2" fontId="7" fillId="0" borderId="0" xfId="84" applyNumberFormat="1" applyFont="1" applyAlignment="1" applyProtection="1">
      <alignment wrapText="1"/>
      <protection locked="0"/>
    </xf>
    <xf numFmtId="205" fontId="6" fillId="0" borderId="0" xfId="37" applyNumberFormat="1" applyFill="1" applyAlignment="1" applyProtection="1">
      <alignment wrapText="1"/>
      <protection locked="0"/>
    </xf>
    <xf numFmtId="0" fontId="126" fillId="0" borderId="137" xfId="0" applyFont="1" applyBorder="1" applyAlignment="1">
      <alignment horizontal="right" wrapText="1" readingOrder="1"/>
    </xf>
    <xf numFmtId="0" fontId="125" fillId="0" borderId="137" xfId="0" applyFont="1" applyBorder="1" applyAlignment="1">
      <alignment horizontal="right" wrapText="1"/>
    </xf>
    <xf numFmtId="0" fontId="127" fillId="0" borderId="137" xfId="0" applyFont="1" applyBorder="1" applyAlignment="1">
      <alignment horizontal="right" wrapText="1" readingOrder="1"/>
    </xf>
    <xf numFmtId="0" fontId="6" fillId="0" borderId="10" xfId="84" applyBorder="1" applyAlignment="1" applyProtection="1">
      <alignment vertical="center"/>
      <protection locked="0"/>
    </xf>
    <xf numFmtId="173" fontId="6" fillId="0" borderId="0" xfId="84" applyNumberFormat="1" applyAlignment="1" applyProtection="1">
      <alignment wrapText="1"/>
      <protection locked="0"/>
    </xf>
    <xf numFmtId="0" fontId="127" fillId="0" borderId="138" xfId="0" applyFont="1" applyBorder="1" applyAlignment="1">
      <alignment horizontal="right" wrapText="1" readingOrder="1"/>
    </xf>
    <xf numFmtId="0" fontId="127" fillId="0" borderId="0" xfId="0" applyFont="1" applyAlignment="1">
      <alignment horizontal="right" wrapText="1" readingOrder="1"/>
    </xf>
    <xf numFmtId="2" fontId="7" fillId="0" borderId="10" xfId="84" applyNumberFormat="1" applyFont="1" applyBorder="1" applyAlignment="1" applyProtection="1">
      <alignment horizontal="right" wrapText="1"/>
      <protection locked="0"/>
    </xf>
    <xf numFmtId="2" fontId="7" fillId="0" borderId="0" xfId="84" applyNumberFormat="1" applyFont="1" applyAlignment="1" applyProtection="1">
      <alignment horizontal="right" wrapText="1"/>
      <protection locked="0"/>
    </xf>
    <xf numFmtId="0" fontId="127" fillId="0" borderId="10" xfId="0" applyFont="1" applyBorder="1" applyAlignment="1">
      <alignment horizontal="right" wrapText="1" readingOrder="1"/>
    </xf>
    <xf numFmtId="2" fontId="10" fillId="0" borderId="0" xfId="84" applyNumberFormat="1" applyFont="1" applyAlignment="1" applyProtection="1">
      <alignment wrapText="1"/>
      <protection locked="0"/>
    </xf>
    <xf numFmtId="2" fontId="7" fillId="0" borderId="10" xfId="84" applyNumberFormat="1" applyFont="1" applyBorder="1" applyAlignment="1" applyProtection="1">
      <alignment wrapText="1"/>
      <protection locked="0"/>
    </xf>
    <xf numFmtId="0" fontId="7" fillId="0" borderId="10" xfId="84" applyFont="1" applyBorder="1" applyAlignment="1" applyProtection="1">
      <alignment vertical="center" wrapText="1"/>
      <protection locked="0"/>
    </xf>
    <xf numFmtId="173" fontId="7" fillId="0" borderId="0" xfId="84" applyNumberFormat="1" applyFont="1" applyAlignment="1" applyProtection="1">
      <alignment wrapText="1"/>
      <protection locked="0"/>
    </xf>
    <xf numFmtId="1" fontId="6" fillId="0" borderId="0" xfId="84" applyNumberFormat="1" applyProtection="1">
      <protection locked="0"/>
    </xf>
    <xf numFmtId="2" fontId="26" fillId="0" borderId="0" xfId="84" applyNumberFormat="1" applyFont="1" applyAlignment="1" applyProtection="1">
      <alignment wrapText="1"/>
      <protection locked="0"/>
    </xf>
    <xf numFmtId="0" fontId="6" fillId="0" borderId="0" xfId="84" applyAlignment="1" applyProtection="1">
      <alignment horizontal="right" wrapText="1"/>
      <protection locked="0"/>
    </xf>
    <xf numFmtId="165" fontId="26" fillId="0" borderId="0" xfId="37" applyFont="1" applyFill="1" applyAlignment="1" applyProtection="1">
      <alignment wrapText="1"/>
      <protection locked="0"/>
    </xf>
    <xf numFmtId="173" fontId="42" fillId="0" borderId="0" xfId="84" applyNumberFormat="1" applyFont="1" applyAlignment="1" applyProtection="1">
      <alignment wrapText="1"/>
      <protection locked="0"/>
    </xf>
    <xf numFmtId="2" fontId="42" fillId="0" borderId="0" xfId="84" applyNumberFormat="1" applyFont="1" applyAlignment="1" applyProtection="1">
      <alignment wrapText="1"/>
      <protection locked="0"/>
    </xf>
    <xf numFmtId="0" fontId="7" fillId="0" borderId="10" xfId="84" applyFont="1" applyBorder="1" applyProtection="1">
      <protection locked="0"/>
    </xf>
    <xf numFmtId="0" fontId="7" fillId="0" borderId="52" xfId="0" applyFont="1" applyBorder="1"/>
    <xf numFmtId="0" fontId="6" fillId="0" borderId="10" xfId="84" applyBorder="1" applyProtection="1">
      <protection locked="0"/>
    </xf>
    <xf numFmtId="1" fontId="6" fillId="0" borderId="10" xfId="84" applyNumberFormat="1" applyBorder="1" applyProtection="1">
      <protection locked="0"/>
    </xf>
    <xf numFmtId="167" fontId="6" fillId="0" borderId="0" xfId="84" applyNumberFormat="1" applyAlignment="1" applyProtection="1">
      <alignment wrapText="1"/>
      <protection locked="0"/>
    </xf>
    <xf numFmtId="1" fontId="7" fillId="0" borderId="10" xfId="84" applyNumberFormat="1" applyFont="1" applyBorder="1" applyProtection="1">
      <protection locked="0"/>
    </xf>
    <xf numFmtId="0" fontId="0" fillId="0" borderId="15" xfId="0" applyBorder="1" applyAlignment="1">
      <alignment wrapText="1" shrinkToFit="1"/>
    </xf>
    <xf numFmtId="0" fontId="6" fillId="0" borderId="15" xfId="0" applyFont="1" applyBorder="1" applyAlignment="1">
      <alignment horizontal="right"/>
    </xf>
    <xf numFmtId="0" fontId="6" fillId="0" borderId="15" xfId="0" applyFont="1" applyBorder="1" applyAlignment="1">
      <alignment horizontal="center"/>
    </xf>
    <xf numFmtId="0" fontId="53" fillId="0" borderId="10" xfId="0" applyFont="1" applyBorder="1" applyAlignment="1">
      <alignment horizont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90" xfId="0" applyFont="1" applyBorder="1" applyAlignment="1">
      <alignment vertical="center" wrapText="1"/>
    </xf>
    <xf numFmtId="0" fontId="7" fillId="0" borderId="91" xfId="0" applyFont="1" applyBorder="1" applyAlignment="1">
      <alignment vertical="center" wrapText="1"/>
    </xf>
    <xf numFmtId="0" fontId="7" fillId="0" borderId="91" xfId="0" applyFont="1" applyBorder="1" applyAlignment="1">
      <alignment horizontal="left" vertical="center" wrapText="1"/>
    </xf>
    <xf numFmtId="0" fontId="7" fillId="0" borderId="90" xfId="0" applyFont="1" applyBorder="1" applyAlignment="1">
      <alignment horizontal="left" vertical="center" wrapText="1"/>
    </xf>
    <xf numFmtId="0" fontId="0" fillId="0" borderId="128" xfId="0" applyBorder="1" applyAlignment="1">
      <alignment horizontal="center" vertical="center" wrapText="1"/>
    </xf>
    <xf numFmtId="0" fontId="6" fillId="0" borderId="94" xfId="0" applyFont="1" applyBorder="1" applyAlignment="1">
      <alignment wrapText="1"/>
    </xf>
    <xf numFmtId="0" fontId="0" fillId="0" borderId="40" xfId="0" applyBorder="1" applyAlignment="1">
      <alignment horizontal="center" vertical="center" wrapText="1"/>
    </xf>
    <xf numFmtId="0" fontId="6" fillId="0" borderId="75" xfId="0" applyFont="1" applyBorder="1" applyAlignment="1">
      <alignment wrapText="1"/>
    </xf>
    <xf numFmtId="2" fontId="0" fillId="0" borderId="40" xfId="0" applyNumberFormat="1" applyBorder="1" applyAlignment="1">
      <alignment horizontal="right" vertical="center"/>
    </xf>
    <xf numFmtId="2" fontId="7" fillId="0" borderId="41" xfId="0" applyNumberFormat="1" applyFont="1" applyBorder="1" applyAlignment="1">
      <alignment horizontal="right" vertical="center"/>
    </xf>
    <xf numFmtId="4" fontId="0" fillId="0" borderId="40" xfId="0" applyNumberFormat="1" applyBorder="1" applyAlignment="1">
      <alignment horizontal="right" vertical="center"/>
    </xf>
    <xf numFmtId="2" fontId="0" fillId="0" borderId="41" xfId="0" applyNumberFormat="1" applyBorder="1" applyAlignment="1">
      <alignment horizontal="right" vertical="center"/>
    </xf>
    <xf numFmtId="0" fontId="0" fillId="0" borderId="75" xfId="0" applyBorder="1" applyAlignment="1">
      <alignment wrapText="1"/>
    </xf>
    <xf numFmtId="0" fontId="7" fillId="0" borderId="75" xfId="0" applyFont="1" applyBorder="1" applyAlignment="1">
      <alignment horizontal="right" wrapText="1"/>
    </xf>
    <xf numFmtId="2" fontId="7" fillId="0" borderId="40" xfId="0" applyNumberFormat="1" applyFont="1" applyBorder="1" applyAlignment="1">
      <alignment horizontal="right" vertical="center"/>
    </xf>
    <xf numFmtId="4" fontId="7" fillId="0" borderId="40" xfId="0" applyNumberFormat="1" applyFont="1" applyBorder="1" applyAlignment="1">
      <alignment horizontal="right" vertical="center"/>
    </xf>
    <xf numFmtId="204" fontId="7" fillId="0" borderId="40" xfId="0" applyNumberFormat="1" applyFont="1" applyBorder="1" applyAlignment="1">
      <alignment horizontal="right" vertical="center"/>
    </xf>
    <xf numFmtId="0" fontId="55" fillId="0" borderId="0" xfId="0" applyFont="1" applyAlignment="1">
      <alignment horizontal="center"/>
    </xf>
    <xf numFmtId="0" fontId="7" fillId="0" borderId="75" xfId="0" applyFont="1" applyBorder="1" applyAlignment="1">
      <alignment wrapText="1"/>
    </xf>
    <xf numFmtId="0" fontId="7" fillId="0" borderId="75" xfId="0" applyFont="1" applyBorder="1" applyAlignment="1">
      <alignment horizontal="left" wrapText="1"/>
    </xf>
    <xf numFmtId="203" fontId="0" fillId="0" borderId="40" xfId="0" applyNumberFormat="1" applyBorder="1" applyAlignment="1">
      <alignment horizontal="right" vertical="center"/>
    </xf>
    <xf numFmtId="203" fontId="0" fillId="0" borderId="10" xfId="0" applyNumberFormat="1" applyBorder="1" applyAlignment="1">
      <alignment horizontal="right" vertical="center"/>
    </xf>
    <xf numFmtId="16" fontId="7" fillId="0" borderId="0" xfId="0" applyNumberFormat="1" applyFont="1" applyAlignment="1">
      <alignment horizontal="center"/>
    </xf>
    <xf numFmtId="2" fontId="117" fillId="0" borderId="10" xfId="0" applyNumberFormat="1" applyFont="1" applyBorder="1" applyAlignment="1">
      <alignment horizontal="right" vertical="center"/>
    </xf>
    <xf numFmtId="165" fontId="7" fillId="0" borderId="0" xfId="37" applyFont="1" applyFill="1"/>
    <xf numFmtId="9" fontId="7" fillId="0" borderId="0" xfId="88" applyFont="1" applyFill="1"/>
    <xf numFmtId="9" fontId="6" fillId="0" borderId="0" xfId="88" applyFont="1" applyFill="1"/>
    <xf numFmtId="0" fontId="7" fillId="0" borderId="140" xfId="0" applyFont="1" applyBorder="1" applyAlignment="1">
      <alignment wrapText="1"/>
    </xf>
    <xf numFmtId="2" fontId="7" fillId="0" borderId="90" xfId="0" applyNumberFormat="1" applyFont="1" applyBorder="1" applyAlignment="1">
      <alignment horizontal="right" vertical="center"/>
    </xf>
    <xf numFmtId="2" fontId="7" fillId="0" borderId="91" xfId="0" applyNumberFormat="1" applyFont="1" applyBorder="1" applyAlignment="1">
      <alignment horizontal="right" vertical="center"/>
    </xf>
    <xf numFmtId="2" fontId="7" fillId="0" borderId="92" xfId="0" applyNumberFormat="1" applyFont="1" applyBorder="1" applyAlignment="1">
      <alignment horizontal="right" vertical="center"/>
    </xf>
    <xf numFmtId="0" fontId="0" fillId="0" borderId="79" xfId="0" applyBorder="1" applyAlignment="1">
      <alignment horizontal="center" vertical="center"/>
    </xf>
    <xf numFmtId="0" fontId="7" fillId="0" borderId="139" xfId="0" applyFont="1" applyBorder="1" applyAlignment="1">
      <alignment wrapText="1"/>
    </xf>
    <xf numFmtId="0" fontId="0" fillId="0" borderId="79" xfId="0" applyBorder="1"/>
    <xf numFmtId="0" fontId="0" fillId="0" borderId="80" xfId="0" applyBorder="1"/>
    <xf numFmtId="2" fontId="0" fillId="0" borderId="81" xfId="0" applyNumberFormat="1" applyBorder="1"/>
    <xf numFmtId="2" fontId="0" fillId="0" borderId="79" xfId="0" applyNumberFormat="1" applyBorder="1"/>
    <xf numFmtId="2" fontId="0" fillId="0" borderId="80" xfId="0" applyNumberFormat="1" applyBorder="1"/>
    <xf numFmtId="0" fontId="0" fillId="0" borderId="81" xfId="0" applyBorder="1"/>
    <xf numFmtId="0" fontId="26" fillId="0" borderId="81" xfId="0" applyFont="1" applyBorder="1"/>
    <xf numFmtId="0" fontId="25" fillId="0" borderId="40" xfId="0" applyFont="1" applyBorder="1" applyAlignment="1">
      <alignment horizontal="center" vertical="center"/>
    </xf>
    <xf numFmtId="0" fontId="25" fillId="0" borderId="75" xfId="0" applyFont="1" applyBorder="1" applyAlignment="1">
      <alignment wrapText="1"/>
    </xf>
    <xf numFmtId="0" fontId="6" fillId="0" borderId="40" xfId="0" applyFont="1" applyBorder="1" applyAlignment="1">
      <alignment horizontal="center" vertical="center"/>
    </xf>
    <xf numFmtId="1" fontId="6" fillId="0" borderId="41" xfId="0" applyNumberFormat="1" applyFont="1" applyBorder="1" applyAlignment="1">
      <alignment horizontal="center" vertical="center"/>
    </xf>
    <xf numFmtId="1" fontId="6" fillId="0" borderId="40" xfId="0" applyNumberFormat="1" applyFont="1" applyBorder="1" applyAlignment="1">
      <alignment horizontal="center" vertical="center"/>
    </xf>
    <xf numFmtId="0" fontId="24" fillId="0" borderId="0" xfId="0" applyFont="1" applyAlignment="1">
      <alignment horizontal="center" vertical="center" wrapText="1"/>
    </xf>
    <xf numFmtId="0" fontId="24" fillId="0" borderId="40" xfId="0" applyFont="1" applyBorder="1" applyAlignment="1">
      <alignment horizontal="center" vertical="center"/>
    </xf>
    <xf numFmtId="0" fontId="24" fillId="0" borderId="75" xfId="0" applyFont="1" applyBorder="1" applyAlignment="1">
      <alignment wrapText="1"/>
    </xf>
    <xf numFmtId="1" fontId="7" fillId="0" borderId="41" xfId="0" applyNumberFormat="1" applyFont="1" applyBorder="1" applyAlignment="1">
      <alignment horizontal="center" vertical="center"/>
    </xf>
    <xf numFmtId="1" fontId="7" fillId="0" borderId="40" xfId="0" applyNumberFormat="1" applyFont="1" applyBorder="1" applyAlignment="1">
      <alignment horizontal="center" vertical="center"/>
    </xf>
    <xf numFmtId="1" fontId="7" fillId="0" borderId="10" xfId="0" applyNumberFormat="1" applyFont="1" applyBorder="1" applyAlignment="1">
      <alignment horizontal="center" vertical="center"/>
    </xf>
    <xf numFmtId="1" fontId="0" fillId="0" borderId="41" xfId="0" applyNumberFormat="1" applyBorder="1"/>
    <xf numFmtId="2" fontId="0" fillId="0" borderId="40" xfId="0" applyNumberFormat="1" applyBorder="1"/>
    <xf numFmtId="1" fontId="0" fillId="0" borderId="10" xfId="0" applyNumberFormat="1" applyBorder="1" applyAlignment="1">
      <alignment horizontal="center"/>
    </xf>
    <xf numFmtId="1" fontId="0" fillId="0" borderId="41" xfId="0" applyNumberFormat="1" applyBorder="1" applyAlignment="1">
      <alignment horizontal="center"/>
    </xf>
    <xf numFmtId="2" fontId="26" fillId="0" borderId="41" xfId="0" applyNumberFormat="1" applyFont="1" applyBorder="1"/>
    <xf numFmtId="0" fontId="24" fillId="0" borderId="0" xfId="0" applyFont="1" applyAlignment="1">
      <alignment horizontal="center"/>
    </xf>
    <xf numFmtId="0" fontId="24" fillId="0" borderId="0" xfId="0" applyFont="1" applyAlignment="1">
      <alignment vertical="center" wrapText="1"/>
    </xf>
    <xf numFmtId="1" fontId="96" fillId="0" borderId="41" xfId="0" applyNumberFormat="1"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90" xfId="0" applyFont="1" applyBorder="1" applyAlignment="1">
      <alignment horizontal="center" vertical="center"/>
    </xf>
    <xf numFmtId="0" fontId="25" fillId="0" borderId="140" xfId="0" applyFont="1" applyBorder="1" applyAlignment="1">
      <alignment wrapText="1"/>
    </xf>
    <xf numFmtId="0" fontId="0" fillId="0" borderId="90" xfId="0" applyBorder="1"/>
    <xf numFmtId="0" fontId="0" fillId="0" borderId="91" xfId="0" applyBorder="1"/>
    <xf numFmtId="2" fontId="25" fillId="0" borderId="0" xfId="0" applyNumberFormat="1" applyFont="1"/>
    <xf numFmtId="165" fontId="25" fillId="0" borderId="0" xfId="0" applyNumberFormat="1" applyFont="1"/>
    <xf numFmtId="0" fontId="7" fillId="0" borderId="79" xfId="0" applyFont="1" applyBorder="1" applyAlignment="1">
      <alignment horizontal="center"/>
    </xf>
    <xf numFmtId="0" fontId="7" fillId="0" borderId="80" xfId="0" applyFont="1" applyBorder="1" applyAlignment="1">
      <alignment horizontal="left" vertical="top" wrapText="1"/>
    </xf>
    <xf numFmtId="2" fontId="24" fillId="0" borderId="0" xfId="0" applyNumberFormat="1" applyFont="1"/>
    <xf numFmtId="0" fontId="0" fillId="0" borderId="15" xfId="0" applyBorder="1" applyAlignment="1">
      <alignment horizontal="center"/>
    </xf>
    <xf numFmtId="0" fontId="7" fillId="0" borderId="40" xfId="0" applyFont="1" applyBorder="1" applyAlignment="1">
      <alignment horizontal="right" vertical="top"/>
    </xf>
    <xf numFmtId="0" fontId="6" fillId="0" borderId="10" xfId="0" applyFont="1" applyBorder="1" applyAlignment="1">
      <alignment horizontal="left" vertical="top" wrapText="1"/>
    </xf>
    <xf numFmtId="167" fontId="0" fillId="0" borderId="47" xfId="0" applyNumberFormat="1" applyBorder="1"/>
    <xf numFmtId="2" fontId="0" fillId="0" borderId="47" xfId="0" applyNumberFormat="1" applyBorder="1"/>
    <xf numFmtId="174" fontId="25" fillId="0" borderId="0" xfId="0" applyNumberFormat="1" applyFont="1"/>
    <xf numFmtId="165" fontId="24" fillId="0" borderId="0" xfId="0" applyNumberFormat="1" applyFont="1"/>
    <xf numFmtId="166" fontId="0" fillId="0" borderId="41" xfId="0" applyNumberFormat="1" applyBorder="1"/>
    <xf numFmtId="165" fontId="0" fillId="0" borderId="0" xfId="0" applyNumberFormat="1"/>
    <xf numFmtId="165" fontId="7" fillId="0" borderId="41" xfId="0" applyNumberFormat="1" applyFont="1" applyBorder="1"/>
    <xf numFmtId="0" fontId="7" fillId="0" borderId="40" xfId="0" applyFont="1" applyBorder="1"/>
    <xf numFmtId="0" fontId="7" fillId="0" borderId="10" xfId="0" applyFont="1" applyBorder="1" applyAlignment="1">
      <alignment horizontal="left" vertical="top" wrapText="1"/>
    </xf>
    <xf numFmtId="165" fontId="0" fillId="0" borderId="41" xfId="0" applyNumberFormat="1" applyBorder="1"/>
    <xf numFmtId="0" fontId="0" fillId="0" borderId="10" xfId="0" applyBorder="1" applyAlignment="1">
      <alignment horizontal="left" vertical="top" wrapText="1"/>
    </xf>
    <xf numFmtId="0" fontId="7" fillId="0" borderId="90" xfId="0" applyFont="1" applyBorder="1"/>
    <xf numFmtId="0" fontId="7" fillId="0" borderId="91" xfId="0" applyFont="1" applyBorder="1" applyAlignment="1">
      <alignment horizontal="left" vertical="top" wrapText="1"/>
    </xf>
    <xf numFmtId="166" fontId="7" fillId="0" borderId="92" xfId="0" applyNumberFormat="1" applyFont="1" applyBorder="1"/>
    <xf numFmtId="0" fontId="135" fillId="0" borderId="0" xfId="0" applyFont="1"/>
    <xf numFmtId="0" fontId="136" fillId="0" borderId="0" xfId="0" applyFont="1"/>
    <xf numFmtId="0" fontId="42" fillId="0" borderId="0" xfId="0" applyFont="1" applyAlignment="1">
      <alignment horizontal="center" vertical="center"/>
    </xf>
    <xf numFmtId="168" fontId="42" fillId="0" borderId="0" xfId="0" applyNumberFormat="1" applyFont="1" applyAlignment="1">
      <alignment horizontal="center" vertical="center"/>
    </xf>
    <xf numFmtId="2" fontId="42" fillId="0" borderId="0" xfId="0" applyNumberFormat="1" applyFont="1" applyAlignment="1">
      <alignment horizontal="center" vertical="center"/>
    </xf>
    <xf numFmtId="168" fontId="7" fillId="0" borderId="0" xfId="0" applyNumberFormat="1" applyFont="1" applyAlignment="1">
      <alignment horizontal="center"/>
    </xf>
    <xf numFmtId="168" fontId="22" fillId="0" borderId="0" xfId="0" applyNumberFormat="1" applyFont="1" applyAlignment="1">
      <alignment horizontal="center"/>
    </xf>
    <xf numFmtId="168" fontId="0" fillId="0" borderId="0" xfId="0" applyNumberFormat="1" applyAlignment="1">
      <alignment horizontal="center"/>
    </xf>
    <xf numFmtId="0" fontId="24" fillId="0" borderId="75" xfId="0" applyFont="1" applyBorder="1" applyAlignment="1">
      <alignment horizontal="center" wrapText="1"/>
    </xf>
    <xf numFmtId="0" fontId="24" fillId="0" borderId="10" xfId="0" applyFont="1" applyBorder="1" applyAlignment="1">
      <alignment horizontal="center"/>
    </xf>
    <xf numFmtId="49" fontId="24" fillId="0" borderId="10" xfId="0" applyNumberFormat="1" applyFont="1" applyBorder="1" applyAlignment="1">
      <alignment horizontal="center"/>
    </xf>
    <xf numFmtId="49" fontId="24" fillId="0" borderId="0" xfId="0" applyNumberFormat="1" applyFont="1" applyAlignment="1">
      <alignment horizontal="center"/>
    </xf>
    <xf numFmtId="2" fontId="7" fillId="0" borderId="75" xfId="0" applyNumberFormat="1" applyFont="1" applyBorder="1" applyAlignment="1">
      <alignment horizontal="center" vertical="center"/>
    </xf>
    <xf numFmtId="2" fontId="6" fillId="0" borderId="75" xfId="0" applyNumberFormat="1" applyFont="1" applyBorder="1" applyAlignment="1">
      <alignment horizontal="center" vertical="center"/>
    </xf>
    <xf numFmtId="2" fontId="6" fillId="0" borderId="0" xfId="0" applyNumberFormat="1" applyFont="1" applyAlignment="1">
      <alignment horizontal="right"/>
    </xf>
    <xf numFmtId="0" fontId="31" fillId="0" borderId="0" xfId="0" applyFont="1" applyAlignment="1">
      <alignment horizontal="center"/>
    </xf>
    <xf numFmtId="2" fontId="26" fillId="0" borderId="10" xfId="0" applyNumberFormat="1" applyFont="1" applyBorder="1" applyAlignment="1">
      <alignment horizontal="center" vertical="center"/>
    </xf>
    <xf numFmtId="2" fontId="26" fillId="0" borderId="75" xfId="0" applyNumberFormat="1" applyFont="1" applyBorder="1" applyAlignment="1">
      <alignment horizontal="center" vertical="center"/>
    </xf>
    <xf numFmtId="0" fontId="133"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left"/>
    </xf>
    <xf numFmtId="0" fontId="31" fillId="0" borderId="0" xfId="0" applyFont="1" applyAlignment="1">
      <alignment horizontal="right"/>
    </xf>
    <xf numFmtId="0" fontId="134" fillId="0" borderId="0" xfId="0" applyFont="1" applyAlignment="1">
      <alignment horizontal="center" vertical="center"/>
    </xf>
    <xf numFmtId="0" fontId="134" fillId="0" borderId="0" xfId="0" applyFont="1" applyAlignment="1">
      <alignment vertical="center"/>
    </xf>
    <xf numFmtId="2" fontId="6" fillId="0" borderId="10" xfId="37" applyNumberFormat="1" applyFont="1" applyFill="1" applyBorder="1" applyAlignment="1">
      <alignment horizontal="center" vertical="center"/>
    </xf>
    <xf numFmtId="0" fontId="115" fillId="0" borderId="0" xfId="0" applyFont="1"/>
    <xf numFmtId="2" fontId="132" fillId="0" borderId="10" xfId="0" applyNumberFormat="1" applyFont="1" applyBorder="1" applyAlignment="1">
      <alignment horizontal="center" vertical="center"/>
    </xf>
    <xf numFmtId="2" fontId="7" fillId="0" borderId="0" xfId="0" applyNumberFormat="1" applyFont="1" applyAlignment="1">
      <alignment horizontal="center" vertical="center"/>
    </xf>
    <xf numFmtId="174" fontId="26" fillId="0" borderId="0" xfId="0" applyNumberFormat="1" applyFont="1" applyAlignment="1">
      <alignment horizontal="right"/>
    </xf>
    <xf numFmtId="1" fontId="0" fillId="0" borderId="0" xfId="0" applyNumberFormat="1" applyAlignment="1">
      <alignment horizontal="center" vertical="center"/>
    </xf>
    <xf numFmtId="2" fontId="0" fillId="0" borderId="0" xfId="88" applyNumberFormat="1" applyFont="1" applyFill="1"/>
    <xf numFmtId="0" fontId="97" fillId="0" borderId="0" xfId="0" applyFont="1" applyAlignment="1">
      <alignment horizontal="center" vertical="center"/>
    </xf>
    <xf numFmtId="0" fontId="137" fillId="0" borderId="0" xfId="0" applyFont="1" applyAlignment="1">
      <alignment vertical="center"/>
    </xf>
    <xf numFmtId="1" fontId="138" fillId="0" borderId="0" xfId="0" applyNumberFormat="1" applyFont="1" applyAlignment="1">
      <alignment horizontal="center" vertical="center"/>
    </xf>
    <xf numFmtId="0" fontId="0" fillId="0" borderId="45" xfId="0" applyBorder="1" applyAlignment="1">
      <alignment horizontal="right"/>
    </xf>
    <xf numFmtId="0" fontId="139" fillId="0" borderId="0" xfId="0" applyFont="1" applyAlignment="1">
      <alignment vertical="center"/>
    </xf>
    <xf numFmtId="2" fontId="6" fillId="0" borderId="10" xfId="0" applyNumberFormat="1" applyFont="1" applyBorder="1" applyAlignment="1">
      <alignment horizontal="center"/>
    </xf>
    <xf numFmtId="0" fontId="132" fillId="0" borderId="10" xfId="0" applyFont="1" applyBorder="1" applyAlignment="1">
      <alignment horizontal="center" vertical="center"/>
    </xf>
    <xf numFmtId="0" fontId="140" fillId="0" borderId="0" xfId="0" applyFont="1" applyAlignment="1">
      <alignment vertical="center"/>
    </xf>
    <xf numFmtId="0" fontId="6" fillId="0" borderId="0" xfId="0" applyFont="1" applyAlignment="1">
      <alignment horizontal="left" vertical="center"/>
    </xf>
    <xf numFmtId="2" fontId="6" fillId="0" borderId="0" xfId="0" applyNumberFormat="1" applyFont="1" applyAlignment="1">
      <alignment horizontal="center" vertical="center"/>
    </xf>
    <xf numFmtId="0" fontId="148" fillId="0" borderId="0" xfId="0" applyFont="1" applyAlignment="1">
      <alignment horizontal="left" vertical="center"/>
    </xf>
    <xf numFmtId="0" fontId="132" fillId="0" borderId="0" xfId="0" applyFont="1" applyAlignment="1">
      <alignment horizontal="center"/>
    </xf>
    <xf numFmtId="2" fontId="1" fillId="0" borderId="10" xfId="0" applyNumberFormat="1" applyFont="1" applyBorder="1" applyAlignment="1">
      <alignment horizontal="center" vertical="center"/>
    </xf>
    <xf numFmtId="175" fontId="0" fillId="0" borderId="0" xfId="0" applyNumberFormat="1" applyAlignment="1">
      <alignment horizontal="center" vertical="center"/>
    </xf>
    <xf numFmtId="2" fontId="0" fillId="0" borderId="49" xfId="0" applyNumberFormat="1" applyBorder="1"/>
    <xf numFmtId="2" fontId="0" fillId="0" borderId="44" xfId="0" applyNumberFormat="1" applyBorder="1"/>
    <xf numFmtId="2" fontId="0" fillId="0" borderId="15" xfId="0" applyNumberFormat="1" applyBorder="1" applyAlignment="1">
      <alignment horizontal="center"/>
    </xf>
    <xf numFmtId="2" fontId="0" fillId="0" borderId="54" xfId="0" applyNumberFormat="1" applyBorder="1" applyAlignment="1">
      <alignment horizontal="center"/>
    </xf>
    <xf numFmtId="167" fontId="0" fillId="0" borderId="51" xfId="0" applyNumberFormat="1" applyBorder="1"/>
    <xf numFmtId="0" fontId="147" fillId="0" borderId="10" xfId="0" applyFont="1" applyBorder="1" applyAlignment="1">
      <alignment horizontal="center" vertical="center"/>
    </xf>
    <xf numFmtId="174" fontId="0" fillId="0" borderId="10" xfId="0" applyNumberFormat="1" applyBorder="1" applyAlignment="1">
      <alignment vertical="center"/>
    </xf>
    <xf numFmtId="0" fontId="7" fillId="0" borderId="10" xfId="0" applyFont="1" applyBorder="1" applyAlignment="1">
      <alignment horizontal="right" vertical="center" wrapText="1"/>
    </xf>
    <xf numFmtId="174" fontId="6" fillId="0" borderId="10" xfId="0" applyNumberFormat="1" applyFont="1" applyBorder="1" applyAlignment="1">
      <alignment vertical="center"/>
    </xf>
    <xf numFmtId="174" fontId="7" fillId="0" borderId="10" xfId="0" applyNumberFormat="1" applyFont="1" applyBorder="1" applyAlignment="1">
      <alignment vertical="center"/>
    </xf>
    <xf numFmtId="194" fontId="0" fillId="0" borderId="0" xfId="0" applyNumberFormat="1"/>
    <xf numFmtId="168" fontId="7" fillId="0" borderId="0" xfId="0" applyNumberFormat="1" applyFont="1" applyAlignment="1">
      <alignment horizontal="right"/>
    </xf>
    <xf numFmtId="188" fontId="0" fillId="0" borderId="0" xfId="0" applyNumberFormat="1"/>
    <xf numFmtId="2" fontId="59" fillId="0" borderId="10" xfId="0" applyNumberFormat="1" applyFont="1" applyBorder="1" applyAlignment="1">
      <alignment vertical="center"/>
    </xf>
    <xf numFmtId="196" fontId="0" fillId="0" borderId="0" xfId="0" applyNumberFormat="1"/>
    <xf numFmtId="1" fontId="6" fillId="0" borderId="10" xfId="85" applyNumberFormat="1" applyFont="1" applyFill="1" applyBorder="1" applyAlignment="1">
      <alignment vertical="center"/>
    </xf>
    <xf numFmtId="1" fontId="6" fillId="0" borderId="10" xfId="37" applyNumberFormat="1" applyFont="1" applyFill="1" applyBorder="1" applyAlignment="1">
      <alignment vertical="center"/>
    </xf>
    <xf numFmtId="1" fontId="96" fillId="0" borderId="10" xfId="37" applyNumberFormat="1" applyFont="1" applyFill="1" applyBorder="1" applyAlignment="1">
      <alignment vertical="center"/>
    </xf>
    <xf numFmtId="10" fontId="8" fillId="0" borderId="0" xfId="88" applyNumberFormat="1" applyFont="1" applyFill="1" applyBorder="1" applyAlignment="1">
      <alignment horizontal="right"/>
    </xf>
    <xf numFmtId="167" fontId="8" fillId="0" borderId="10" xfId="0" applyNumberFormat="1" applyFont="1" applyBorder="1" applyAlignment="1">
      <alignment horizontal="center" vertical="center"/>
    </xf>
    <xf numFmtId="2" fontId="8" fillId="0" borderId="75" xfId="0" applyNumberFormat="1" applyFont="1" applyBorder="1" applyAlignment="1">
      <alignment horizontal="center" vertical="center"/>
    </xf>
    <xf numFmtId="171" fontId="20" fillId="0" borderId="10" xfId="0" applyNumberFormat="1" applyFont="1" applyBorder="1" applyAlignment="1">
      <alignment horizontal="center" vertical="center"/>
    </xf>
    <xf numFmtId="172" fontId="20" fillId="0" borderId="10" xfId="0" applyNumberFormat="1" applyFont="1" applyBorder="1" applyAlignment="1">
      <alignment horizontal="center" vertical="center"/>
    </xf>
    <xf numFmtId="0" fontId="24" fillId="0" borderId="82" xfId="0" applyFont="1" applyBorder="1" applyAlignment="1">
      <alignment horizontal="center" vertical="center" wrapText="1" shrinkToFit="1"/>
    </xf>
    <xf numFmtId="2" fontId="20" fillId="0" borderId="10" xfId="0" applyNumberFormat="1" applyFont="1" applyBorder="1" applyAlignment="1">
      <alignment horizontal="right" vertical="center"/>
    </xf>
    <xf numFmtId="171" fontId="20" fillId="0" borderId="10" xfId="0" applyNumberFormat="1" applyFont="1" applyBorder="1" applyAlignment="1">
      <alignment horizontal="right" vertical="center"/>
    </xf>
    <xf numFmtId="171" fontId="8" fillId="0" borderId="10" xfId="0" applyNumberFormat="1" applyFont="1" applyBorder="1" applyAlignment="1">
      <alignment vertical="center"/>
    </xf>
    <xf numFmtId="172" fontId="20" fillId="0" borderId="10" xfId="0" applyNumberFormat="1" applyFont="1" applyBorder="1" applyAlignment="1">
      <alignment vertical="center"/>
    </xf>
    <xf numFmtId="9" fontId="4" fillId="0" borderId="10" xfId="0" applyNumberFormat="1" applyFont="1" applyBorder="1" applyAlignment="1">
      <alignment horizontal="center" vertical="center" wrapText="1"/>
    </xf>
    <xf numFmtId="1" fontId="6" fillId="35" borderId="10" xfId="37" applyNumberFormat="1" applyFont="1" applyFill="1" applyBorder="1" applyAlignment="1">
      <alignment horizontal="center" vertical="center"/>
    </xf>
    <xf numFmtId="1" fontId="6" fillId="35" borderId="10" xfId="0" applyNumberFormat="1" applyFont="1" applyFill="1" applyBorder="1" applyAlignment="1">
      <alignment horizontal="right" vertical="center"/>
    </xf>
    <xf numFmtId="1" fontId="6" fillId="35" borderId="10" xfId="0" applyNumberFormat="1" applyFont="1" applyFill="1" applyBorder="1"/>
    <xf numFmtId="1" fontId="0" fillId="35" borderId="10" xfId="0" applyNumberFormat="1" applyFill="1" applyBorder="1"/>
    <xf numFmtId="1" fontId="7" fillId="35" borderId="10" xfId="0" applyNumberFormat="1" applyFont="1" applyFill="1" applyBorder="1" applyAlignment="1">
      <alignment horizontal="right" vertical="center"/>
    </xf>
    <xf numFmtId="1" fontId="7" fillId="35" borderId="10" xfId="0" applyNumberFormat="1" applyFont="1" applyFill="1" applyBorder="1"/>
    <xf numFmtId="1" fontId="7" fillId="0" borderId="10" xfId="88" applyNumberFormat="1" applyFont="1" applyBorder="1"/>
    <xf numFmtId="1" fontId="0" fillId="29" borderId="10" xfId="0" applyNumberFormat="1" applyFill="1" applyBorder="1"/>
    <xf numFmtId="0" fontId="12" fillId="0" borderId="40" xfId="85" applyFont="1" applyFill="1" applyBorder="1" applyAlignment="1">
      <alignment horizontal="center" vertical="center" wrapText="1"/>
    </xf>
    <xf numFmtId="0" fontId="0" fillId="0" borderId="40" xfId="0" applyBorder="1" applyAlignment="1">
      <alignment horizontal="center" vertical="center" wrapText="1"/>
    </xf>
    <xf numFmtId="0" fontId="12" fillId="0" borderId="10" xfId="85" applyFont="1" applyFill="1" applyBorder="1" applyAlignment="1">
      <alignment horizontal="center" vertical="center" wrapText="1"/>
    </xf>
    <xf numFmtId="0" fontId="0" fillId="0" borderId="10" xfId="0" applyBorder="1" applyAlignment="1">
      <alignment horizontal="center" vertical="center" wrapText="1"/>
    </xf>
    <xf numFmtId="0" fontId="16" fillId="0" borderId="10" xfId="85" applyFont="1" applyFill="1" applyBorder="1" applyAlignment="1">
      <alignment horizontal="center"/>
    </xf>
    <xf numFmtId="0" fontId="16" fillId="0" borderId="41" xfId="85" applyFont="1" applyFill="1" applyBorder="1" applyAlignment="1">
      <alignment horizontal="center"/>
    </xf>
    <xf numFmtId="0" fontId="12" fillId="0" borderId="41" xfId="85" applyFont="1" applyFill="1" applyBorder="1" applyAlignment="1">
      <alignment horizontal="center" vertical="center" wrapText="1"/>
    </xf>
    <xf numFmtId="0" fontId="0" fillId="0" borderId="41" xfId="0" applyBorder="1" applyAlignment="1">
      <alignment horizontal="center" vertical="center" wrapText="1"/>
    </xf>
    <xf numFmtId="0" fontId="8" fillId="0" borderId="10" xfId="0" applyFont="1" applyBorder="1" applyAlignment="1">
      <alignment horizontal="center"/>
    </xf>
    <xf numFmtId="0" fontId="8" fillId="0" borderId="79" xfId="115" applyFont="1" applyFill="1" applyBorder="1" applyAlignment="1">
      <alignment horizontal="center" vertical="center"/>
    </xf>
    <xf numFmtId="0" fontId="8" fillId="0" borderId="90" xfId="115" applyFont="1" applyFill="1" applyBorder="1" applyAlignment="1">
      <alignment horizontal="center" vertical="center"/>
    </xf>
    <xf numFmtId="0" fontId="17" fillId="0" borderId="80" xfId="115" applyFont="1" applyFill="1" applyBorder="1" applyAlignment="1">
      <alignment horizontal="center" vertical="center" wrapText="1"/>
    </xf>
    <xf numFmtId="0" fontId="17" fillId="0" borderId="91" xfId="115" applyFont="1" applyFill="1" applyBorder="1" applyAlignment="1">
      <alignment horizontal="center" vertical="center" wrapText="1"/>
    </xf>
    <xf numFmtId="0" fontId="17" fillId="0" borderId="139" xfId="115" applyFont="1" applyFill="1" applyBorder="1" applyAlignment="1">
      <alignment horizontal="center" vertical="center" wrapText="1"/>
    </xf>
    <xf numFmtId="0" fontId="17" fillId="0" borderId="140" xfId="115" applyFont="1" applyFill="1" applyBorder="1" applyAlignment="1">
      <alignment horizontal="center" vertical="center" wrapText="1"/>
    </xf>
    <xf numFmtId="0" fontId="17" fillId="0" borderId="79" xfId="115" applyFont="1" applyFill="1" applyBorder="1" applyAlignment="1">
      <alignment horizontal="center" vertical="center" wrapText="1"/>
    </xf>
    <xf numFmtId="0" fontId="17" fillId="0" borderId="81" xfId="115" applyFont="1" applyFill="1" applyBorder="1" applyAlignment="1">
      <alignment horizontal="center" vertical="center" wrapText="1"/>
    </xf>
    <xf numFmtId="0" fontId="17" fillId="0" borderId="40" xfId="115" applyFont="1" applyFill="1" applyBorder="1" applyAlignment="1">
      <alignment horizontal="center" vertical="center"/>
    </xf>
    <xf numFmtId="0" fontId="17" fillId="0" borderId="10" xfId="115" applyFont="1" applyFill="1" applyBorder="1" applyAlignment="1">
      <alignment horizontal="center" vertical="center"/>
    </xf>
    <xf numFmtId="0" fontId="17" fillId="0" borderId="41" xfId="115" applyFont="1" applyFill="1" applyBorder="1" applyAlignment="1">
      <alignment horizontal="center" vertical="center"/>
    </xf>
    <xf numFmtId="0" fontId="17" fillId="0" borderId="100" xfId="115" applyFont="1" applyFill="1" applyBorder="1" applyAlignment="1">
      <alignment horizontal="center" vertical="center" wrapText="1"/>
    </xf>
    <xf numFmtId="0" fontId="17" fillId="0" borderId="101" xfId="115" applyFont="1" applyFill="1" applyBorder="1" applyAlignment="1">
      <alignment horizontal="center" vertical="center" wrapText="1"/>
    </xf>
    <xf numFmtId="0" fontId="17" fillId="0" borderId="102" xfId="115" applyFont="1" applyFill="1" applyBorder="1" applyAlignment="1">
      <alignment horizontal="center" vertical="center" wrapText="1"/>
    </xf>
    <xf numFmtId="0" fontId="17" fillId="0" borderId="124" xfId="115" applyFont="1" applyFill="1" applyBorder="1" applyAlignment="1">
      <alignment horizontal="center" vertical="center"/>
    </xf>
    <xf numFmtId="0" fontId="17" fillId="0" borderId="22" xfId="115" applyFont="1" applyFill="1" applyBorder="1" applyAlignment="1">
      <alignment horizontal="center" vertical="center"/>
    </xf>
    <xf numFmtId="0" fontId="17" fillId="0" borderId="75" xfId="115" applyFont="1" applyFill="1" applyBorder="1" applyAlignment="1">
      <alignment horizontal="center" vertical="center"/>
    </xf>
    <xf numFmtId="0" fontId="17" fillId="0" borderId="143" xfId="115" applyFont="1" applyFill="1" applyBorder="1" applyAlignment="1">
      <alignment horizontal="center" vertical="center"/>
    </xf>
    <xf numFmtId="0" fontId="17" fillId="0" borderId="6" xfId="115" applyFont="1" applyFill="1" applyBorder="1" applyAlignment="1">
      <alignment horizontal="center" vertical="center"/>
    </xf>
    <xf numFmtId="0" fontId="8" fillId="0" borderId="0" xfId="115" applyFont="1" applyFill="1" applyAlignment="1">
      <alignment horizontal="center"/>
    </xf>
    <xf numFmtId="0" fontId="17" fillId="0" borderId="141" xfId="115" applyFont="1" applyFill="1" applyBorder="1" applyAlignment="1">
      <alignment horizontal="center" vertical="center" wrapText="1"/>
    </xf>
    <xf numFmtId="0" fontId="17" fillId="0" borderId="0" xfId="115" applyFont="1" applyFill="1" applyAlignment="1">
      <alignment horizontal="center" vertical="center"/>
    </xf>
    <xf numFmtId="0" fontId="17" fillId="0" borderId="10" xfId="115" applyFont="1" applyFill="1" applyBorder="1" applyAlignment="1">
      <alignment horizontal="center" vertical="center" wrapText="1"/>
    </xf>
    <xf numFmtId="0" fontId="17" fillId="0" borderId="75" xfId="115" applyFont="1" applyFill="1" applyBorder="1" applyAlignment="1">
      <alignment horizontal="center" vertical="center" wrapText="1"/>
    </xf>
    <xf numFmtId="0" fontId="17" fillId="0" borderId="6" xfId="115" applyFont="1" applyFill="1" applyBorder="1" applyAlignment="1">
      <alignment horizontal="center" vertical="center" wrapText="1"/>
    </xf>
    <xf numFmtId="0" fontId="17" fillId="0" borderId="22" xfId="115" applyFont="1" applyFill="1" applyBorder="1" applyAlignment="1">
      <alignment horizontal="center" vertical="center" wrapText="1"/>
    </xf>
    <xf numFmtId="0" fontId="24" fillId="0" borderId="139" xfId="85" applyFont="1" applyFill="1" applyBorder="1" applyAlignment="1">
      <alignment horizontal="center" vertical="center" wrapText="1"/>
    </xf>
    <xf numFmtId="0" fontId="24" fillId="0" borderId="140" xfId="85" applyFont="1" applyFill="1" applyBorder="1" applyAlignment="1">
      <alignment horizontal="center" vertical="center" wrapText="1"/>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24" fillId="0" borderId="102" xfId="85" applyFont="1" applyFill="1" applyBorder="1" applyAlignment="1">
      <alignment horizontal="center" vertical="center" wrapText="1"/>
    </xf>
    <xf numFmtId="0" fontId="24" fillId="0" borderId="144" xfId="85" applyFont="1" applyFill="1" applyBorder="1" applyAlignment="1">
      <alignment horizontal="center" vertical="center" wrapText="1"/>
    </xf>
    <xf numFmtId="0" fontId="8" fillId="0" borderId="10" xfId="0" applyFont="1" applyBorder="1" applyAlignment="1">
      <alignment horizontal="center" vertical="center"/>
    </xf>
    <xf numFmtId="192" fontId="24" fillId="0" borderId="10" xfId="37" applyNumberFormat="1" applyFont="1" applyFill="1" applyBorder="1" applyAlignment="1">
      <alignment horizontal="center" vertical="center" wrapText="1"/>
    </xf>
    <xf numFmtId="192" fontId="24" fillId="0" borderId="75" xfId="37" applyNumberFormat="1" applyFont="1" applyFill="1" applyBorder="1" applyAlignment="1">
      <alignment horizontal="center" vertical="center" wrapText="1"/>
    </xf>
    <xf numFmtId="165" fontId="24" fillId="0" borderId="143" xfId="37" applyFont="1" applyFill="1" applyBorder="1" applyAlignment="1">
      <alignment horizontal="center" vertical="center" wrapText="1"/>
    </xf>
    <xf numFmtId="0" fontId="17" fillId="0" borderId="52" xfId="115" applyFont="1" applyFill="1" applyBorder="1" applyAlignment="1">
      <alignment horizontal="center"/>
    </xf>
    <xf numFmtId="0" fontId="8" fillId="0" borderId="52" xfId="115" applyFont="1" applyFill="1" applyBorder="1" applyAlignment="1">
      <alignment horizontal="center"/>
    </xf>
    <xf numFmtId="0" fontId="7" fillId="0" borderId="50" xfId="85" applyFont="1" applyFill="1" applyBorder="1" applyAlignment="1">
      <alignment horizontal="center" vertical="center" wrapText="1"/>
    </xf>
    <xf numFmtId="0" fontId="7" fillId="0" borderId="88" xfId="85" applyFont="1" applyFill="1" applyBorder="1" applyAlignment="1">
      <alignment horizontal="center" vertical="center" wrapText="1"/>
    </xf>
    <xf numFmtId="0" fontId="7" fillId="0" borderId="38" xfId="85" applyFont="1" applyFill="1" applyBorder="1" applyAlignment="1">
      <alignment horizontal="center" vertical="center" wrapText="1"/>
    </xf>
    <xf numFmtId="0" fontId="8" fillId="0" borderId="0" xfId="85" applyFont="1" applyFill="1" applyAlignment="1">
      <alignment horizontal="center"/>
    </xf>
    <xf numFmtId="0" fontId="95" fillId="0" borderId="50" xfId="85" applyFont="1" applyFill="1" applyBorder="1" applyAlignment="1">
      <alignment horizontal="center" vertical="center" wrapText="1"/>
    </xf>
    <xf numFmtId="0" fontId="95" fillId="0" borderId="88" xfId="85" applyFont="1" applyFill="1" applyBorder="1" applyAlignment="1">
      <alignment horizontal="center" vertical="center" wrapText="1"/>
    </xf>
    <xf numFmtId="0" fontId="95" fillId="0" borderId="38" xfId="85" applyFont="1" applyFill="1" applyBorder="1" applyAlignment="1">
      <alignment horizontal="center" vertical="center" wrapText="1"/>
    </xf>
    <xf numFmtId="0" fontId="24" fillId="0" borderId="75" xfId="0" applyFont="1" applyBorder="1" applyAlignment="1">
      <alignment horizontal="center" vertical="center" wrapText="1"/>
    </xf>
    <xf numFmtId="0" fontId="24" fillId="0" borderId="22" xfId="0" applyFont="1" applyBorder="1" applyAlignment="1">
      <alignment horizontal="center" vertical="center" wrapText="1"/>
    </xf>
    <xf numFmtId="0" fontId="39" fillId="0" borderId="34" xfId="85" applyFont="1" applyFill="1" applyBorder="1" applyAlignment="1">
      <alignment horizontal="center" vertical="center" wrapText="1" shrinkToFit="1"/>
    </xf>
    <xf numFmtId="0" fontId="24" fillId="0" borderId="35" xfId="0" applyFont="1" applyBorder="1" applyAlignment="1">
      <alignment horizontal="center" vertical="center" wrapText="1" shrinkToFit="1"/>
    </xf>
    <xf numFmtId="0" fontId="39" fillId="0" borderId="95" xfId="85" applyFont="1" applyFill="1" applyBorder="1" applyAlignment="1">
      <alignment horizontal="center" vertical="center" wrapText="1"/>
    </xf>
    <xf numFmtId="0" fontId="39" fillId="0" borderId="77" xfId="85" applyFont="1" applyFill="1" applyBorder="1" applyAlignment="1">
      <alignment horizontal="center" vertical="center" wrapText="1"/>
    </xf>
    <xf numFmtId="0" fontId="24" fillId="0" borderId="96" xfId="0" applyFont="1" applyBorder="1" applyAlignment="1">
      <alignment horizontal="center" vertical="center" wrapText="1" shrinkToFit="1"/>
    </xf>
    <xf numFmtId="0" fontId="24" fillId="0" borderId="97" xfId="0" applyFont="1" applyBorder="1" applyAlignment="1">
      <alignment horizontal="center" vertical="center" wrapText="1" shrinkToFit="1"/>
    </xf>
    <xf numFmtId="0" fontId="39" fillId="0" borderId="34" xfId="85" applyFont="1" applyFill="1" applyBorder="1" applyAlignment="1">
      <alignment horizontal="center" vertical="center"/>
    </xf>
    <xf numFmtId="0" fontId="39" fillId="0" borderId="35" xfId="85" applyFont="1" applyFill="1" applyBorder="1" applyAlignment="1">
      <alignment horizontal="center" vertical="center"/>
    </xf>
    <xf numFmtId="0" fontId="76" fillId="0" borderId="10" xfId="83" applyFont="1" applyBorder="1" applyAlignment="1">
      <alignment horizontal="center" vertical="center" wrapText="1"/>
    </xf>
    <xf numFmtId="0" fontId="109" fillId="0" borderId="75" xfId="83" applyFont="1" applyBorder="1" applyAlignment="1">
      <alignment horizontal="left" vertical="center" wrapText="1"/>
    </xf>
    <xf numFmtId="0" fontId="109" fillId="0" borderId="6" xfId="83" applyFont="1" applyBorder="1" applyAlignment="1">
      <alignment horizontal="left" vertical="center" wrapText="1"/>
    </xf>
    <xf numFmtId="0" fontId="109" fillId="0" borderId="22" xfId="83" applyFont="1" applyBorder="1" applyAlignment="1">
      <alignment horizontal="left" vertical="center" wrapText="1"/>
    </xf>
    <xf numFmtId="0" fontId="89" fillId="0" borderId="10" xfId="83" applyFont="1" applyBorder="1" applyAlignment="1">
      <alignment horizontal="center" vertical="center" wrapText="1"/>
    </xf>
    <xf numFmtId="0" fontId="12" fillId="0" borderId="10" xfId="0" applyFont="1" applyBorder="1" applyAlignment="1">
      <alignment horizontal="center" vertical="center" wrapText="1"/>
    </xf>
    <xf numFmtId="0" fontId="16" fillId="0" borderId="10" xfId="0" applyFont="1" applyBorder="1" applyAlignment="1">
      <alignment horizontal="center"/>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7" fillId="0" borderId="10" xfId="0" applyFont="1" applyBorder="1" applyAlignment="1">
      <alignment horizontal="center" wrapText="1"/>
    </xf>
    <xf numFmtId="0" fontId="8" fillId="0" borderId="10" xfId="0" applyFont="1" applyBorder="1" applyAlignment="1">
      <alignment horizontal="center" vertical="center" wrapText="1"/>
    </xf>
    <xf numFmtId="0" fontId="7" fillId="0" borderId="99" xfId="0" applyFont="1" applyBorder="1" applyAlignment="1">
      <alignment vertical="center" wrapText="1"/>
    </xf>
    <xf numFmtId="0" fontId="7" fillId="0" borderId="0" xfId="0" applyFont="1" applyAlignment="1">
      <alignment vertical="center" wrapText="1"/>
    </xf>
    <xf numFmtId="0" fontId="7" fillId="0" borderId="100" xfId="0" applyFont="1" applyBorder="1" applyAlignment="1">
      <alignment horizontal="center"/>
    </xf>
    <xf numFmtId="0" fontId="7" fillId="0" borderId="101" xfId="0" applyFont="1" applyBorder="1" applyAlignment="1">
      <alignment horizontal="center"/>
    </xf>
    <xf numFmtId="0" fontId="7" fillId="0" borderId="102" xfId="0" applyFont="1" applyBorder="1" applyAlignment="1">
      <alignment horizontal="center"/>
    </xf>
    <xf numFmtId="0" fontId="7" fillId="0" borderId="10" xfId="84" applyFont="1" applyBorder="1" applyAlignment="1" applyProtection="1">
      <alignment horizontal="center"/>
      <protection locked="0"/>
    </xf>
    <xf numFmtId="0" fontId="24" fillId="0" borderId="75" xfId="84" applyFont="1" applyBorder="1" applyAlignment="1" applyProtection="1">
      <alignment horizontal="center" vertical="center" wrapText="1"/>
      <protection locked="0"/>
    </xf>
    <xf numFmtId="0" fontId="24" fillId="0" borderId="6" xfId="84" applyFont="1" applyBorder="1" applyAlignment="1" applyProtection="1">
      <alignment horizontal="center" vertical="center" wrapText="1"/>
      <protection locked="0"/>
    </xf>
    <xf numFmtId="0" fontId="24" fillId="0" borderId="22" xfId="84" applyFont="1" applyBorder="1" applyAlignment="1" applyProtection="1">
      <alignment horizontal="center" vertical="center" wrapText="1"/>
      <protection locked="0"/>
    </xf>
    <xf numFmtId="183" fontId="8" fillId="0" borderId="52" xfId="37" applyNumberFormat="1" applyFont="1" applyFill="1" applyBorder="1" applyAlignment="1">
      <alignment horizontal="center"/>
    </xf>
    <xf numFmtId="0" fontId="7" fillId="0" borderId="0" xfId="84" applyFont="1" applyAlignment="1" applyProtection="1">
      <alignment horizontal="left" wrapText="1"/>
      <protection locked="0"/>
    </xf>
    <xf numFmtId="0" fontId="24" fillId="0" borderId="103"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5"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08" xfId="0" applyFont="1" applyBorder="1" applyAlignment="1">
      <alignment horizontal="center" vertical="center" wrapText="1"/>
    </xf>
    <xf numFmtId="0" fontId="16" fillId="0" borderId="57" xfId="0" applyFont="1" applyBorder="1" applyAlignment="1">
      <alignment horizontal="center"/>
    </xf>
    <xf numFmtId="0" fontId="16" fillId="0" borderId="5" xfId="0" applyFont="1" applyBorder="1" applyAlignment="1">
      <alignment horizontal="center"/>
    </xf>
    <xf numFmtId="0" fontId="16" fillId="0" borderId="98" xfId="0" applyFont="1" applyBorder="1" applyAlignment="1">
      <alignment horizontal="center"/>
    </xf>
    <xf numFmtId="0" fontId="24" fillId="0" borderId="109"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10" xfId="0" applyFont="1" applyBorder="1" applyAlignment="1">
      <alignment horizontal="center" vertical="center" wrapText="1"/>
    </xf>
    <xf numFmtId="0" fontId="16" fillId="0" borderId="0" xfId="0" applyFont="1" applyAlignment="1">
      <alignment horizontal="center" vertical="center" wrapText="1"/>
    </xf>
    <xf numFmtId="0" fontId="7" fillId="0" borderId="82" xfId="0" applyFont="1" applyBorder="1" applyAlignment="1">
      <alignment horizontal="center" vertical="center" wrapText="1"/>
    </xf>
    <xf numFmtId="0" fontId="7" fillId="0" borderId="111" xfId="0" applyFont="1" applyBorder="1" applyAlignment="1">
      <alignment horizontal="center" vertical="center" wrapText="1"/>
    </xf>
    <xf numFmtId="0" fontId="8" fillId="0" borderId="0" xfId="0" applyFont="1" applyAlignment="1">
      <alignment horizontal="center" vertical="center"/>
    </xf>
    <xf numFmtId="17"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xf>
    <xf numFmtId="0" fontId="8" fillId="0" borderId="0" xfId="0" applyFont="1" applyAlignment="1">
      <alignment horizontal="center"/>
    </xf>
    <xf numFmtId="4" fontId="0" fillId="0" borderId="38" xfId="0" applyNumberFormat="1" applyBorder="1" applyAlignment="1">
      <alignment horizontal="right" vertical="center"/>
    </xf>
    <xf numFmtId="4" fontId="0" fillId="0" borderId="10" xfId="0" applyNumberFormat="1" applyBorder="1" applyAlignment="1">
      <alignment horizontal="right" vertical="center"/>
    </xf>
    <xf numFmtId="0" fontId="7" fillId="0" borderId="52" xfId="0" applyFont="1" applyBorder="1" applyAlignment="1">
      <alignment horizontal="center"/>
    </xf>
    <xf numFmtId="0" fontId="24" fillId="0" borderId="0" xfId="0" applyFont="1" applyAlignment="1">
      <alignment horizontal="center" vertical="center" wrapText="1"/>
    </xf>
    <xf numFmtId="2" fontId="0" fillId="0" borderId="38" xfId="0" applyNumberFormat="1" applyBorder="1" applyAlignment="1">
      <alignment horizontal="right" vertical="center"/>
    </xf>
    <xf numFmtId="2" fontId="0" fillId="0" borderId="10" xfId="0" applyNumberFormat="1" applyBorder="1" applyAlignment="1">
      <alignment horizontal="right" vertical="center"/>
    </xf>
    <xf numFmtId="4" fontId="0" fillId="0" borderId="128" xfId="0" applyNumberFormat="1" applyBorder="1" applyAlignment="1">
      <alignment horizontal="right" vertical="center"/>
    </xf>
    <xf numFmtId="4" fontId="0" fillId="0" borderId="40" xfId="0" applyNumberFormat="1" applyBorder="1" applyAlignment="1">
      <alignment horizontal="right" vertical="center"/>
    </xf>
    <xf numFmtId="0" fontId="24" fillId="0" borderId="49" xfId="0" applyFont="1" applyBorder="1" applyAlignment="1">
      <alignment horizontal="left" vertical="center" wrapText="1"/>
    </xf>
    <xf numFmtId="0" fontId="0" fillId="0" borderId="49" xfId="0" applyBorder="1" applyAlignment="1">
      <alignment horizontal="left" vertical="center"/>
    </xf>
    <xf numFmtId="2" fontId="0" fillId="0" borderId="128" xfId="0" applyNumberFormat="1" applyBorder="1" applyAlignment="1">
      <alignment horizontal="right" vertical="center"/>
    </xf>
    <xf numFmtId="2" fontId="0" fillId="0" borderId="40" xfId="0" applyNumberFormat="1" applyBorder="1" applyAlignment="1">
      <alignment horizontal="right" vertical="center"/>
    </xf>
    <xf numFmtId="2" fontId="7" fillId="0" borderId="129" xfId="0" applyNumberFormat="1" applyFont="1" applyBorder="1" applyAlignment="1">
      <alignment horizontal="right" vertical="center"/>
    </xf>
    <xf numFmtId="2" fontId="7" fillId="0" borderId="41" xfId="0" applyNumberFormat="1" applyFont="1" applyBorder="1" applyAlignment="1">
      <alignment horizontal="right" vertical="center"/>
    </xf>
    <xf numFmtId="49" fontId="7" fillId="0" borderId="79" xfId="0" applyNumberFormat="1" applyFont="1" applyBorder="1" applyAlignment="1">
      <alignment horizontal="center" vertical="center"/>
    </xf>
    <xf numFmtId="49" fontId="7" fillId="0" borderId="80" xfId="0" applyNumberFormat="1" applyFont="1" applyBorder="1" applyAlignment="1">
      <alignment horizontal="center" vertical="center"/>
    </xf>
    <xf numFmtId="49" fontId="7" fillId="0" borderId="81" xfId="0" applyNumberFormat="1" applyFont="1" applyBorder="1" applyAlignment="1">
      <alignment horizontal="center" vertical="center"/>
    </xf>
    <xf numFmtId="49" fontId="7" fillId="0" borderId="80" xfId="0" applyNumberFormat="1" applyFont="1" applyBorder="1" applyAlignment="1">
      <alignment horizontal="center"/>
    </xf>
    <xf numFmtId="49" fontId="7" fillId="0" borderId="81" xfId="0" applyNumberFormat="1" applyFont="1" applyBorder="1" applyAlignment="1">
      <alignment horizontal="center"/>
    </xf>
    <xf numFmtId="49" fontId="7" fillId="0" borderId="79" xfId="0" applyNumberFormat="1" applyFont="1" applyBorder="1" applyAlignment="1">
      <alignment horizontal="center"/>
    </xf>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92" xfId="0" applyFont="1" applyBorder="1" applyAlignment="1">
      <alignment horizontal="center" vertical="center"/>
    </xf>
    <xf numFmtId="49" fontId="7" fillId="0" borderId="10" xfId="0" applyNumberFormat="1" applyFont="1" applyBorder="1" applyAlignment="1">
      <alignment horizontal="center" vertical="center" wrapText="1"/>
    </xf>
    <xf numFmtId="49" fontId="7" fillId="0" borderId="91" xfId="0" applyNumberFormat="1" applyFont="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92" xfId="0" applyNumberFormat="1" applyFont="1" applyBorder="1" applyAlignment="1">
      <alignment horizontal="center" vertical="center" wrapText="1"/>
    </xf>
    <xf numFmtId="0" fontId="95" fillId="0" borderId="123" xfId="0" applyFont="1" applyBorder="1" applyAlignment="1">
      <alignment horizontal="center" vertical="center" wrapText="1"/>
    </xf>
    <xf numFmtId="0" fontId="95" fillId="0" borderId="146" xfId="0" applyFont="1" applyBorder="1" applyAlignment="1">
      <alignment horizontal="center" vertical="center" wrapText="1"/>
    </xf>
    <xf numFmtId="0" fontId="95" fillId="0" borderId="134"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0" xfId="0" applyFont="1" applyAlignment="1">
      <alignment horizontal="center" wrapText="1"/>
    </xf>
    <xf numFmtId="2" fontId="0" fillId="0" borderId="129" xfId="0" applyNumberFormat="1" applyBorder="1" applyAlignment="1">
      <alignment horizontal="right" vertical="center"/>
    </xf>
    <xf numFmtId="2" fontId="0" fillId="0" borderId="41" xfId="0" applyNumberFormat="1" applyBorder="1" applyAlignment="1">
      <alignment horizontal="right" vertical="center"/>
    </xf>
    <xf numFmtId="0" fontId="95" fillId="0" borderId="10" xfId="0" applyFont="1" applyBorder="1" applyAlignment="1">
      <alignment horizontal="center" vertical="center" wrapText="1"/>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center"/>
    </xf>
    <xf numFmtId="2" fontId="0" fillId="0" borderId="75" xfId="0" applyNumberFormat="1" applyBorder="1" applyAlignment="1">
      <alignment horizontal="center" vertical="center"/>
    </xf>
    <xf numFmtId="2" fontId="0" fillId="0" borderId="22" xfId="0" applyNumberFormat="1" applyBorder="1" applyAlignment="1">
      <alignment horizontal="center" vertical="center"/>
    </xf>
    <xf numFmtId="0" fontId="7" fillId="0" borderId="0" xfId="0" applyFont="1" applyAlignment="1">
      <alignment horizontal="center" vertical="center" wrapText="1"/>
    </xf>
    <xf numFmtId="0" fontId="7" fillId="0" borderId="75" xfId="0" applyFont="1" applyBorder="1" applyAlignment="1">
      <alignment horizontal="center" vertical="center"/>
    </xf>
    <xf numFmtId="0" fontId="7" fillId="0" borderId="6"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left"/>
    </xf>
    <xf numFmtId="0" fontId="7" fillId="0" borderId="10" xfId="0" applyFont="1" applyBorder="1" applyAlignment="1">
      <alignment horizontal="left" vertical="center"/>
    </xf>
    <xf numFmtId="0" fontId="7" fillId="0" borderId="10" xfId="0" applyFont="1" applyBorder="1" applyAlignment="1">
      <alignment horizontal="center"/>
    </xf>
    <xf numFmtId="0" fontId="6" fillId="0" borderId="75" xfId="0" applyFont="1" applyBorder="1" applyAlignment="1">
      <alignment horizontal="left"/>
    </xf>
    <xf numFmtId="0" fontId="0" fillId="0" borderId="22" xfId="0" applyBorder="1" applyAlignment="1">
      <alignment horizontal="left"/>
    </xf>
    <xf numFmtId="0" fontId="145" fillId="0" borderId="10" xfId="0" applyFont="1" applyBorder="1" applyAlignment="1">
      <alignment vertical="center"/>
    </xf>
    <xf numFmtId="0" fontId="146" fillId="0" borderId="10" xfId="0" applyFont="1" applyBorder="1" applyAlignment="1">
      <alignment vertical="center"/>
    </xf>
    <xf numFmtId="0" fontId="6" fillId="0" borderId="10" xfId="0" applyFont="1" applyBorder="1" applyAlignment="1">
      <alignment wrapText="1"/>
    </xf>
    <xf numFmtId="0" fontId="0" fillId="0" borderId="10" xfId="0" applyBorder="1" applyAlignment="1">
      <alignment wrapText="1"/>
    </xf>
    <xf numFmtId="0" fontId="7" fillId="0" borderId="10" xfId="0" applyFont="1" applyBorder="1" applyAlignment="1">
      <alignment wrapText="1"/>
    </xf>
    <xf numFmtId="0" fontId="0" fillId="0" borderId="0" xfId="0" applyAlignment="1">
      <alignment horizontal="center"/>
    </xf>
    <xf numFmtId="0" fontId="6" fillId="0" borderId="10" xfId="0" applyFont="1" applyBorder="1" applyAlignment="1">
      <alignment horizontal="left" vertical="center" wrapText="1"/>
    </xf>
    <xf numFmtId="0" fontId="0" fillId="0" borderId="10" xfId="0" applyBorder="1"/>
    <xf numFmtId="2" fontId="6" fillId="0" borderId="10" xfId="0" applyNumberFormat="1" applyFont="1" applyBorder="1" applyAlignment="1">
      <alignment horizontal="left" vertical="center" wrapText="1"/>
    </xf>
    <xf numFmtId="0" fontId="117" fillId="0" borderId="10" xfId="0" applyFont="1" applyBorder="1" applyAlignment="1">
      <alignment wrapText="1"/>
    </xf>
    <xf numFmtId="0" fontId="6" fillId="0" borderId="10" xfId="0" applyFont="1" applyBorder="1" applyAlignment="1">
      <alignment horizontal="left" wrapText="1"/>
    </xf>
    <xf numFmtId="0" fontId="0" fillId="0" borderId="10" xfId="0" applyBorder="1" applyAlignment="1">
      <alignment horizontal="left" wrapText="1"/>
    </xf>
    <xf numFmtId="0" fontId="0" fillId="0" borderId="10" xfId="0" applyBorder="1" applyAlignment="1">
      <alignment horizontal="left"/>
    </xf>
    <xf numFmtId="2" fontId="132" fillId="0" borderId="10" xfId="0" applyNumberFormat="1" applyFont="1" applyBorder="1" applyAlignment="1">
      <alignment horizontal="center" vertical="center"/>
    </xf>
    <xf numFmtId="0" fontId="133" fillId="0" borderId="0" xfId="0" applyFont="1" applyAlignment="1">
      <alignment horizontal="center" vertical="center"/>
    </xf>
    <xf numFmtId="0" fontId="97" fillId="0" borderId="0" xfId="0" applyFont="1" applyAlignment="1">
      <alignment horizontal="center" vertical="center"/>
    </xf>
    <xf numFmtId="0" fontId="149" fillId="0" borderId="10" xfId="0" applyFont="1" applyBorder="1" applyAlignment="1">
      <alignment horizontal="center"/>
    </xf>
    <xf numFmtId="0" fontId="6" fillId="0" borderId="10" xfId="0" applyFont="1" applyBorder="1"/>
    <xf numFmtId="0" fontId="7" fillId="0" borderId="75" xfId="0" applyFont="1" applyBorder="1" applyAlignment="1">
      <alignment horizontal="left"/>
    </xf>
    <xf numFmtId="0" fontId="7" fillId="0" borderId="22" xfId="0" applyFont="1" applyBorder="1" applyAlignment="1">
      <alignment horizontal="left"/>
    </xf>
    <xf numFmtId="0" fontId="145" fillId="0" borderId="10" xfId="0" applyFont="1" applyBorder="1" applyAlignment="1">
      <alignment horizontal="left" vertical="center"/>
    </xf>
    <xf numFmtId="0" fontId="145" fillId="0" borderId="75" xfId="0" applyFont="1" applyBorder="1" applyAlignment="1">
      <alignment horizontal="left"/>
    </xf>
    <xf numFmtId="0" fontId="146" fillId="0" borderId="22" xfId="0" applyFont="1" applyBorder="1" applyAlignment="1">
      <alignment horizontal="left"/>
    </xf>
    <xf numFmtId="0" fontId="7" fillId="0" borderId="50" xfId="0" applyFont="1" applyBorder="1" applyAlignment="1">
      <alignment horizontal="left" vertical="center"/>
    </xf>
    <xf numFmtId="0" fontId="7" fillId="0" borderId="38" xfId="0" applyFont="1" applyBorder="1" applyAlignment="1">
      <alignment horizontal="left" vertical="center"/>
    </xf>
    <xf numFmtId="0" fontId="7" fillId="0" borderId="47" xfId="0" applyFont="1" applyBorder="1" applyAlignment="1">
      <alignment horizontal="center"/>
    </xf>
    <xf numFmtId="0" fontId="6" fillId="0" borderId="0" xfId="0" applyFont="1" applyAlignment="1">
      <alignment horizontal="left" vertical="top" wrapText="1"/>
    </xf>
    <xf numFmtId="0" fontId="0" fillId="0" borderId="0" xfId="0" applyAlignment="1">
      <alignment horizontal="left" vertical="top" wrapText="1"/>
    </xf>
    <xf numFmtId="0" fontId="6" fillId="0" borderId="10" xfId="0" applyFont="1" applyBorder="1" applyAlignment="1">
      <alignment horizontal="left" vertical="center"/>
    </xf>
    <xf numFmtId="0" fontId="0" fillId="0" borderId="10" xfId="0" applyBorder="1" applyAlignment="1">
      <alignment horizontal="left" vertical="center"/>
    </xf>
    <xf numFmtId="0" fontId="113" fillId="0" borderId="75" xfId="0" applyFont="1" applyBorder="1" applyAlignment="1">
      <alignment horizontal="left" vertical="center" wrapText="1"/>
    </xf>
    <xf numFmtId="0" fontId="0" fillId="0" borderId="22" xfId="0" applyBorder="1" applyAlignment="1">
      <alignment horizontal="left" vertical="center"/>
    </xf>
    <xf numFmtId="0" fontId="113" fillId="0" borderId="75" xfId="0" applyFont="1" applyBorder="1" applyAlignment="1">
      <alignment horizontal="left" vertical="center"/>
    </xf>
    <xf numFmtId="0" fontId="7" fillId="0" borderId="10" xfId="0" applyFont="1" applyBorder="1"/>
    <xf numFmtId="0" fontId="0" fillId="0" borderId="0" xfId="0"/>
    <xf numFmtId="0" fontId="6" fillId="0" borderId="84" xfId="0" applyFont="1" applyBorder="1" applyAlignment="1">
      <alignment vertical="center"/>
    </xf>
    <xf numFmtId="0" fontId="0" fillId="0" borderId="84" xfId="0" applyBorder="1" applyAlignment="1">
      <alignment vertical="center"/>
    </xf>
    <xf numFmtId="0" fontId="6" fillId="0" borderId="75" xfId="0" applyFont="1" applyBorder="1"/>
    <xf numFmtId="0" fontId="6" fillId="0" borderId="22" xfId="0" applyFont="1" applyBorder="1"/>
    <xf numFmtId="0" fontId="6" fillId="0" borderId="99" xfId="0" applyFont="1" applyBorder="1"/>
    <xf numFmtId="0" fontId="7" fillId="0" borderId="75" xfId="0" applyFont="1" applyBorder="1"/>
    <xf numFmtId="0" fontId="7" fillId="0" borderId="22" xfId="0" applyFont="1" applyBorder="1"/>
    <xf numFmtId="0" fontId="97" fillId="0" borderId="10" xfId="0" applyFont="1" applyBorder="1"/>
    <xf numFmtId="0" fontId="7" fillId="0" borderId="10" xfId="0" applyFont="1" applyBorder="1" applyAlignment="1">
      <alignment vertical="center" wrapText="1"/>
    </xf>
    <xf numFmtId="0" fontId="7" fillId="0" borderId="75" xfId="0" applyFont="1" applyBorder="1" applyAlignment="1">
      <alignment horizontal="center"/>
    </xf>
    <xf numFmtId="0" fontId="7" fillId="0" borderId="22" xfId="0" applyFont="1" applyBorder="1" applyAlignment="1">
      <alignment horizontal="center"/>
    </xf>
    <xf numFmtId="0" fontId="27" fillId="0" borderId="113" xfId="0" applyFont="1" applyBorder="1" applyAlignment="1">
      <alignment horizontal="center" vertical="center" textRotation="19" wrapText="1"/>
    </xf>
    <xf numFmtId="0" fontId="27" fillId="0" borderId="99" xfId="0" applyFont="1" applyBorder="1" applyAlignment="1">
      <alignment horizontal="center" vertical="center" textRotation="19" wrapText="1"/>
    </xf>
    <xf numFmtId="0" fontId="27" fillId="0" borderId="114" xfId="0" applyFont="1" applyBorder="1" applyAlignment="1">
      <alignment horizontal="center" vertical="center" textRotation="19" wrapText="1"/>
    </xf>
    <xf numFmtId="0" fontId="27" fillId="0" borderId="84" xfId="0" applyFont="1" applyBorder="1" applyAlignment="1">
      <alignment horizontal="center" vertical="center" textRotation="19" wrapText="1"/>
    </xf>
    <xf numFmtId="0" fontId="27" fillId="0" borderId="0" xfId="0" applyFont="1" applyAlignment="1">
      <alignment horizontal="center" vertical="center" textRotation="19" wrapText="1"/>
    </xf>
    <xf numFmtId="0" fontId="27" fillId="0" borderId="74" xfId="0" applyFont="1" applyBorder="1" applyAlignment="1">
      <alignment horizontal="center" vertical="center" textRotation="19" wrapText="1"/>
    </xf>
    <xf numFmtId="0" fontId="27" fillId="0" borderId="94" xfId="0" applyFont="1" applyBorder="1" applyAlignment="1">
      <alignment horizontal="center" vertical="center" textRotation="19" wrapText="1"/>
    </xf>
    <xf numFmtId="0" fontId="27" fillId="0" borderId="52" xfId="0" applyFont="1" applyBorder="1" applyAlignment="1">
      <alignment horizontal="center" vertical="center" textRotation="19" wrapText="1"/>
    </xf>
    <xf numFmtId="0" fontId="27" fillId="0" borderId="89" xfId="0" applyFont="1" applyBorder="1" applyAlignment="1">
      <alignment horizontal="center" vertical="center" textRotation="19" wrapText="1"/>
    </xf>
    <xf numFmtId="0" fontId="7" fillId="0" borderId="7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5"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38" xfId="0" applyFont="1" applyBorder="1" applyAlignment="1">
      <alignment horizontal="center" vertical="center" wrapText="1"/>
    </xf>
    <xf numFmtId="0" fontId="7" fillId="0" borderId="50" xfId="0" applyFont="1" applyBorder="1" applyAlignment="1">
      <alignment vertical="center"/>
    </xf>
    <xf numFmtId="0" fontId="7" fillId="0" borderId="88" xfId="0" applyFont="1" applyBorder="1" applyAlignment="1">
      <alignment vertical="center"/>
    </xf>
    <xf numFmtId="0" fontId="7" fillId="0" borderId="38" xfId="0" applyFont="1" applyBorder="1" applyAlignment="1">
      <alignment vertical="center"/>
    </xf>
    <xf numFmtId="0" fontId="7" fillId="0" borderId="50" xfId="0" applyFont="1" applyBorder="1" applyAlignment="1">
      <alignment horizontal="center" vertical="center"/>
    </xf>
    <xf numFmtId="0" fontId="7" fillId="0" borderId="88" xfId="0" applyFont="1" applyBorder="1" applyAlignment="1">
      <alignment horizontal="center" vertical="center"/>
    </xf>
    <xf numFmtId="0" fontId="7" fillId="0" borderId="38" xfId="0" applyFont="1" applyBorder="1" applyAlignment="1">
      <alignment horizontal="center" vertical="center"/>
    </xf>
    <xf numFmtId="0" fontId="85" fillId="0" borderId="10" xfId="78" applyFont="1" applyBorder="1" applyAlignment="1">
      <alignment horizontal="center" vertical="center" wrapText="1"/>
    </xf>
    <xf numFmtId="0" fontId="35" fillId="0" borderId="10" xfId="78" applyFont="1" applyBorder="1" applyAlignment="1">
      <alignment horizontal="center"/>
    </xf>
    <xf numFmtId="2" fontId="35" fillId="0" borderId="75" xfId="78" applyNumberFormat="1" applyFont="1" applyBorder="1" applyAlignment="1">
      <alignment horizontal="center" vertical="center"/>
    </xf>
    <xf numFmtId="2" fontId="35" fillId="0" borderId="22" xfId="78" applyNumberFormat="1" applyFont="1" applyBorder="1" applyAlignment="1">
      <alignment horizontal="center" vertical="center"/>
    </xf>
    <xf numFmtId="2" fontId="6" fillId="0" borderId="50" xfId="0" applyNumberFormat="1" applyFont="1" applyBorder="1" applyAlignment="1">
      <alignment horizontal="right" vertical="center"/>
    </xf>
    <xf numFmtId="2" fontId="6" fillId="0" borderId="88" xfId="0" applyNumberFormat="1" applyFont="1" applyBorder="1" applyAlignment="1">
      <alignment horizontal="right" vertical="center"/>
    </xf>
    <xf numFmtId="2" fontId="6" fillId="0" borderId="38" xfId="0" applyNumberFormat="1" applyFont="1" applyBorder="1" applyAlignment="1">
      <alignment horizontal="right" vertical="center"/>
    </xf>
    <xf numFmtId="2" fontId="6" fillId="0" borderId="50" xfId="0" applyNumberFormat="1" applyFont="1" applyBorder="1" applyAlignment="1">
      <alignment horizontal="center" vertical="center"/>
    </xf>
    <xf numFmtId="2" fontId="6" fillId="0" borderId="88" xfId="0" applyNumberFormat="1" applyFont="1" applyBorder="1" applyAlignment="1">
      <alignment horizontal="center" vertical="center"/>
    </xf>
    <xf numFmtId="2" fontId="6" fillId="0" borderId="38" xfId="0" applyNumberFormat="1" applyFont="1" applyBorder="1" applyAlignment="1">
      <alignment horizontal="center" vertical="center"/>
    </xf>
    <xf numFmtId="0" fontId="85" fillId="0" borderId="75" xfId="77" applyFont="1" applyBorder="1" applyAlignment="1">
      <alignment horizontal="center" vertical="center" wrapText="1"/>
    </xf>
    <xf numFmtId="0" fontId="85" fillId="0" borderId="6" xfId="77" applyFont="1" applyBorder="1" applyAlignment="1">
      <alignment horizontal="center" vertical="center" wrapText="1"/>
    </xf>
    <xf numFmtId="0" fontId="85" fillId="0" borderId="22" xfId="77" applyFont="1" applyBorder="1" applyAlignment="1">
      <alignment horizontal="center" vertical="center" wrapText="1"/>
    </xf>
    <xf numFmtId="2" fontId="79" fillId="0" borderId="113" xfId="77" applyNumberFormat="1" applyFont="1" applyBorder="1" applyAlignment="1">
      <alignment horizontal="center" vertical="center" wrapText="1"/>
    </xf>
    <xf numFmtId="2" fontId="79" fillId="0" borderId="99" xfId="77" applyNumberFormat="1" applyFont="1" applyBorder="1" applyAlignment="1">
      <alignment horizontal="center" vertical="center" wrapText="1"/>
    </xf>
    <xf numFmtId="2" fontId="79" fillId="0" borderId="114" xfId="77" applyNumberFormat="1" applyFont="1" applyBorder="1" applyAlignment="1">
      <alignment horizontal="center" vertical="center" wrapText="1"/>
    </xf>
    <xf numFmtId="2" fontId="79" fillId="0" borderId="84" xfId="77" applyNumberFormat="1" applyFont="1" applyBorder="1" applyAlignment="1">
      <alignment horizontal="center" vertical="center" wrapText="1"/>
    </xf>
    <xf numFmtId="2" fontId="79" fillId="0" borderId="0" xfId="77" applyNumberFormat="1" applyFont="1" applyAlignment="1">
      <alignment horizontal="center" vertical="center" wrapText="1"/>
    </xf>
    <xf numFmtId="2" fontId="79" fillId="0" borderId="74" xfId="77" applyNumberFormat="1" applyFont="1" applyBorder="1" applyAlignment="1">
      <alignment horizontal="center" vertical="center" wrapText="1"/>
    </xf>
    <xf numFmtId="2" fontId="79" fillId="0" borderId="94" xfId="77" applyNumberFormat="1" applyFont="1" applyBorder="1" applyAlignment="1">
      <alignment horizontal="center" vertical="center" wrapText="1"/>
    </xf>
    <xf numFmtId="2" fontId="79" fillId="0" borderId="52" xfId="77" applyNumberFormat="1" applyFont="1" applyBorder="1" applyAlignment="1">
      <alignment horizontal="center" vertical="center" wrapText="1"/>
    </xf>
    <xf numFmtId="2" fontId="79" fillId="0" borderId="89" xfId="77" applyNumberFormat="1" applyFont="1" applyBorder="1" applyAlignment="1">
      <alignment horizontal="center" vertical="center" wrapText="1"/>
    </xf>
    <xf numFmtId="0" fontId="7" fillId="0" borderId="75" xfId="112" applyFont="1" applyBorder="1" applyAlignment="1">
      <alignment horizontal="center"/>
    </xf>
    <xf numFmtId="0" fontId="7" fillId="0" borderId="6" xfId="112" applyFont="1" applyBorder="1" applyAlignment="1">
      <alignment horizontal="center"/>
    </xf>
    <xf numFmtId="0" fontId="7" fillId="0" borderId="22" xfId="112" applyFont="1" applyBorder="1" applyAlignment="1">
      <alignment horizontal="center"/>
    </xf>
    <xf numFmtId="0" fontId="8" fillId="0" borderId="75" xfId="112" applyFont="1" applyBorder="1" applyAlignment="1">
      <alignment horizontal="center"/>
    </xf>
    <xf numFmtId="0" fontId="8" fillId="0" borderId="6" xfId="112" applyFont="1" applyBorder="1" applyAlignment="1">
      <alignment horizontal="center"/>
    </xf>
    <xf numFmtId="0" fontId="8" fillId="0" borderId="22" xfId="112" applyFont="1" applyBorder="1" applyAlignment="1">
      <alignment horizontal="center"/>
    </xf>
    <xf numFmtId="0" fontId="141" fillId="0" borderId="0" xfId="0" applyFont="1" applyAlignment="1">
      <alignment horizontal="center"/>
    </xf>
    <xf numFmtId="0" fontId="6" fillId="0" borderId="10" xfId="118" applyBorder="1" applyAlignment="1">
      <alignment horizontal="left" vertical="top" wrapText="1"/>
    </xf>
    <xf numFmtId="0" fontId="6" fillId="0" borderId="10" xfId="118" applyBorder="1" applyAlignment="1">
      <alignment horizontal="left" vertical="center" wrapText="1"/>
    </xf>
    <xf numFmtId="0" fontId="0" fillId="0" borderId="10" xfId="0" applyBorder="1" applyAlignment="1">
      <alignment horizontal="left" vertical="top" wrapText="1"/>
    </xf>
    <xf numFmtId="0" fontId="6" fillId="0" borderId="10" xfId="118" applyBorder="1" applyAlignment="1">
      <alignment wrapText="1"/>
    </xf>
    <xf numFmtId="0" fontId="6" fillId="0" borderId="10" xfId="118" applyBorder="1" applyAlignment="1">
      <alignment horizontal="left" vertical="center"/>
    </xf>
    <xf numFmtId="0" fontId="9" fillId="0" borderId="10" xfId="118" applyFont="1" applyBorder="1" applyAlignment="1">
      <alignment horizontal="center"/>
    </xf>
    <xf numFmtId="0" fontId="6" fillId="0" borderId="10" xfId="118" applyBorder="1" applyAlignment="1">
      <alignment horizontal="left"/>
    </xf>
    <xf numFmtId="0" fontId="6" fillId="0" borderId="10" xfId="118" applyBorder="1" applyAlignment="1">
      <alignment horizontal="center" vertical="center" wrapText="1"/>
    </xf>
    <xf numFmtId="2" fontId="0" fillId="46" borderId="0" xfId="0" applyNumberFormat="1" applyFill="1" applyAlignment="1">
      <alignment horizontal="center" vertical="center"/>
    </xf>
    <xf numFmtId="0" fontId="0" fillId="0" borderId="0" xfId="0" applyAlignment="1">
      <alignment horizontal="center" vertical="center"/>
    </xf>
    <xf numFmtId="0" fontId="53" fillId="38" borderId="50" xfId="0" applyFont="1" applyFill="1" applyBorder="1" applyAlignment="1">
      <alignment horizontal="center" vertical="center"/>
    </xf>
    <xf numFmtId="0" fontId="0" fillId="38" borderId="38" xfId="0" applyFill="1" applyBorder="1"/>
    <xf numFmtId="0" fontId="0" fillId="0" borderId="52" xfId="0" applyBorder="1" applyAlignment="1">
      <alignment horizontal="center" wrapText="1"/>
    </xf>
    <xf numFmtId="0" fontId="97" fillId="38" borderId="50"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10" xfId="0" applyBorder="1" applyAlignment="1">
      <alignment horizontal="center"/>
    </xf>
    <xf numFmtId="2" fontId="7" fillId="0" borderId="10" xfId="0" applyNumberFormat="1" applyFont="1" applyBorder="1" applyAlignment="1">
      <alignment horizontal="center"/>
    </xf>
    <xf numFmtId="2" fontId="7" fillId="0" borderId="10" xfId="0" applyNumberFormat="1" applyFont="1" applyBorder="1" applyAlignment="1">
      <alignment horizontal="center" vertical="center"/>
    </xf>
    <xf numFmtId="0" fontId="7" fillId="0" borderId="4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73" xfId="0" applyFont="1" applyBorder="1" applyAlignment="1">
      <alignment horizontal="center" vertical="center" wrapText="1"/>
    </xf>
    <xf numFmtId="49" fontId="7" fillId="0" borderId="57" xfId="0" applyNumberFormat="1" applyFont="1" applyBorder="1" applyAlignment="1">
      <alignment horizontal="center"/>
    </xf>
    <xf numFmtId="49" fontId="7" fillId="0" borderId="5" xfId="0" applyNumberFormat="1" applyFont="1" applyBorder="1" applyAlignment="1">
      <alignment horizontal="center"/>
    </xf>
    <xf numFmtId="49" fontId="7" fillId="0" borderId="98" xfId="0" applyNumberFormat="1" applyFont="1" applyBorder="1" applyAlignment="1">
      <alignment horizontal="center"/>
    </xf>
    <xf numFmtId="49" fontId="7" fillId="35" borderId="57" xfId="0" applyNumberFormat="1" applyFont="1" applyFill="1" applyBorder="1" applyAlignment="1">
      <alignment horizontal="center"/>
    </xf>
    <xf numFmtId="49" fontId="7" fillId="35" borderId="5" xfId="0" applyNumberFormat="1" applyFont="1" applyFill="1" applyBorder="1" applyAlignment="1">
      <alignment horizontal="center"/>
    </xf>
    <xf numFmtId="49" fontId="7" fillId="35" borderId="98" xfId="0" applyNumberFormat="1" applyFont="1" applyFill="1" applyBorder="1" applyAlignment="1">
      <alignment horizontal="center"/>
    </xf>
    <xf numFmtId="0" fontId="8" fillId="0" borderId="75" xfId="0" applyFont="1" applyBorder="1" applyAlignment="1">
      <alignment horizontal="center"/>
    </xf>
    <xf numFmtId="0" fontId="8" fillId="0" borderId="6" xfId="0" applyFont="1" applyBorder="1" applyAlignment="1">
      <alignment horizontal="center"/>
    </xf>
    <xf numFmtId="0" fontId="8" fillId="0" borderId="22" xfId="0" applyFont="1" applyBorder="1" applyAlignment="1">
      <alignment horizontal="center"/>
    </xf>
    <xf numFmtId="0" fontId="8" fillId="0" borderId="50" xfId="0" applyFont="1" applyBorder="1" applyAlignment="1">
      <alignment vertical="center"/>
    </xf>
    <xf numFmtId="0" fontId="0" fillId="0" borderId="157" xfId="0" applyBorder="1" applyAlignment="1">
      <alignment vertical="center"/>
    </xf>
    <xf numFmtId="200" fontId="0" fillId="44" borderId="10" xfId="0" applyNumberFormat="1" applyFill="1" applyBorder="1" applyAlignment="1">
      <alignment horizontal="center"/>
    </xf>
    <xf numFmtId="0" fontId="7" fillId="0" borderId="80" xfId="0" applyFont="1" applyBorder="1" applyAlignment="1">
      <alignment horizontal="center"/>
    </xf>
    <xf numFmtId="0" fontId="6" fillId="29" borderId="0" xfId="0" applyFont="1" applyFill="1" applyAlignment="1">
      <alignment horizontal="left" vertical="top" wrapText="1"/>
    </xf>
    <xf numFmtId="0" fontId="0" fillId="29" borderId="0" xfId="0" applyFill="1" applyAlignment="1">
      <alignment horizontal="left" vertical="top" wrapText="1"/>
    </xf>
    <xf numFmtId="0" fontId="41" fillId="0" borderId="0" xfId="0" applyFont="1" applyAlignment="1">
      <alignment vertical="top"/>
    </xf>
    <xf numFmtId="0" fontId="54" fillId="0" borderId="0" xfId="0" applyFont="1" applyAlignment="1">
      <alignment vertical="top" wrapText="1"/>
    </xf>
    <xf numFmtId="0" fontId="9" fillId="0" borderId="43" xfId="0" applyFont="1" applyBorder="1" applyAlignment="1">
      <alignment horizontal="center"/>
    </xf>
    <xf numFmtId="0" fontId="9" fillId="0" borderId="49" xfId="0" applyFont="1" applyBorder="1" applyAlignment="1">
      <alignment horizontal="center"/>
    </xf>
    <xf numFmtId="0" fontId="9" fillId="0" borderId="44" xfId="0" applyFont="1" applyBorder="1" applyAlignment="1">
      <alignment horizontal="center"/>
    </xf>
    <xf numFmtId="0" fontId="41" fillId="27" borderId="117" xfId="0" applyFont="1" applyFill="1" applyBorder="1" applyAlignment="1">
      <alignment vertical="top"/>
    </xf>
    <xf numFmtId="0" fontId="41" fillId="27" borderId="87" xfId="0" applyFont="1" applyFill="1" applyBorder="1" applyAlignment="1">
      <alignment vertical="top"/>
    </xf>
    <xf numFmtId="0" fontId="54" fillId="27" borderId="117" xfId="0" applyFont="1" applyFill="1" applyBorder="1" applyAlignment="1">
      <alignment vertical="top" wrapText="1"/>
    </xf>
    <xf numFmtId="0" fontId="54" fillId="27" borderId="87" xfId="0" applyFont="1" applyFill="1" applyBorder="1" applyAlignment="1">
      <alignment vertical="top" wrapText="1"/>
    </xf>
    <xf numFmtId="0" fontId="122" fillId="0" borderId="57" xfId="0" applyFont="1" applyBorder="1" applyAlignment="1">
      <alignment wrapText="1"/>
    </xf>
    <xf numFmtId="0" fontId="122" fillId="0" borderId="5" xfId="0" applyFont="1" applyBorder="1" applyAlignment="1">
      <alignment wrapText="1"/>
    </xf>
    <xf numFmtId="0" fontId="122" fillId="0" borderId="133" xfId="0" applyFont="1" applyBorder="1" applyAlignment="1">
      <alignment wrapText="1"/>
    </xf>
    <xf numFmtId="0" fontId="123" fillId="0" borderId="57" xfId="0" applyFont="1" applyBorder="1" applyAlignment="1">
      <alignment wrapText="1"/>
    </xf>
    <xf numFmtId="0" fontId="123" fillId="0" borderId="5" xfId="0" applyFont="1" applyBorder="1" applyAlignment="1">
      <alignment wrapText="1"/>
    </xf>
    <xf numFmtId="0" fontId="123" fillId="0" borderId="133" xfId="0" applyFont="1" applyBorder="1" applyAlignment="1">
      <alignment wrapText="1"/>
    </xf>
    <xf numFmtId="183" fontId="8" fillId="0" borderId="0" xfId="37" applyNumberFormat="1" applyFont="1" applyAlignment="1">
      <alignment horizontal="center"/>
    </xf>
    <xf numFmtId="0" fontId="105" fillId="0" borderId="119" xfId="0" applyFont="1" applyBorder="1" applyAlignment="1">
      <alignment horizontal="center" vertical="center" wrapText="1" readingOrder="1"/>
    </xf>
    <xf numFmtId="0" fontId="105" fillId="0" borderId="120" xfId="0" applyFont="1" applyBorder="1" applyAlignment="1">
      <alignment horizontal="center" vertical="center" wrapText="1" readingOrder="1"/>
    </xf>
    <xf numFmtId="0" fontId="107" fillId="30" borderId="121" xfId="0" applyFont="1" applyFill="1" applyBorder="1" applyAlignment="1">
      <alignment horizontal="center" vertical="center" wrapText="1" readingOrder="1"/>
    </xf>
    <xf numFmtId="0" fontId="107" fillId="30" borderId="122" xfId="0" applyFont="1" applyFill="1" applyBorder="1" applyAlignment="1">
      <alignment horizontal="center" vertical="center" wrapText="1" readingOrder="1"/>
    </xf>
    <xf numFmtId="0" fontId="107" fillId="31" borderId="121" xfId="0" applyFont="1" applyFill="1" applyBorder="1" applyAlignment="1">
      <alignment horizontal="center" vertical="center" wrapText="1" readingOrder="1"/>
    </xf>
    <xf numFmtId="0" fontId="107" fillId="31" borderId="122" xfId="0" applyFont="1" applyFill="1" applyBorder="1" applyAlignment="1">
      <alignment horizontal="center" vertical="center" wrapText="1" readingOrder="1"/>
    </xf>
    <xf numFmtId="0" fontId="107" fillId="29" borderId="121" xfId="0" applyFont="1" applyFill="1" applyBorder="1" applyAlignment="1">
      <alignment horizontal="center" vertical="center" wrapText="1" readingOrder="1"/>
    </xf>
    <xf numFmtId="0" fontId="107" fillId="29" borderId="122" xfId="0" applyFont="1" applyFill="1" applyBorder="1" applyAlignment="1">
      <alignment horizontal="center" vertical="center" wrapText="1" readingOrder="1"/>
    </xf>
    <xf numFmtId="0" fontId="99" fillId="0" borderId="119" xfId="0" applyFont="1" applyBorder="1" applyAlignment="1">
      <alignment horizontal="center" vertical="center" wrapText="1" readingOrder="1"/>
    </xf>
    <xf numFmtId="0" fontId="99" fillId="0" borderId="120" xfId="0" applyFont="1" applyBorder="1" applyAlignment="1">
      <alignment horizontal="center" vertical="center" wrapText="1" readingOrder="1"/>
    </xf>
    <xf numFmtId="0" fontId="99" fillId="30" borderId="121" xfId="0" applyFont="1" applyFill="1" applyBorder="1" applyAlignment="1">
      <alignment horizontal="center" vertical="center" wrapText="1" readingOrder="1"/>
    </xf>
    <xf numFmtId="0" fontId="99" fillId="30" borderId="122" xfId="0" applyFont="1" applyFill="1" applyBorder="1" applyAlignment="1">
      <alignment horizontal="center" vertical="center" wrapText="1" readingOrder="1"/>
    </xf>
    <xf numFmtId="0" fontId="99" fillId="31" borderId="121" xfId="0" applyFont="1" applyFill="1" applyBorder="1" applyAlignment="1">
      <alignment horizontal="center" vertical="center" wrapText="1" readingOrder="1"/>
    </xf>
    <xf numFmtId="0" fontId="99" fillId="31" borderId="122" xfId="0" applyFont="1" applyFill="1" applyBorder="1" applyAlignment="1">
      <alignment horizontal="center" vertical="center" wrapText="1" readingOrder="1"/>
    </xf>
    <xf numFmtId="0" fontId="99" fillId="29" borderId="121" xfId="0" applyFont="1" applyFill="1" applyBorder="1" applyAlignment="1">
      <alignment horizontal="center" vertical="center" wrapText="1" readingOrder="1"/>
    </xf>
    <xf numFmtId="0" fontId="99" fillId="29" borderId="122" xfId="0" applyFont="1" applyFill="1" applyBorder="1" applyAlignment="1">
      <alignment horizontal="center" vertical="center" wrapText="1" readingOrder="1"/>
    </xf>
    <xf numFmtId="0" fontId="118" fillId="0" borderId="36" xfId="0" applyFont="1" applyBorder="1" applyAlignment="1">
      <alignment horizontal="center" vertical="center" wrapText="1"/>
    </xf>
    <xf numFmtId="0" fontId="118" fillId="0" borderId="37" xfId="0" applyFont="1" applyBorder="1" applyAlignment="1">
      <alignment horizontal="center" vertical="center" wrapText="1"/>
    </xf>
    <xf numFmtId="0" fontId="118" fillId="0" borderId="79" xfId="0" applyFont="1" applyBorder="1" applyAlignment="1">
      <alignment horizontal="center" vertical="center" wrapText="1"/>
    </xf>
    <xf numFmtId="0" fontId="118" fillId="0" borderId="81" xfId="0" applyFont="1" applyBorder="1" applyAlignment="1">
      <alignment horizontal="center" vertical="center" wrapText="1"/>
    </xf>
  </cellXfs>
  <cellStyles count="2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ody" xfId="26" xr:uid="{00000000-0005-0000-0000-000019000000}"/>
    <cellStyle name="Calc Currency (0)" xfId="27" xr:uid="{00000000-0005-0000-0000-00001A000000}"/>
    <cellStyle name="Calc Currency (2)" xfId="28" xr:uid="{00000000-0005-0000-0000-00001B000000}"/>
    <cellStyle name="Calc Percent (0)" xfId="29" xr:uid="{00000000-0005-0000-0000-00001C000000}"/>
    <cellStyle name="Calc Percent (1)" xfId="30" xr:uid="{00000000-0005-0000-0000-00001D000000}"/>
    <cellStyle name="Calc Percent (2)" xfId="31" xr:uid="{00000000-0005-0000-0000-00001E000000}"/>
    <cellStyle name="Calc Units (0)" xfId="32" xr:uid="{00000000-0005-0000-0000-00001F000000}"/>
    <cellStyle name="Calc Units (1)" xfId="33" xr:uid="{00000000-0005-0000-0000-000020000000}"/>
    <cellStyle name="Calc Units (2)" xfId="34" xr:uid="{00000000-0005-0000-0000-000021000000}"/>
    <cellStyle name="Calculation" xfId="35" builtinId="22" customBuiltin="1"/>
    <cellStyle name="Check Cell" xfId="36" builtinId="23" customBuiltin="1"/>
    <cellStyle name="Comma" xfId="37" builtinId="3"/>
    <cellStyle name="Comma  - Style1" xfId="38" xr:uid="{00000000-0005-0000-0000-000025000000}"/>
    <cellStyle name="Comma [00]" xfId="39" xr:uid="{00000000-0005-0000-0000-000026000000}"/>
    <cellStyle name="Comma 10" xfId="121" xr:uid="{00000000-0005-0000-0000-00007D000000}"/>
    <cellStyle name="Comma 11" xfId="123" xr:uid="{00000000-0005-0000-0000-00007E000000}"/>
    <cellStyle name="Comma 12" xfId="124" xr:uid="{00000000-0005-0000-0000-00007F000000}"/>
    <cellStyle name="Comma 13" xfId="125" xr:uid="{00000000-0005-0000-0000-000080000000}"/>
    <cellStyle name="Comma 14" xfId="127" xr:uid="{00000000-0005-0000-0000-000081000000}"/>
    <cellStyle name="Comma 15" xfId="130" xr:uid="{00000000-0005-0000-0000-000082000000}"/>
    <cellStyle name="Comma 16" xfId="126" xr:uid="{00000000-0005-0000-0000-000083000000}"/>
    <cellStyle name="Comma 17" xfId="131" xr:uid="{00000000-0005-0000-0000-000084000000}"/>
    <cellStyle name="Comma 18" xfId="132" xr:uid="{00000000-0005-0000-0000-000085000000}"/>
    <cellStyle name="Comma 19" xfId="128" xr:uid="{00000000-0005-0000-0000-000086000000}"/>
    <cellStyle name="Comma 2" xfId="40" xr:uid="{00000000-0005-0000-0000-000027000000}"/>
    <cellStyle name="Comma 2 2" xfId="167" xr:uid="{231A6E27-7C84-4A0D-BE30-6D64940C9B1D}"/>
    <cellStyle name="Comma 2 2 2" xfId="173" xr:uid="{949CADA4-776B-476A-A6BB-50450FAC38B3}"/>
    <cellStyle name="Comma 2 2 2 2" xfId="248" xr:uid="{949CADA4-776B-476A-A6BB-50450FAC38B3}"/>
    <cellStyle name="Comma 2 2 3" xfId="242" xr:uid="{231A6E27-7C84-4A0D-BE30-6D64940C9B1D}"/>
    <cellStyle name="Comma 2 3" xfId="168" xr:uid="{363B24F6-1F18-4FE2-A96B-3D0512889B9B}"/>
    <cellStyle name="Comma 2 3 2" xfId="243" xr:uid="{363B24F6-1F18-4FE2-A96B-3D0512889B9B}"/>
    <cellStyle name="Comma 2 4" xfId="171" xr:uid="{275D2B2E-13EA-42CD-AFCE-EC4068984634}"/>
    <cellStyle name="Comma 2 4 2" xfId="246" xr:uid="{275D2B2E-13EA-42CD-AFCE-EC4068984634}"/>
    <cellStyle name="Comma 2 5" xfId="163" xr:uid="{09F6540C-598E-4172-A366-D1AA5F0D595F}"/>
    <cellStyle name="Comma 2 6" xfId="239" xr:uid="{09F6540C-598E-4172-A366-D1AA5F0D595F}"/>
    <cellStyle name="Comma 20" xfId="129" xr:uid="{00000000-0005-0000-0000-000087000000}"/>
    <cellStyle name="Comma 21" xfId="133" xr:uid="{00000000-0005-0000-0000-000088000000}"/>
    <cellStyle name="Comma 22" xfId="134" xr:uid="{00000000-0005-0000-0000-000089000000}"/>
    <cellStyle name="Comma 23" xfId="135" xr:uid="{00000000-0005-0000-0000-00008A000000}"/>
    <cellStyle name="Comma 24" xfId="136" xr:uid="{00000000-0005-0000-0000-00008B000000}"/>
    <cellStyle name="Comma 25" xfId="137" xr:uid="{00000000-0005-0000-0000-00008C000000}"/>
    <cellStyle name="Comma 26" xfId="138" xr:uid="{00000000-0005-0000-0000-00008D000000}"/>
    <cellStyle name="Comma 27" xfId="139" xr:uid="{00000000-0005-0000-0000-00008E000000}"/>
    <cellStyle name="Comma 28" xfId="140" xr:uid="{00000000-0005-0000-0000-00008F000000}"/>
    <cellStyle name="Comma 29" xfId="141" xr:uid="{00000000-0005-0000-0000-000090000000}"/>
    <cellStyle name="Comma 3" xfId="41" xr:uid="{00000000-0005-0000-0000-000028000000}"/>
    <cellStyle name="Comma 30" xfId="142" xr:uid="{00000000-0005-0000-0000-000091000000}"/>
    <cellStyle name="Comma 31" xfId="143" xr:uid="{00000000-0005-0000-0000-000092000000}"/>
    <cellStyle name="Comma 32" xfId="144" xr:uid="{00000000-0005-0000-0000-000093000000}"/>
    <cellStyle name="Comma 33" xfId="145" xr:uid="{00000000-0005-0000-0000-000094000000}"/>
    <cellStyle name="Comma 34" xfId="146" xr:uid="{00000000-0005-0000-0000-000095000000}"/>
    <cellStyle name="Comma 35" xfId="147" xr:uid="{00000000-0005-0000-0000-000096000000}"/>
    <cellStyle name="Comma 36" xfId="148" xr:uid="{00000000-0005-0000-0000-000097000000}"/>
    <cellStyle name="Comma 37" xfId="150" xr:uid="{00000000-0005-0000-0000-000098000000}"/>
    <cellStyle name="Comma 38" xfId="152" xr:uid="{00000000-0005-0000-0000-00009A000000}"/>
    <cellStyle name="Comma 39" xfId="154" xr:uid="{00000000-0005-0000-0000-00009C000000}"/>
    <cellStyle name="Comma 4" xfId="42" xr:uid="{00000000-0005-0000-0000-000029000000}"/>
    <cellStyle name="Comma 40" xfId="156" xr:uid="{00000000-0005-0000-0000-00009E000000}"/>
    <cellStyle name="Comma 41" xfId="158" xr:uid="{00000000-0005-0000-0000-0000A0000000}"/>
    <cellStyle name="Comma 42" xfId="159" xr:uid="{00000000-0005-0000-0000-0000AE000000}"/>
    <cellStyle name="Comma 43" xfId="162" xr:uid="{00000000-0005-0000-0000-0000B0000000}"/>
    <cellStyle name="Comma 44" xfId="165" xr:uid="{00000000-0005-0000-0000-0000B2000000}"/>
    <cellStyle name="Comma 45" xfId="175" xr:uid="{00000000-0005-0000-0000-0000B4000000}"/>
    <cellStyle name="Comma 46" xfId="182" xr:uid="{00000000-0005-0000-0000-0000B6000000}"/>
    <cellStyle name="Comma 47" xfId="181" xr:uid="{00000000-0005-0000-0000-0000B8000000}"/>
    <cellStyle name="Comma 48" xfId="184" xr:uid="{00000000-0005-0000-0000-0000BA000000}"/>
    <cellStyle name="Comma 49" xfId="180" xr:uid="{00000000-0005-0000-0000-0000BC000000}"/>
    <cellStyle name="Comma 5" xfId="120" xr:uid="{00000000-0005-0000-0000-00007A000000}"/>
    <cellStyle name="Comma 50" xfId="176" xr:uid="{00000000-0005-0000-0000-0000BE000000}"/>
    <cellStyle name="Comma 51" xfId="185" xr:uid="{00000000-0005-0000-0000-0000C0000000}"/>
    <cellStyle name="Comma 52" xfId="177" xr:uid="{00000000-0005-0000-0000-0000C2000000}"/>
    <cellStyle name="Comma 53" xfId="183" xr:uid="{00000000-0005-0000-0000-0000C4000000}"/>
    <cellStyle name="Comma 54" xfId="186" xr:uid="{00000000-0005-0000-0000-0000C6000000}"/>
    <cellStyle name="Comma 55" xfId="192" xr:uid="{00000000-0005-0000-0000-0000C8000000}"/>
    <cellStyle name="Comma 56" xfId="194" xr:uid="{00000000-0005-0000-0000-0000CA000000}"/>
    <cellStyle name="Comma 57" xfId="190" xr:uid="{00000000-0005-0000-0000-0000CC000000}"/>
    <cellStyle name="Comma 58" xfId="202" xr:uid="{00000000-0005-0000-0000-0000CE000000}"/>
    <cellStyle name="Comma 59" xfId="205" xr:uid="{00000000-0005-0000-0000-0000D0000000}"/>
    <cellStyle name="Comma 6" xfId="122" xr:uid="{00000000-0005-0000-0000-00007B000000}"/>
    <cellStyle name="Comma 60" xfId="196" xr:uid="{00000000-0005-0000-0000-0000D2000000}"/>
    <cellStyle name="Comma 61" xfId="213" xr:uid="{00000000-0005-0000-0000-0000D4000000}"/>
    <cellStyle name="Comma 62" xfId="215" xr:uid="{00000000-0005-0000-0000-0000D6000000}"/>
    <cellStyle name="Comma 63" xfId="206" xr:uid="{00000000-0005-0000-0000-0000D8000000}"/>
    <cellStyle name="Comma 64" xfId="217" xr:uid="{00000000-0005-0000-0000-0000DA000000}"/>
    <cellStyle name="Comma 65" xfId="218" xr:uid="{00000000-0005-0000-0000-0000DC000000}"/>
    <cellStyle name="Comma 66" xfId="221" xr:uid="{00000000-0005-0000-0000-0000DE000000}"/>
    <cellStyle name="Comma 67" xfId="219" xr:uid="{00000000-0005-0000-0000-0000E0000000}"/>
    <cellStyle name="Comma 68" xfId="224" xr:uid="{00000000-0005-0000-0000-0000E2000000}"/>
    <cellStyle name="Comma 69" xfId="225" xr:uid="{00000000-0005-0000-0000-0000E4000000}"/>
    <cellStyle name="Comma 7" xfId="119" xr:uid="{00000000-0005-0000-0000-00007C000000}"/>
    <cellStyle name="Comma 70" xfId="227" xr:uid="{00000000-0005-0000-0000-0000E6000000}"/>
    <cellStyle name="Comma 71" xfId="230" xr:uid="{00000000-0005-0000-0000-0000E8000000}"/>
    <cellStyle name="Comma 72" xfId="231" xr:uid="{00000000-0005-0000-0000-0000EA000000}"/>
    <cellStyle name="Comma 73" xfId="234" xr:uid="{00000000-0005-0000-0000-0000EC000000}"/>
    <cellStyle name="Comma 74" xfId="237" xr:uid="{00000000-0005-0000-0000-0000F5000000}"/>
    <cellStyle name="Comma 75" xfId="244" xr:uid="{00000000-0005-0000-0000-0000F7000000}"/>
    <cellStyle name="Comma 76" xfId="235" xr:uid="{00000000-0005-0000-0000-0000F9000000}"/>
    <cellStyle name="Comma 77" xfId="247" xr:uid="{00000000-0005-0000-0000-0000FB000000}"/>
    <cellStyle name="Comma 78" xfId="253" xr:uid="{00000000-0005-0000-0000-0000FD000000}"/>
    <cellStyle name="Comma 79" xfId="252" xr:uid="{00000000-0005-0000-0000-0000FF000000}"/>
    <cellStyle name="Comma 8" xfId="43" xr:uid="{00000000-0005-0000-0000-00002A000000}"/>
    <cellStyle name="Comma 80" xfId="255" xr:uid="{00000000-0005-0000-0000-000001010000}"/>
    <cellStyle name="Comma 81" xfId="251" xr:uid="{00000000-0005-0000-0000-000003010000}"/>
    <cellStyle name="Comma 82" xfId="240" xr:uid="{00000000-0005-0000-0000-000005010000}"/>
    <cellStyle name="Comma 83" xfId="256" xr:uid="{00000000-0005-0000-0000-000007010000}"/>
    <cellStyle name="Comma 84" xfId="249" xr:uid="{00000000-0005-0000-0000-000009010000}"/>
    <cellStyle name="Comma 85" xfId="254" xr:uid="{00000000-0005-0000-0000-00000B010000}"/>
    <cellStyle name="Comma 86" xfId="257" xr:uid="{00000000-0005-0000-0000-00000D010000}"/>
    <cellStyle name="Comma 87" xfId="269" xr:uid="{00000000-0005-0000-0000-00000F010000}"/>
    <cellStyle name="Comma 88" xfId="270" xr:uid="{00000000-0005-0000-0000-000011010000}"/>
    <cellStyle name="Comma 89" xfId="271" xr:uid="{00000000-0005-0000-0000-000013010000}"/>
    <cellStyle name="Comma 9" xfId="44" xr:uid="{00000000-0005-0000-0000-00002B000000}"/>
    <cellStyle name="Comma 90" xfId="272" xr:uid="{00000000-0005-0000-0000-000015010000}"/>
    <cellStyle name="Comma 91" xfId="275" xr:uid="{00000000-0005-0000-0000-000017010000}"/>
    <cellStyle name="Comma 92" xfId="278" xr:uid="{00000000-0005-0000-0000-000019010000}"/>
    <cellStyle name="Comma_provision terminal benefits-NESCO" xfId="45" xr:uid="{00000000-0005-0000-0000-00002C000000}"/>
    <cellStyle name="Curren - Style2" xfId="46" xr:uid="{00000000-0005-0000-0000-00002D000000}"/>
    <cellStyle name="Currency [00]" xfId="47" xr:uid="{00000000-0005-0000-0000-00002E000000}"/>
    <cellStyle name="date" xfId="48" xr:uid="{00000000-0005-0000-0000-00002F000000}"/>
    <cellStyle name="Date Short" xfId="49" xr:uid="{00000000-0005-0000-0000-000030000000}"/>
    <cellStyle name="DELTA" xfId="50" xr:uid="{00000000-0005-0000-0000-000031000000}"/>
    <cellStyle name="Enter Currency (0)" xfId="51" xr:uid="{00000000-0005-0000-0000-000032000000}"/>
    <cellStyle name="Enter Currency (2)" xfId="52" xr:uid="{00000000-0005-0000-0000-000033000000}"/>
    <cellStyle name="Enter Units (0)" xfId="53" xr:uid="{00000000-0005-0000-0000-000034000000}"/>
    <cellStyle name="Enter Units (1)" xfId="54" xr:uid="{00000000-0005-0000-0000-000035000000}"/>
    <cellStyle name="Enter Units (2)" xfId="55" xr:uid="{00000000-0005-0000-0000-000036000000}"/>
    <cellStyle name="Explanatory Text" xfId="56" builtinId="53" customBuiltin="1"/>
    <cellStyle name="Good" xfId="57" builtinId="26" customBuiltin="1"/>
    <cellStyle name="Grey" xfId="58" xr:uid="{00000000-0005-0000-0000-000039000000}"/>
    <cellStyle name="Header1" xfId="59" xr:uid="{00000000-0005-0000-0000-00003A000000}"/>
    <cellStyle name="Header2" xfId="60" xr:uid="{00000000-0005-0000-0000-00003B000000}"/>
    <cellStyle name="Heading 1" xfId="61" builtinId="16" customBuiltin="1"/>
    <cellStyle name="Heading 2" xfId="62" builtinId="17" customBuiltin="1"/>
    <cellStyle name="Heading 3" xfId="63" builtinId="18" customBuiltin="1"/>
    <cellStyle name="Heading 4" xfId="64" builtinId="19" customBuiltin="1"/>
    <cellStyle name="Input" xfId="65" builtinId="20" customBuiltin="1"/>
    <cellStyle name="Input [yellow]" xfId="66" xr:uid="{00000000-0005-0000-0000-000041000000}"/>
    <cellStyle name="Link Currency (0)" xfId="67" xr:uid="{00000000-0005-0000-0000-000042000000}"/>
    <cellStyle name="Link Currency (2)" xfId="68" xr:uid="{00000000-0005-0000-0000-000043000000}"/>
    <cellStyle name="Link Units (0)" xfId="69" xr:uid="{00000000-0005-0000-0000-000044000000}"/>
    <cellStyle name="Link Units (1)" xfId="70" xr:uid="{00000000-0005-0000-0000-000045000000}"/>
    <cellStyle name="Link Units (2)" xfId="71" xr:uid="{00000000-0005-0000-0000-000046000000}"/>
    <cellStyle name="Linked Cell" xfId="72" builtinId="24" customBuiltin="1"/>
    <cellStyle name="Neutral" xfId="73" builtinId="28" customBuiltin="1"/>
    <cellStyle name="no dec" xfId="74" xr:uid="{00000000-0005-0000-0000-000049000000}"/>
    <cellStyle name="Normal" xfId="0" builtinId="0"/>
    <cellStyle name="Normal - Style1" xfId="75" xr:uid="{00000000-0005-0000-0000-00004B000000}"/>
    <cellStyle name="Normal 10" xfId="149" xr:uid="{00000000-0005-0000-0000-000099000000}"/>
    <cellStyle name="Normal 11" xfId="151" xr:uid="{00000000-0005-0000-0000-00009B000000}"/>
    <cellStyle name="Normal 12" xfId="153" xr:uid="{00000000-0005-0000-0000-00009D000000}"/>
    <cellStyle name="Normal 13" xfId="155" xr:uid="{00000000-0005-0000-0000-00009F000000}"/>
    <cellStyle name="Normal 14" xfId="157" xr:uid="{00000000-0005-0000-0000-0000A6000000}"/>
    <cellStyle name="Normal 15" xfId="161" xr:uid="{00000000-0005-0000-0000-0000AF000000}"/>
    <cellStyle name="Normal 16" xfId="116" xr:uid="{00000000-0005-0000-0000-00004C000000}"/>
    <cellStyle name="Normal 17" xfId="179" xr:uid="{00000000-0005-0000-0000-0000B1000000}"/>
    <cellStyle name="Normal 18" xfId="178" xr:uid="{00000000-0005-0000-0000-0000B3000000}"/>
    <cellStyle name="Normal 19" xfId="187" xr:uid="{00000000-0005-0000-0000-0000B5000000}"/>
    <cellStyle name="Normal 2" xfId="76" xr:uid="{00000000-0005-0000-0000-00004D000000}"/>
    <cellStyle name="Normal 2 2" xfId="77" xr:uid="{00000000-0005-0000-0000-00004E000000}"/>
    <cellStyle name="Normal 2 2 2" xfId="112" xr:uid="{00000000-0005-0000-0000-00004F000000}"/>
    <cellStyle name="Normal 2 2 7" xfId="174" xr:uid="{75D9B861-4C5B-4770-BB58-AE64A438E4B0}"/>
    <cellStyle name="Normal 2 3" xfId="164" xr:uid="{1F8EF94C-4DAE-435E-8D7E-DA6D2BB468BC}"/>
    <cellStyle name="Normal 20" xfId="189" xr:uid="{00000000-0005-0000-0000-0000B7000000}"/>
    <cellStyle name="Normal 21" xfId="191" xr:uid="{00000000-0005-0000-0000-0000B9000000}"/>
    <cellStyle name="Normal 22" xfId="193" xr:uid="{00000000-0005-0000-0000-0000BB000000}"/>
    <cellStyle name="Normal 23" xfId="195" xr:uid="{00000000-0005-0000-0000-0000BD000000}"/>
    <cellStyle name="Normal 24" xfId="197" xr:uid="{00000000-0005-0000-0000-0000BF000000}"/>
    <cellStyle name="Normal 25" xfId="198" xr:uid="{00000000-0005-0000-0000-0000C1000000}"/>
    <cellStyle name="Normal 26" xfId="199" xr:uid="{00000000-0005-0000-0000-0000C3000000}"/>
    <cellStyle name="Normal 27" xfId="201" xr:uid="{00000000-0005-0000-0000-0000C5000000}"/>
    <cellStyle name="Normal 28" xfId="203" xr:uid="{00000000-0005-0000-0000-0000C7000000}"/>
    <cellStyle name="Normal 29" xfId="188" xr:uid="{00000000-0005-0000-0000-0000C9000000}"/>
    <cellStyle name="Normal 3" xfId="78" xr:uid="{00000000-0005-0000-0000-000050000000}"/>
    <cellStyle name="Normal 3 2" xfId="118" xr:uid="{00000000-0005-0000-0000-000051000000}"/>
    <cellStyle name="Normal 3 3" xfId="170" xr:uid="{3E5DC58D-F774-4B3E-B9C6-F1C2BF80DDD1}"/>
    <cellStyle name="Normal 3 4" xfId="245" xr:uid="{3E5DC58D-F774-4B3E-B9C6-F1C2BF80DDD1}"/>
    <cellStyle name="Normal 30" xfId="200" xr:uid="{00000000-0005-0000-0000-0000CB000000}"/>
    <cellStyle name="Normal 31" xfId="204" xr:uid="{00000000-0005-0000-0000-0000CD000000}"/>
    <cellStyle name="Normal 32" xfId="208" xr:uid="{00000000-0005-0000-0000-0000CF000000}"/>
    <cellStyle name="Normal 33" xfId="210" xr:uid="{00000000-0005-0000-0000-0000D1000000}"/>
    <cellStyle name="Normal 34" xfId="212" xr:uid="{00000000-0005-0000-0000-0000D3000000}"/>
    <cellStyle name="Normal 35" xfId="211" xr:uid="{00000000-0005-0000-0000-0000D5000000}"/>
    <cellStyle name="Normal 36" xfId="207" xr:uid="{00000000-0005-0000-0000-0000D7000000}"/>
    <cellStyle name="Normal 37" xfId="214" xr:uid="{00000000-0005-0000-0000-0000D9000000}"/>
    <cellStyle name="Normal 38" xfId="216" xr:uid="{00000000-0005-0000-0000-0000DB000000}"/>
    <cellStyle name="Normal 39" xfId="209" xr:uid="{00000000-0005-0000-0000-0000DD000000}"/>
    <cellStyle name="Normal 4" xfId="79" xr:uid="{00000000-0005-0000-0000-000052000000}"/>
    <cellStyle name="Normal 4 2" xfId="80" xr:uid="{00000000-0005-0000-0000-000053000000}"/>
    <cellStyle name="Normal 4 3" xfId="81" xr:uid="{00000000-0005-0000-0000-000054000000}"/>
    <cellStyle name="Normal 4 4" xfId="172" xr:uid="{1B09FBD5-368D-4B5D-B428-AEE2A609C91D}"/>
    <cellStyle name="Normal 40" xfId="220" xr:uid="{00000000-0005-0000-0000-0000DF000000}"/>
    <cellStyle name="Normal 41" xfId="222" xr:uid="{00000000-0005-0000-0000-0000E1000000}"/>
    <cellStyle name="Normal 42" xfId="223" xr:uid="{00000000-0005-0000-0000-0000E3000000}"/>
    <cellStyle name="Normal 43" xfId="226" xr:uid="{00000000-0005-0000-0000-0000E5000000}"/>
    <cellStyle name="Normal 44" xfId="228" xr:uid="{00000000-0005-0000-0000-0000E7000000}"/>
    <cellStyle name="Normal 45" xfId="229" xr:uid="{00000000-0005-0000-0000-0000E9000000}"/>
    <cellStyle name="Normal 46" xfId="232" xr:uid="{00000000-0005-0000-0000-0000EB000000}"/>
    <cellStyle name="Normal 47" xfId="233" xr:uid="{00000000-0005-0000-0000-0000F2000000}"/>
    <cellStyle name="Normal 48" xfId="236" xr:uid="{00000000-0005-0000-0000-0000F6000000}"/>
    <cellStyle name="Normal 49" xfId="250" xr:uid="{00000000-0005-0000-0000-0000F8000000}"/>
    <cellStyle name="Normal 5" xfId="82" xr:uid="{00000000-0005-0000-0000-000055000000}"/>
    <cellStyle name="Normal 5 2" xfId="169" xr:uid="{27549AE2-2575-4C06-8672-D9FBBB8E5B6F}"/>
    <cellStyle name="Normal 50" xfId="238" xr:uid="{00000000-0005-0000-0000-0000FA000000}"/>
    <cellStyle name="Normal 51" xfId="258" xr:uid="{00000000-0005-0000-0000-0000FC000000}"/>
    <cellStyle name="Normal 52" xfId="259" xr:uid="{00000000-0005-0000-0000-0000FE000000}"/>
    <cellStyle name="Normal 53" xfId="260" xr:uid="{00000000-0005-0000-0000-000000010000}"/>
    <cellStyle name="Normal 54" xfId="261" xr:uid="{00000000-0005-0000-0000-000002010000}"/>
    <cellStyle name="Normal 55" xfId="262" xr:uid="{00000000-0005-0000-0000-000004010000}"/>
    <cellStyle name="Normal 56" xfId="263" xr:uid="{00000000-0005-0000-0000-000006010000}"/>
    <cellStyle name="Normal 57" xfId="264" xr:uid="{00000000-0005-0000-0000-000008010000}"/>
    <cellStyle name="Normal 58" xfId="266" xr:uid="{00000000-0005-0000-0000-00000A010000}"/>
    <cellStyle name="Normal 59" xfId="267" xr:uid="{00000000-0005-0000-0000-00000C010000}"/>
    <cellStyle name="Normal 6" xfId="109" xr:uid="{00000000-0005-0000-0000-000056000000}"/>
    <cellStyle name="Normal 60" xfId="268" xr:uid="{00000000-0005-0000-0000-00000E010000}"/>
    <cellStyle name="Normal 61" xfId="265" xr:uid="{00000000-0005-0000-0000-000010010000}"/>
    <cellStyle name="Normal 62" xfId="273" xr:uid="{00000000-0005-0000-0000-000012010000}"/>
    <cellStyle name="Normal 63" xfId="276" xr:uid="{00000000-0005-0000-0000-000014010000}"/>
    <cellStyle name="Normal 64" xfId="274" xr:uid="{00000000-0005-0000-0000-000016010000}"/>
    <cellStyle name="Normal 65" xfId="277" xr:uid="{00000000-0005-0000-0000-000018010000}"/>
    <cellStyle name="Normal 66" xfId="279" xr:uid="{00000000-0005-0000-0000-00001A010000}"/>
    <cellStyle name="Normal 7" xfId="110" xr:uid="{00000000-0005-0000-0000-000057000000}"/>
    <cellStyle name="Normal 8" xfId="111" xr:uid="{00000000-0005-0000-0000-000058000000}"/>
    <cellStyle name="Normal 8 2" xfId="115" xr:uid="{00000000-0005-0000-0000-000059000000}"/>
    <cellStyle name="Normal 9" xfId="113" xr:uid="{00000000-0005-0000-0000-00005A000000}"/>
    <cellStyle name="Normal_CONSUMPTION GREATER THAN 1 MVA" xfId="83" xr:uid="{00000000-0005-0000-0000-00005B000000}"/>
    <cellStyle name="Normal_SOUTHCO___ARR_2005-06" xfId="84" xr:uid="{00000000-0005-0000-0000-00005C000000}"/>
    <cellStyle name="Normal_tarif revision" xfId="85" xr:uid="{00000000-0005-0000-0000-00005D000000}"/>
    <cellStyle name="Note" xfId="86" builtinId="10" customBuiltin="1"/>
    <cellStyle name="Output" xfId="87" builtinId="21" customBuiltin="1"/>
    <cellStyle name="Percent" xfId="88" builtinId="5"/>
    <cellStyle name="Percent [0]" xfId="89" xr:uid="{00000000-0005-0000-0000-000061000000}"/>
    <cellStyle name="Percent [00]" xfId="90" xr:uid="{00000000-0005-0000-0000-000062000000}"/>
    <cellStyle name="Percent [2]" xfId="91" xr:uid="{00000000-0005-0000-0000-000063000000}"/>
    <cellStyle name="Percent 2" xfId="92" xr:uid="{00000000-0005-0000-0000-000064000000}"/>
    <cellStyle name="Percent 2 2" xfId="93" xr:uid="{00000000-0005-0000-0000-000065000000}"/>
    <cellStyle name="Percent 2 3" xfId="160" xr:uid="{B9B8FDA5-313A-404B-869B-F6D3776BB37F}"/>
    <cellStyle name="Percent 3" xfId="94" xr:uid="{00000000-0005-0000-0000-000066000000}"/>
    <cellStyle name="Percent 3 2" xfId="166" xr:uid="{CCD9183E-63A3-4118-BAA8-BCC7A90D35DF}"/>
    <cellStyle name="Percent 3 3" xfId="241" xr:uid="{CCD9183E-63A3-4118-BAA8-BCC7A90D35DF}"/>
    <cellStyle name="Percent 4" xfId="95" xr:uid="{00000000-0005-0000-0000-000067000000}"/>
    <cellStyle name="Percent 5" xfId="96" xr:uid="{00000000-0005-0000-0000-000068000000}"/>
    <cellStyle name="Percent 6" xfId="97" xr:uid="{00000000-0005-0000-0000-000069000000}"/>
    <cellStyle name="Percent 7" xfId="114" xr:uid="{00000000-0005-0000-0000-00006A000000}"/>
    <cellStyle name="Percent 8" xfId="117" xr:uid="{00000000-0005-0000-0000-00006B000000}"/>
    <cellStyle name="PrePop Currency (0)" xfId="98" xr:uid="{00000000-0005-0000-0000-00006C000000}"/>
    <cellStyle name="PrePop Currency (2)" xfId="99" xr:uid="{00000000-0005-0000-0000-00006D000000}"/>
    <cellStyle name="PrePop Units (0)" xfId="100" xr:uid="{00000000-0005-0000-0000-00006E000000}"/>
    <cellStyle name="PrePop Units (1)" xfId="101" xr:uid="{00000000-0005-0000-0000-00006F000000}"/>
    <cellStyle name="PrePop Units (2)" xfId="102" xr:uid="{00000000-0005-0000-0000-000070000000}"/>
    <cellStyle name="Text Indent A" xfId="103" xr:uid="{00000000-0005-0000-0000-000071000000}"/>
    <cellStyle name="Text Indent B" xfId="104" xr:uid="{00000000-0005-0000-0000-000072000000}"/>
    <cellStyle name="Text Indent C" xfId="105" xr:uid="{00000000-0005-0000-0000-000073000000}"/>
    <cellStyle name="Title" xfId="106" builtinId="15" customBuiltin="1"/>
    <cellStyle name="Total" xfId="107" builtinId="25" customBuiltin="1"/>
    <cellStyle name="Warning Text" xfId="108"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1.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7.xml"/><Relationship Id="rId79" Type="http://schemas.openxmlformats.org/officeDocument/2006/relationships/externalLink" Target="externalLinks/externalLink12.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77" Type="http://schemas.openxmlformats.org/officeDocument/2006/relationships/externalLink" Target="externalLinks/externalLink1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5.xml"/><Relationship Id="rId80" Type="http://schemas.openxmlformats.org/officeDocument/2006/relationships/theme" Target="theme/theme1.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3.xml"/><Relationship Id="rId75" Type="http://schemas.openxmlformats.org/officeDocument/2006/relationships/externalLink" Target="externalLinks/externalLink8.xml"/><Relationship Id="rId83"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6.xml"/><Relationship Id="rId78" Type="http://schemas.openxmlformats.org/officeDocument/2006/relationships/externalLink" Target="externalLinks/externalLink11.xml"/><Relationship Id="rId81" Type="http://schemas.openxmlformats.org/officeDocument/2006/relationships/styles" Target="styles.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9.xml"/><Relationship Id="rId7" Type="http://schemas.openxmlformats.org/officeDocument/2006/relationships/worksheet" Target="worksheets/sheet7.xml"/><Relationship Id="rId71" Type="http://schemas.openxmlformats.org/officeDocument/2006/relationships/externalLink" Target="externalLinks/externalLink4.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fa-hp\f\TARIFF%202006-07\Query-Tariff-2006-07\Distribution\SOUTHC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20E%20R%20C\ARRWESCO%20NOV-2006\Distribution\Consumer%20Analysis%20working%20she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fa-hp\f\TARIFF%202006-07\Query-Tariff-2006-07\Distribution\Consumer%20Analysis%20working%20sheet.xls"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AbhisekMahapatra\AppData\Roaming\Microsoft\Excel\F-15%20(version%201).xlsb" TargetMode="External"/><Relationship Id="rId1" Type="http://schemas.openxmlformats.org/officeDocument/2006/relationships/externalLinkPath" Target="file:///C:\Users\AbhisekMahapatra\AppData\Roaming\Microsoft\Excel\F-15%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fa-hp\f\Users\cso\AppData\Local\Microsoft\Windows\Temporary%20Internet%20Files\Low\Content.IE5\SBBZUIBU\Distribution\SOUTH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20E%20R%20C\ARRWESCO%20NOV-2006\Distribution\SOUTHC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O%20E%20R%20C\ARRWESCO%20NOV-2006\Distribution\CESC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20E%20R%20C/ARRWESCO%20NOV-2006/Distribution/SOUTHC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20E%20R%20C\ARRWESCO%20NOV-2006\Distribution\SOUTHC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fa-hp\f\Users\cso\AppData\Local\Microsoft\Windows\Temporary%20Internet%20Files\Low\Content.IE5\SBBZUIBU\Distribution\Consumer%20Analysis%20working%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O%20E%20R%20C\ARRWESCO%20NOV-2006\Distribution\Consumer%20Analysis%20working%20she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20E%20R%20C/ARRWESCO%20NOV-2006/Distribution/Consumer%20Analysis%20working%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15"/>
      <sheetName val="Sheet3"/>
      <sheetName val="Sheet2"/>
    </sheetNames>
    <sheetDataSet>
      <sheetData sheetId="0">
        <row r="12">
          <cell r="B12">
            <v>-1.04872E-2</v>
          </cell>
          <cell r="C12">
            <v>4.5316000000000002E-3</v>
          </cell>
          <cell r="D12">
            <v>-5.9970329999999997E-3</v>
          </cell>
          <cell r="I12">
            <v>0</v>
          </cell>
          <cell r="J12">
            <v>113.63829630000001</v>
          </cell>
        </row>
        <row r="13">
          <cell r="B13">
            <v>1.6038999999999999E-3</v>
          </cell>
          <cell r="C13">
            <v>0</v>
          </cell>
          <cell r="D13">
            <v>0</v>
          </cell>
          <cell r="I13">
            <v>0</v>
          </cell>
          <cell r="J13">
            <v>0</v>
          </cell>
        </row>
        <row r="14">
          <cell r="B14">
            <v>794.79198220469925</v>
          </cell>
          <cell r="C14">
            <v>1099.4707355113003</v>
          </cell>
          <cell r="D14">
            <v>7661.2744445414091</v>
          </cell>
          <cell r="I14">
            <v>36.7430801</v>
          </cell>
          <cell r="J14">
            <v>18337.420104115172</v>
          </cell>
        </row>
        <row r="15">
          <cell r="B15">
            <v>98.052220146199986</v>
          </cell>
          <cell r="C15">
            <v>40.330575630200002</v>
          </cell>
          <cell r="D15">
            <v>316.13949969890001</v>
          </cell>
          <cell r="I15">
            <v>3.9631898000000003</v>
          </cell>
          <cell r="J15">
            <v>21.723986033599999</v>
          </cell>
        </row>
        <row r="16">
          <cell r="B16">
            <v>34.219464011399999</v>
          </cell>
          <cell r="C16">
            <v>32.522112956200004</v>
          </cell>
          <cell r="D16">
            <v>54.976852956300007</v>
          </cell>
          <cell r="I16">
            <v>0</v>
          </cell>
          <cell r="J16">
            <v>90.372834583300005</v>
          </cell>
        </row>
        <row r="17">
          <cell r="B17">
            <v>1.8930600327000002</v>
          </cell>
          <cell r="C17">
            <v>8.6318636000000011E-3</v>
          </cell>
          <cell r="D17">
            <v>1.3937602699999999E-2</v>
          </cell>
          <cell r="I17">
            <v>0</v>
          </cell>
          <cell r="J17">
            <v>0</v>
          </cell>
        </row>
        <row r="39">
          <cell r="B39">
            <v>65.09932851939999</v>
          </cell>
          <cell r="C39">
            <v>9.2627810764999996</v>
          </cell>
          <cell r="D39">
            <v>4.3820010600000003</v>
          </cell>
          <cell r="I39">
            <v>0</v>
          </cell>
          <cell r="J39">
            <v>124.70967333559999</v>
          </cell>
        </row>
        <row r="40">
          <cell r="B40">
            <v>1.0049999999999999E-5</v>
          </cell>
          <cell r="C40">
            <v>0</v>
          </cell>
          <cell r="D40">
            <v>1.4499999999999999E-6</v>
          </cell>
          <cell r="I40">
            <v>0</v>
          </cell>
          <cell r="J40">
            <v>8.6861058499999988</v>
          </cell>
        </row>
        <row r="41">
          <cell r="B41">
            <v>0.18557798329999997</v>
          </cell>
          <cell r="C41">
            <v>1.8500000000000001E-6</v>
          </cell>
          <cell r="D41">
            <v>0</v>
          </cell>
          <cell r="I41">
            <v>0</v>
          </cell>
          <cell r="J41">
            <v>6.4613330500000004</v>
          </cell>
        </row>
        <row r="42">
          <cell r="B42">
            <v>0.30403847000000001</v>
          </cell>
          <cell r="C42">
            <v>0</v>
          </cell>
          <cell r="D42">
            <v>0</v>
          </cell>
          <cell r="I42">
            <v>0</v>
          </cell>
          <cell r="J42">
            <v>0.24906938999999997</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Menu"/>
      <sheetName val="Capitalization Expenses Manual"/>
      <sheetName val="Capitalization of Expenses"/>
      <sheetName val="Loan Summary - Working Cap"/>
      <sheetName val="Details of Loan - Working Cap"/>
      <sheetName val="Details of Loan - Capital Works"/>
      <sheetName val="Loan Summary - Capital Works"/>
      <sheetName val="Current Year"/>
      <sheetName val="Costs at voltage Current year"/>
      <sheetName val="CWIP"/>
      <sheetName val="Other revenue sources Manual"/>
      <sheetName val="A&amp;G Expenses Manual"/>
      <sheetName val="Special Appropriations Manual"/>
      <sheetName val="Employee Cost Manual"/>
      <sheetName val="Interest Charges Manual"/>
      <sheetName val="Manual CWIP"/>
      <sheetName val="R&amp;M Manual"/>
      <sheetName val="Manual Loss Details"/>
      <sheetName val="Discounts and Penalties Manual"/>
      <sheetName val="Revenue Current Past Manual "/>
      <sheetName val="Power Purchase Cost Manual"/>
      <sheetName val="Power Purchase Cost"/>
      <sheetName val="Allocation-Network, Supply cost"/>
      <sheetName val="Special Appropriations"/>
      <sheetName val="Cost Allocation"/>
      <sheetName val="Employee Costs"/>
      <sheetName val="Other revenue sources"/>
      <sheetName val="Revenue-Current and Past Year"/>
      <sheetName val="Bad Debt"/>
      <sheetName val="RoE"/>
      <sheetName val="Allocation LT HT EHT"/>
      <sheetName val="Loss Details"/>
      <sheetName val="Manual Consumption Data"/>
      <sheetName val="Consumption Compute - Purchase"/>
      <sheetName val="Consumption Compute-Demand"/>
      <sheetName val="Depreciation Working"/>
      <sheetName val="Depreciation Schedule"/>
      <sheetName val="A&amp;G Expenses"/>
      <sheetName val="Computation of IDC"/>
      <sheetName val="Interest Charges"/>
      <sheetName val="R&amp;M"/>
      <sheetName val="Billing for Residential"/>
      <sheetName val="Billing for Commercial "/>
      <sheetName val="Verification of inputs"/>
      <sheetName val="EHT Load Factor Billing"/>
      <sheetName val="HT Load Factor Billing"/>
      <sheetName val="Costs at diff voltage levels"/>
      <sheetName val="Discounts and Penalties"/>
      <sheetName val="Tariff Design"/>
      <sheetName val="Ensuing Year-Proposed Tarif"/>
      <sheetName val="Consumption Data "/>
      <sheetName val="Ensuing Year-Existing Tariff"/>
      <sheetName val="Existing Tariff Structure"/>
      <sheetName val="Final Consumption Status"/>
      <sheetName val="Existing Gap"/>
      <sheetName val="Tariff Comparision"/>
      <sheetName val="Network Cost Calculation"/>
      <sheetName val="Process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umer Categories"/>
      <sheetName val="Category &amp; Voltages"/>
      <sheetName val="Consumer Analysis"/>
      <sheetName val="MD to CD"/>
      <sheetName val="MD to CD analysis"/>
      <sheetName val="Working Sheet"/>
      <sheetName val="Consumer Data &gt;100kVA"/>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Q94"/>
  <sheetViews>
    <sheetView showGridLines="0" view="pageBreakPreview" zoomScale="90" zoomScaleNormal="80" zoomScaleSheetLayoutView="90" workbookViewId="0">
      <pane xSplit="2" ySplit="9" topLeftCell="C67" activePane="bottomRight" state="frozen"/>
      <selection activeCell="AC9" sqref="AC9"/>
      <selection pane="topRight" activeCell="AC9" sqref="AC9"/>
      <selection pane="bottomLeft" activeCell="AC9" sqref="AC9"/>
      <selection pane="bottomRight" activeCell="D71" sqref="D71"/>
    </sheetView>
  </sheetViews>
  <sheetFormatPr defaultColWidth="14.7265625" defaultRowHeight="15.5"/>
  <cols>
    <col min="1" max="1" width="6" style="38" customWidth="1"/>
    <col min="2" max="2" width="25.453125" style="38" customWidth="1"/>
    <col min="3" max="3" width="10.1796875" style="38" customWidth="1"/>
    <col min="4" max="4" width="10.453125" style="38" customWidth="1"/>
    <col min="5" max="5" width="9.81640625" style="38" customWidth="1"/>
    <col min="6" max="6" width="9" style="38" customWidth="1"/>
    <col min="7" max="7" width="12" style="38" customWidth="1"/>
    <col min="8" max="8" width="10.81640625" style="38" customWidth="1"/>
    <col min="9" max="9" width="10.1796875" style="38" customWidth="1"/>
    <col min="10" max="10" width="9.26953125" style="38" customWidth="1"/>
    <col min="11" max="11" width="10.453125" style="38" customWidth="1"/>
    <col min="12" max="13" width="10.54296875" style="38" customWidth="1"/>
    <col min="14" max="14" width="12.26953125" style="38" customWidth="1"/>
    <col min="15" max="15" width="10" style="38" customWidth="1"/>
    <col min="16" max="16" width="11.453125" style="38" customWidth="1"/>
    <col min="17" max="17" width="11.26953125" style="38" customWidth="1"/>
    <col min="18" max="18" width="9.81640625" style="38" customWidth="1"/>
    <col min="19" max="19" width="14" style="38" customWidth="1"/>
    <col min="20" max="20" width="10.81640625" style="38" customWidth="1"/>
    <col min="21" max="21" width="18.81640625" style="38" hidden="1" customWidth="1"/>
    <col min="22" max="22" width="0" style="38" hidden="1" customWidth="1"/>
    <col min="23" max="23" width="17.54296875" style="38" hidden="1" customWidth="1"/>
    <col min="24" max="24" width="16.26953125" style="38" hidden="1" customWidth="1"/>
    <col min="25" max="25" width="24" style="38" hidden="1" customWidth="1"/>
    <col min="26" max="26" width="0" style="38" hidden="1" customWidth="1"/>
    <col min="27" max="27" width="0.1796875" style="38" hidden="1" customWidth="1"/>
    <col min="28" max="28" width="14.7265625" style="38"/>
    <col min="29" max="29" width="17.54296875" style="38" customWidth="1"/>
    <col min="30" max="16384" width="14.7265625" style="38"/>
  </cols>
  <sheetData>
    <row r="1" spans="1:69" ht="20">
      <c r="A1" s="154"/>
      <c r="B1" s="192" t="s">
        <v>2590</v>
      </c>
      <c r="C1" s="193"/>
      <c r="D1" s="193"/>
      <c r="E1" s="193"/>
      <c r="F1" s="193"/>
      <c r="G1" s="193"/>
      <c r="H1" s="193"/>
      <c r="I1" s="193"/>
      <c r="J1" s="193"/>
      <c r="K1" s="193"/>
      <c r="L1" s="193"/>
      <c r="M1" s="193"/>
      <c r="N1" s="193"/>
      <c r="O1" s="193"/>
      <c r="P1" s="193"/>
      <c r="Q1" s="193"/>
      <c r="R1" s="193"/>
      <c r="S1" s="193"/>
      <c r="T1" s="198"/>
    </row>
    <row r="2" spans="1:69">
      <c r="A2" s="154"/>
      <c r="B2" s="28" t="s">
        <v>2</v>
      </c>
      <c r="C2" s="23"/>
      <c r="D2" s="23"/>
      <c r="E2" s="23"/>
      <c r="F2" s="23"/>
      <c r="G2" s="194"/>
      <c r="H2" s="61"/>
      <c r="I2" s="61"/>
      <c r="J2" s="61"/>
      <c r="K2" s="61"/>
      <c r="L2" s="61"/>
      <c r="M2" s="61"/>
      <c r="N2" s="194"/>
      <c r="O2" s="194"/>
      <c r="P2" s="194"/>
      <c r="Q2" s="194"/>
      <c r="R2" s="194"/>
      <c r="S2" s="194"/>
      <c r="T2" s="199"/>
      <c r="W2" s="41"/>
      <c r="X2" s="41"/>
      <c r="Y2" s="41"/>
      <c r="Z2" s="41"/>
      <c r="AA2" s="41"/>
    </row>
    <row r="3" spans="1:69">
      <c r="A3" s="154"/>
      <c r="B3" s="284"/>
      <c r="C3" s="283"/>
      <c r="D3" s="1904" t="s">
        <v>3</v>
      </c>
      <c r="E3" s="1904"/>
      <c r="F3" s="1904"/>
      <c r="G3" s="1904"/>
      <c r="H3" s="1908" t="s">
        <v>4</v>
      </c>
      <c r="I3" s="1908"/>
      <c r="J3" s="1908"/>
      <c r="K3" s="1908"/>
      <c r="L3" s="1908" t="s">
        <v>5</v>
      </c>
      <c r="M3" s="1908"/>
      <c r="N3" s="1908"/>
      <c r="O3" s="1908"/>
      <c r="P3" s="1904" t="s">
        <v>6</v>
      </c>
      <c r="Q3" s="1904"/>
      <c r="R3" s="1904"/>
      <c r="S3" s="1904"/>
      <c r="T3" s="1905"/>
      <c r="U3" s="42"/>
      <c r="V3" s="42"/>
      <c r="W3" s="42" t="s">
        <v>7</v>
      </c>
      <c r="Y3" s="39"/>
      <c r="Z3" s="42"/>
      <c r="AA3" s="42"/>
      <c r="AB3" s="39"/>
    </row>
    <row r="4" spans="1:69" ht="18" customHeight="1">
      <c r="A4" s="1900" t="s">
        <v>8</v>
      </c>
      <c r="B4" s="1902" t="s">
        <v>9</v>
      </c>
      <c r="C4" s="1902" t="s">
        <v>10</v>
      </c>
      <c r="D4" s="1902" t="s">
        <v>2269</v>
      </c>
      <c r="E4" s="1902" t="s">
        <v>11</v>
      </c>
      <c r="F4" s="1902" t="s">
        <v>14</v>
      </c>
      <c r="G4" s="1902" t="s">
        <v>12</v>
      </c>
      <c r="H4" s="1902" t="s">
        <v>2270</v>
      </c>
      <c r="I4" s="1902" t="s">
        <v>13</v>
      </c>
      <c r="J4" s="1902" t="s">
        <v>14</v>
      </c>
      <c r="K4" s="1902" t="s">
        <v>15</v>
      </c>
      <c r="L4" s="1902" t="s">
        <v>13</v>
      </c>
      <c r="M4" s="1902" t="s">
        <v>14</v>
      </c>
      <c r="N4" s="1902" t="s">
        <v>15</v>
      </c>
      <c r="O4" s="1902" t="s">
        <v>16</v>
      </c>
      <c r="P4" s="1902" t="s">
        <v>2271</v>
      </c>
      <c r="Q4" s="1902" t="s">
        <v>13</v>
      </c>
      <c r="R4" s="1902" t="s">
        <v>14</v>
      </c>
      <c r="S4" s="1902" t="s">
        <v>17</v>
      </c>
      <c r="T4" s="1906" t="s">
        <v>16</v>
      </c>
      <c r="U4" s="111" t="s">
        <v>18</v>
      </c>
      <c r="V4" s="43" t="s">
        <v>19</v>
      </c>
      <c r="W4" s="43" t="s">
        <v>20</v>
      </c>
      <c r="X4" s="43" t="s">
        <v>21</v>
      </c>
      <c r="Y4" s="44" t="s">
        <v>20</v>
      </c>
      <c r="Z4" s="43"/>
      <c r="AA4" s="45"/>
      <c r="AB4" s="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row>
    <row r="5" spans="1:69" ht="18" customHeight="1">
      <c r="A5" s="1901" t="s">
        <v>22</v>
      </c>
      <c r="B5" s="1903" t="s">
        <v>23</v>
      </c>
      <c r="C5" s="1903"/>
      <c r="D5" s="1903"/>
      <c r="E5" s="1903" t="s">
        <v>24</v>
      </c>
      <c r="F5" s="1903"/>
      <c r="G5" s="1903"/>
      <c r="H5" s="1903" t="s">
        <v>25</v>
      </c>
      <c r="I5" s="1903" t="s">
        <v>24</v>
      </c>
      <c r="J5" s="1903"/>
      <c r="K5" s="1903" t="s">
        <v>26</v>
      </c>
      <c r="L5" s="1903" t="s">
        <v>24</v>
      </c>
      <c r="M5" s="1903"/>
      <c r="N5" s="1903" t="s">
        <v>26</v>
      </c>
      <c r="O5" s="1903"/>
      <c r="P5" s="1903" t="s">
        <v>25</v>
      </c>
      <c r="Q5" s="1903" t="s">
        <v>24</v>
      </c>
      <c r="R5" s="1903"/>
      <c r="S5" s="1903" t="s">
        <v>26</v>
      </c>
      <c r="T5" s="1907"/>
      <c r="U5" s="112" t="s">
        <v>25</v>
      </c>
      <c r="V5" s="47" t="s">
        <v>24</v>
      </c>
      <c r="W5" s="47" t="s">
        <v>26</v>
      </c>
      <c r="X5" s="47" t="s">
        <v>27</v>
      </c>
      <c r="Y5" s="49" t="s">
        <v>28</v>
      </c>
      <c r="Z5" s="47"/>
      <c r="AA5" s="50"/>
      <c r="AB5" s="51"/>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row>
    <row r="6" spans="1:69" ht="18" customHeight="1">
      <c r="A6" s="1901" t="s">
        <v>29</v>
      </c>
      <c r="B6" s="1903" t="s">
        <v>30</v>
      </c>
      <c r="C6" s="1903"/>
      <c r="D6" s="1903"/>
      <c r="E6" s="1903"/>
      <c r="F6" s="1903"/>
      <c r="G6" s="1903"/>
      <c r="H6" s="1903" t="s">
        <v>31</v>
      </c>
      <c r="I6" s="1903"/>
      <c r="J6" s="1903"/>
      <c r="K6" s="1903"/>
      <c r="L6" s="1903"/>
      <c r="M6" s="1903"/>
      <c r="N6" s="1903"/>
      <c r="O6" s="1903"/>
      <c r="P6" s="1903" t="s">
        <v>31</v>
      </c>
      <c r="Q6" s="1903"/>
      <c r="R6" s="1903"/>
      <c r="S6" s="1903"/>
      <c r="T6" s="1907"/>
      <c r="U6" s="113" t="s">
        <v>31</v>
      </c>
      <c r="V6" s="421"/>
      <c r="W6" s="421"/>
      <c r="X6" s="421"/>
      <c r="Y6" s="48" t="s">
        <v>32</v>
      </c>
      <c r="Z6" s="421"/>
      <c r="AA6" s="422"/>
      <c r="AB6" s="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row>
    <row r="7" spans="1:69" ht="18" customHeight="1">
      <c r="A7" s="1901"/>
      <c r="B7" s="1903"/>
      <c r="C7" s="1903"/>
      <c r="D7" s="1903"/>
      <c r="E7" s="1903" t="s">
        <v>33</v>
      </c>
      <c r="F7" s="1903"/>
      <c r="G7" s="1903" t="s">
        <v>34</v>
      </c>
      <c r="H7" s="1903" t="s">
        <v>35</v>
      </c>
      <c r="I7" s="1903" t="s">
        <v>36</v>
      </c>
      <c r="J7" s="1903"/>
      <c r="K7" s="1903" t="s">
        <v>34</v>
      </c>
      <c r="L7" s="1903" t="s">
        <v>36</v>
      </c>
      <c r="M7" s="1903"/>
      <c r="N7" s="1903" t="s">
        <v>34</v>
      </c>
      <c r="O7" s="1903" t="s">
        <v>37</v>
      </c>
      <c r="P7" s="1903" t="s">
        <v>35</v>
      </c>
      <c r="Q7" s="1903" t="s">
        <v>36</v>
      </c>
      <c r="R7" s="1903"/>
      <c r="S7" s="1903" t="s">
        <v>34</v>
      </c>
      <c r="T7" s="1907" t="s">
        <v>37</v>
      </c>
      <c r="U7" s="54" t="s">
        <v>35</v>
      </c>
      <c r="V7" s="52" t="s">
        <v>33</v>
      </c>
      <c r="W7" s="52" t="s">
        <v>34</v>
      </c>
      <c r="X7" s="52" t="s">
        <v>37</v>
      </c>
      <c r="Y7" s="53" t="s">
        <v>34</v>
      </c>
      <c r="Z7" s="52"/>
      <c r="AA7" s="55"/>
      <c r="AB7" s="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row>
    <row r="8" spans="1:69" ht="18" customHeight="1">
      <c r="A8" s="1901"/>
      <c r="B8" s="1903"/>
      <c r="C8" s="1903"/>
      <c r="D8" s="1903"/>
      <c r="E8" s="1903"/>
      <c r="F8" s="1903"/>
      <c r="G8" s="1903"/>
      <c r="H8" s="1903" t="s">
        <v>38</v>
      </c>
      <c r="I8" s="1903"/>
      <c r="J8" s="1903"/>
      <c r="K8" s="1903"/>
      <c r="L8" s="1903"/>
      <c r="M8" s="1903"/>
      <c r="N8" s="1903"/>
      <c r="O8" s="1903"/>
      <c r="P8" s="1903" t="s">
        <v>38</v>
      </c>
      <c r="Q8" s="1903"/>
      <c r="R8" s="1903"/>
      <c r="S8" s="1903"/>
      <c r="T8" s="1907"/>
      <c r="U8" s="54" t="s">
        <v>39</v>
      </c>
      <c r="V8" s="52"/>
      <c r="W8" s="52"/>
      <c r="X8" s="52"/>
      <c r="Y8" s="53"/>
      <c r="Z8" s="52"/>
      <c r="AA8" s="55"/>
      <c r="AB8" s="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row>
    <row r="9" spans="1:69">
      <c r="A9" s="200">
        <v>1</v>
      </c>
      <c r="B9" s="195">
        <v>2</v>
      </c>
      <c r="C9" s="195">
        <v>3</v>
      </c>
      <c r="D9" s="195">
        <v>4</v>
      </c>
      <c r="E9" s="195">
        <v>5</v>
      </c>
      <c r="F9" s="195"/>
      <c r="G9" s="195">
        <v>6</v>
      </c>
      <c r="H9" s="195">
        <v>7</v>
      </c>
      <c r="I9" s="195">
        <v>8</v>
      </c>
      <c r="J9" s="195">
        <v>9</v>
      </c>
      <c r="K9" s="195">
        <v>10</v>
      </c>
      <c r="L9" s="195">
        <v>11</v>
      </c>
      <c r="M9" s="195">
        <v>12</v>
      </c>
      <c r="N9" s="195">
        <v>13</v>
      </c>
      <c r="O9" s="195">
        <v>14</v>
      </c>
      <c r="P9" s="195">
        <v>15</v>
      </c>
      <c r="Q9" s="195">
        <v>16</v>
      </c>
      <c r="R9" s="195">
        <v>17</v>
      </c>
      <c r="S9" s="195">
        <v>18</v>
      </c>
      <c r="T9" s="201">
        <v>19</v>
      </c>
      <c r="U9" s="114">
        <v>16</v>
      </c>
      <c r="V9" s="56">
        <v>17</v>
      </c>
      <c r="W9" s="56">
        <v>18</v>
      </c>
      <c r="X9" s="56">
        <v>19</v>
      </c>
      <c r="Y9" s="57">
        <v>20</v>
      </c>
      <c r="Z9" s="56"/>
      <c r="AA9" s="58"/>
      <c r="AB9" s="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row>
    <row r="10" spans="1:69">
      <c r="A10" s="1332"/>
      <c r="B10" s="1274"/>
      <c r="C10" s="1333"/>
      <c r="D10" s="1334"/>
      <c r="E10" s="1335"/>
      <c r="F10" s="1335"/>
      <c r="G10" s="1334"/>
      <c r="H10" s="1334"/>
      <c r="I10" s="1334"/>
      <c r="J10" s="1334"/>
      <c r="K10" s="1334"/>
      <c r="L10" s="1334"/>
      <c r="M10" s="1334"/>
      <c r="N10" s="1334"/>
      <c r="O10" s="1334"/>
      <c r="P10" s="1334"/>
      <c r="Q10" s="1334"/>
      <c r="R10" s="1334"/>
      <c r="S10" s="1334"/>
      <c r="T10" s="1336"/>
      <c r="U10" s="114"/>
      <c r="V10" s="56"/>
      <c r="W10" s="56"/>
      <c r="X10" s="56"/>
      <c r="Y10" s="423"/>
      <c r="Z10" s="56"/>
      <c r="AA10" s="58"/>
      <c r="AB10" s="346"/>
      <c r="AC10" s="346"/>
      <c r="AD10" s="344" t="s">
        <v>40</v>
      </c>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row>
    <row r="11" spans="1:69">
      <c r="A11" s="1332"/>
      <c r="B11" s="1334" t="s">
        <v>41</v>
      </c>
      <c r="C11" s="1333"/>
      <c r="D11" s="1334"/>
      <c r="E11" s="1335"/>
      <c r="F11" s="1335"/>
      <c r="G11" s="1334"/>
      <c r="H11" s="1334"/>
      <c r="I11" s="1334"/>
      <c r="J11" s="1334"/>
      <c r="K11" s="1334"/>
      <c r="L11" s="1334"/>
      <c r="M11" s="1334"/>
      <c r="N11" s="1334"/>
      <c r="O11" s="1334"/>
      <c r="P11" s="1337"/>
      <c r="Q11" s="1334"/>
      <c r="R11" s="1334"/>
      <c r="S11" s="1334"/>
      <c r="T11" s="1336"/>
      <c r="U11" s="114"/>
      <c r="V11" s="56"/>
      <c r="W11" s="56"/>
      <c r="X11" s="56"/>
      <c r="Y11" s="423"/>
      <c r="Z11" s="56"/>
      <c r="AA11" s="58"/>
      <c r="AB11" s="346"/>
      <c r="AC11" s="401" t="s">
        <v>42</v>
      </c>
      <c r="AD11" s="346"/>
      <c r="AE11" s="344"/>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row>
    <row r="12" spans="1:69">
      <c r="A12" s="1338">
        <v>1</v>
      </c>
      <c r="B12" s="1335" t="s">
        <v>43</v>
      </c>
      <c r="C12" s="1333" t="s">
        <v>44</v>
      </c>
      <c r="D12" s="1349">
        <f>('T-2(22-23)'!C43-D13)</f>
        <v>1924594</v>
      </c>
      <c r="E12" s="1349">
        <f>('T-2(22-23)'!D43-E13)</f>
        <v>2123956.8529999997</v>
      </c>
      <c r="F12" s="1200"/>
      <c r="G12" s="1199"/>
      <c r="H12" s="1339">
        <f>('T-2(1st six mth)'!C42-H13)</f>
        <v>1944967</v>
      </c>
      <c r="I12" s="1339">
        <f>('T-2(1st six mth)'!D42-I13)</f>
        <v>2147243.3880000012</v>
      </c>
      <c r="J12" s="1199"/>
      <c r="K12" s="1199"/>
      <c r="L12" s="1339">
        <f>2089297.085+5659.5</f>
        <v>2094956.585</v>
      </c>
      <c r="M12" s="1333"/>
      <c r="N12" s="1199"/>
      <c r="O12" s="1340"/>
      <c r="P12" s="1339">
        <v>1774138</v>
      </c>
      <c r="Q12" s="1339">
        <v>1989317.2620000001</v>
      </c>
      <c r="R12" s="1341"/>
      <c r="S12" s="1199"/>
      <c r="T12" s="1342"/>
      <c r="U12" s="114"/>
      <c r="V12" s="56"/>
      <c r="W12" s="56"/>
      <c r="X12" s="56"/>
      <c r="Y12" s="423"/>
      <c r="Z12" s="56"/>
      <c r="AA12" s="58"/>
      <c r="AB12" s="346"/>
      <c r="AC12" s="346"/>
      <c r="AD12" s="174"/>
      <c r="AE12" s="424"/>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row>
    <row r="13" spans="1:69" ht="20.149999999999999" customHeight="1">
      <c r="A13" s="1338" t="s">
        <v>45</v>
      </c>
      <c r="B13" s="1343" t="s">
        <v>46</v>
      </c>
      <c r="C13" s="1335"/>
      <c r="D13" s="1339">
        <f>('T-2(22-23)'!C37)</f>
        <v>136016</v>
      </c>
      <c r="E13" s="1339">
        <f>('T-2(22-23)'!D37)</f>
        <v>53846.64</v>
      </c>
      <c r="F13" s="1199"/>
      <c r="G13" s="1199">
        <f>'T-6'!H12</f>
        <v>10.155375318092499</v>
      </c>
      <c r="H13" s="1339">
        <f>'T-2(1st six mth)'!C36</f>
        <v>115673</v>
      </c>
      <c r="I13" s="1339">
        <f>'T-2(1st six mth)'!D36</f>
        <v>40400.330000000358</v>
      </c>
      <c r="J13" s="1199"/>
      <c r="K13" s="1199">
        <f>'T-6 (six mth)'!H12</f>
        <v>5.8882555059753203</v>
      </c>
      <c r="L13" s="1339">
        <v>53621.950000000004</v>
      </c>
      <c r="M13" s="1199"/>
      <c r="N13" s="1199">
        <v>11</v>
      </c>
      <c r="O13" s="1344">
        <f>(N13-G13)/G13</f>
        <v>8.3170208431661188E-2</v>
      </c>
      <c r="P13" s="1339">
        <v>56309</v>
      </c>
      <c r="Q13" s="1339">
        <v>20741.810000000005</v>
      </c>
      <c r="R13" s="1345"/>
      <c r="S13" s="1199">
        <v>20</v>
      </c>
      <c r="T13" s="1346">
        <f>(S13-N13)/N13</f>
        <v>0.81818181818181823</v>
      </c>
      <c r="U13" s="114"/>
      <c r="V13" s="56"/>
      <c r="W13" s="56"/>
      <c r="X13" s="56"/>
      <c r="Y13" s="423"/>
      <c r="Z13" s="56"/>
      <c r="AA13" s="58"/>
      <c r="AC13" s="346" t="s">
        <v>47</v>
      </c>
      <c r="AD13" s="425">
        <f>P13</f>
        <v>56309</v>
      </c>
      <c r="AE13" s="344"/>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row>
    <row r="14" spans="1:69">
      <c r="A14" s="1338" t="s">
        <v>48</v>
      </c>
      <c r="B14" s="1343" t="s">
        <v>49</v>
      </c>
      <c r="C14" s="1335"/>
      <c r="D14" s="1339"/>
      <c r="E14" s="1339"/>
      <c r="F14" s="1199"/>
      <c r="G14" s="1199"/>
      <c r="H14" s="1339"/>
      <c r="I14" s="1339"/>
      <c r="J14" s="1199"/>
      <c r="K14" s="1199"/>
      <c r="L14" s="1199"/>
      <c r="M14" s="1199"/>
      <c r="N14" s="1199"/>
      <c r="O14" s="1344"/>
      <c r="P14" s="1339"/>
      <c r="Q14" s="1339"/>
      <c r="R14" s="1199"/>
      <c r="S14" s="1199"/>
      <c r="T14" s="1347"/>
      <c r="U14" s="114"/>
      <c r="V14" s="56"/>
      <c r="W14" s="56"/>
      <c r="X14" s="56"/>
      <c r="Y14" s="423"/>
      <c r="Z14" s="56"/>
      <c r="AA14" s="58"/>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row>
    <row r="15" spans="1:69">
      <c r="A15" s="1338"/>
      <c r="B15" s="1343" t="s">
        <v>50</v>
      </c>
      <c r="C15" s="1335"/>
      <c r="D15" s="1339"/>
      <c r="E15" s="1349"/>
      <c r="F15" s="1200"/>
      <c r="G15" s="1199">
        <f>'T-6'!H14</f>
        <v>411.77046728493838</v>
      </c>
      <c r="H15" s="1339"/>
      <c r="I15" s="1339"/>
      <c r="J15" s="1199"/>
      <c r="K15" s="1199">
        <f>'T-6 (six mth)'!H14</f>
        <v>330.41482601807866</v>
      </c>
      <c r="L15" s="696"/>
      <c r="M15" s="1200"/>
      <c r="N15" s="1199">
        <f>(2223/SUM($K$15:$K$18)*K15)</f>
        <v>690.22970356458995</v>
      </c>
      <c r="O15" s="1344"/>
      <c r="P15" s="1339"/>
      <c r="Q15" s="1349"/>
      <c r="R15" s="1200"/>
      <c r="S15" s="1199">
        <f>2340/SUM($N$15:$N$18)*N15</f>
        <v>726.55758269956834</v>
      </c>
      <c r="T15" s="1347"/>
      <c r="U15" s="114"/>
      <c r="V15" s="56"/>
      <c r="W15" s="56"/>
      <c r="X15" s="56"/>
      <c r="Y15" s="423"/>
      <c r="Z15" s="56"/>
      <c r="AA15" s="58"/>
      <c r="AC15" s="346" t="s">
        <v>51</v>
      </c>
      <c r="AD15" s="406">
        <f>((AD12+AD13+AD14)*30*12)/1000000*0+140</f>
        <v>140</v>
      </c>
      <c r="AE15" s="346"/>
      <c r="AF15" s="344"/>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row>
    <row r="16" spans="1:69">
      <c r="A16" s="1338"/>
      <c r="B16" s="1343" t="s">
        <v>52</v>
      </c>
      <c r="C16" s="1335"/>
      <c r="D16" s="1339"/>
      <c r="E16" s="1349"/>
      <c r="F16" s="1200"/>
      <c r="G16" s="1199">
        <f>'T-6'!H15</f>
        <v>632.82246395604056</v>
      </c>
      <c r="H16" s="1339"/>
      <c r="I16" s="1339"/>
      <c r="J16" s="1199"/>
      <c r="K16" s="1199">
        <f>'T-6 (six mth)'!H15</f>
        <v>392.80173154977115</v>
      </c>
      <c r="L16" s="696"/>
      <c r="M16" s="1200"/>
      <c r="N16" s="1199">
        <f>(2223/SUM($K$15:$K$18)*K16)</f>
        <v>820.55465244898437</v>
      </c>
      <c r="O16" s="1344"/>
      <c r="P16" s="1339"/>
      <c r="Q16" s="1349"/>
      <c r="R16" s="1200"/>
      <c r="S16" s="1199">
        <f>2340/SUM($N$15:$N$18)*N16</f>
        <v>863.74173941998345</v>
      </c>
      <c r="T16" s="1347"/>
      <c r="U16" s="114"/>
      <c r="V16" s="56"/>
      <c r="W16" s="56"/>
      <c r="X16" s="56"/>
      <c r="Y16" s="423"/>
      <c r="Z16" s="56"/>
      <c r="AA16" s="58"/>
      <c r="AC16" s="346"/>
      <c r="AD16" s="406"/>
      <c r="AE16" s="406"/>
      <c r="AF16" s="344"/>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row>
    <row r="17" spans="1:69">
      <c r="A17" s="1338"/>
      <c r="B17" s="1343" t="s">
        <v>53</v>
      </c>
      <c r="C17" s="1335"/>
      <c r="D17" s="1339"/>
      <c r="E17" s="1349"/>
      <c r="F17" s="1200"/>
      <c r="G17" s="1199">
        <f>'T-6'!H16</f>
        <v>246.5514213189908</v>
      </c>
      <c r="H17" s="1339"/>
      <c r="I17" s="1339"/>
      <c r="J17" s="1199"/>
      <c r="K17" s="1199">
        <f>'T-6 (six mth)'!H16</f>
        <v>153.12268822491527</v>
      </c>
      <c r="L17" s="696"/>
      <c r="M17" s="1200"/>
      <c r="N17" s="1199">
        <f>(2223/SUM($K$15:$K$18)*K17)</f>
        <v>319.87011290078601</v>
      </c>
      <c r="O17" s="1344"/>
      <c r="P17" s="1339"/>
      <c r="Q17" s="1349"/>
      <c r="R17" s="1200"/>
      <c r="S17" s="1199">
        <f>2340/SUM($N$15:$N$18)*N17</f>
        <v>336.70538200082734</v>
      </c>
      <c r="T17" s="1347"/>
      <c r="U17" s="114"/>
      <c r="V17" s="56"/>
      <c r="W17" s="56"/>
      <c r="X17" s="56"/>
      <c r="Y17" s="423"/>
      <c r="Z17" s="56"/>
      <c r="AA17" s="58"/>
      <c r="AC17" s="346"/>
      <c r="AD17" s="406"/>
      <c r="AE17" s="346"/>
      <c r="AF17" s="344"/>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row>
    <row r="18" spans="1:69">
      <c r="A18" s="1338"/>
      <c r="B18" s="1343" t="s">
        <v>54</v>
      </c>
      <c r="C18" s="1335"/>
      <c r="D18" s="1339"/>
      <c r="E18" s="1349"/>
      <c r="F18" s="1200"/>
      <c r="G18" s="1199">
        <f>'T-6'!H17</f>
        <v>299.10833631907815</v>
      </c>
      <c r="H18" s="1339"/>
      <c r="I18" s="1339"/>
      <c r="J18" s="1199"/>
      <c r="K18" s="1199">
        <f>'T-6 (six mth)'!H17</f>
        <v>187.8168669402985</v>
      </c>
      <c r="L18" s="696"/>
      <c r="M18" s="1200"/>
      <c r="N18" s="1199">
        <f>(2223/SUM($K$15:$K$18)*K18)</f>
        <v>392.34553108563955</v>
      </c>
      <c r="O18" s="1344"/>
      <c r="P18" s="1339"/>
      <c r="Q18" s="1349"/>
      <c r="R18" s="1200"/>
      <c r="S18" s="1199">
        <f>2340/SUM($N$15:$N$18)*N18</f>
        <v>412.99529587962053</v>
      </c>
      <c r="T18" s="1347"/>
      <c r="U18" s="114"/>
      <c r="V18" s="56"/>
      <c r="W18" s="56"/>
      <c r="X18" s="56"/>
      <c r="Y18" s="423"/>
      <c r="Z18" s="56"/>
      <c r="AA18" s="58"/>
      <c r="AD18" s="110"/>
      <c r="AE18" s="346"/>
      <c r="AF18" s="344"/>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row>
    <row r="19" spans="1:69">
      <c r="A19" s="1338"/>
      <c r="B19" s="1335" t="s">
        <v>55</v>
      </c>
      <c r="C19" s="1348"/>
      <c r="D19" s="1349">
        <f t="shared" ref="D19:L19" si="0">SUM(D12:D18)</f>
        <v>2060610</v>
      </c>
      <c r="E19" s="1349">
        <f t="shared" si="0"/>
        <v>2177803.4929999998</v>
      </c>
      <c r="F19" s="1200"/>
      <c r="G19" s="1200">
        <f>SUM(G12:G18)</f>
        <v>1600.4080641971404</v>
      </c>
      <c r="H19" s="1349">
        <f t="shared" si="0"/>
        <v>2060640</v>
      </c>
      <c r="I19" s="1349">
        <f t="shared" si="0"/>
        <v>2187643.7180000017</v>
      </c>
      <c r="J19" s="1200"/>
      <c r="K19" s="1200">
        <f>SUM(K12:K18)</f>
        <v>1070.0443682390389</v>
      </c>
      <c r="L19" s="1349">
        <f t="shared" si="0"/>
        <v>2148578.5350000001</v>
      </c>
      <c r="M19" s="1200"/>
      <c r="N19" s="1200">
        <f>SUM(N12:N18)</f>
        <v>2234</v>
      </c>
      <c r="O19" s="1344">
        <f>(N19-G19)/G19</f>
        <v>0.39589399102453715</v>
      </c>
      <c r="P19" s="1349">
        <f>SUM(P12:P18)</f>
        <v>1830447</v>
      </c>
      <c r="Q19" s="1349">
        <f>SUM(Q12:Q18)</f>
        <v>2010059.0720000002</v>
      </c>
      <c r="R19" s="1200"/>
      <c r="S19" s="1200">
        <f>SUM(S12:S18)</f>
        <v>2359.9999999999995</v>
      </c>
      <c r="T19" s="1346">
        <f>((S19-N19)/N19)</f>
        <v>5.6401074306177058E-2</v>
      </c>
      <c r="U19" s="114"/>
      <c r="V19" s="56"/>
      <c r="W19" s="56"/>
      <c r="X19" s="56"/>
      <c r="Y19" s="423"/>
      <c r="Z19" s="56"/>
      <c r="AA19" s="58"/>
      <c r="AE19" s="346"/>
      <c r="AF19" s="344"/>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row>
    <row r="20" spans="1:69">
      <c r="A20" s="1338">
        <v>2</v>
      </c>
      <c r="B20" s="1335" t="s">
        <v>56</v>
      </c>
      <c r="C20" s="1333" t="s">
        <v>44</v>
      </c>
      <c r="D20" s="1339"/>
      <c r="E20" s="1339"/>
      <c r="F20" s="1199"/>
      <c r="G20" s="1199"/>
      <c r="H20" s="1339"/>
      <c r="I20" s="1339"/>
      <c r="J20" s="1199"/>
      <c r="K20" s="1199"/>
      <c r="L20" s="1333"/>
      <c r="M20" s="1199"/>
      <c r="N20" s="1199"/>
      <c r="O20" s="1344"/>
      <c r="P20" s="1339"/>
      <c r="Q20" s="1339"/>
      <c r="R20" s="1199"/>
      <c r="S20" s="1199"/>
      <c r="T20" s="1347"/>
      <c r="U20" s="114"/>
      <c r="V20" s="56"/>
      <c r="W20" s="56"/>
      <c r="X20" s="56"/>
      <c r="Y20" s="423"/>
      <c r="Z20" s="56"/>
      <c r="AA20" s="58"/>
      <c r="AB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row>
    <row r="21" spans="1:69">
      <c r="A21" s="1338"/>
      <c r="B21" s="1343" t="s">
        <v>57</v>
      </c>
      <c r="C21" s="1333"/>
      <c r="D21" s="1339"/>
      <c r="E21" s="1339"/>
      <c r="F21" s="1199"/>
      <c r="G21" s="1199"/>
      <c r="H21" s="1339"/>
      <c r="I21" s="1339"/>
      <c r="J21" s="1199"/>
      <c r="K21" s="1199"/>
      <c r="L21" s="1333"/>
      <c r="M21" s="1199"/>
      <c r="N21" s="1199"/>
      <c r="O21" s="1344"/>
      <c r="P21" s="1339"/>
      <c r="Q21" s="1339"/>
      <c r="R21" s="1199"/>
      <c r="S21" s="1199"/>
      <c r="T21" s="1347"/>
      <c r="U21" s="114"/>
      <c r="V21" s="56"/>
      <c r="W21" s="56"/>
      <c r="X21" s="56"/>
      <c r="Y21" s="423"/>
      <c r="Z21" s="56"/>
      <c r="AA21" s="58"/>
      <c r="AB21" s="346"/>
      <c r="AE21" s="40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row>
    <row r="22" spans="1:69">
      <c r="A22" s="1338"/>
      <c r="B22" s="1343" t="s">
        <v>58</v>
      </c>
      <c r="C22" s="1333"/>
      <c r="D22" s="1339"/>
      <c r="E22" s="1339"/>
      <c r="F22" s="1199"/>
      <c r="G22" s="1199">
        <f>'T-6'!H22</f>
        <v>38.137794031436307</v>
      </c>
      <c r="H22" s="1339"/>
      <c r="I22" s="1339"/>
      <c r="J22" s="1199"/>
      <c r="K22" s="1199">
        <f>'T-6 (six mth)'!H22</f>
        <v>25.597150672002467</v>
      </c>
      <c r="L22" s="1333"/>
      <c r="M22" s="1199"/>
      <c r="N22" s="1199">
        <f>515/SUM($K$22:$K$24)*K22</f>
        <v>52.636259663294517</v>
      </c>
      <c r="O22" s="1350"/>
      <c r="P22" s="1339"/>
      <c r="Q22" s="1339"/>
      <c r="R22" s="1199"/>
      <c r="S22" s="1199">
        <f>550/SUM($N$22:$N$24)*N22</f>
        <v>56.213481193809677</v>
      </c>
      <c r="T22" s="1347"/>
      <c r="U22" s="114"/>
      <c r="V22" s="56"/>
      <c r="W22" s="56"/>
      <c r="X22" s="56"/>
      <c r="Y22" s="423"/>
      <c r="Z22" s="56"/>
      <c r="AA22" s="58"/>
      <c r="AB22" s="346"/>
      <c r="AE22" s="40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row>
    <row r="23" spans="1:69">
      <c r="A23" s="1338"/>
      <c r="B23" s="1343" t="s">
        <v>59</v>
      </c>
      <c r="C23" s="1335"/>
      <c r="D23" s="1339"/>
      <c r="E23" s="1339"/>
      <c r="F23" s="1199"/>
      <c r="G23" s="1199">
        <f>'T-6'!H23</f>
        <v>53.045925314074886</v>
      </c>
      <c r="H23" s="1339"/>
      <c r="I23" s="1339"/>
      <c r="J23" s="1199"/>
      <c r="K23" s="1199">
        <f>'T-6 (six mth)'!H23</f>
        <v>30.026729760167079</v>
      </c>
      <c r="L23" s="1333"/>
      <c r="M23" s="1199"/>
      <c r="N23" s="1199">
        <f>515/SUM($K$22:$K$24)*K23</f>
        <v>61.744948285374342</v>
      </c>
      <c r="O23" s="1344"/>
      <c r="P23" s="1339"/>
      <c r="Q23" s="1339"/>
      <c r="R23" s="1199"/>
      <c r="S23" s="1199">
        <f>550/SUM($N$22:$N$24)*N23</f>
        <v>65.941206906710462</v>
      </c>
      <c r="T23" s="1347"/>
      <c r="U23" s="114"/>
      <c r="V23" s="56"/>
      <c r="W23" s="56"/>
      <c r="X23" s="56"/>
      <c r="Y23" s="423"/>
      <c r="Z23" s="56"/>
      <c r="AA23" s="58"/>
      <c r="AB23" s="346"/>
      <c r="AE23" s="40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row>
    <row r="24" spans="1:69">
      <c r="A24" s="1338"/>
      <c r="B24" s="1343" t="s">
        <v>60</v>
      </c>
      <c r="C24" s="1333"/>
      <c r="D24" s="1339"/>
      <c r="E24" s="1339"/>
      <c r="F24" s="1199"/>
      <c r="G24" s="1199">
        <f>'T-6'!H24</f>
        <v>330.07166327710979</v>
      </c>
      <c r="H24" s="1339"/>
      <c r="I24" s="1339"/>
      <c r="J24" s="1199"/>
      <c r="K24" s="1199">
        <f>'T-6 (six mth)'!H24</f>
        <v>194.82196584201029</v>
      </c>
      <c r="L24" s="1333"/>
      <c r="M24" s="1199"/>
      <c r="N24" s="1199">
        <f>515/SUM($K$22:$K$24)*K24</f>
        <v>400.61879205133113</v>
      </c>
      <c r="O24" s="1344"/>
      <c r="P24" s="1339"/>
      <c r="Q24" s="1339"/>
      <c r="R24" s="1199"/>
      <c r="S24" s="1199">
        <f>550/SUM($N$22:$N$24)*N24</f>
        <v>427.84531189947984</v>
      </c>
      <c r="T24" s="1347"/>
      <c r="U24" s="114"/>
      <c r="V24" s="56"/>
      <c r="W24" s="56"/>
      <c r="X24" s="56"/>
      <c r="Y24" s="423"/>
      <c r="Z24" s="56"/>
      <c r="AA24" s="58"/>
      <c r="AB24" s="346"/>
      <c r="AE24" s="17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row>
    <row r="25" spans="1:69">
      <c r="A25" s="1338"/>
      <c r="B25" s="1335" t="s">
        <v>61</v>
      </c>
      <c r="C25" s="1348"/>
      <c r="D25" s="1349">
        <f>('T-3(22-23)'!C33)</f>
        <v>94575</v>
      </c>
      <c r="E25" s="1349">
        <f>('T-3(22-23)'!D33)</f>
        <v>364687.75199999998</v>
      </c>
      <c r="F25" s="1200"/>
      <c r="G25" s="1200">
        <f>SUM(G22:G24)</f>
        <v>421.25538262262097</v>
      </c>
      <c r="H25" s="1349">
        <f>'T-3(1st six mth)'!C35</f>
        <v>103720</v>
      </c>
      <c r="I25" s="1349">
        <f>'T-3(1st six mth)'!D35</f>
        <v>347898.79635999986</v>
      </c>
      <c r="J25" s="1200"/>
      <c r="K25" s="1200">
        <f>SUM(K22:K24)</f>
        <v>250.44584627417981</v>
      </c>
      <c r="L25" s="1349">
        <f>310339.020360001+1477.7</f>
        <v>311816.72036000103</v>
      </c>
      <c r="M25" s="1200"/>
      <c r="N25" s="1200">
        <f>SUM(N22:N24)</f>
        <v>515</v>
      </c>
      <c r="O25" s="1344">
        <f t="shared" ref="O25:O32" si="1">(N25-G25)/G25</f>
        <v>0.22253630753333201</v>
      </c>
      <c r="P25" s="1349">
        <v>104159</v>
      </c>
      <c r="Q25" s="1349">
        <v>356179.57635999995</v>
      </c>
      <c r="R25" s="1200"/>
      <c r="S25" s="1200">
        <f>SUM(S22:S24)</f>
        <v>550</v>
      </c>
      <c r="T25" s="1346">
        <f t="shared" ref="T25:T32" si="2">((S25-N25)/N25)</f>
        <v>6.7961165048543687E-2</v>
      </c>
      <c r="U25" s="114"/>
      <c r="V25" s="56"/>
      <c r="W25" s="56"/>
      <c r="X25" s="56"/>
      <c r="Y25" s="423"/>
      <c r="Z25" s="56"/>
      <c r="AA25" s="58"/>
      <c r="AB25" s="346"/>
      <c r="AE25" s="17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row>
    <row r="26" spans="1:69">
      <c r="A26" s="1338">
        <v>3</v>
      </c>
      <c r="B26" s="1335" t="s">
        <v>62</v>
      </c>
      <c r="C26" s="1333" t="s">
        <v>44</v>
      </c>
      <c r="D26" s="1339">
        <f>(('T-5'!B15-D27-D28-D40-D41-D42))</f>
        <v>75437</v>
      </c>
      <c r="E26" s="1339">
        <f>(('T-5'!C15-E27-E28-E40-E41-E42))</f>
        <v>237071.77777777778</v>
      </c>
      <c r="F26" s="1199"/>
      <c r="G26" s="1199">
        <f>'T-6'!H26</f>
        <v>309.98265355926839</v>
      </c>
      <c r="H26" s="1339">
        <f>(('T-5'!G15)-H27-H28-H40-H41-H42)</f>
        <v>84608</v>
      </c>
      <c r="I26" s="1339">
        <f>(('T-5'!H15)-I27-I28-I40-I41-I42)</f>
        <v>269524.60290000081</v>
      </c>
      <c r="J26" s="1199"/>
      <c r="K26" s="1199">
        <f>'T-6 (six mth)'!H26</f>
        <v>150.60125000000002</v>
      </c>
      <c r="L26" s="1339">
        <f>(I26+Q26)/2</f>
        <v>273683.7583500006</v>
      </c>
      <c r="M26" s="1199"/>
      <c r="N26" s="1199">
        <v>330.4</v>
      </c>
      <c r="O26" s="1344">
        <f t="shared" si="1"/>
        <v>6.5866093493608391E-2</v>
      </c>
      <c r="P26" s="1339">
        <v>87615</v>
      </c>
      <c r="Q26" s="1339">
        <v>277842.91380000039</v>
      </c>
      <c r="R26" s="1199"/>
      <c r="S26" s="1199">
        <v>360</v>
      </c>
      <c r="T26" s="1346">
        <f t="shared" si="2"/>
        <v>8.9588377723971019E-2</v>
      </c>
      <c r="U26" s="114"/>
      <c r="V26" s="56"/>
      <c r="W26" s="56"/>
      <c r="X26" s="56"/>
      <c r="Y26" s="423"/>
      <c r="Z26" s="56"/>
      <c r="AA26" s="58"/>
      <c r="AB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row>
    <row r="27" spans="1:69" ht="14.25" customHeight="1">
      <c r="A27" s="1338">
        <v>4</v>
      </c>
      <c r="B27" s="1335" t="s">
        <v>63</v>
      </c>
      <c r="C27" s="1333" t="s">
        <v>44</v>
      </c>
      <c r="D27" s="1339">
        <v>381</v>
      </c>
      <c r="E27" s="1339">
        <v>4811.2280000000001</v>
      </c>
      <c r="F27" s="1199"/>
      <c r="G27" s="1199">
        <f>'T-6'!H27</f>
        <v>8.9870999999999999</v>
      </c>
      <c r="H27" s="1339">
        <v>714</v>
      </c>
      <c r="I27" s="1339">
        <v>6596.5780000000013</v>
      </c>
      <c r="J27" s="1199"/>
      <c r="K27" s="1199">
        <f>'T-6 (six mth)'!H27</f>
        <v>5.2224000000000004</v>
      </c>
      <c r="L27" s="1339">
        <f t="shared" ref="L27:L30" si="3">(I27+Q27)/2</f>
        <v>6739.7920000000013</v>
      </c>
      <c r="M27" s="1199"/>
      <c r="N27" s="1199">
        <v>10.5</v>
      </c>
      <c r="O27" s="1344">
        <f t="shared" si="1"/>
        <v>0.16834128918115968</v>
      </c>
      <c r="P27" s="1339">
        <v>852</v>
      </c>
      <c r="Q27" s="1339">
        <v>6883.0060000000012</v>
      </c>
      <c r="R27" s="1199"/>
      <c r="S27" s="1199">
        <v>11</v>
      </c>
      <c r="T27" s="1346">
        <f t="shared" si="2"/>
        <v>4.7619047619047616E-2</v>
      </c>
      <c r="U27" s="114"/>
      <c r="V27" s="56"/>
      <c r="W27" s="56"/>
      <c r="X27" s="56"/>
      <c r="Y27" s="423"/>
      <c r="Z27" s="56"/>
      <c r="AA27" s="58"/>
      <c r="AB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row>
    <row r="28" spans="1:69">
      <c r="A28" s="1338">
        <v>5</v>
      </c>
      <c r="B28" s="1335" t="s">
        <v>64</v>
      </c>
      <c r="C28" s="1333" t="s">
        <v>44</v>
      </c>
      <c r="D28" s="1339">
        <v>115</v>
      </c>
      <c r="E28" s="1339">
        <v>2102.6619999999998</v>
      </c>
      <c r="F28" s="1199"/>
      <c r="G28" s="1199">
        <f>'T-6'!H28</f>
        <v>2.4552084000000001</v>
      </c>
      <c r="H28" s="1339">
        <v>124</v>
      </c>
      <c r="I28" s="1339">
        <v>2406.2080000000001</v>
      </c>
      <c r="J28" s="1199"/>
      <c r="K28" s="1199">
        <f>'T-6 (six mth)'!H28</f>
        <v>1.6664000000000001</v>
      </c>
      <c r="L28" s="1339">
        <f t="shared" si="3"/>
        <v>2283.748</v>
      </c>
      <c r="M28" s="1199"/>
      <c r="N28" s="1199">
        <v>2.5</v>
      </c>
      <c r="O28" s="1344">
        <f t="shared" si="1"/>
        <v>1.8243502262374114E-2</v>
      </c>
      <c r="P28" s="1339">
        <v>118</v>
      </c>
      <c r="Q28" s="1339">
        <v>2161.288</v>
      </c>
      <c r="R28" s="1199"/>
      <c r="S28" s="1199">
        <v>3</v>
      </c>
      <c r="T28" s="1346">
        <f t="shared" si="2"/>
        <v>0.2</v>
      </c>
      <c r="U28" s="114"/>
      <c r="V28" s="56"/>
      <c r="W28" s="56"/>
      <c r="X28" s="56"/>
      <c r="Y28" s="423"/>
      <c r="Z28" s="56"/>
      <c r="AA28" s="58"/>
      <c r="AB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row>
    <row r="29" spans="1:69">
      <c r="A29" s="1338">
        <v>6</v>
      </c>
      <c r="B29" s="1335" t="s">
        <v>65</v>
      </c>
      <c r="C29" s="1333" t="s">
        <v>44</v>
      </c>
      <c r="D29" s="1339">
        <v>3142</v>
      </c>
      <c r="E29" s="1339">
        <v>11912.903000000004</v>
      </c>
      <c r="F29" s="1199"/>
      <c r="G29" s="1199">
        <f>'T-6'!H29</f>
        <v>49.295755</v>
      </c>
      <c r="H29" s="1339">
        <v>3834</v>
      </c>
      <c r="I29" s="1339">
        <v>13730.190000000006</v>
      </c>
      <c r="J29" s="1199"/>
      <c r="K29" s="1199">
        <f>'T-6 (six mth)'!H29</f>
        <v>23.185760000000002</v>
      </c>
      <c r="L29" s="1339">
        <f t="shared" si="3"/>
        <v>14132.105000000007</v>
      </c>
      <c r="M29" s="1199"/>
      <c r="N29" s="1199">
        <v>50</v>
      </c>
      <c r="O29" s="1344">
        <f t="shared" si="1"/>
        <v>1.4286118551181542E-2</v>
      </c>
      <c r="P29" s="1339">
        <v>4526</v>
      </c>
      <c r="Q29" s="1339">
        <v>14534.020000000006</v>
      </c>
      <c r="R29" s="1199"/>
      <c r="S29" s="1199">
        <v>52</v>
      </c>
      <c r="T29" s="1346">
        <f t="shared" si="2"/>
        <v>0.04</v>
      </c>
      <c r="U29" s="114"/>
      <c r="V29" s="56"/>
      <c r="W29" s="56"/>
      <c r="X29" s="56"/>
      <c r="Y29" s="423"/>
      <c r="Z29" s="56"/>
      <c r="AA29" s="58"/>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row>
    <row r="30" spans="1:69">
      <c r="A30" s="1338">
        <v>7</v>
      </c>
      <c r="B30" s="1335" t="s">
        <v>66</v>
      </c>
      <c r="C30" s="1333" t="s">
        <v>44</v>
      </c>
      <c r="D30" s="1339">
        <v>3845</v>
      </c>
      <c r="E30" s="1339">
        <v>38224.910819999976</v>
      </c>
      <c r="F30" s="1199"/>
      <c r="G30" s="1199">
        <f>'T-6'!H30</f>
        <v>19.8373609</v>
      </c>
      <c r="H30" s="1339">
        <v>3766</v>
      </c>
      <c r="I30" s="1339">
        <v>37459.321820000034</v>
      </c>
      <c r="J30" s="1199"/>
      <c r="K30" s="1199">
        <f>'T-6 (six mth)'!H30</f>
        <v>8.1945899999999998</v>
      </c>
      <c r="L30" s="1339">
        <f t="shared" si="3"/>
        <v>37275.495820000011</v>
      </c>
      <c r="M30" s="1199"/>
      <c r="N30" s="1199">
        <v>20</v>
      </c>
      <c r="O30" s="1344">
        <f t="shared" si="1"/>
        <v>8.1986258565271055E-3</v>
      </c>
      <c r="P30" s="1339">
        <v>3713</v>
      </c>
      <c r="Q30" s="1339">
        <v>37091.669819999981</v>
      </c>
      <c r="R30" s="1199"/>
      <c r="S30" s="1199">
        <v>21</v>
      </c>
      <c r="T30" s="1346">
        <f t="shared" si="2"/>
        <v>0.05</v>
      </c>
      <c r="U30" s="114"/>
      <c r="V30" s="56"/>
      <c r="W30" s="56"/>
      <c r="X30" s="56"/>
      <c r="Y30" s="423"/>
      <c r="Z30" s="56"/>
      <c r="AA30" s="58"/>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row>
    <row r="31" spans="1:69">
      <c r="A31" s="1338">
        <v>8</v>
      </c>
      <c r="B31" s="1335" t="s">
        <v>67</v>
      </c>
      <c r="C31" s="1333" t="s">
        <v>44</v>
      </c>
      <c r="D31" s="1339">
        <f>470+946+1+11</f>
        <v>1428</v>
      </c>
      <c r="E31" s="1339">
        <f>17324.855+51047.918+48+1065.56</f>
        <v>69486.332999999999</v>
      </c>
      <c r="F31" s="1199"/>
      <c r="G31" s="1199">
        <f>'T-6'!H31</f>
        <v>58.311154000000002</v>
      </c>
      <c r="H31" s="1339">
        <v>1439</v>
      </c>
      <c r="I31" s="1339">
        <v>67467.591</v>
      </c>
      <c r="J31" s="1199"/>
      <c r="K31" s="1199">
        <f>'T-6 (six mth)'!H31</f>
        <v>26.499207999999999</v>
      </c>
      <c r="L31" s="1339">
        <f t="shared" ref="L31:L35" si="4">(I31+Q31)/2</f>
        <v>67729.341</v>
      </c>
      <c r="M31" s="1199"/>
      <c r="N31" s="1199">
        <v>60</v>
      </c>
      <c r="O31" s="1344">
        <f t="shared" si="1"/>
        <v>2.8962657813288998E-2</v>
      </c>
      <c r="P31" s="1339">
        <v>1444</v>
      </c>
      <c r="Q31" s="1339">
        <v>67991.091</v>
      </c>
      <c r="R31" s="1199"/>
      <c r="S31" s="1199">
        <v>63</v>
      </c>
      <c r="T31" s="1346">
        <f t="shared" si="2"/>
        <v>0.05</v>
      </c>
      <c r="U31" s="114"/>
      <c r="V31" s="56"/>
      <c r="W31" s="56"/>
      <c r="X31" s="56"/>
      <c r="Y31" s="423"/>
      <c r="Z31" s="56"/>
      <c r="AA31" s="58"/>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row>
    <row r="32" spans="1:69">
      <c r="A32" s="1338">
        <v>9</v>
      </c>
      <c r="B32" s="1335" t="s">
        <v>68</v>
      </c>
      <c r="C32" s="1333" t="s">
        <v>44</v>
      </c>
      <c r="D32" s="1339">
        <v>12484</v>
      </c>
      <c r="E32" s="1339">
        <v>35393.532999999996</v>
      </c>
      <c r="F32" s="1199"/>
      <c r="G32" s="1199">
        <f>'T-6'!H32</f>
        <v>56.459928300000001</v>
      </c>
      <c r="H32" s="1339">
        <v>14781</v>
      </c>
      <c r="I32" s="1339">
        <v>40672.541999999965</v>
      </c>
      <c r="J32" s="1199"/>
      <c r="K32" s="1199">
        <f>'T-6 (six mth)'!H32</f>
        <v>30.602579999999996</v>
      </c>
      <c r="L32" s="1339">
        <f t="shared" si="4"/>
        <v>43226.92199999997</v>
      </c>
      <c r="M32" s="1199"/>
      <c r="N32" s="1199">
        <v>61</v>
      </c>
      <c r="O32" s="1344">
        <f t="shared" si="1"/>
        <v>8.0412282422257314E-2</v>
      </c>
      <c r="P32" s="1339">
        <v>19590</v>
      </c>
      <c r="Q32" s="1339">
        <v>45781.301999999974</v>
      </c>
      <c r="R32" s="1199"/>
      <c r="S32" s="1199">
        <v>64</v>
      </c>
      <c r="T32" s="1346">
        <f t="shared" si="2"/>
        <v>4.9180327868852458E-2</v>
      </c>
      <c r="U32" s="426"/>
      <c r="V32" s="427"/>
      <c r="W32" s="427"/>
      <c r="X32" s="427"/>
      <c r="Y32" s="423"/>
      <c r="Z32" s="427"/>
      <c r="AA32" s="428"/>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row>
    <row r="33" spans="1:69">
      <c r="A33" s="1338">
        <v>10</v>
      </c>
      <c r="B33" s="1335" t="s">
        <v>69</v>
      </c>
      <c r="C33" s="1333"/>
      <c r="D33" s="1339">
        <f>2697+1862</f>
        <v>4559</v>
      </c>
      <c r="E33" s="1339">
        <f>15145.7056+13886.429</f>
        <v>29032.134599999998</v>
      </c>
      <c r="F33" s="1199"/>
      <c r="G33" s="1199">
        <f>'T-6'!H33</f>
        <v>54.902704999999997</v>
      </c>
      <c r="H33" s="1339">
        <v>4952</v>
      </c>
      <c r="I33" s="1339">
        <v>35761.483799999965</v>
      </c>
      <c r="J33" s="1199"/>
      <c r="K33" s="1199">
        <f>'T-6 (six mth)'!H33</f>
        <v>28.47852</v>
      </c>
      <c r="L33" s="1339">
        <f t="shared" si="4"/>
        <v>36412.641549999957</v>
      </c>
      <c r="M33" s="1199"/>
      <c r="N33" s="1199">
        <v>57</v>
      </c>
      <c r="O33" s="1344">
        <f>(N33-G33)/G33</f>
        <v>3.8200212539619E-2</v>
      </c>
      <c r="P33" s="1339">
        <v>5022</v>
      </c>
      <c r="Q33" s="1339">
        <v>37063.799299999955</v>
      </c>
      <c r="R33" s="1199"/>
      <c r="S33" s="1199">
        <v>60</v>
      </c>
      <c r="T33" s="1346">
        <f>((S33-N33)/N33)</f>
        <v>5.2631578947368418E-2</v>
      </c>
      <c r="U33" s="426"/>
      <c r="V33" s="427"/>
      <c r="W33" s="427"/>
      <c r="X33" s="427"/>
      <c r="Y33" s="423"/>
      <c r="Z33" s="427"/>
      <c r="AA33" s="428"/>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row>
    <row r="34" spans="1:69">
      <c r="A34" s="1338">
        <v>11</v>
      </c>
      <c r="B34" s="1335" t="s">
        <v>70</v>
      </c>
      <c r="C34" s="1333"/>
      <c r="D34" s="1339">
        <v>19</v>
      </c>
      <c r="E34" s="1339">
        <f>162.5+1775</f>
        <v>1937.5</v>
      </c>
      <c r="F34" s="1199"/>
      <c r="G34" s="1199">
        <f>'T-6'!H34</f>
        <v>8.8902700000000001E-2</v>
      </c>
      <c r="H34" s="1339">
        <v>19</v>
      </c>
      <c r="I34" s="1339">
        <v>1938</v>
      </c>
      <c r="J34" s="1199"/>
      <c r="K34" s="1199">
        <f>'T-6 (six mth)'!H34</f>
        <v>1.714E-3</v>
      </c>
      <c r="L34" s="1339">
        <f t="shared" si="4"/>
        <v>1938</v>
      </c>
      <c r="M34" s="1199"/>
      <c r="N34" s="1199">
        <v>0.1</v>
      </c>
      <c r="O34" s="1344">
        <f>(N34-G34)/G34</f>
        <v>0.12482523027984532</v>
      </c>
      <c r="P34" s="1339">
        <v>19</v>
      </c>
      <c r="Q34" s="1339">
        <v>1938</v>
      </c>
      <c r="R34" s="1199"/>
      <c r="S34" s="1199">
        <v>0.1</v>
      </c>
      <c r="T34" s="1346">
        <f>((S34-N34)/N34)</f>
        <v>0</v>
      </c>
      <c r="U34" s="426"/>
      <c r="V34" s="427"/>
      <c r="W34" s="427"/>
      <c r="X34" s="427"/>
      <c r="Y34" s="423"/>
      <c r="Z34" s="427"/>
      <c r="AA34" s="428"/>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row>
    <row r="35" spans="1:69">
      <c r="A35" s="1338">
        <v>12</v>
      </c>
      <c r="B35" s="1335" t="s">
        <v>71</v>
      </c>
      <c r="C35" s="1333" t="s">
        <v>44</v>
      </c>
      <c r="D35" s="1339">
        <v>2</v>
      </c>
      <c r="E35" s="1339">
        <f>289.8/0.9</f>
        <v>322</v>
      </c>
      <c r="F35" s="1199"/>
      <c r="G35" s="1199">
        <f>'T-6'!H35</f>
        <v>0</v>
      </c>
      <c r="H35" s="1339">
        <v>2</v>
      </c>
      <c r="I35" s="1339">
        <v>322</v>
      </c>
      <c r="J35" s="1199"/>
      <c r="K35" s="1199">
        <f>'T-6 (six mth)'!H35</f>
        <v>0</v>
      </c>
      <c r="L35" s="1339">
        <f t="shared" si="4"/>
        <v>322</v>
      </c>
      <c r="M35" s="1199"/>
      <c r="N35" s="1199">
        <v>0</v>
      </c>
      <c r="O35" s="1344" t="e">
        <f>(N35-G35)/G35</f>
        <v>#DIV/0!</v>
      </c>
      <c r="P35" s="1339">
        <v>2</v>
      </c>
      <c r="Q35" s="1339">
        <v>322</v>
      </c>
      <c r="R35" s="1199"/>
      <c r="S35" s="1199"/>
      <c r="T35" s="1346" t="e">
        <f>((S35-N35)/N35)</f>
        <v>#DIV/0!</v>
      </c>
      <c r="U35" s="426"/>
      <c r="V35" s="427"/>
      <c r="W35" s="427"/>
      <c r="X35" s="427"/>
      <c r="Y35" s="423"/>
      <c r="Z35" s="427"/>
      <c r="AA35" s="428"/>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row>
    <row r="36" spans="1:69">
      <c r="A36" s="1338">
        <v>13</v>
      </c>
      <c r="B36" s="1335" t="s">
        <v>72</v>
      </c>
      <c r="C36" s="1333" t="s">
        <v>44</v>
      </c>
      <c r="D36" s="1339"/>
      <c r="E36" s="1339"/>
      <c r="F36" s="1199"/>
      <c r="G36" s="1199">
        <f>'T-6'!H36</f>
        <v>0</v>
      </c>
      <c r="H36" s="1339"/>
      <c r="I36" s="1339"/>
      <c r="J36" s="1199"/>
      <c r="K36" s="1199">
        <f>'T-6 (six mth)'!H36</f>
        <v>0</v>
      </c>
      <c r="L36" s="1339"/>
      <c r="M36" s="1199"/>
      <c r="N36" s="1199"/>
      <c r="O36" s="1344" t="e">
        <f>(N36-G36)/G36</f>
        <v>#DIV/0!</v>
      </c>
      <c r="P36" s="1339"/>
      <c r="Q36" s="1339"/>
      <c r="R36" s="1199"/>
      <c r="S36" s="1199"/>
      <c r="T36" s="1346" t="e">
        <f>((S36-N36)/N36)</f>
        <v>#DIV/0!</v>
      </c>
      <c r="U36" s="426"/>
      <c r="V36" s="427"/>
      <c r="W36" s="427"/>
      <c r="X36" s="427"/>
      <c r="Y36" s="423"/>
      <c r="Z36" s="427"/>
      <c r="AA36" s="428"/>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row>
    <row r="37" spans="1:69">
      <c r="A37" s="1338"/>
      <c r="B37" s="1334" t="s">
        <v>73</v>
      </c>
      <c r="C37" s="1348"/>
      <c r="D37" s="1349">
        <f>SUM(D19:D36)</f>
        <v>2256597</v>
      </c>
      <c r="E37" s="1349">
        <f>SUM(E19:E36)</f>
        <v>2972786.2271977775</v>
      </c>
      <c r="F37" s="1200"/>
      <c r="G37" s="1200">
        <f>G25+G19+SUM(G26:G36)</f>
        <v>2581.9842146790297</v>
      </c>
      <c r="H37" s="1349">
        <f>SUM(H19:H36)</f>
        <v>2278599</v>
      </c>
      <c r="I37" s="1349">
        <f>SUM(I19:I36)</f>
        <v>3011421.0318800029</v>
      </c>
      <c r="J37" s="1200"/>
      <c r="K37" s="1200">
        <f>K25+K19+SUM(K26:K36)</f>
        <v>1594.9426365132188</v>
      </c>
      <c r="L37" s="1349">
        <f>SUM(L19:L36)</f>
        <v>2944139.0590800014</v>
      </c>
      <c r="M37" s="1200"/>
      <c r="N37" s="1200">
        <f>N25+N19+SUM(N26:N36)</f>
        <v>3340.5</v>
      </c>
      <c r="O37" s="1344">
        <f>(N37-G37)/G37</f>
        <v>0.29377243323513597</v>
      </c>
      <c r="P37" s="1349">
        <f>SUM(P19:P36)</f>
        <v>2057507</v>
      </c>
      <c r="Q37" s="1349">
        <f>SUM(Q19:Q36)</f>
        <v>2857847.7382800006</v>
      </c>
      <c r="R37" s="1200"/>
      <c r="S37" s="1200">
        <f>S25+S19+SUM(S26:S36)</f>
        <v>3544.0999999999995</v>
      </c>
      <c r="T37" s="1346">
        <f>((S37-N37)/N37)</f>
        <v>6.0948959736566222E-2</v>
      </c>
      <c r="U37" s="426"/>
      <c r="V37" s="427"/>
      <c r="W37" s="427"/>
      <c r="X37" s="427"/>
      <c r="Y37" s="423"/>
      <c r="Z37" s="427"/>
      <c r="AA37" s="428"/>
      <c r="AB37" s="406">
        <v>3565.64</v>
      </c>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row>
    <row r="38" spans="1:69">
      <c r="A38" s="1332"/>
      <c r="B38" s="1334" t="s">
        <v>74</v>
      </c>
      <c r="C38" s="1333"/>
      <c r="D38" s="1878"/>
      <c r="E38" s="1878"/>
      <c r="F38" s="1351"/>
      <c r="G38" s="1351"/>
      <c r="H38" s="1878"/>
      <c r="I38" s="1878"/>
      <c r="J38" s="1351"/>
      <c r="K38" s="1351"/>
      <c r="L38" s="1351"/>
      <c r="M38" s="1351"/>
      <c r="N38" s="1351"/>
      <c r="O38" s="1352"/>
      <c r="P38" s="1878"/>
      <c r="Q38" s="1878"/>
      <c r="R38" s="1351"/>
      <c r="S38" s="1284"/>
      <c r="T38" s="1353"/>
      <c r="U38" s="426"/>
      <c r="V38" s="427"/>
      <c r="W38" s="427"/>
      <c r="X38" s="427"/>
      <c r="Y38" s="423"/>
      <c r="Z38" s="427"/>
      <c r="AA38" s="428"/>
      <c r="AB38" s="406"/>
      <c r="AC38" s="346">
        <f>1712.963+342.773+39.609+214.165+2.65+5.38+40.754+27.88</f>
        <v>2386.174</v>
      </c>
      <c r="AD38" s="346">
        <f>1761.74+370+41.5+280+3.2+5.6+41.875+29.5</f>
        <v>2533.4149999999995</v>
      </c>
      <c r="AE38" s="346">
        <f>2041.215+385+43+300+3.4+5.8+42.5+30</f>
        <v>2850.9150000000004</v>
      </c>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row>
    <row r="39" spans="1:69" ht="20.149999999999999" customHeight="1">
      <c r="A39" s="1338">
        <v>14</v>
      </c>
      <c r="B39" s="1335" t="s">
        <v>75</v>
      </c>
      <c r="C39" s="1333" t="s">
        <v>76</v>
      </c>
      <c r="D39" s="1339">
        <f>28</f>
        <v>28</v>
      </c>
      <c r="E39" s="1339">
        <f>8566.9/0.9</f>
        <v>9518.7777777777774</v>
      </c>
      <c r="F39" s="1199"/>
      <c r="G39" s="1199">
        <f>'T-6'!H39</f>
        <v>17.100010000000001</v>
      </c>
      <c r="H39" s="1339">
        <v>30</v>
      </c>
      <c r="I39" s="1339">
        <v>9840.4000000000015</v>
      </c>
      <c r="J39" s="1199">
        <f t="shared" ref="J39:J45" si="5">K39</f>
        <v>10.65917</v>
      </c>
      <c r="K39" s="1199">
        <f>'T-6 (six mth)'!H39</f>
        <v>10.65917</v>
      </c>
      <c r="L39" s="1339">
        <f t="shared" ref="L39:L45" si="6">(I39+Q39)/2</f>
        <v>9915.4000000000015</v>
      </c>
      <c r="M39" s="1199">
        <f>N39/0.9802</f>
        <v>22.444399102224036</v>
      </c>
      <c r="N39" s="1199">
        <v>22</v>
      </c>
      <c r="O39" s="1344">
        <f>(N39-G39)/G39</f>
        <v>0.286548955234529</v>
      </c>
      <c r="P39" s="1339">
        <v>31</v>
      </c>
      <c r="Q39" s="1339">
        <v>9990.4000000000015</v>
      </c>
      <c r="R39" s="1199">
        <f t="shared" ref="R39:R45" si="7">S39</f>
        <v>23</v>
      </c>
      <c r="S39" s="1199">
        <v>23</v>
      </c>
      <c r="T39" s="1346">
        <f>((S39-N39)/N39)</f>
        <v>4.5454545454545456E-2</v>
      </c>
      <c r="U39" s="426"/>
      <c r="V39" s="427"/>
      <c r="W39" s="427"/>
      <c r="X39" s="427"/>
      <c r="Y39" s="423"/>
      <c r="Z39" s="427"/>
      <c r="AA39" s="428"/>
      <c r="AB39" s="346"/>
      <c r="AC39" s="406">
        <f>G37</f>
        <v>2581.9842146790297</v>
      </c>
      <c r="AD39" s="406">
        <f>N37</f>
        <v>3340.5</v>
      </c>
      <c r="AE39" s="406">
        <f>S37</f>
        <v>3544.0999999999995</v>
      </c>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row>
    <row r="40" spans="1:69" ht="20.149999999999999" customHeight="1">
      <c r="A40" s="1338">
        <v>15</v>
      </c>
      <c r="B40" s="1335" t="s">
        <v>62</v>
      </c>
      <c r="C40" s="1333" t="s">
        <v>76</v>
      </c>
      <c r="D40" s="1339">
        <f>33+1</f>
        <v>34</v>
      </c>
      <c r="E40" s="1339">
        <f>88184/0.9+12150/0.9</f>
        <v>111482.22222222222</v>
      </c>
      <c r="F40" s="1199">
        <f>G40/0.99</f>
        <v>58.675000000000004</v>
      </c>
      <c r="G40" s="1199">
        <f>'T-6'!H40+'T-6'!H66</f>
        <v>58.088250000000002</v>
      </c>
      <c r="H40" s="1339">
        <v>40</v>
      </c>
      <c r="I40" s="1339">
        <v>114086.89999999998</v>
      </c>
      <c r="J40" s="1199">
        <f t="shared" si="5"/>
        <v>37.688050000000004</v>
      </c>
      <c r="K40" s="1199">
        <f>'T-6 (six mth)'!H40+'T-6 (six mth)'!H66</f>
        <v>37.688050000000004</v>
      </c>
      <c r="L40" s="1339">
        <f t="shared" si="6"/>
        <v>126805.09999999998</v>
      </c>
      <c r="M40" s="1199">
        <f>N40/0.9755</f>
        <v>82.009226037929267</v>
      </c>
      <c r="N40" s="1199">
        <v>80</v>
      </c>
      <c r="O40" s="1344">
        <f t="shared" ref="O40:O41" si="8">(N40-G40)/G40</f>
        <v>0.37721484121143256</v>
      </c>
      <c r="P40" s="1339">
        <v>45</v>
      </c>
      <c r="Q40" s="1339">
        <v>139523.29999999999</v>
      </c>
      <c r="R40" s="1199">
        <f t="shared" si="7"/>
        <v>85</v>
      </c>
      <c r="S40" s="1199">
        <v>85</v>
      </c>
      <c r="T40" s="1346">
        <f t="shared" ref="T40:T41" si="9">((S40-N40)/N40)</f>
        <v>6.25E-2</v>
      </c>
      <c r="U40" s="426"/>
      <c r="V40" s="427"/>
      <c r="W40" s="427"/>
      <c r="X40" s="427"/>
      <c r="Y40" s="423"/>
      <c r="Z40" s="427"/>
      <c r="AA40" s="428"/>
      <c r="AB40" s="406"/>
      <c r="AC40" s="406">
        <f>AC39-AC38</f>
        <v>195.81021467902974</v>
      </c>
      <c r="AD40" s="406">
        <f t="shared" ref="AD40:AE40" si="10">AD39-AD38</f>
        <v>807.08500000000049</v>
      </c>
      <c r="AE40" s="406">
        <f t="shared" si="10"/>
        <v>693.18499999999904</v>
      </c>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row>
    <row r="41" spans="1:69" ht="20.149999999999999" customHeight="1">
      <c r="A41" s="1338">
        <v>16</v>
      </c>
      <c r="B41" s="1335" t="s">
        <v>63</v>
      </c>
      <c r="C41" s="1333" t="s">
        <v>76</v>
      </c>
      <c r="D41" s="1339">
        <v>7</v>
      </c>
      <c r="E41" s="1339">
        <f>1666.8</f>
        <v>1666.8</v>
      </c>
      <c r="F41" s="1199"/>
      <c r="G41" s="1199">
        <f>'T-6'!H41</f>
        <v>3.7300589999999998</v>
      </c>
      <c r="H41" s="1339">
        <v>8</v>
      </c>
      <c r="I41" s="1339">
        <v>1779.3</v>
      </c>
      <c r="J41" s="1199">
        <f t="shared" si="5"/>
        <v>2.4935099999999997</v>
      </c>
      <c r="K41" s="1199">
        <f>'T-6 (six mth)'!H41</f>
        <v>2.4935099999999997</v>
      </c>
      <c r="L41" s="1339">
        <f t="shared" si="6"/>
        <v>1779.3000000000002</v>
      </c>
      <c r="M41" s="1199">
        <f>N41/0.9075</f>
        <v>6.0606060606060606</v>
      </c>
      <c r="N41" s="1199">
        <v>5.5</v>
      </c>
      <c r="O41" s="1344">
        <f t="shared" si="8"/>
        <v>0.47450750779009132</v>
      </c>
      <c r="P41" s="1339">
        <v>8</v>
      </c>
      <c r="Q41" s="1339">
        <v>1779.3000000000002</v>
      </c>
      <c r="R41" s="1199">
        <f t="shared" si="7"/>
        <v>5.6</v>
      </c>
      <c r="S41" s="1199">
        <v>5.6</v>
      </c>
      <c r="T41" s="1346">
        <f t="shared" si="9"/>
        <v>1.8181818181818118E-2</v>
      </c>
      <c r="U41" s="426"/>
      <c r="V41" s="427"/>
      <c r="W41" s="427"/>
      <c r="X41" s="427"/>
      <c r="Y41" s="423"/>
      <c r="Z41" s="427"/>
      <c r="AA41" s="428"/>
      <c r="AB41" s="40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row>
    <row r="42" spans="1:69" ht="20.149999999999999" customHeight="1">
      <c r="A42" s="1338">
        <v>17</v>
      </c>
      <c r="B42" s="1335" t="s">
        <v>64</v>
      </c>
      <c r="C42" s="1333" t="s">
        <v>76</v>
      </c>
      <c r="D42" s="1339">
        <v>14</v>
      </c>
      <c r="E42" s="1339">
        <f>2926.8</f>
        <v>2926.8</v>
      </c>
      <c r="F42" s="1199"/>
      <c r="G42" s="1199">
        <f>'T-6'!H42</f>
        <v>5.6606499999999995</v>
      </c>
      <c r="H42" s="1339">
        <v>14</v>
      </c>
      <c r="I42" s="1339">
        <v>2926.7999999999997</v>
      </c>
      <c r="J42" s="1199">
        <f t="shared" si="5"/>
        <v>3.9461399999999998</v>
      </c>
      <c r="K42" s="1199">
        <f>'T-6 (six mth)'!H42</f>
        <v>3.9461399999999998</v>
      </c>
      <c r="L42" s="1339">
        <f t="shared" si="6"/>
        <v>3106.7999999999997</v>
      </c>
      <c r="M42" s="1199">
        <f>N42/0.9328</f>
        <v>8.5763293310463133</v>
      </c>
      <c r="N42" s="1199">
        <v>8</v>
      </c>
      <c r="O42" s="1344">
        <f>(N42-G42)/G42</f>
        <v>0.41326526105659256</v>
      </c>
      <c r="P42" s="1339">
        <v>15</v>
      </c>
      <c r="Q42" s="1339">
        <v>3286.7999999999997</v>
      </c>
      <c r="R42" s="1199">
        <f t="shared" si="7"/>
        <v>8.1999999999999993</v>
      </c>
      <c r="S42" s="1199">
        <v>8.1999999999999993</v>
      </c>
      <c r="T42" s="1346">
        <f>((S42-N42)/N42)</f>
        <v>2.4999999999999911E-2</v>
      </c>
      <c r="U42" s="426"/>
      <c r="V42" s="427"/>
      <c r="W42" s="427"/>
      <c r="X42" s="427"/>
      <c r="Y42" s="423"/>
      <c r="Z42" s="427"/>
      <c r="AA42" s="428"/>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row>
    <row r="43" spans="1:69" ht="20.149999999999999" customHeight="1">
      <c r="A43" s="1338">
        <v>18</v>
      </c>
      <c r="B43" s="1335" t="s">
        <v>77</v>
      </c>
      <c r="C43" s="1333" t="s">
        <v>76</v>
      </c>
      <c r="D43" s="1339">
        <v>64</v>
      </c>
      <c r="E43" s="1339">
        <f>898/0.9+22908.7/0.9</f>
        <v>26451.888888888887</v>
      </c>
      <c r="F43" s="1199"/>
      <c r="G43" s="1199">
        <f>'T-6'!H43</f>
        <v>31.391390000000001</v>
      </c>
      <c r="H43" s="1339">
        <v>75</v>
      </c>
      <c r="I43" s="1339">
        <v>27052.799999999999</v>
      </c>
      <c r="J43" s="1199">
        <f t="shared" si="5"/>
        <v>22.242190000000004</v>
      </c>
      <c r="K43" s="1199">
        <f>'T-6 (six mth)'!H43</f>
        <v>22.242190000000004</v>
      </c>
      <c r="L43" s="1339">
        <f t="shared" si="6"/>
        <v>29805.5</v>
      </c>
      <c r="M43" s="1199">
        <f>N43/0.9714</f>
        <v>46.324891908585542</v>
      </c>
      <c r="N43" s="1199">
        <v>45</v>
      </c>
      <c r="O43" s="1344">
        <f>(N43-G43)/G43</f>
        <v>0.43351409415129427</v>
      </c>
      <c r="P43" s="1339">
        <v>80</v>
      </c>
      <c r="Q43" s="1339">
        <v>32558.199999999997</v>
      </c>
      <c r="R43" s="1199">
        <f t="shared" si="7"/>
        <v>47</v>
      </c>
      <c r="S43" s="1199">
        <v>47</v>
      </c>
      <c r="T43" s="1346">
        <f>((S43-N43)/N43)</f>
        <v>4.4444444444444446E-2</v>
      </c>
      <c r="U43" s="426"/>
      <c r="V43" s="427"/>
      <c r="W43" s="427"/>
      <c r="X43" s="427"/>
      <c r="Y43" s="423"/>
      <c r="Z43" s="427"/>
      <c r="AA43" s="428"/>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row>
    <row r="44" spans="1:69" ht="20.149999999999999" customHeight="1">
      <c r="A44" s="1338">
        <v>19</v>
      </c>
      <c r="B44" s="1335" t="s">
        <v>78</v>
      </c>
      <c r="C44" s="1333" t="s">
        <v>76</v>
      </c>
      <c r="D44" s="1339">
        <v>2</v>
      </c>
      <c r="E44" s="1339">
        <f>385.2/0.9</f>
        <v>428</v>
      </c>
      <c r="F44" s="1199"/>
      <c r="G44" s="1199"/>
      <c r="H44" s="1339"/>
      <c r="I44" s="1339"/>
      <c r="J44" s="1199">
        <f t="shared" si="5"/>
        <v>0</v>
      </c>
      <c r="K44" s="1199">
        <f>'T-6 (six mth)'!H44</f>
        <v>0</v>
      </c>
      <c r="L44" s="1339">
        <f t="shared" si="6"/>
        <v>0</v>
      </c>
      <c r="M44" s="1199">
        <f>N44</f>
        <v>0</v>
      </c>
      <c r="N44" s="1199"/>
      <c r="O44" s="1344"/>
      <c r="P44" s="1339"/>
      <c r="Q44" s="1339"/>
      <c r="R44" s="1199">
        <f t="shared" si="7"/>
        <v>0</v>
      </c>
      <c r="S44" s="1199">
        <v>0</v>
      </c>
      <c r="T44" s="1346"/>
      <c r="U44" s="426"/>
      <c r="V44" s="427"/>
      <c r="W44" s="427"/>
      <c r="X44" s="427"/>
      <c r="Y44" s="423"/>
      <c r="Z44" s="427"/>
      <c r="AA44" s="428"/>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row>
    <row r="45" spans="1:69" ht="20.149999999999999" customHeight="1">
      <c r="A45" s="1338">
        <v>20</v>
      </c>
      <c r="B45" s="1335" t="s">
        <v>79</v>
      </c>
      <c r="C45" s="1333" t="s">
        <v>76</v>
      </c>
      <c r="D45" s="1339">
        <f>171+1</f>
        <v>172</v>
      </c>
      <c r="E45" s="1339">
        <f>(55815.942/0.9)+150</f>
        <v>62167.713333333333</v>
      </c>
      <c r="F45" s="1199"/>
      <c r="G45" s="1199">
        <f>'T-6'!H45</f>
        <v>161.92072999999999</v>
      </c>
      <c r="H45" s="1339">
        <v>233</v>
      </c>
      <c r="I45" s="1339">
        <v>71558.042000000016</v>
      </c>
      <c r="J45" s="1199">
        <f t="shared" si="5"/>
        <v>96.745469999999997</v>
      </c>
      <c r="K45" s="1199">
        <f>'T-6 (six mth)'!H45</f>
        <v>96.745469999999997</v>
      </c>
      <c r="L45" s="1339">
        <f t="shared" si="6"/>
        <v>75607.842000000004</v>
      </c>
      <c r="M45" s="1199">
        <f>N45/0.9505</f>
        <v>199.89479221462389</v>
      </c>
      <c r="N45" s="1199">
        <v>190</v>
      </c>
      <c r="O45" s="1344">
        <f t="shared" ref="O45:O53" si="11">(N45-G45)/G45</f>
        <v>0.17341368211469901</v>
      </c>
      <c r="P45" s="1339">
        <v>266</v>
      </c>
      <c r="Q45" s="1339">
        <v>79657.641999999993</v>
      </c>
      <c r="R45" s="1199">
        <f t="shared" si="7"/>
        <v>195</v>
      </c>
      <c r="S45" s="1199">
        <v>195</v>
      </c>
      <c r="T45" s="1346">
        <f t="shared" ref="T45:T51" si="12">((S45-N45)/N45)</f>
        <v>2.6315789473684209E-2</v>
      </c>
      <c r="U45" s="426"/>
      <c r="V45" s="427"/>
      <c r="W45" s="427"/>
      <c r="X45" s="427"/>
      <c r="Y45" s="423"/>
      <c r="Z45" s="427"/>
      <c r="AA45" s="428"/>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row>
    <row r="46" spans="1:69">
      <c r="A46" s="1338">
        <v>21</v>
      </c>
      <c r="B46" s="1335" t="s">
        <v>80</v>
      </c>
      <c r="C46" s="1333" t="s">
        <v>76</v>
      </c>
      <c r="D46" s="1339">
        <f>530*0</f>
        <v>0</v>
      </c>
      <c r="E46" s="1339">
        <f>33053*0</f>
        <v>0</v>
      </c>
      <c r="F46" s="1199"/>
      <c r="G46" s="1199">
        <f>'T-6'!H46</f>
        <v>0</v>
      </c>
      <c r="H46" s="1339">
        <f>530*0</f>
        <v>0</v>
      </c>
      <c r="I46" s="1339">
        <f>33053*0</f>
        <v>0</v>
      </c>
      <c r="J46" s="1199"/>
      <c r="K46" s="1199">
        <f>'T-6 (six mth)'!H46</f>
        <v>0</v>
      </c>
      <c r="L46" s="1333">
        <v>0</v>
      </c>
      <c r="M46" s="1199"/>
      <c r="N46" s="1199">
        <v>0</v>
      </c>
      <c r="O46" s="1344" t="e">
        <f>(N46-G46)/G46</f>
        <v>#DIV/0!</v>
      </c>
      <c r="P46" s="1339">
        <f>530*0</f>
        <v>0</v>
      </c>
      <c r="Q46" s="1339">
        <f>33053*0</f>
        <v>0</v>
      </c>
      <c r="R46" s="1199">
        <f>36*0</f>
        <v>0</v>
      </c>
      <c r="S46" s="1199">
        <f>36*0</f>
        <v>0</v>
      </c>
      <c r="T46" s="1346" t="e">
        <f>((S46-N46)/N46)</f>
        <v>#DIV/0!</v>
      </c>
      <c r="U46" s="426"/>
      <c r="V46" s="427"/>
      <c r="W46" s="427"/>
      <c r="X46" s="427"/>
      <c r="Y46" s="423"/>
      <c r="Z46" s="427"/>
      <c r="AA46" s="428"/>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row>
    <row r="47" spans="1:69" ht="20.149999999999999" customHeight="1">
      <c r="A47" s="1338">
        <v>22</v>
      </c>
      <c r="B47" s="1335" t="s">
        <v>81</v>
      </c>
      <c r="C47" s="1333" t="s">
        <v>76</v>
      </c>
      <c r="D47" s="1339">
        <v>46</v>
      </c>
      <c r="E47" s="1339">
        <f>13858.5/0.9</f>
        <v>15398.333333333332</v>
      </c>
      <c r="F47" s="1199"/>
      <c r="G47" s="1199">
        <f>'T-6'!H47</f>
        <v>45.505510000000001</v>
      </c>
      <c r="H47" s="1339">
        <v>66</v>
      </c>
      <c r="I47" s="1339">
        <v>18388.000000000004</v>
      </c>
      <c r="J47" s="1199">
        <f>K47</f>
        <v>25.114879999999999</v>
      </c>
      <c r="K47" s="1199">
        <f>'T-6 (six mth)'!H47</f>
        <v>25.114879999999999</v>
      </c>
      <c r="L47" s="1339">
        <f>(I47+Q47)/2</f>
        <v>18973.137500000004</v>
      </c>
      <c r="M47" s="1199">
        <f>N47/0.8822</f>
        <v>57.810020403536612</v>
      </c>
      <c r="N47" s="1199">
        <v>51</v>
      </c>
      <c r="O47" s="1344">
        <f t="shared" si="11"/>
        <v>0.12074340008495672</v>
      </c>
      <c r="P47" s="1339">
        <v>68</v>
      </c>
      <c r="Q47" s="1339">
        <v>19558.275000000001</v>
      </c>
      <c r="R47" s="1199">
        <f>S47</f>
        <v>52</v>
      </c>
      <c r="S47" s="1199">
        <v>52</v>
      </c>
      <c r="T47" s="1346">
        <f t="shared" si="12"/>
        <v>1.9607843137254902E-2</v>
      </c>
      <c r="U47" s="426"/>
      <c r="V47" s="427"/>
      <c r="W47" s="427"/>
      <c r="X47" s="427"/>
      <c r="Y47" s="423"/>
      <c r="Z47" s="427"/>
      <c r="AA47" s="428"/>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row>
    <row r="48" spans="1:69" ht="20.149999999999999" customHeight="1">
      <c r="A48" s="1338">
        <v>23</v>
      </c>
      <c r="B48" s="1335" t="s">
        <v>72</v>
      </c>
      <c r="C48" s="1333" t="s">
        <v>76</v>
      </c>
      <c r="D48" s="1339">
        <f>701+1</f>
        <v>702</v>
      </c>
      <c r="E48" s="1339">
        <f>(297102.894/0.9)+160</f>
        <v>330274.3266666666</v>
      </c>
      <c r="F48" s="1199"/>
      <c r="G48" s="1199">
        <f>'T-6'!H48</f>
        <v>1078.4844275</v>
      </c>
      <c r="H48" s="1339">
        <v>797</v>
      </c>
      <c r="I48" s="1339">
        <v>327101.45000000007</v>
      </c>
      <c r="J48" s="1199">
        <f>K48/0.96</f>
        <v>620.20711106894692</v>
      </c>
      <c r="K48" s="1199">
        <f>'T-6 (six mth)'!H48</f>
        <v>595.39882662618902</v>
      </c>
      <c r="L48" s="1339">
        <f>(I48+Q48)/2</f>
        <v>328812.05000000005</v>
      </c>
      <c r="M48" s="1199">
        <f>N48/0.9463</f>
        <v>1255.9442037408855</v>
      </c>
      <c r="N48" s="1199">
        <f>1200.5-N49</f>
        <v>1188.5</v>
      </c>
      <c r="O48" s="1344">
        <f t="shared" si="11"/>
        <v>0.10200942145731627</v>
      </c>
      <c r="P48" s="1339">
        <v>813</v>
      </c>
      <c r="Q48" s="1339">
        <v>330522.65000000008</v>
      </c>
      <c r="R48" s="1199">
        <f>S48/0.96</f>
        <v>1335.4166666666667</v>
      </c>
      <c r="S48" s="1199">
        <f>1297-S49</f>
        <v>1282</v>
      </c>
      <c r="T48" s="1346">
        <f t="shared" si="12"/>
        <v>7.8670593184686582E-2</v>
      </c>
      <c r="U48" s="426"/>
      <c r="V48" s="427"/>
      <c r="W48" s="427"/>
      <c r="X48" s="427"/>
      <c r="Y48" s="423"/>
      <c r="Z48" s="427"/>
      <c r="AA48" s="428"/>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row>
    <row r="49" spans="1:69" ht="25">
      <c r="A49" s="1338"/>
      <c r="B49" s="1354" t="s">
        <v>2285</v>
      </c>
      <c r="C49" s="1333" t="s">
        <v>76</v>
      </c>
      <c r="D49" s="1339"/>
      <c r="E49" s="1339"/>
      <c r="F49" s="1199"/>
      <c r="G49" s="1199"/>
      <c r="H49" s="1339"/>
      <c r="I49" s="1339"/>
      <c r="J49" s="1199">
        <f>K49/0.96</f>
        <v>10.082395833333333</v>
      </c>
      <c r="K49" s="1199">
        <f>'T-6 (six mth)'!H49</f>
        <v>9.6791</v>
      </c>
      <c r="L49" s="1339"/>
      <c r="M49" s="1199">
        <f>N49/0.9825</f>
        <v>12.213740458015266</v>
      </c>
      <c r="N49" s="1199">
        <v>12</v>
      </c>
      <c r="O49" s="1344" t="e">
        <f t="shared" si="11"/>
        <v>#DIV/0!</v>
      </c>
      <c r="P49" s="1339"/>
      <c r="Q49" s="1339"/>
      <c r="R49" s="1199">
        <f>S49/0.96</f>
        <v>15.625</v>
      </c>
      <c r="S49" s="1199">
        <v>15</v>
      </c>
      <c r="T49" s="1346">
        <f t="shared" si="12"/>
        <v>0.25</v>
      </c>
      <c r="U49" s="426"/>
      <c r="V49" s="427"/>
      <c r="W49" s="427"/>
      <c r="X49" s="427"/>
      <c r="Y49" s="423"/>
      <c r="Z49" s="427"/>
      <c r="AA49" s="428"/>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row>
    <row r="50" spans="1:69" ht="20.149999999999999" customHeight="1">
      <c r="A50" s="1338">
        <v>24</v>
      </c>
      <c r="B50" s="1335" t="s">
        <v>82</v>
      </c>
      <c r="C50" s="1333" t="s">
        <v>76</v>
      </c>
      <c r="D50" s="1339">
        <v>13</v>
      </c>
      <c r="E50" s="1339">
        <v>92680</v>
      </c>
      <c r="F50" s="1199"/>
      <c r="G50" s="1199">
        <f>'T-6'!H50</f>
        <v>589.09063000000003</v>
      </c>
      <c r="H50" s="1339">
        <v>13</v>
      </c>
      <c r="I50" s="1339">
        <v>95550</v>
      </c>
      <c r="J50" s="1199">
        <f>K50/0.9831</f>
        <v>303.78243311972329</v>
      </c>
      <c r="K50" s="1199">
        <f>'T-6 (six mth)'!H50</f>
        <v>298.64850999999999</v>
      </c>
      <c r="L50" s="1339">
        <f>(I50+Q50)/2</f>
        <v>95550</v>
      </c>
      <c r="M50" s="1199">
        <f>N50/0.9946</f>
        <v>613.31188417454246</v>
      </c>
      <c r="N50" s="1199">
        <v>610</v>
      </c>
      <c r="O50" s="1344">
        <f t="shared" si="11"/>
        <v>3.5494317741906652E-2</v>
      </c>
      <c r="P50" s="1339">
        <v>13</v>
      </c>
      <c r="Q50" s="1339">
        <v>95550</v>
      </c>
      <c r="R50" s="1199">
        <f>S50/0.9831</f>
        <v>651.00193266198755</v>
      </c>
      <c r="S50" s="1199">
        <v>640</v>
      </c>
      <c r="T50" s="1346">
        <f t="shared" si="12"/>
        <v>4.9180327868852458E-2</v>
      </c>
      <c r="U50" s="426"/>
      <c r="V50" s="427"/>
      <c r="W50" s="427"/>
      <c r="X50" s="427"/>
      <c r="Y50" s="423"/>
      <c r="Z50" s="427"/>
      <c r="AA50" s="428"/>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row>
    <row r="51" spans="1:69" ht="20.149999999999999" customHeight="1">
      <c r="A51" s="1338">
        <v>25</v>
      </c>
      <c r="B51" s="1335" t="s">
        <v>83</v>
      </c>
      <c r="C51" s="1333" t="s">
        <v>76</v>
      </c>
      <c r="D51" s="1339">
        <v>4</v>
      </c>
      <c r="E51" s="1339">
        <v>29500</v>
      </c>
      <c r="F51" s="1199"/>
      <c r="G51" s="1199">
        <f>'T-6'!H51</f>
        <v>167.39267999999998</v>
      </c>
      <c r="H51" s="1339">
        <v>4</v>
      </c>
      <c r="I51" s="1339">
        <v>26550</v>
      </c>
      <c r="J51" s="1199">
        <f>K51/0.9883</f>
        <v>112.53382576140848</v>
      </c>
      <c r="K51" s="1199">
        <f>'T-6 (six mth)'!H51</f>
        <v>111.21718</v>
      </c>
      <c r="L51" s="1339">
        <f t="shared" ref="L51:L53" si="13">(I51+Q51)/2</f>
        <v>31950</v>
      </c>
      <c r="M51" s="1199">
        <f>N51/0.99</f>
        <v>227.27272727272728</v>
      </c>
      <c r="N51" s="1199">
        <v>225</v>
      </c>
      <c r="O51" s="1344">
        <f t="shared" si="11"/>
        <v>0.34414479772950657</v>
      </c>
      <c r="P51" s="1339">
        <v>5</v>
      </c>
      <c r="Q51" s="1339">
        <v>37350</v>
      </c>
      <c r="R51" s="1199">
        <f>S51/0.9883</f>
        <v>232.72285743195388</v>
      </c>
      <c r="S51" s="1199">
        <v>230</v>
      </c>
      <c r="T51" s="1346">
        <f t="shared" si="12"/>
        <v>2.2222222222222223E-2</v>
      </c>
      <c r="U51" s="426"/>
      <c r="V51" s="427"/>
      <c r="W51" s="427"/>
      <c r="X51" s="427"/>
      <c r="Y51" s="423"/>
      <c r="Z51" s="427"/>
      <c r="AA51" s="428"/>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row>
    <row r="52" spans="1:69" ht="20.149999999999999" customHeight="1">
      <c r="A52" s="1338">
        <v>26</v>
      </c>
      <c r="B52" s="1335" t="s">
        <v>84</v>
      </c>
      <c r="C52" s="1333" t="s">
        <v>76</v>
      </c>
      <c r="D52" s="1339">
        <v>0</v>
      </c>
      <c r="E52" s="1339">
        <v>0</v>
      </c>
      <c r="F52" s="1199"/>
      <c r="G52" s="1199">
        <f>'T-6'!H52</f>
        <v>0</v>
      </c>
      <c r="H52" s="1339"/>
      <c r="I52" s="1339"/>
      <c r="J52" s="1199"/>
      <c r="K52" s="1199">
        <f>'T-6 (six mth)'!H52</f>
        <v>0</v>
      </c>
      <c r="L52" s="1339">
        <f t="shared" si="13"/>
        <v>0</v>
      </c>
      <c r="M52" s="1199">
        <f t="shared" ref="M52:M53" si="14">N52</f>
        <v>0</v>
      </c>
      <c r="N52" s="1199">
        <v>0</v>
      </c>
      <c r="O52" s="1344" t="e">
        <f t="shared" si="11"/>
        <v>#DIV/0!</v>
      </c>
      <c r="P52" s="1339">
        <v>0</v>
      </c>
      <c r="Q52" s="1339">
        <v>0</v>
      </c>
      <c r="R52" s="1199">
        <v>9.9999999999999995E-7</v>
      </c>
      <c r="S52" s="1199">
        <v>9.9999999999999995E-7</v>
      </c>
      <c r="T52" s="1346"/>
      <c r="U52" s="426"/>
      <c r="V52" s="427"/>
      <c r="W52" s="427"/>
      <c r="X52" s="427"/>
      <c r="Y52" s="423"/>
      <c r="Z52" s="427"/>
      <c r="AA52" s="428"/>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row>
    <row r="53" spans="1:69" ht="20.149999999999999" customHeight="1">
      <c r="A53" s="1338">
        <v>27</v>
      </c>
      <c r="B53" s="1335" t="s">
        <v>85</v>
      </c>
      <c r="C53" s="1333" t="s">
        <v>76</v>
      </c>
      <c r="D53" s="1339">
        <v>0</v>
      </c>
      <c r="E53" s="1339">
        <v>0</v>
      </c>
      <c r="F53" s="1199"/>
      <c r="G53" s="1199">
        <f>'T-6'!H53</f>
        <v>0</v>
      </c>
      <c r="H53" s="1339">
        <v>0</v>
      </c>
      <c r="I53" s="1339">
        <v>0</v>
      </c>
      <c r="J53" s="1199"/>
      <c r="K53" s="1199">
        <f>'T-6 (six mth)'!H53</f>
        <v>0</v>
      </c>
      <c r="L53" s="1339">
        <f t="shared" si="13"/>
        <v>0</v>
      </c>
      <c r="M53" s="1199">
        <f t="shared" si="14"/>
        <v>0</v>
      </c>
      <c r="N53" s="1199">
        <v>0</v>
      </c>
      <c r="O53" s="1344" t="e">
        <f t="shared" si="11"/>
        <v>#DIV/0!</v>
      </c>
      <c r="P53" s="1339">
        <v>0</v>
      </c>
      <c r="Q53" s="1339">
        <v>0</v>
      </c>
      <c r="R53" s="1199"/>
      <c r="S53" s="1199">
        <v>9.9999999999999995E-7</v>
      </c>
      <c r="T53" s="1346"/>
      <c r="U53" s="426"/>
      <c r="V53" s="427"/>
      <c r="W53" s="427"/>
      <c r="X53" s="427"/>
      <c r="Y53" s="423"/>
      <c r="Z53" s="427"/>
      <c r="AA53" s="428"/>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row>
    <row r="54" spans="1:69" ht="20.149999999999999" customHeight="1">
      <c r="A54" s="1338">
        <v>28</v>
      </c>
      <c r="B54" s="1335" t="s">
        <v>86</v>
      </c>
      <c r="C54" s="1333" t="s">
        <v>76</v>
      </c>
      <c r="D54" s="1339"/>
      <c r="E54" s="1339"/>
      <c r="F54" s="1199"/>
      <c r="G54" s="1199">
        <f>'T-6'!H54</f>
        <v>6.5770049999999998</v>
      </c>
      <c r="H54" s="1339"/>
      <c r="I54" s="1339"/>
      <c r="J54" s="1199">
        <f>K54</f>
        <v>3.7869655500000006</v>
      </c>
      <c r="K54" s="1199">
        <f>'T-6 (six mth)'!H54</f>
        <v>3.7869655500000006</v>
      </c>
      <c r="L54" s="1333"/>
      <c r="M54" s="1199">
        <f>N54</f>
        <v>7</v>
      </c>
      <c r="N54" s="1199">
        <v>7</v>
      </c>
      <c r="O54" s="1344">
        <f>(N54-G54)/G54</f>
        <v>6.4314228132713938E-2</v>
      </c>
      <c r="P54" s="1339"/>
      <c r="Q54" s="1339"/>
      <c r="R54" s="1199">
        <f>S54</f>
        <v>7.2</v>
      </c>
      <c r="S54" s="1199">
        <v>7.2</v>
      </c>
      <c r="T54" s="1346">
        <f>((S54-N54)/N54)</f>
        <v>2.8571428571428598E-2</v>
      </c>
      <c r="U54" s="426"/>
      <c r="V54" s="427"/>
      <c r="W54" s="427"/>
      <c r="X54" s="427"/>
      <c r="Y54" s="423"/>
      <c r="Z54" s="427"/>
      <c r="AA54" s="428"/>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row>
    <row r="55" spans="1:69" ht="20.149999999999999" customHeight="1">
      <c r="A55" s="1338"/>
      <c r="B55" s="1335"/>
      <c r="C55" s="1333"/>
      <c r="D55" s="1878"/>
      <c r="E55" s="1878"/>
      <c r="F55" s="1351"/>
      <c r="G55" s="1351"/>
      <c r="H55" s="1878"/>
      <c r="I55" s="1878"/>
      <c r="J55" s="1351"/>
      <c r="K55" s="1351"/>
      <c r="L55" s="1335"/>
      <c r="M55" s="1351"/>
      <c r="N55" s="1351"/>
      <c r="O55" s="1352"/>
      <c r="P55" s="1878"/>
      <c r="Q55" s="1878"/>
      <c r="R55" s="1351"/>
      <c r="S55" s="1351"/>
      <c r="T55" s="1353"/>
      <c r="U55" s="426"/>
      <c r="V55" s="427"/>
      <c r="W55" s="427"/>
      <c r="X55" s="427"/>
      <c r="Y55" s="423"/>
      <c r="Z55" s="427"/>
      <c r="AA55" s="428"/>
      <c r="AB55" s="346"/>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row>
    <row r="56" spans="1:69" ht="20.149999999999999" customHeight="1">
      <c r="A56" s="1338"/>
      <c r="B56" s="1348" t="s">
        <v>87</v>
      </c>
      <c r="C56" s="1333"/>
      <c r="D56" s="1349">
        <f t="shared" ref="D56:N56" si="15">SUM(D39:D54)</f>
        <v>1086</v>
      </c>
      <c r="E56" s="1349">
        <f t="shared" si="15"/>
        <v>682494.86222222215</v>
      </c>
      <c r="F56" s="1200"/>
      <c r="G56" s="1200">
        <f t="shared" si="15"/>
        <v>2164.9413414999999</v>
      </c>
      <c r="H56" s="1349">
        <f t="shared" si="15"/>
        <v>1280</v>
      </c>
      <c r="I56" s="1349">
        <f t="shared" si="15"/>
        <v>694833.69200000004</v>
      </c>
      <c r="J56" s="1200">
        <f t="shared" si="15"/>
        <v>1249.282141333412</v>
      </c>
      <c r="K56" s="1200">
        <f t="shared" si="15"/>
        <v>1217.6199921761893</v>
      </c>
      <c r="L56" s="1349">
        <f t="shared" si="15"/>
        <v>722305.12950000004</v>
      </c>
      <c r="M56" s="1200">
        <f t="shared" si="15"/>
        <v>2538.8628207047227</v>
      </c>
      <c r="N56" s="1200">
        <f t="shared" si="15"/>
        <v>2444</v>
      </c>
      <c r="O56" s="1344">
        <f>(N56-G56)/G56</f>
        <v>0.1288989466599828</v>
      </c>
      <c r="P56" s="1349">
        <f>SUM(P39:P54)</f>
        <v>1344</v>
      </c>
      <c r="Q56" s="1349">
        <f>SUM(Q39:Q54)</f>
        <v>749776.56700000004</v>
      </c>
      <c r="R56" s="1200">
        <f>SUM(R39:R54)</f>
        <v>2657.7664577606079</v>
      </c>
      <c r="S56" s="1200">
        <f>SUM(S39:S54)</f>
        <v>2590.0000019999998</v>
      </c>
      <c r="T56" s="1346">
        <f>((S56-N56)/N56)</f>
        <v>5.9738135024549825E-2</v>
      </c>
      <c r="U56" s="426"/>
      <c r="V56" s="427"/>
      <c r="W56" s="427"/>
      <c r="X56" s="427"/>
      <c r="Y56" s="423"/>
      <c r="Z56" s="427"/>
      <c r="AA56" s="428"/>
      <c r="AB56" s="406">
        <v>2353.8000000000002</v>
      </c>
      <c r="AC56" s="346">
        <f>734.927+616.544+114.439</f>
        <v>1465.91</v>
      </c>
      <c r="AD56" s="346">
        <f>711.2+613+115.8</f>
        <v>1440</v>
      </c>
      <c r="AE56" s="346">
        <f>746+640.53+121.6</f>
        <v>1508.1299999999999</v>
      </c>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row>
    <row r="57" spans="1:69" ht="20.149999999999999" customHeight="1">
      <c r="A57" s="1332"/>
      <c r="B57" s="1355" t="s">
        <v>88</v>
      </c>
      <c r="C57" s="1333"/>
      <c r="D57" s="1878"/>
      <c r="E57" s="1878"/>
      <c r="F57" s="1351"/>
      <c r="G57" s="1351"/>
      <c r="H57" s="1879"/>
      <c r="I57" s="1879"/>
      <c r="J57" s="1351"/>
      <c r="K57" s="1351"/>
      <c r="L57" s="1335"/>
      <c r="M57" s="1351"/>
      <c r="N57" s="1351"/>
      <c r="O57" s="1352"/>
      <c r="P57" s="1878"/>
      <c r="Q57" s="1878"/>
      <c r="R57" s="1351"/>
      <c r="S57" s="1351"/>
      <c r="T57" s="1353"/>
      <c r="U57" s="426"/>
      <c r="V57" s="427"/>
      <c r="W57" s="427"/>
      <c r="X57" s="427"/>
      <c r="Y57" s="423"/>
      <c r="Z57" s="427"/>
      <c r="AA57" s="428"/>
      <c r="AB57" s="406">
        <f>S56-AB56</f>
        <v>236.20000199999959</v>
      </c>
      <c r="AC57" s="406">
        <f>G56</f>
        <v>2164.9413414999999</v>
      </c>
      <c r="AD57" s="406">
        <f>N56</f>
        <v>2444</v>
      </c>
      <c r="AE57" s="406">
        <f>S56</f>
        <v>2590.0000019999998</v>
      </c>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row>
    <row r="58" spans="1:69" ht="20.149999999999999" customHeight="1">
      <c r="A58" s="1338">
        <v>29</v>
      </c>
      <c r="B58" s="1335" t="s">
        <v>89</v>
      </c>
      <c r="C58" s="1333" t="s">
        <v>90</v>
      </c>
      <c r="D58" s="1339"/>
      <c r="E58" s="1339"/>
      <c r="F58" s="1199"/>
      <c r="G58" s="1199">
        <f>'T-6'!H57</f>
        <v>0.18132000000000001</v>
      </c>
      <c r="H58" s="1339">
        <v>1</v>
      </c>
      <c r="I58" s="1339">
        <v>99</v>
      </c>
      <c r="J58" s="1199">
        <f>K58/0.9768</f>
        <v>0.28521703521703523</v>
      </c>
      <c r="K58" s="1199">
        <f>'T-6 (six mth)'!H57</f>
        <v>0.27860000000000001</v>
      </c>
      <c r="L58" s="1339"/>
      <c r="M58" s="1199">
        <f>N58/0.876</f>
        <v>0.51369863013698636</v>
      </c>
      <c r="N58" s="1199">
        <v>0.45</v>
      </c>
      <c r="O58" s="1344">
        <f t="shared" ref="O58:O69" si="16">(N58-G58)/G58</f>
        <v>1.4818001323626737</v>
      </c>
      <c r="P58" s="1339">
        <v>2</v>
      </c>
      <c r="Q58" s="1339">
        <v>221</v>
      </c>
      <c r="R58" s="1199">
        <f>S58/0.9768</f>
        <v>0.47092547092547093</v>
      </c>
      <c r="S58" s="1199">
        <v>0.46</v>
      </c>
      <c r="T58" s="1346">
        <f t="shared" ref="T58:T69" si="17">((S58-N58)/N58)</f>
        <v>2.222222222222224E-2</v>
      </c>
      <c r="U58" s="426"/>
      <c r="V58" s="427"/>
      <c r="W58" s="427"/>
      <c r="X58" s="427"/>
      <c r="Y58" s="423"/>
      <c r="Z58" s="427"/>
      <c r="AA58" s="428"/>
      <c r="AB58" s="346"/>
      <c r="AC58" s="406">
        <f>AC57-AC56</f>
        <v>699.03134149999983</v>
      </c>
      <c r="AD58" s="406">
        <f t="shared" ref="AD58:AE58" si="18">AD57-AD56</f>
        <v>1004</v>
      </c>
      <c r="AE58" s="406">
        <f t="shared" si="18"/>
        <v>1081.8700019999999</v>
      </c>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row>
    <row r="59" spans="1:69" ht="20.149999999999999" customHeight="1">
      <c r="A59" s="1338">
        <v>30</v>
      </c>
      <c r="B59" s="1335" t="s">
        <v>1952</v>
      </c>
      <c r="C59" s="1333" t="s">
        <v>90</v>
      </c>
      <c r="D59" s="1339">
        <v>10</v>
      </c>
      <c r="E59" s="1339">
        <f>94275*0+104750</f>
        <v>104750</v>
      </c>
      <c r="F59" s="1199"/>
      <c r="G59" s="1199">
        <f>'T-6'!H58</f>
        <v>510.81445600000001</v>
      </c>
      <c r="H59" s="1339">
        <v>12</v>
      </c>
      <c r="I59" s="1339">
        <v>120825</v>
      </c>
      <c r="J59" s="1199">
        <f>K59/0.9768</f>
        <v>294.26033797926664</v>
      </c>
      <c r="K59" s="1199">
        <f>'T-6 (six mth)'!H58</f>
        <v>287.43349813814763</v>
      </c>
      <c r="L59" s="1339">
        <f>(I59+Q59)/2</f>
        <v>132912.5</v>
      </c>
      <c r="M59" s="1199">
        <f>N59/0.9788</f>
        <v>582.34572946465062</v>
      </c>
      <c r="N59" s="1199">
        <f>600-N60</f>
        <v>570</v>
      </c>
      <c r="O59" s="1344">
        <f t="shared" si="16"/>
        <v>0.11586505296553314</v>
      </c>
      <c r="P59" s="1339">
        <v>12</v>
      </c>
      <c r="Q59" s="1339">
        <v>145000</v>
      </c>
      <c r="R59" s="1199">
        <f>S59/0.9768</f>
        <v>609.13185913185919</v>
      </c>
      <c r="S59" s="1199">
        <v>595</v>
      </c>
      <c r="T59" s="1346">
        <f t="shared" si="17"/>
        <v>4.3859649122807015E-2</v>
      </c>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row>
    <row r="60" spans="1:69" ht="25">
      <c r="A60" s="1338"/>
      <c r="B60" s="1354" t="s">
        <v>2285</v>
      </c>
      <c r="C60" s="1333"/>
      <c r="D60" s="1339"/>
      <c r="E60" s="1339"/>
      <c r="F60" s="1199"/>
      <c r="G60" s="1199">
        <f>'T-6'!H59</f>
        <v>25</v>
      </c>
      <c r="H60" s="1339"/>
      <c r="I60" s="1339"/>
      <c r="J60" s="1199">
        <f>K60/0.9768</f>
        <v>24.570024570024572</v>
      </c>
      <c r="K60" s="1199">
        <f>'T-6 (six mth)'!H59</f>
        <v>24</v>
      </c>
      <c r="L60" s="1339"/>
      <c r="M60" s="1199">
        <f>N60/0.9998</f>
        <v>30.006001200240046</v>
      </c>
      <c r="N60" s="1199">
        <v>30</v>
      </c>
      <c r="O60" s="1344">
        <f>(N60-G60)/G60</f>
        <v>0.2</v>
      </c>
      <c r="P60" s="1339"/>
      <c r="Q60" s="1339"/>
      <c r="R60" s="1199">
        <f>S60/0.9768</f>
        <v>51.187551187551186</v>
      </c>
      <c r="S60" s="1199">
        <v>50</v>
      </c>
      <c r="T60" s="1346">
        <f t="shared" si="17"/>
        <v>0.66666666666666663</v>
      </c>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row>
    <row r="61" spans="1:69" ht="20.149999999999999" customHeight="1">
      <c r="A61" s="1338">
        <v>31</v>
      </c>
      <c r="B61" s="1335" t="s">
        <v>84</v>
      </c>
      <c r="C61" s="1333" t="s">
        <v>90</v>
      </c>
      <c r="D61" s="1339">
        <v>18</v>
      </c>
      <c r="E61" s="1339">
        <f>220500*0+257000</f>
        <v>257000</v>
      </c>
      <c r="F61" s="1199"/>
      <c r="G61" s="1199">
        <f>'T-6'!H60</f>
        <v>824.50970999999993</v>
      </c>
      <c r="H61" s="1339">
        <v>18</v>
      </c>
      <c r="I61" s="1339">
        <v>252000</v>
      </c>
      <c r="J61" s="1199">
        <f>K61/0.962</f>
        <v>441.85924116424121</v>
      </c>
      <c r="K61" s="1199">
        <f>'T-6 (six mth)'!H60</f>
        <v>425.06859000000003</v>
      </c>
      <c r="L61" s="1339">
        <f t="shared" ref="L61:L66" si="19">(I61+Q61)/2</f>
        <v>277500</v>
      </c>
      <c r="M61" s="1199">
        <f>N61/0.9677</f>
        <v>930.040301746409</v>
      </c>
      <c r="N61" s="1199">
        <v>900</v>
      </c>
      <c r="O61" s="1344">
        <f t="shared" si="16"/>
        <v>9.1557793782683389E-2</v>
      </c>
      <c r="P61" s="1339">
        <v>20</v>
      </c>
      <c r="Q61" s="1339">
        <v>303000</v>
      </c>
      <c r="R61" s="1199">
        <f>S61/0.962</f>
        <v>982.32848232848232</v>
      </c>
      <c r="S61" s="1199">
        <v>945</v>
      </c>
      <c r="T61" s="1346">
        <f t="shared" si="17"/>
        <v>0.05</v>
      </c>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row>
    <row r="62" spans="1:69" ht="20.149999999999999" customHeight="1">
      <c r="A62" s="1338">
        <v>32</v>
      </c>
      <c r="B62" s="1335" t="s">
        <v>91</v>
      </c>
      <c r="C62" s="1333" t="s">
        <v>90</v>
      </c>
      <c r="D62" s="1339">
        <v>3</v>
      </c>
      <c r="E62" s="1339">
        <f>223700.4*0+248556</f>
        <v>248556</v>
      </c>
      <c r="F62" s="1199"/>
      <c r="G62" s="1199">
        <f>'T-6'!H61</f>
        <v>685.86205240000004</v>
      </c>
      <c r="H62" s="1339">
        <v>3</v>
      </c>
      <c r="I62" s="1339">
        <v>223700.4</v>
      </c>
      <c r="J62" s="1199">
        <f>K62/0.9311</f>
        <v>125.67560842014819</v>
      </c>
      <c r="K62" s="1199">
        <f>'T-6 (six mth)'!H61</f>
        <v>117.01655899999999</v>
      </c>
      <c r="L62" s="1339">
        <f t="shared" si="19"/>
        <v>236128.2</v>
      </c>
      <c r="M62" s="1199">
        <f>N62/0.9049</f>
        <v>276.27362139462923</v>
      </c>
      <c r="N62" s="1199">
        <v>250</v>
      </c>
      <c r="O62" s="1344">
        <f t="shared" si="16"/>
        <v>-0.63549521492669192</v>
      </c>
      <c r="P62" s="1339">
        <v>3</v>
      </c>
      <c r="Q62" s="1339">
        <v>248556</v>
      </c>
      <c r="R62" s="1199">
        <f>S62/0.9311</f>
        <v>281.38760605735149</v>
      </c>
      <c r="S62" s="1199">
        <v>262</v>
      </c>
      <c r="T62" s="1346">
        <f t="shared" si="17"/>
        <v>4.8000000000000001E-2</v>
      </c>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row>
    <row r="63" spans="1:69" ht="20.149999999999999" customHeight="1">
      <c r="A63" s="1338">
        <v>33</v>
      </c>
      <c r="B63" s="1335" t="s">
        <v>1951</v>
      </c>
      <c r="C63" s="1333" t="s">
        <v>90</v>
      </c>
      <c r="D63" s="1339">
        <v>6</v>
      </c>
      <c r="E63" s="1339">
        <f>370500.3*0+414667</f>
        <v>414667</v>
      </c>
      <c r="F63" s="1199"/>
      <c r="G63" s="1199">
        <f>'T-6'!H62</f>
        <v>807.12273000000005</v>
      </c>
      <c r="H63" s="1339">
        <v>7</v>
      </c>
      <c r="I63" s="1339">
        <v>475350.3</v>
      </c>
      <c r="J63" s="1199">
        <f>K63/0.9727</f>
        <v>310.78911277886294</v>
      </c>
      <c r="K63" s="1199">
        <f>'T-6 (six mth)'!H62</f>
        <v>302.30457000000001</v>
      </c>
      <c r="L63" s="1339">
        <f t="shared" si="19"/>
        <v>501008.65</v>
      </c>
      <c r="M63" s="1199">
        <f>N63/0.9839</f>
        <v>652.50533590812074</v>
      </c>
      <c r="N63" s="1199">
        <f>3142-N64</f>
        <v>642</v>
      </c>
      <c r="O63" s="1344">
        <f t="shared" si="16"/>
        <v>-0.20458193514138803</v>
      </c>
      <c r="P63" s="1339">
        <v>7</v>
      </c>
      <c r="Q63" s="1339">
        <f>526667</f>
        <v>526667</v>
      </c>
      <c r="R63" s="1199">
        <f>S63/0.9727</f>
        <v>1628.3951886501491</v>
      </c>
      <c r="S63" s="1199">
        <v>1583.94</v>
      </c>
      <c r="T63" s="1346">
        <f t="shared" si="17"/>
        <v>1.4671962616822432</v>
      </c>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row>
    <row r="64" spans="1:69" ht="42" customHeight="1">
      <c r="A64" s="1338"/>
      <c r="B64" s="1354" t="s">
        <v>2324</v>
      </c>
      <c r="C64" s="1333" t="s">
        <v>90</v>
      </c>
      <c r="D64" s="1339"/>
      <c r="E64" s="1339"/>
      <c r="F64" s="1199"/>
      <c r="G64" s="1199">
        <f>'T-6'!H63</f>
        <v>2932.8310000000001</v>
      </c>
      <c r="H64" s="1339"/>
      <c r="I64" s="1339"/>
      <c r="J64" s="1199">
        <f>K64/0.9727</f>
        <v>1282.7056235221548</v>
      </c>
      <c r="K64" s="1199">
        <f>'T-6 (six mth)'!H63</f>
        <v>1247.68776</v>
      </c>
      <c r="L64" s="1339"/>
      <c r="M64" s="1199">
        <f>N64/0.9718</f>
        <v>2572.5457913150854</v>
      </c>
      <c r="N64" s="1199">
        <v>2500</v>
      </c>
      <c r="O64" s="1344">
        <f t="shared" si="16"/>
        <v>-0.14758129602421691</v>
      </c>
      <c r="P64" s="1339"/>
      <c r="Q64" s="1339"/>
      <c r="R64" s="1199">
        <f>S64/0.9727</f>
        <v>0</v>
      </c>
      <c r="S64" s="1199">
        <v>0</v>
      </c>
      <c r="T64" s="1346">
        <f t="shared" si="17"/>
        <v>-1</v>
      </c>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row>
    <row r="65" spans="1:69" ht="20.149999999999999" customHeight="1">
      <c r="A65" s="1338">
        <v>34</v>
      </c>
      <c r="B65" s="1335" t="s">
        <v>92</v>
      </c>
      <c r="C65" s="1333" t="s">
        <v>90</v>
      </c>
      <c r="D65" s="1339">
        <v>1</v>
      </c>
      <c r="E65" s="1339">
        <v>5000</v>
      </c>
      <c r="F65" s="1199"/>
      <c r="G65" s="1199">
        <f>'T-6'!H64</f>
        <v>7.3120200000000004</v>
      </c>
      <c r="H65" s="1339">
        <v>1</v>
      </c>
      <c r="I65" s="1339">
        <v>4500</v>
      </c>
      <c r="J65" s="1199">
        <f>K65/0.992</f>
        <v>3.8726149193548389</v>
      </c>
      <c r="K65" s="1199">
        <f>'T-6 (six mth)'!H64</f>
        <v>3.841634</v>
      </c>
      <c r="L65" s="1339">
        <f t="shared" si="19"/>
        <v>4750</v>
      </c>
      <c r="M65" s="1199">
        <f>N65/0.9956</f>
        <v>7.5331458417034947</v>
      </c>
      <c r="N65" s="1199">
        <v>7.5</v>
      </c>
      <c r="O65" s="1344">
        <f t="shared" si="16"/>
        <v>2.5708354189403145E-2</v>
      </c>
      <c r="P65" s="1339">
        <v>1</v>
      </c>
      <c r="Q65" s="1339">
        <v>5000</v>
      </c>
      <c r="R65" s="1199">
        <f>S65/0.992</f>
        <v>7.661290322580645</v>
      </c>
      <c r="S65" s="1199">
        <v>7.6</v>
      </c>
      <c r="T65" s="1346">
        <f t="shared" si="17"/>
        <v>1.3333333333333286E-2</v>
      </c>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row>
    <row r="66" spans="1:69" ht="20.149999999999999" customHeight="1">
      <c r="A66" s="1338">
        <v>35</v>
      </c>
      <c r="B66" s="1335" t="s">
        <v>85</v>
      </c>
      <c r="C66" s="1333" t="s">
        <v>90</v>
      </c>
      <c r="D66" s="1339">
        <v>1</v>
      </c>
      <c r="E66" s="1339">
        <v>5000</v>
      </c>
      <c r="F66" s="1199"/>
      <c r="G66" s="1199">
        <f>'T-6'!H65</f>
        <v>5.7659099999999999</v>
      </c>
      <c r="H66" s="1339">
        <v>1</v>
      </c>
      <c r="I66" s="1339">
        <v>4500</v>
      </c>
      <c r="J66" s="1199">
        <f>K66/0.9522</f>
        <v>0.36800042007981515</v>
      </c>
      <c r="K66" s="1199">
        <f>'T-6 (six mth)'!H65</f>
        <v>0.35041</v>
      </c>
      <c r="L66" s="1339">
        <f t="shared" si="19"/>
        <v>4750</v>
      </c>
      <c r="M66" s="1199">
        <f>N66/0.8964</f>
        <v>1.1155734047300312</v>
      </c>
      <c r="N66" s="1199">
        <v>1</v>
      </c>
      <c r="O66" s="1344">
        <f t="shared" si="16"/>
        <v>-0.82656683853892965</v>
      </c>
      <c r="P66" s="1339">
        <v>1</v>
      </c>
      <c r="Q66" s="1339">
        <v>5000</v>
      </c>
      <c r="R66" s="1199">
        <f>S66/0.9522</f>
        <v>1.0501995379122033</v>
      </c>
      <c r="S66" s="1199">
        <v>1</v>
      </c>
      <c r="T66" s="1346">
        <f t="shared" si="17"/>
        <v>0</v>
      </c>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6"/>
      <c r="BO66" s="346"/>
      <c r="BP66" s="346"/>
      <c r="BQ66" s="346"/>
    </row>
    <row r="67" spans="1:69" ht="20.149999999999999" customHeight="1">
      <c r="A67" s="1338">
        <v>36</v>
      </c>
      <c r="B67" s="1335" t="s">
        <v>86</v>
      </c>
      <c r="C67" s="1333" t="s">
        <v>90</v>
      </c>
      <c r="D67" s="1339"/>
      <c r="E67" s="1339"/>
      <c r="F67" s="1199"/>
      <c r="G67" s="1199">
        <f>'T-6'!H67</f>
        <v>63.297799999999995</v>
      </c>
      <c r="H67" s="1339"/>
      <c r="I67" s="1339"/>
      <c r="J67" s="1199">
        <f>K67</f>
        <v>14.163051439999997</v>
      </c>
      <c r="K67" s="1199">
        <f>'T-6 (six mth)'!H67</f>
        <v>14.163051439999997</v>
      </c>
      <c r="L67" s="1333"/>
      <c r="M67" s="1199">
        <f>N67</f>
        <v>29.05</v>
      </c>
      <c r="N67" s="1199">
        <v>29.05</v>
      </c>
      <c r="O67" s="1344"/>
      <c r="P67" s="1339"/>
      <c r="Q67" s="1339"/>
      <c r="R67" s="1199">
        <f>S67</f>
        <v>35</v>
      </c>
      <c r="S67" s="1199">
        <v>35</v>
      </c>
      <c r="T67" s="1346">
        <f t="shared" si="17"/>
        <v>0.2048192771084337</v>
      </c>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row>
    <row r="68" spans="1:69" ht="20.149999999999999" customHeight="1">
      <c r="A68" s="1338"/>
      <c r="B68" s="1335"/>
      <c r="C68" s="1333"/>
      <c r="D68" s="1339"/>
      <c r="E68" s="1339"/>
      <c r="F68" s="1199"/>
      <c r="G68" s="1199"/>
      <c r="H68" s="1339"/>
      <c r="I68" s="1339"/>
      <c r="J68" s="1199"/>
      <c r="K68" s="1199"/>
      <c r="L68" s="1333"/>
      <c r="M68" s="1199"/>
      <c r="N68" s="1199"/>
      <c r="O68" s="1344"/>
      <c r="P68" s="1339"/>
      <c r="Q68" s="1339"/>
      <c r="R68" s="1199"/>
      <c r="S68" s="1199"/>
      <c r="T68" s="1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row>
    <row r="69" spans="1:69">
      <c r="A69" s="1338"/>
      <c r="B69" s="1355" t="s">
        <v>93</v>
      </c>
      <c r="C69" s="1335"/>
      <c r="D69" s="1349">
        <f t="shared" ref="D69:M69" si="20">SUM(D58:D68)</f>
        <v>39</v>
      </c>
      <c r="E69" s="1349">
        <f t="shared" si="20"/>
        <v>1034973</v>
      </c>
      <c r="F69" s="1200"/>
      <c r="G69" s="1200">
        <f>SUM(G58:G68)</f>
        <v>5862.6969984000007</v>
      </c>
      <c r="H69" s="1349">
        <f t="shared" si="20"/>
        <v>43</v>
      </c>
      <c r="I69" s="1349">
        <f t="shared" si="20"/>
        <v>1080974.7</v>
      </c>
      <c r="J69" s="1200">
        <f t="shared" si="20"/>
        <v>2498.5488322493502</v>
      </c>
      <c r="K69" s="1200">
        <f t="shared" si="20"/>
        <v>2422.1446725781475</v>
      </c>
      <c r="L69" s="696">
        <f t="shared" si="20"/>
        <v>1157049.3500000001</v>
      </c>
      <c r="M69" s="1200">
        <f t="shared" si="20"/>
        <v>5081.9291989057056</v>
      </c>
      <c r="N69" s="1200">
        <f>SUM(N58:N68)</f>
        <v>4930</v>
      </c>
      <c r="O69" s="1344">
        <f t="shared" si="16"/>
        <v>-0.15909009090091894</v>
      </c>
      <c r="P69" s="1349">
        <f>SUM(P58:P68)</f>
        <v>46</v>
      </c>
      <c r="Q69" s="1349">
        <f>SUM(Q58:Q68)</f>
        <v>1233444</v>
      </c>
      <c r="R69" s="1200">
        <f>SUM(R58:R68)</f>
        <v>3596.6131026868115</v>
      </c>
      <c r="S69" s="1200">
        <f>SUM(S58:S68)</f>
        <v>3480</v>
      </c>
      <c r="T69" s="1346">
        <f t="shared" si="17"/>
        <v>-0.29411764705882354</v>
      </c>
      <c r="U69" s="346"/>
      <c r="V69" s="346"/>
      <c r="W69" s="346"/>
      <c r="X69" s="346"/>
      <c r="Y69" s="346"/>
      <c r="Z69" s="346"/>
      <c r="AA69" s="346"/>
      <c r="AB69" s="346"/>
      <c r="AC69" s="406"/>
      <c r="AD69" s="40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row>
    <row r="70" spans="1:69">
      <c r="A70" s="1338"/>
      <c r="B70" s="1334"/>
      <c r="C70" s="1335"/>
      <c r="D70" s="1878"/>
      <c r="E70" s="1878"/>
      <c r="F70" s="1351"/>
      <c r="G70" s="1356"/>
      <c r="H70" s="1880"/>
      <c r="I70" s="1880"/>
      <c r="J70" s="1356"/>
      <c r="K70" s="1356"/>
      <c r="L70" s="1357"/>
      <c r="M70" s="1356"/>
      <c r="N70" s="1356"/>
      <c r="O70" s="1358"/>
      <c r="P70" s="1878"/>
      <c r="Q70" s="1878"/>
      <c r="R70" s="1351"/>
      <c r="S70" s="1351"/>
      <c r="T70" s="1353"/>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row>
    <row r="71" spans="1:69">
      <c r="A71" s="1338"/>
      <c r="B71" s="1334" t="s">
        <v>94</v>
      </c>
      <c r="C71" s="1333"/>
      <c r="D71" s="1359">
        <f t="shared" ref="D71:L71" si="21">D69+D56+D37</f>
        <v>2257722</v>
      </c>
      <c r="E71" s="1359">
        <f t="shared" si="21"/>
        <v>4690254.0894200001</v>
      </c>
      <c r="F71" s="1264"/>
      <c r="G71" s="1264">
        <f>G69+G56+G37</f>
        <v>10609.622554579029</v>
      </c>
      <c r="H71" s="1359">
        <f t="shared" si="21"/>
        <v>2279922</v>
      </c>
      <c r="I71" s="1359">
        <f t="shared" si="21"/>
        <v>4787229.4238800034</v>
      </c>
      <c r="J71" s="1264"/>
      <c r="K71" s="1264">
        <f t="shared" si="21"/>
        <v>5234.7073012675555</v>
      </c>
      <c r="L71" s="1359">
        <f t="shared" si="21"/>
        <v>4823493.5385800013</v>
      </c>
      <c r="M71" s="1264"/>
      <c r="N71" s="1264">
        <f>N69+N56+N37</f>
        <v>10714.5</v>
      </c>
      <c r="O71" s="1360">
        <f>(N71-G71)/G71</f>
        <v>9.8851250250845488E-3</v>
      </c>
      <c r="P71" s="1359">
        <f>P69+P56+P37</f>
        <v>2058897</v>
      </c>
      <c r="Q71" s="1359">
        <f>Q69+Q56+Q37</f>
        <v>4841068.3052800009</v>
      </c>
      <c r="R71" s="1264"/>
      <c r="S71" s="1264">
        <f>S69+S56+S37</f>
        <v>9614.1000019999992</v>
      </c>
      <c r="T71" s="1361">
        <f>((S71-N71)/N71)</f>
        <v>-0.10270194577441792</v>
      </c>
      <c r="U71" s="346"/>
      <c r="V71" s="346"/>
      <c r="W71" s="346"/>
      <c r="X71" s="346"/>
      <c r="Y71" s="346"/>
      <c r="Z71" s="346"/>
      <c r="AA71" s="346"/>
      <c r="AB71" s="406"/>
      <c r="AC71" s="40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row>
    <row r="72" spans="1:69" ht="20.149999999999999" customHeight="1">
      <c r="A72" s="1338">
        <v>37</v>
      </c>
      <c r="B72" s="1335" t="s">
        <v>95</v>
      </c>
      <c r="C72" s="1333"/>
      <c r="D72" s="1276"/>
      <c r="E72" s="652"/>
      <c r="F72" s="652"/>
      <c r="G72" s="1279">
        <f>'T-6'!H70</f>
        <v>13002.405000000001</v>
      </c>
      <c r="H72" s="1362"/>
      <c r="I72" s="1363"/>
      <c r="J72" s="1364"/>
      <c r="K72" s="1279">
        <f>'F-4'!E44</f>
        <v>6370.4692999999997</v>
      </c>
      <c r="L72" s="1276"/>
      <c r="M72" s="652"/>
      <c r="N72" s="1279">
        <v>13080</v>
      </c>
      <c r="O72" s="1335"/>
      <c r="P72" s="1276"/>
      <c r="Q72" s="1276"/>
      <c r="R72" s="652"/>
      <c r="S72" s="1279">
        <f>11704-180</f>
        <v>11524</v>
      </c>
      <c r="T72" s="1353"/>
      <c r="U72" s="346"/>
      <c r="V72" s="346"/>
      <c r="W72" s="346"/>
      <c r="X72" s="346"/>
      <c r="Y72" s="346"/>
      <c r="Z72" s="346"/>
      <c r="AA72" s="346"/>
      <c r="AB72" s="40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row>
    <row r="73" spans="1:69">
      <c r="A73" s="1338">
        <v>38</v>
      </c>
      <c r="B73" s="1335" t="s">
        <v>96</v>
      </c>
      <c r="C73" s="1333"/>
      <c r="D73" s="1276"/>
      <c r="E73" s="652"/>
      <c r="F73" s="652"/>
      <c r="G73" s="1279">
        <f>G72-G71</f>
        <v>2392.7824454209713</v>
      </c>
      <c r="H73" s="1362"/>
      <c r="I73" s="1363"/>
      <c r="J73" s="1364"/>
      <c r="K73" s="1279">
        <f>K72-K71</f>
        <v>1135.7619987324442</v>
      </c>
      <c r="L73" s="1276"/>
      <c r="M73" s="652"/>
      <c r="N73" s="1279">
        <f>N72-N71</f>
        <v>2365.5</v>
      </c>
      <c r="O73" s="1335"/>
      <c r="P73" s="1276"/>
      <c r="Q73" s="1276"/>
      <c r="R73" s="1276"/>
      <c r="S73" s="1279">
        <f>S72-S71</f>
        <v>1909.8999980000008</v>
      </c>
      <c r="T73" s="1353"/>
      <c r="U73" s="346"/>
      <c r="V73" s="346"/>
      <c r="W73" s="346"/>
      <c r="X73" s="346"/>
      <c r="Y73" s="346"/>
      <c r="Z73" s="346"/>
      <c r="AA73" s="346"/>
      <c r="AB73" s="406"/>
      <c r="AC73" s="40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row>
    <row r="74" spans="1:69">
      <c r="A74" s="1338">
        <v>39</v>
      </c>
      <c r="B74" s="1335" t="s">
        <v>97</v>
      </c>
      <c r="C74" s="1333"/>
      <c r="D74" s="1355"/>
      <c r="E74" s="1365"/>
      <c r="F74" s="1365"/>
      <c r="G74" s="1280">
        <f>G73/G72</f>
        <v>0.18402614327280001</v>
      </c>
      <c r="H74" s="1363"/>
      <c r="I74" s="1363"/>
      <c r="J74" s="1363"/>
      <c r="K74" s="1280">
        <f>K73/K72</f>
        <v>0.17828545202037852</v>
      </c>
      <c r="L74" s="1366"/>
      <c r="M74" s="1366"/>
      <c r="N74" s="1280">
        <f>N73/N72</f>
        <v>0.18084862385321102</v>
      </c>
      <c r="O74" s="1366"/>
      <c r="P74" s="1352"/>
      <c r="Q74" s="1352"/>
      <c r="R74" s="1352"/>
      <c r="S74" s="1280">
        <f>S73/S72</f>
        <v>0.16573238441513372</v>
      </c>
      <c r="T74" s="1367">
        <f>S74-N74</f>
        <v>-1.51162394380773E-2</v>
      </c>
      <c r="U74" s="346"/>
      <c r="V74" s="346"/>
      <c r="W74" s="346"/>
      <c r="X74" s="346"/>
      <c r="Y74" s="346"/>
      <c r="Z74" s="346"/>
      <c r="AA74" s="346"/>
      <c r="AB74" s="40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row>
    <row r="75" spans="1:69">
      <c r="A75" s="1338">
        <v>40</v>
      </c>
      <c r="B75" s="1335" t="s">
        <v>98</v>
      </c>
      <c r="C75" s="1274"/>
      <c r="D75" s="1274"/>
      <c r="E75" s="1274"/>
      <c r="F75" s="1274"/>
      <c r="G75" s="1280">
        <f>summary!B37</f>
        <v>1.0014472055915009</v>
      </c>
      <c r="H75" s="1368"/>
      <c r="I75" s="1368"/>
      <c r="J75" s="1368"/>
      <c r="K75" s="1280">
        <f>summary!K37</f>
        <v>0.94356338068186918</v>
      </c>
      <c r="L75" s="1274"/>
      <c r="M75" s="1274"/>
      <c r="N75" s="1280">
        <v>0.99</v>
      </c>
      <c r="O75" s="652"/>
      <c r="P75" s="1274"/>
      <c r="Q75" s="1274"/>
      <c r="R75" s="1274"/>
      <c r="S75" s="1280">
        <v>0.99</v>
      </c>
      <c r="T75" s="1367"/>
    </row>
    <row r="76" spans="1:69" ht="16" thickBot="1">
      <c r="A76" s="1338">
        <v>41</v>
      </c>
      <c r="B76" s="1335" t="s">
        <v>99</v>
      </c>
      <c r="C76" s="1369"/>
      <c r="D76" s="1369"/>
      <c r="E76" s="1369"/>
      <c r="F76" s="1369"/>
      <c r="G76" s="1371">
        <f>1-(1-G74)*G75</f>
        <v>0.18284526134482582</v>
      </c>
      <c r="H76" s="1370"/>
      <c r="I76" s="1370"/>
      <c r="J76" s="1370"/>
      <c r="K76" s="1371">
        <f>1-(1-K74)*K75</f>
        <v>0.22466024315287436</v>
      </c>
      <c r="L76" s="1369"/>
      <c r="M76" s="1369"/>
      <c r="N76" s="1371">
        <f>1-(1-N74)*N75</f>
        <v>0.18904013761467886</v>
      </c>
      <c r="O76" s="1366"/>
      <c r="P76" s="1369"/>
      <c r="Q76" s="1369"/>
      <c r="R76" s="1369"/>
      <c r="S76" s="1371">
        <f>1-(1-S74)*S75</f>
        <v>0.17407506057098243</v>
      </c>
      <c r="T76" s="1372">
        <f>S76-N76</f>
        <v>-1.4965077043696429E-2</v>
      </c>
    </row>
    <row r="77" spans="1:69">
      <c r="A77" s="344"/>
      <c r="B77" s="346"/>
      <c r="G77" s="285"/>
      <c r="H77" s="286"/>
      <c r="I77" s="286"/>
      <c r="J77" s="286"/>
      <c r="K77" s="286"/>
      <c r="N77" s="285"/>
      <c r="O77" s="110"/>
      <c r="S77" s="285"/>
      <c r="T77" s="172"/>
      <c r="AB77" s="110"/>
    </row>
    <row r="78" spans="1:69">
      <c r="A78" s="344"/>
      <c r="B78" s="346"/>
      <c r="G78" s="285"/>
      <c r="H78" s="286"/>
      <c r="I78" s="286"/>
      <c r="J78" s="286"/>
      <c r="K78" s="286"/>
      <c r="M78" s="110"/>
      <c r="N78" s="285"/>
      <c r="O78" s="110"/>
      <c r="S78" s="285"/>
      <c r="T78" s="172"/>
      <c r="AB78" s="110"/>
    </row>
    <row r="79" spans="1:69">
      <c r="A79" s="344"/>
      <c r="B79" s="346"/>
      <c r="G79" s="285"/>
      <c r="H79" s="286"/>
      <c r="I79" s="286"/>
      <c r="J79" s="286"/>
      <c r="K79" s="286"/>
      <c r="N79" s="285"/>
      <c r="O79" s="110"/>
      <c r="S79" s="285"/>
      <c r="T79" s="172"/>
      <c r="AB79" s="110"/>
    </row>
    <row r="80" spans="1:69">
      <c r="A80" s="344"/>
      <c r="B80" s="346"/>
      <c r="G80" s="285"/>
      <c r="H80" s="286"/>
      <c r="I80" s="286"/>
      <c r="J80" s="286"/>
      <c r="K80" s="286"/>
      <c r="M80" s="110"/>
      <c r="N80" s="285"/>
      <c r="O80" s="110"/>
      <c r="S80" s="285"/>
      <c r="T80" s="172"/>
      <c r="AB80" s="110"/>
    </row>
    <row r="81" spans="1:28">
      <c r="A81" s="344"/>
      <c r="B81" s="346"/>
      <c r="G81" s="285"/>
      <c r="H81" s="286"/>
      <c r="I81" s="286"/>
      <c r="J81" s="286"/>
      <c r="K81" s="286"/>
      <c r="N81" s="285"/>
      <c r="O81" s="110"/>
      <c r="S81" s="285"/>
      <c r="T81" s="172"/>
      <c r="AB81" s="110"/>
    </row>
    <row r="82" spans="1:28">
      <c r="E82" s="254"/>
      <c r="F82" s="254"/>
      <c r="G82" s="254"/>
      <c r="H82" s="62"/>
      <c r="I82" s="254"/>
      <c r="J82" s="254"/>
      <c r="K82" s="62"/>
      <c r="L82" s="254"/>
      <c r="M82" s="254"/>
      <c r="N82" s="254"/>
      <c r="O82" s="62"/>
      <c r="P82" s="62"/>
      <c r="Q82" s="254"/>
      <c r="R82" s="254"/>
      <c r="S82" s="254"/>
      <c r="T82" s="255"/>
      <c r="AB82" s="110"/>
    </row>
    <row r="83" spans="1:28">
      <c r="C83" s="1881"/>
      <c r="E83" s="62"/>
      <c r="F83" s="62"/>
      <c r="G83" s="110"/>
      <c r="I83" s="62"/>
      <c r="J83" s="110"/>
      <c r="L83" s="62"/>
      <c r="M83" s="62"/>
      <c r="N83" s="110"/>
      <c r="Q83" s="62"/>
      <c r="R83" s="480"/>
      <c r="S83" s="110"/>
      <c r="T83" s="110"/>
      <c r="AB83" s="110"/>
    </row>
    <row r="84" spans="1:28">
      <c r="C84" s="171"/>
      <c r="E84" s="62"/>
      <c r="F84" s="62"/>
      <c r="G84" s="110"/>
      <c r="I84" s="62"/>
      <c r="J84" s="110"/>
      <c r="L84" s="62"/>
      <c r="M84" s="62"/>
      <c r="N84" s="110"/>
      <c r="Q84" s="62"/>
      <c r="R84" s="480"/>
      <c r="S84" s="110"/>
      <c r="T84" s="110"/>
      <c r="AB84" s="171"/>
    </row>
    <row r="85" spans="1:28">
      <c r="E85" s="62"/>
      <c r="F85" s="62"/>
      <c r="G85" s="158"/>
      <c r="I85" s="62"/>
      <c r="J85" s="158"/>
      <c r="L85" s="62"/>
      <c r="M85" s="62"/>
      <c r="N85" s="158"/>
      <c r="Q85" s="62"/>
      <c r="R85" s="480"/>
      <c r="S85" s="158"/>
      <c r="T85" s="110"/>
      <c r="AB85" s="171"/>
    </row>
    <row r="86" spans="1:28">
      <c r="E86" s="62"/>
      <c r="F86" s="62"/>
      <c r="G86" s="110"/>
      <c r="I86" s="62"/>
      <c r="J86" s="110"/>
      <c r="L86" s="62"/>
      <c r="M86" s="62"/>
      <c r="N86" s="110"/>
      <c r="Q86" s="62"/>
      <c r="R86" s="480"/>
      <c r="S86" s="110"/>
      <c r="AB86" s="172"/>
    </row>
    <row r="87" spans="1:28">
      <c r="E87" s="62"/>
      <c r="F87" s="62"/>
      <c r="L87" s="62"/>
      <c r="M87" s="62"/>
      <c r="Q87" s="62"/>
      <c r="R87" s="480"/>
      <c r="AB87" s="171"/>
    </row>
    <row r="88" spans="1:28">
      <c r="E88" s="62"/>
      <c r="F88" s="62"/>
      <c r="G88" s="110"/>
      <c r="L88" s="62"/>
      <c r="M88" s="62"/>
      <c r="N88" s="110"/>
      <c r="Q88" s="62"/>
      <c r="R88" s="480"/>
      <c r="S88" s="110"/>
      <c r="T88" s="224"/>
    </row>
    <row r="89" spans="1:28">
      <c r="E89" s="256"/>
      <c r="F89" s="256"/>
      <c r="G89" s="110"/>
      <c r="L89" s="256"/>
      <c r="M89" s="256"/>
      <c r="N89" s="110"/>
      <c r="Q89" s="256"/>
      <c r="R89" s="256"/>
      <c r="S89" s="110"/>
      <c r="T89" s="110"/>
    </row>
    <row r="90" spans="1:28">
      <c r="E90" s="233"/>
      <c r="F90" s="233"/>
      <c r="G90" s="157"/>
      <c r="N90" s="157"/>
      <c r="S90" s="157"/>
      <c r="T90" s="157"/>
    </row>
    <row r="91" spans="1:28">
      <c r="N91" s="110"/>
      <c r="T91" s="110"/>
    </row>
    <row r="93" spans="1:28">
      <c r="G93" s="171"/>
      <c r="N93" s="157"/>
      <c r="S93" s="157"/>
      <c r="T93" s="157"/>
    </row>
    <row r="94" spans="1:28">
      <c r="N94" s="157"/>
      <c r="T94" s="157"/>
    </row>
  </sheetData>
  <mergeCells count="24">
    <mergeCell ref="D3:G3"/>
    <mergeCell ref="E4:E8"/>
    <mergeCell ref="G4:G8"/>
    <mergeCell ref="I4:I8"/>
    <mergeCell ref="H3:K3"/>
    <mergeCell ref="Q4:Q8"/>
    <mergeCell ref="L4:L8"/>
    <mergeCell ref="N4:N8"/>
    <mergeCell ref="O4:O8"/>
    <mergeCell ref="P3:T3"/>
    <mergeCell ref="S4:S8"/>
    <mergeCell ref="T4:T8"/>
    <mergeCell ref="P4:P8"/>
    <mergeCell ref="L3:O3"/>
    <mergeCell ref="M4:M8"/>
    <mergeCell ref="R4:R8"/>
    <mergeCell ref="A4:A8"/>
    <mergeCell ref="H4:H8"/>
    <mergeCell ref="D4:D8"/>
    <mergeCell ref="K4:K8"/>
    <mergeCell ref="C4:C8"/>
    <mergeCell ref="B4:B8"/>
    <mergeCell ref="J4:J8"/>
    <mergeCell ref="F4:F8"/>
  </mergeCells>
  <phoneticPr fontId="0" type="noConversion"/>
  <printOptions horizontalCentered="1" gridLines="1"/>
  <pageMargins left="0" right="0" top="0.74803149606299213" bottom="0" header="0" footer="0"/>
  <pageSetup paperSize="9" scale="86" fitToWidth="3" fitToHeight="3" orientation="landscape" horizontalDpi="4294967292" verticalDpi="4294967292" r:id="rId1"/>
  <headerFooter>
    <oddHeader>&amp;ROERC FORM T-1</oddHeader>
    <oddFooter xml:space="preserve">&amp;R&amp;"Arial,Bold"&amp;12
&amp;"Arial,Regular"&amp;10
</oddFooter>
  </headerFooter>
  <rowBreaks count="2" manualBreakCount="2">
    <brk id="37" max="19" man="1"/>
    <brk id="56"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93"/>
  <sheetViews>
    <sheetView showGridLines="0" view="pageBreakPreview" zoomScale="90" zoomScaleNormal="75" zoomScaleSheetLayoutView="90" workbookViewId="0">
      <pane xSplit="2" ySplit="7" topLeftCell="T60" activePane="bottomRight" state="frozen"/>
      <selection pane="topRight" activeCell="C1" sqref="C1"/>
      <selection pane="bottomLeft" activeCell="A8" sqref="A8"/>
      <selection pane="bottomRight" activeCell="L9" sqref="L9"/>
    </sheetView>
  </sheetViews>
  <sheetFormatPr defaultColWidth="8.7265625" defaultRowHeight="12.5"/>
  <cols>
    <col min="1" max="1" width="3.54296875" customWidth="1"/>
    <col min="2" max="2" width="30" customWidth="1"/>
    <col min="3" max="3" width="10.81640625" customWidth="1"/>
    <col min="4" max="4" width="13.54296875" bestFit="1" customWidth="1"/>
    <col min="5" max="5" width="13.81640625" customWidth="1"/>
    <col min="6" max="6" width="11.26953125" customWidth="1"/>
    <col min="7" max="7" width="11.453125" bestFit="1" customWidth="1"/>
    <col min="8" max="8" width="11.1796875" bestFit="1" customWidth="1"/>
    <col min="9" max="9" width="10.453125" customWidth="1"/>
    <col min="10" max="10" width="10" customWidth="1"/>
    <col min="11" max="11" width="11.81640625" customWidth="1"/>
    <col min="12" max="12" width="9.7265625" customWidth="1"/>
    <col min="13" max="13" width="8.453125" customWidth="1"/>
    <col min="14" max="14" width="7.26953125" customWidth="1"/>
    <col min="15" max="15" width="10.1796875" customWidth="1"/>
    <col min="16" max="16" width="12" customWidth="1"/>
    <col min="17" max="17" width="12.26953125" customWidth="1"/>
    <col min="18" max="18" width="9.26953125" customWidth="1"/>
    <col min="19" max="19" width="8.26953125" customWidth="1"/>
    <col min="20" max="20" width="16.81640625" bestFit="1" customWidth="1"/>
    <col min="21" max="21" width="12.26953125" customWidth="1"/>
    <col min="22" max="22" width="10.81640625" bestFit="1" customWidth="1"/>
    <col min="23" max="23" width="10.7265625" customWidth="1"/>
    <col min="24" max="24" width="12.26953125" customWidth="1"/>
    <col min="25" max="25" width="7.1796875" style="489" customWidth="1"/>
    <col min="27" max="27" width="11.453125" customWidth="1"/>
    <col min="28" max="28" width="8.54296875" customWidth="1"/>
    <col min="29" max="30" width="12.81640625" customWidth="1"/>
    <col min="31" max="31" width="7.7265625" customWidth="1"/>
    <col min="32" max="32" width="11.453125" style="8" customWidth="1"/>
    <col min="33" max="34" width="10" customWidth="1"/>
    <col min="35" max="35" width="9.81640625" customWidth="1"/>
    <col min="36" max="37" width="10.54296875" customWidth="1"/>
    <col min="38" max="38" width="12.54296875" customWidth="1"/>
    <col min="39" max="39" width="10.54296875" customWidth="1"/>
  </cols>
  <sheetData>
    <row r="1" spans="1:40" ht="13">
      <c r="B1" s="2" t="s">
        <v>104</v>
      </c>
      <c r="R1" s="4"/>
      <c r="S1" s="4"/>
      <c r="T1" s="9"/>
    </row>
    <row r="2" spans="1:40">
      <c r="B2" s="68" t="s">
        <v>291</v>
      </c>
    </row>
    <row r="3" spans="1:40" ht="18">
      <c r="B3" s="6" t="s">
        <v>292</v>
      </c>
    </row>
    <row r="4" spans="1:40" ht="13">
      <c r="B4" s="2"/>
    </row>
    <row r="5" spans="1:40" ht="15.5">
      <c r="A5" s="946">
        <v>1</v>
      </c>
      <c r="B5" s="947">
        <v>2</v>
      </c>
      <c r="C5" s="946">
        <v>3</v>
      </c>
      <c r="D5" s="946">
        <v>4</v>
      </c>
      <c r="E5" s="946">
        <v>5</v>
      </c>
      <c r="F5" s="946">
        <v>6</v>
      </c>
      <c r="G5" s="946">
        <v>7</v>
      </c>
      <c r="H5" s="946">
        <v>8</v>
      </c>
      <c r="I5" s="946">
        <v>9</v>
      </c>
      <c r="J5" s="946">
        <v>10</v>
      </c>
      <c r="K5" s="946">
        <v>11</v>
      </c>
      <c r="L5" s="946">
        <v>12</v>
      </c>
      <c r="M5" s="946">
        <v>13</v>
      </c>
      <c r="N5" s="946">
        <v>14</v>
      </c>
      <c r="O5" s="946">
        <v>15</v>
      </c>
      <c r="P5" s="946">
        <v>16</v>
      </c>
      <c r="Q5" s="946">
        <v>17</v>
      </c>
      <c r="R5" s="946">
        <v>18</v>
      </c>
      <c r="S5" s="946">
        <v>19</v>
      </c>
      <c r="T5" s="946">
        <v>20</v>
      </c>
      <c r="U5" s="946">
        <v>21</v>
      </c>
      <c r="V5" s="946">
        <v>22</v>
      </c>
      <c r="W5" s="946">
        <v>23</v>
      </c>
      <c r="X5" s="946">
        <v>24</v>
      </c>
      <c r="Y5" s="946">
        <v>25</v>
      </c>
      <c r="Z5" s="946">
        <v>26</v>
      </c>
      <c r="AA5" s="946">
        <v>27</v>
      </c>
      <c r="AB5" s="946">
        <v>28</v>
      </c>
      <c r="AC5" s="946">
        <v>29</v>
      </c>
      <c r="AD5" s="946">
        <v>30</v>
      </c>
      <c r="AE5" s="946">
        <v>31</v>
      </c>
      <c r="AF5" s="946">
        <v>32</v>
      </c>
      <c r="AG5" s="946">
        <v>33</v>
      </c>
      <c r="AH5" s="946">
        <v>34</v>
      </c>
      <c r="AI5" s="946">
        <v>35</v>
      </c>
      <c r="AJ5" s="946">
        <v>36</v>
      </c>
      <c r="AK5" s="946">
        <v>37</v>
      </c>
      <c r="AL5" s="946">
        <v>37</v>
      </c>
      <c r="AM5" s="946">
        <v>38</v>
      </c>
      <c r="AN5" s="301"/>
    </row>
    <row r="6" spans="1:40" ht="15.5">
      <c r="A6" s="946"/>
      <c r="B6" s="947"/>
      <c r="C6" s="946"/>
      <c r="D6" s="946"/>
      <c r="E6" s="946"/>
      <c r="F6" s="946"/>
      <c r="G6" s="946"/>
      <c r="H6" s="946"/>
      <c r="I6" s="946"/>
      <c r="J6" s="946"/>
      <c r="K6" s="946"/>
      <c r="L6" s="946"/>
      <c r="M6" s="948"/>
      <c r="N6" s="949"/>
      <c r="O6" s="946"/>
      <c r="P6" s="948"/>
      <c r="Q6" s="949"/>
      <c r="R6" s="946"/>
      <c r="S6" s="946"/>
      <c r="T6" s="946"/>
      <c r="U6" s="946"/>
      <c r="V6" s="946"/>
      <c r="W6" s="946"/>
      <c r="X6" s="946"/>
      <c r="Y6" s="946"/>
      <c r="Z6" s="946"/>
      <c r="AA6" s="946"/>
      <c r="AB6" s="946"/>
      <c r="AC6" s="946"/>
      <c r="AD6" s="946"/>
      <c r="AE6" s="946"/>
      <c r="AF6" s="946"/>
      <c r="AG6" s="946"/>
      <c r="AH6" s="946"/>
      <c r="AI6" s="946"/>
      <c r="AJ6" s="946"/>
      <c r="AK6" s="946"/>
      <c r="AL6" s="946"/>
      <c r="AM6" s="946"/>
      <c r="AN6" s="301"/>
    </row>
    <row r="7" spans="1:40" s="951" customFormat="1" ht="52.5">
      <c r="A7" s="586" t="s">
        <v>217</v>
      </c>
      <c r="B7" s="950" t="s">
        <v>293</v>
      </c>
      <c r="C7" s="586" t="s">
        <v>218</v>
      </c>
      <c r="D7" s="586" t="s">
        <v>294</v>
      </c>
      <c r="E7" s="586" t="s">
        <v>220</v>
      </c>
      <c r="F7" s="586" t="s">
        <v>221</v>
      </c>
      <c r="G7" s="586" t="s">
        <v>222</v>
      </c>
      <c r="H7" s="586" t="s">
        <v>223</v>
      </c>
      <c r="I7" s="586" t="s">
        <v>224</v>
      </c>
      <c r="J7" s="586" t="s">
        <v>225</v>
      </c>
      <c r="K7" s="586" t="s">
        <v>226</v>
      </c>
      <c r="L7" s="586" t="s">
        <v>295</v>
      </c>
      <c r="M7" s="1955" t="s">
        <v>228</v>
      </c>
      <c r="N7" s="1956"/>
      <c r="O7" s="586" t="s">
        <v>229</v>
      </c>
      <c r="P7" s="1955" t="s">
        <v>230</v>
      </c>
      <c r="Q7" s="1956"/>
      <c r="R7" s="586" t="s">
        <v>231</v>
      </c>
      <c r="S7" s="586" t="s">
        <v>232</v>
      </c>
      <c r="T7" s="586" t="s">
        <v>233</v>
      </c>
      <c r="U7" s="586" t="s">
        <v>234</v>
      </c>
      <c r="V7" s="586" t="s">
        <v>235</v>
      </c>
      <c r="W7" s="586" t="s">
        <v>236</v>
      </c>
      <c r="X7" s="586" t="s">
        <v>237</v>
      </c>
      <c r="Y7" s="586" t="s">
        <v>238</v>
      </c>
      <c r="Z7" s="586" t="s">
        <v>239</v>
      </c>
      <c r="AA7" s="586" t="s">
        <v>240</v>
      </c>
      <c r="AB7" s="586" t="s">
        <v>241</v>
      </c>
      <c r="AC7" s="586" t="s">
        <v>242</v>
      </c>
      <c r="AD7" s="586" t="s">
        <v>243</v>
      </c>
      <c r="AE7" s="586" t="s">
        <v>244</v>
      </c>
      <c r="AF7" s="586" t="s">
        <v>245</v>
      </c>
      <c r="AG7" s="586" t="s">
        <v>246</v>
      </c>
      <c r="AH7" s="586" t="s">
        <v>247</v>
      </c>
      <c r="AI7" s="586" t="s">
        <v>296</v>
      </c>
      <c r="AJ7" s="586" t="s">
        <v>249</v>
      </c>
      <c r="AK7" s="586" t="s">
        <v>250</v>
      </c>
      <c r="AL7" s="586" t="s">
        <v>297</v>
      </c>
      <c r="AM7" s="586" t="s">
        <v>252</v>
      </c>
    </row>
    <row r="8" spans="1:40" s="951" customFormat="1" ht="31.5">
      <c r="A8" s="586"/>
      <c r="B8" s="950" t="s">
        <v>253</v>
      </c>
      <c r="C8" s="586"/>
      <c r="D8" s="586" t="s">
        <v>254</v>
      </c>
      <c r="E8" s="586" t="s">
        <v>254</v>
      </c>
      <c r="F8" s="586" t="s">
        <v>254</v>
      </c>
      <c r="G8" s="586" t="s">
        <v>255</v>
      </c>
      <c r="H8" s="586" t="s">
        <v>256</v>
      </c>
      <c r="I8" s="586" t="s">
        <v>257</v>
      </c>
      <c r="J8" s="586" t="s">
        <v>258</v>
      </c>
      <c r="K8" s="586" t="s">
        <v>259</v>
      </c>
      <c r="L8" s="586" t="s">
        <v>259</v>
      </c>
      <c r="M8" s="586" t="s">
        <v>260</v>
      </c>
      <c r="N8" s="586" t="s">
        <v>261</v>
      </c>
      <c r="O8" s="586" t="s">
        <v>262</v>
      </c>
      <c r="P8" s="586" t="s">
        <v>263</v>
      </c>
      <c r="Q8" s="586" t="s">
        <v>264</v>
      </c>
      <c r="R8" s="586" t="s">
        <v>265</v>
      </c>
      <c r="S8" s="586"/>
      <c r="T8" s="586" t="s">
        <v>266</v>
      </c>
      <c r="U8" s="586" t="s">
        <v>266</v>
      </c>
      <c r="V8" s="586" t="s">
        <v>266</v>
      </c>
      <c r="W8" s="586" t="s">
        <v>266</v>
      </c>
      <c r="X8" s="586" t="s">
        <v>266</v>
      </c>
      <c r="Y8" s="586" t="s">
        <v>267</v>
      </c>
      <c r="Z8" s="586" t="s">
        <v>265</v>
      </c>
      <c r="AA8" s="586" t="s">
        <v>268</v>
      </c>
      <c r="AB8" s="586" t="s">
        <v>266</v>
      </c>
      <c r="AC8" s="586" t="s">
        <v>266</v>
      </c>
      <c r="AD8" s="586" t="s">
        <v>269</v>
      </c>
      <c r="AE8" s="586" t="s">
        <v>270</v>
      </c>
      <c r="AF8" s="586" t="s">
        <v>266</v>
      </c>
      <c r="AG8" s="586" t="s">
        <v>271</v>
      </c>
      <c r="AH8" s="586" t="s">
        <v>266</v>
      </c>
      <c r="AI8" s="586" t="s">
        <v>266</v>
      </c>
      <c r="AJ8" s="586" t="s">
        <v>266</v>
      </c>
      <c r="AK8" s="586" t="s">
        <v>266</v>
      </c>
      <c r="AL8" s="586" t="s">
        <v>266</v>
      </c>
      <c r="AM8" s="586"/>
    </row>
    <row r="9" spans="1:40" ht="15.5">
      <c r="A9" s="1373"/>
      <c r="B9" s="1374" t="s">
        <v>41</v>
      </c>
      <c r="C9" s="1374"/>
      <c r="D9" s="1374"/>
      <c r="E9" s="1374"/>
      <c r="F9" s="1374"/>
      <c r="G9" s="1374"/>
      <c r="H9" s="1374"/>
      <c r="I9" s="1374"/>
      <c r="J9" s="1374"/>
      <c r="K9" s="1374"/>
      <c r="L9" s="1374"/>
      <c r="M9" s="1374"/>
      <c r="N9" s="1374"/>
      <c r="O9" s="1374"/>
      <c r="P9" s="1374"/>
      <c r="Q9" s="1374"/>
      <c r="R9" s="1373"/>
      <c r="S9" s="1373"/>
      <c r="T9" s="1373"/>
      <c r="U9" s="1373"/>
      <c r="V9" s="1373"/>
      <c r="W9" s="1373"/>
      <c r="X9" s="1373"/>
      <c r="Y9" s="955"/>
      <c r="Z9" s="1373"/>
      <c r="AA9" s="1373"/>
      <c r="AB9" s="1654"/>
      <c r="AC9" s="1373"/>
      <c r="AD9" s="1373"/>
      <c r="AE9" s="1373"/>
      <c r="AF9" s="955"/>
      <c r="AG9" s="1373"/>
      <c r="AH9" s="1654"/>
      <c r="AI9" s="1373"/>
      <c r="AJ9" s="1373"/>
      <c r="AK9" s="1373"/>
      <c r="AL9" s="1373"/>
      <c r="AM9" s="1373"/>
      <c r="AN9" s="301"/>
    </row>
    <row r="10" spans="1:40" ht="15.5">
      <c r="A10" s="1373">
        <v>1</v>
      </c>
      <c r="B10" s="1375" t="s">
        <v>43</v>
      </c>
      <c r="C10" s="1376" t="s">
        <v>44</v>
      </c>
      <c r="D10" s="1376"/>
      <c r="E10" s="1376"/>
      <c r="F10" s="1376"/>
      <c r="G10" s="1377">
        <f>'T-1'!P12</f>
        <v>1774138</v>
      </c>
      <c r="H10" s="1377">
        <f>'T-1'!Q12</f>
        <v>1989317.2620000001</v>
      </c>
      <c r="I10" s="1377">
        <f>(141422+194070)+(66946+58557)*2+(22565+6782)*3+(17386+5538)*4</f>
        <v>766235</v>
      </c>
      <c r="J10" s="1378"/>
      <c r="K10" s="1376"/>
      <c r="L10" s="1376"/>
      <c r="M10" s="1377">
        <v>20</v>
      </c>
      <c r="N10" s="1377">
        <v>20</v>
      </c>
      <c r="O10" s="1378"/>
      <c r="P10" s="1378"/>
      <c r="Q10" s="1378"/>
      <c r="R10" s="1378"/>
      <c r="S10" s="1379"/>
      <c r="T10" s="1380"/>
      <c r="U10" s="1654"/>
      <c r="V10" s="1381">
        <f>((H10-I10)*M10+I10*N10)*12/100000</f>
        <v>4774.3614287999999</v>
      </c>
      <c r="W10" s="1381"/>
      <c r="X10" s="1381">
        <f>SUM(T10:W10)</f>
        <v>4774.3614287999999</v>
      </c>
      <c r="Y10" s="721">
        <v>0.1</v>
      </c>
      <c r="Z10" s="1378"/>
      <c r="AA10" s="1382">
        <f>(367528512)/1000000*2</f>
        <v>735.05702399999996</v>
      </c>
      <c r="AB10" s="721">
        <f>AA10*Y10*10</f>
        <v>735.05702400000007</v>
      </c>
      <c r="AC10" s="1383">
        <f>X10-AB10</f>
        <v>4039.3044047999997</v>
      </c>
      <c r="AD10" s="1384"/>
      <c r="AE10" s="1385"/>
      <c r="AF10" s="955"/>
      <c r="AG10" s="1373"/>
      <c r="AH10" s="1654"/>
      <c r="AI10" s="1378"/>
      <c r="AJ10" s="1373"/>
      <c r="AK10" s="1373"/>
      <c r="AL10" s="1654">
        <f>AC10-AH10+AI10+AJ10-AK10</f>
        <v>4039.3044047999997</v>
      </c>
      <c r="AM10" s="1373"/>
      <c r="AN10" s="301"/>
    </row>
    <row r="11" spans="1:40" ht="15.5">
      <c r="A11" s="1373" t="s">
        <v>272</v>
      </c>
      <c r="B11" s="1375" t="s">
        <v>168</v>
      </c>
      <c r="C11" s="1378"/>
      <c r="D11" s="1386">
        <f>'T-1'!S13</f>
        <v>20</v>
      </c>
      <c r="E11" s="1386"/>
      <c r="F11" s="1387"/>
      <c r="G11" s="1377">
        <f>'T-1'!P13</f>
        <v>56309</v>
      </c>
      <c r="H11" s="1377">
        <f>'T-1'!Q13</f>
        <v>20741.810000000005</v>
      </c>
      <c r="I11" s="1377"/>
      <c r="J11" s="1390">
        <v>80</v>
      </c>
      <c r="K11" s="1376"/>
      <c r="L11" s="1376"/>
      <c r="M11" s="1377"/>
      <c r="N11" s="1377"/>
      <c r="O11" s="1378"/>
      <c r="P11" s="1378"/>
      <c r="Q11" s="1378"/>
      <c r="R11" s="1381"/>
      <c r="S11" s="1381"/>
      <c r="T11" s="1381">
        <f>((J11*G11)*12)/100000</f>
        <v>540.56640000000004</v>
      </c>
      <c r="U11" s="1654"/>
      <c r="V11" s="1654"/>
      <c r="W11" s="1381"/>
      <c r="X11" s="1381">
        <f>SUM(T11:W11)</f>
        <v>540.56640000000004</v>
      </c>
      <c r="Y11" s="721"/>
      <c r="Z11" s="1388">
        <f>AC11/D11*10</f>
        <v>270.28320000000002</v>
      </c>
      <c r="AA11" s="1382"/>
      <c r="AB11" s="721"/>
      <c r="AC11" s="1383">
        <f>X11-AB11</f>
        <v>540.56640000000004</v>
      </c>
      <c r="AD11" s="1384"/>
      <c r="AE11" s="1656">
        <v>0</v>
      </c>
      <c r="AF11" s="1655">
        <f>AE11*D11</f>
        <v>0</v>
      </c>
      <c r="AG11" s="1654"/>
      <c r="AH11" s="1654"/>
      <c r="AI11" s="1381"/>
      <c r="AJ11" s="1373"/>
      <c r="AK11" s="1373"/>
      <c r="AL11" s="1654">
        <f>AC11-AH11+AI11+AJ11-AK11</f>
        <v>540.56640000000004</v>
      </c>
      <c r="AM11" s="1373"/>
      <c r="AN11" s="301"/>
    </row>
    <row r="12" spans="1:40" ht="15.5">
      <c r="A12" s="1373" t="s">
        <v>169</v>
      </c>
      <c r="B12" s="1389" t="s">
        <v>49</v>
      </c>
      <c r="C12" s="1378"/>
      <c r="D12" s="1386"/>
      <c r="E12" s="1386"/>
      <c r="F12" s="1382"/>
      <c r="G12" s="1377"/>
      <c r="H12" s="1377"/>
      <c r="I12" s="1377"/>
      <c r="J12" s="1390"/>
      <c r="K12" s="1376"/>
      <c r="L12" s="1376"/>
      <c r="M12" s="1377"/>
      <c r="N12" s="1377"/>
      <c r="O12" s="1378"/>
      <c r="P12" s="1378"/>
      <c r="Q12" s="1378"/>
      <c r="R12" s="1381"/>
      <c r="S12" s="1381"/>
      <c r="T12" s="1381"/>
      <c r="U12" s="1654"/>
      <c r="V12" s="1654"/>
      <c r="W12" s="1381"/>
      <c r="X12" s="1381"/>
      <c r="Y12" s="721"/>
      <c r="Z12" s="1378"/>
      <c r="AA12" s="1382"/>
      <c r="AB12" s="721"/>
      <c r="AC12" s="1383"/>
      <c r="AD12" s="1384"/>
      <c r="AE12" s="1656"/>
      <c r="AF12" s="1655"/>
      <c r="AG12" s="1373"/>
      <c r="AH12" s="1654"/>
      <c r="AI12" s="1381"/>
      <c r="AJ12" s="1373"/>
      <c r="AK12" s="1373"/>
      <c r="AL12" s="1373"/>
      <c r="AM12" s="1373"/>
      <c r="AN12" s="301"/>
    </row>
    <row r="13" spans="1:40" ht="15.5">
      <c r="A13" s="1373"/>
      <c r="B13" s="1273" t="s">
        <v>170</v>
      </c>
      <c r="C13" s="1378"/>
      <c r="D13" s="1386">
        <f>'T-1'!S15</f>
        <v>726.55758269956834</v>
      </c>
      <c r="E13" s="1386"/>
      <c r="F13" s="1382"/>
      <c r="G13" s="1377"/>
      <c r="H13" s="1377"/>
      <c r="I13" s="1377"/>
      <c r="J13" s="1390"/>
      <c r="K13" s="1377">
        <f>250+20+30</f>
        <v>300</v>
      </c>
      <c r="L13" s="1376"/>
      <c r="M13" s="1377"/>
      <c r="N13" s="1377"/>
      <c r="O13" s="1378"/>
      <c r="P13" s="1378"/>
      <c r="Q13" s="1378"/>
      <c r="R13" s="1381"/>
      <c r="S13" s="1381"/>
      <c r="T13" s="1381"/>
      <c r="U13" s="721">
        <f>D13*K13/10</f>
        <v>21796.727480987051</v>
      </c>
      <c r="V13" s="1381"/>
      <c r="W13" s="1381"/>
      <c r="X13" s="1381">
        <f>SUM(T13:W13)</f>
        <v>21796.727480987051</v>
      </c>
      <c r="Y13" s="721"/>
      <c r="Z13" s="1378"/>
      <c r="AA13" s="1382"/>
      <c r="AB13" s="721"/>
      <c r="AC13" s="1383">
        <f>X13-AB13</f>
        <v>21796.727480987051</v>
      </c>
      <c r="AD13" s="1384"/>
      <c r="AE13" s="1656"/>
      <c r="AF13" s="1655"/>
      <c r="AG13" s="1373"/>
      <c r="AH13" s="1654"/>
      <c r="AI13" s="1381"/>
      <c r="AJ13" s="1373"/>
      <c r="AK13" s="1373"/>
      <c r="AL13" s="1654">
        <f t="shared" ref="AL13:AL34" si="0">AC13-AH13+AI13+AJ13-AK13</f>
        <v>21796.727480987051</v>
      </c>
      <c r="AM13" s="1373"/>
      <c r="AN13" s="301"/>
    </row>
    <row r="14" spans="1:40" ht="15.5">
      <c r="A14" s="1373"/>
      <c r="B14" s="1273" t="s">
        <v>52</v>
      </c>
      <c r="C14" s="1378"/>
      <c r="D14" s="1386">
        <f>'T-1'!S16</f>
        <v>863.74173941998345</v>
      </c>
      <c r="E14" s="1386"/>
      <c r="F14" s="1382"/>
      <c r="G14" s="1377"/>
      <c r="H14" s="1377"/>
      <c r="I14" s="1377"/>
      <c r="J14" s="1390"/>
      <c r="K14" s="1377">
        <f>430+20+30</f>
        <v>480</v>
      </c>
      <c r="L14" s="1376"/>
      <c r="M14" s="1377"/>
      <c r="N14" s="1377"/>
      <c r="O14" s="1378"/>
      <c r="P14" s="1378"/>
      <c r="Q14" s="1378"/>
      <c r="R14" s="1381"/>
      <c r="S14" s="1381"/>
      <c r="T14" s="1381"/>
      <c r="U14" s="721">
        <f>D14*K14/10</f>
        <v>41459.603492159207</v>
      </c>
      <c r="V14" s="1381"/>
      <c r="W14" s="1381"/>
      <c r="X14" s="1381">
        <f>SUM(T14:W14)</f>
        <v>41459.603492159207</v>
      </c>
      <c r="Y14" s="721"/>
      <c r="Z14" s="1378"/>
      <c r="AA14" s="1382"/>
      <c r="AB14" s="721"/>
      <c r="AC14" s="1383">
        <f>X14-AB14</f>
        <v>41459.603492159207</v>
      </c>
      <c r="AD14" s="1384"/>
      <c r="AE14" s="1656"/>
      <c r="AF14" s="1655"/>
      <c r="AG14" s="1373"/>
      <c r="AH14" s="1654"/>
      <c r="AI14" s="1381"/>
      <c r="AJ14" s="1373"/>
      <c r="AK14" s="1373"/>
      <c r="AL14" s="1654">
        <f t="shared" si="0"/>
        <v>41459.603492159207</v>
      </c>
      <c r="AM14" s="1373"/>
      <c r="AN14" s="301"/>
    </row>
    <row r="15" spans="1:40" ht="15.5">
      <c r="A15" s="1373"/>
      <c r="B15" s="1273" t="s">
        <v>53</v>
      </c>
      <c r="C15" s="1378"/>
      <c r="D15" s="1386">
        <f>'T-1'!S17</f>
        <v>336.70538200082734</v>
      </c>
      <c r="E15" s="1386"/>
      <c r="F15" s="1382"/>
      <c r="G15" s="1377"/>
      <c r="H15" s="1377"/>
      <c r="I15" s="1377"/>
      <c r="J15" s="1390"/>
      <c r="K15" s="1377">
        <f>530+20+30</f>
        <v>580</v>
      </c>
      <c r="L15" s="1376"/>
      <c r="M15" s="1377"/>
      <c r="N15" s="1377"/>
      <c r="O15" s="1378"/>
      <c r="P15" s="1378"/>
      <c r="Q15" s="1378"/>
      <c r="R15" s="1381"/>
      <c r="S15" s="1381"/>
      <c r="T15" s="1381"/>
      <c r="U15" s="721">
        <f>D15*K15/10</f>
        <v>19528.912156047987</v>
      </c>
      <c r="V15" s="1381"/>
      <c r="W15" s="1381"/>
      <c r="X15" s="1381">
        <f>SUM(T15:W15)</f>
        <v>19528.912156047987</v>
      </c>
      <c r="Y15" s="721"/>
      <c r="Z15" s="1378"/>
      <c r="AA15" s="1382"/>
      <c r="AB15" s="721"/>
      <c r="AC15" s="1383">
        <f>X15-AB15</f>
        <v>19528.912156047987</v>
      </c>
      <c r="AD15" s="1384"/>
      <c r="AE15" s="1657"/>
      <c r="AF15" s="1655"/>
      <c r="AG15" s="1373"/>
      <c r="AH15" s="1654"/>
      <c r="AI15" s="1381"/>
      <c r="AJ15" s="1373"/>
      <c r="AK15" s="1373"/>
      <c r="AL15" s="1654">
        <f t="shared" si="0"/>
        <v>19528.912156047987</v>
      </c>
      <c r="AM15" s="1373"/>
      <c r="AN15" s="301"/>
    </row>
    <row r="16" spans="1:40" ht="16.5">
      <c r="A16" s="1373"/>
      <c r="B16" s="1273" t="s">
        <v>273</v>
      </c>
      <c r="C16" s="1378"/>
      <c r="D16" s="1386">
        <f>'T-1'!S18</f>
        <v>412.99529587962053</v>
      </c>
      <c r="E16" s="1386"/>
      <c r="F16" s="1382"/>
      <c r="G16" s="1377"/>
      <c r="H16" s="1377"/>
      <c r="I16" s="1377"/>
      <c r="J16" s="1390"/>
      <c r="K16" s="1377">
        <f>570+20+30</f>
        <v>620</v>
      </c>
      <c r="L16" s="1376"/>
      <c r="M16" s="1377"/>
      <c r="N16" s="1377"/>
      <c r="O16" s="1378"/>
      <c r="P16" s="1378"/>
      <c r="Q16" s="1378"/>
      <c r="R16" s="1381"/>
      <c r="S16" s="1381"/>
      <c r="T16" s="1381"/>
      <c r="U16" s="721">
        <f>(D16*K16/10)</f>
        <v>25605.708344536473</v>
      </c>
      <c r="V16" s="1381"/>
      <c r="W16" s="1381"/>
      <c r="X16" s="1381">
        <f>SUM(T16:W16)</f>
        <v>25605.708344536473</v>
      </c>
      <c r="Y16" s="721"/>
      <c r="Z16" s="1388"/>
      <c r="AA16" s="1382"/>
      <c r="AB16" s="721"/>
      <c r="AC16" s="1383">
        <f>X16-AB16</f>
        <v>25605.708344536473</v>
      </c>
      <c r="AD16" s="1384"/>
      <c r="AE16" s="1391">
        <v>0.04</v>
      </c>
      <c r="AF16" s="1655">
        <f>AE16*SUM(U13:U16)</f>
        <v>4335.6380589492292</v>
      </c>
      <c r="AG16" s="1654"/>
      <c r="AH16" s="1654"/>
      <c r="AI16" s="1381"/>
      <c r="AJ16" s="1373"/>
      <c r="AK16" s="1373"/>
      <c r="AL16" s="1654">
        <f t="shared" si="0"/>
        <v>25605.708344536473</v>
      </c>
      <c r="AM16" s="1373"/>
      <c r="AN16" s="301"/>
    </row>
    <row r="17" spans="1:40" ht="16.5">
      <c r="A17" s="1373"/>
      <c r="B17" s="1392" t="s">
        <v>55</v>
      </c>
      <c r="C17" s="1376"/>
      <c r="D17" s="1393">
        <f>SUM(D10:D16)</f>
        <v>2359.9999999999995</v>
      </c>
      <c r="E17" s="1393"/>
      <c r="F17" s="1394"/>
      <c r="G17" s="1395">
        <f>SUM(G10:G16)</f>
        <v>1830447</v>
      </c>
      <c r="H17" s="1395">
        <f>SUM(H10:H16)</f>
        <v>2010059.0720000002</v>
      </c>
      <c r="I17" s="1395">
        <f>SUM(I10:I16)</f>
        <v>766235</v>
      </c>
      <c r="J17" s="1390"/>
      <c r="K17" s="721"/>
      <c r="L17" s="1376"/>
      <c r="M17" s="1377"/>
      <c r="N17" s="1377"/>
      <c r="O17" s="1378"/>
      <c r="P17" s="1378"/>
      <c r="Q17" s="1378"/>
      <c r="R17" s="1395">
        <f>(X17/D17)*10</f>
        <v>481.80457331580817</v>
      </c>
      <c r="S17" s="722"/>
      <c r="T17" s="1396">
        <f>SUM(T10:T16)</f>
        <v>540.56640000000004</v>
      </c>
      <c r="U17" s="722">
        <f>SUM(U10:U16)</f>
        <v>108390.95147373072</v>
      </c>
      <c r="V17" s="722">
        <f>SUM(V10:V16)</f>
        <v>4774.3614287999999</v>
      </c>
      <c r="W17" s="722">
        <f>SUM(W10:W16)</f>
        <v>0</v>
      </c>
      <c r="X17" s="722">
        <f>SUM(X10:X16)</f>
        <v>113705.87930253071</v>
      </c>
      <c r="Y17" s="721"/>
      <c r="Z17" s="1397">
        <f>AC17/D17*10</f>
        <v>478.68992490902855</v>
      </c>
      <c r="AA17" s="1394">
        <f>SUM(AA10:AA16)</f>
        <v>735.05702399999996</v>
      </c>
      <c r="AB17" s="722">
        <f>SUM(AB10:AB16)</f>
        <v>735.05702400000007</v>
      </c>
      <c r="AC17" s="1398">
        <f>SUM(AC10:AC16)</f>
        <v>112970.82227853072</v>
      </c>
      <c r="AD17" s="1283"/>
      <c r="AE17" s="1399"/>
      <c r="AF17" s="722">
        <f>SUM(AF10:AF16)</f>
        <v>4335.6380589492292</v>
      </c>
      <c r="AG17" s="1658">
        <f>AF17/SUM(D13:D16)+Z17</f>
        <v>480.54276168635727</v>
      </c>
      <c r="AH17" s="1654">
        <f>X17*1%</f>
        <v>1137.0587930253071</v>
      </c>
      <c r="AI17" s="722">
        <f>SUM(AI10:AI16)</f>
        <v>0</v>
      </c>
      <c r="AJ17" s="722">
        <f>SUM(AJ10:AJ16)</f>
        <v>0</v>
      </c>
      <c r="AK17" s="722">
        <f>SUM(AK10:AK16)</f>
        <v>0</v>
      </c>
      <c r="AL17" s="722">
        <f>SUM(AL10:AL16)</f>
        <v>112970.82227853072</v>
      </c>
      <c r="AM17" s="722"/>
      <c r="AN17" s="301"/>
    </row>
    <row r="18" spans="1:40" ht="16.5">
      <c r="A18" s="1373">
        <v>2</v>
      </c>
      <c r="B18" s="1375" t="s">
        <v>274</v>
      </c>
      <c r="C18" s="1376" t="s">
        <v>44</v>
      </c>
      <c r="D18" s="1386"/>
      <c r="E18" s="1386"/>
      <c r="F18" s="1387"/>
      <c r="G18" s="1377">
        <f>'T-1'!P25</f>
        <v>104159</v>
      </c>
      <c r="H18" s="1377">
        <f>'T-1'!Q25</f>
        <v>356179.57635999995</v>
      </c>
      <c r="I18" s="1377">
        <f>(10199+8966)+(5281+3712)*2+(2046+1308)*3+(8231+9417)*4</f>
        <v>117805</v>
      </c>
      <c r="J18" s="1390"/>
      <c r="K18" s="721"/>
      <c r="L18" s="1376"/>
      <c r="M18" s="1377">
        <v>30</v>
      </c>
      <c r="N18" s="1377">
        <v>30</v>
      </c>
      <c r="O18" s="1378"/>
      <c r="P18" s="1378"/>
      <c r="Q18" s="1378"/>
      <c r="R18" s="1377"/>
      <c r="S18" s="1400"/>
      <c r="T18" s="1657"/>
      <c r="U18" s="721"/>
      <c r="V18" s="1381">
        <f>((H18-I18)*M18+I18*N18)*12/100000</f>
        <v>1282.2464748959997</v>
      </c>
      <c r="W18" s="1381"/>
      <c r="X18" s="1381">
        <f>SUM(T18:W18)</f>
        <v>1282.2464748959997</v>
      </c>
      <c r="Y18" s="721">
        <v>0.1</v>
      </c>
      <c r="Z18" s="1378"/>
      <c r="AA18" s="1382">
        <f>(72486325)/1000000*2</f>
        <v>144.97264999999999</v>
      </c>
      <c r="AB18" s="721">
        <f>Y18*AA18*10</f>
        <v>144.97264999999999</v>
      </c>
      <c r="AC18" s="1383">
        <f>X18-AB18</f>
        <v>1137.2738248959997</v>
      </c>
      <c r="AD18" s="1384"/>
      <c r="AE18" s="1399"/>
      <c r="AF18" s="1655"/>
      <c r="AG18" s="1655"/>
      <c r="AH18" s="1654"/>
      <c r="AI18" s="721"/>
      <c r="AJ18" s="1655"/>
      <c r="AK18" s="1655"/>
      <c r="AL18" s="1654">
        <f t="shared" si="0"/>
        <v>1137.2738248959997</v>
      </c>
      <c r="AM18" s="1655"/>
      <c r="AN18" s="301"/>
    </row>
    <row r="19" spans="1:40" ht="16.5">
      <c r="A19" s="1373"/>
      <c r="B19" s="1375" t="s">
        <v>57</v>
      </c>
      <c r="C19" s="1376"/>
      <c r="D19" s="1386"/>
      <c r="E19" s="1386"/>
      <c r="F19" s="1387"/>
      <c r="G19" s="1377"/>
      <c r="H19" s="1377"/>
      <c r="I19" s="1377"/>
      <c r="J19" s="1390"/>
      <c r="K19" s="721"/>
      <c r="L19" s="1376"/>
      <c r="M19" s="1377"/>
      <c r="N19" s="1377"/>
      <c r="O19" s="1378"/>
      <c r="P19" s="1378"/>
      <c r="Q19" s="1378"/>
      <c r="R19" s="1377"/>
      <c r="S19" s="721"/>
      <c r="T19" s="721"/>
      <c r="U19" s="721"/>
      <c r="V19" s="1381"/>
      <c r="W19" s="1381"/>
      <c r="X19" s="1381"/>
      <c r="Y19" s="721"/>
      <c r="Z19" s="1378"/>
      <c r="AA19" s="1382"/>
      <c r="AB19" s="721"/>
      <c r="AC19" s="1383"/>
      <c r="AD19" s="1384"/>
      <c r="AE19" s="1399"/>
      <c r="AF19" s="1655"/>
      <c r="AG19" s="1655"/>
      <c r="AH19" s="1654"/>
      <c r="AI19" s="721"/>
      <c r="AJ19" s="1655"/>
      <c r="AK19" s="1655"/>
      <c r="AL19" s="1655"/>
      <c r="AM19" s="1655"/>
      <c r="AN19" s="301"/>
    </row>
    <row r="20" spans="1:40" ht="16.5">
      <c r="A20" s="1373"/>
      <c r="B20" s="1375" t="s">
        <v>58</v>
      </c>
      <c r="C20" s="1376"/>
      <c r="D20" s="1386">
        <f>'T-1'!S22</f>
        <v>56.213481193809677</v>
      </c>
      <c r="E20" s="1386"/>
      <c r="F20" s="1387"/>
      <c r="G20" s="1377"/>
      <c r="H20" s="1377"/>
      <c r="I20" s="1377"/>
      <c r="J20" s="1390"/>
      <c r="K20" s="1377">
        <f>540+20+30</f>
        <v>590</v>
      </c>
      <c r="L20" s="1376"/>
      <c r="M20" s="1377"/>
      <c r="N20" s="1377"/>
      <c r="O20" s="1378"/>
      <c r="P20" s="1378"/>
      <c r="Q20" s="1378"/>
      <c r="R20" s="1377"/>
      <c r="S20" s="721"/>
      <c r="T20" s="721"/>
      <c r="U20" s="721">
        <f>D20*K20/10</f>
        <v>3316.5953904347712</v>
      </c>
      <c r="V20" s="1381"/>
      <c r="W20" s="1381"/>
      <c r="X20" s="1381">
        <f t="shared" ref="X20:X31" si="1">SUM(T20:W20)</f>
        <v>3316.5953904347712</v>
      </c>
      <c r="Y20" s="721"/>
      <c r="Z20" s="1378"/>
      <c r="AA20" s="1382"/>
      <c r="AB20" s="721"/>
      <c r="AC20" s="1383">
        <f>X20-AB20</f>
        <v>3316.5953904347712</v>
      </c>
      <c r="AD20" s="1384"/>
      <c r="AE20" s="1399"/>
      <c r="AF20" s="1655"/>
      <c r="AG20" s="1655"/>
      <c r="AH20" s="1654"/>
      <c r="AI20" s="721"/>
      <c r="AJ20" s="1655"/>
      <c r="AK20" s="1655"/>
      <c r="AL20" s="1654">
        <f t="shared" si="0"/>
        <v>3316.5953904347712</v>
      </c>
      <c r="AM20" s="1655"/>
      <c r="AN20" s="301"/>
    </row>
    <row r="21" spans="1:40" ht="16.5">
      <c r="A21" s="1373"/>
      <c r="B21" s="1375" t="s">
        <v>59</v>
      </c>
      <c r="C21" s="1378"/>
      <c r="D21" s="1386">
        <f>'T-1'!S23</f>
        <v>65.941206906710462</v>
      </c>
      <c r="E21" s="1386"/>
      <c r="F21" s="1382"/>
      <c r="G21" s="1377"/>
      <c r="H21" s="1377"/>
      <c r="I21" s="1377"/>
      <c r="J21" s="1390"/>
      <c r="K21" s="1377">
        <f>650+20+30</f>
        <v>700</v>
      </c>
      <c r="L21" s="1376"/>
      <c r="M21" s="1377"/>
      <c r="N21" s="1377"/>
      <c r="O21" s="1378"/>
      <c r="P21" s="1378"/>
      <c r="Q21" s="1378"/>
      <c r="R21" s="1377"/>
      <c r="S21" s="721"/>
      <c r="T21" s="721"/>
      <c r="U21" s="721">
        <f>D21*K21/10</f>
        <v>4615.884483469732</v>
      </c>
      <c r="V21" s="1381"/>
      <c r="W21" s="1381"/>
      <c r="X21" s="1381">
        <f t="shared" si="1"/>
        <v>4615.884483469732</v>
      </c>
      <c r="Y21" s="721"/>
      <c r="Z21" s="1378"/>
      <c r="AA21" s="1382"/>
      <c r="AB21" s="721"/>
      <c r="AC21" s="1383">
        <f>X21-AB21</f>
        <v>4615.884483469732</v>
      </c>
      <c r="AD21" s="1384"/>
      <c r="AE21" s="1399"/>
      <c r="AF21" s="1655"/>
      <c r="AG21" s="1655"/>
      <c r="AH21" s="1654"/>
      <c r="AI21" s="721"/>
      <c r="AJ21" s="1655"/>
      <c r="AK21" s="1655"/>
      <c r="AL21" s="1654">
        <f t="shared" si="0"/>
        <v>4615.884483469732</v>
      </c>
      <c r="AM21" s="1655"/>
      <c r="AN21" s="301"/>
    </row>
    <row r="22" spans="1:40" ht="16.5">
      <c r="A22" s="1373"/>
      <c r="B22" s="1401" t="s">
        <v>60</v>
      </c>
      <c r="C22" s="1376"/>
      <c r="D22" s="1386">
        <f>'T-1'!S24</f>
        <v>427.84531189947984</v>
      </c>
      <c r="E22" s="1386"/>
      <c r="F22" s="1387"/>
      <c r="G22" s="1377"/>
      <c r="H22" s="1377"/>
      <c r="I22" s="1377"/>
      <c r="J22" s="1390"/>
      <c r="K22" s="1377">
        <f>710+20+30</f>
        <v>760</v>
      </c>
      <c r="L22" s="1376"/>
      <c r="M22" s="1377"/>
      <c r="N22" s="1377"/>
      <c r="O22" s="1378"/>
      <c r="P22" s="1378"/>
      <c r="Q22" s="1378"/>
      <c r="R22" s="1377"/>
      <c r="S22" s="721"/>
      <c r="T22" s="721"/>
      <c r="U22" s="721">
        <f>(D22*K22/10)</f>
        <v>32516.243704360466</v>
      </c>
      <c r="V22" s="1381"/>
      <c r="W22" s="1381"/>
      <c r="X22" s="1381">
        <f t="shared" si="1"/>
        <v>32516.243704360466</v>
      </c>
      <c r="Y22" s="721"/>
      <c r="Z22" s="1378"/>
      <c r="AA22" s="1382"/>
      <c r="AB22" s="721"/>
      <c r="AC22" s="1383">
        <f>X22-AB22</f>
        <v>32516.243704360466</v>
      </c>
      <c r="AD22" s="1384"/>
      <c r="AE22" s="1399"/>
      <c r="AF22" s="1657"/>
      <c r="AG22" s="1655"/>
      <c r="AH22" s="1654"/>
      <c r="AI22" s="721"/>
      <c r="AJ22" s="1655"/>
      <c r="AK22" s="1655"/>
      <c r="AL22" s="1654">
        <f t="shared" si="0"/>
        <v>32516.243704360466</v>
      </c>
      <c r="AM22" s="1655"/>
      <c r="AN22" s="301"/>
    </row>
    <row r="23" spans="1:40" ht="16.5">
      <c r="A23" s="1373"/>
      <c r="B23" s="1402" t="s">
        <v>275</v>
      </c>
      <c r="C23" s="1378"/>
      <c r="D23" s="1393">
        <f>SUM(D18:D22)</f>
        <v>550</v>
      </c>
      <c r="E23" s="1393"/>
      <c r="F23" s="1394"/>
      <c r="G23" s="1395">
        <f>SUM(G18:G22)</f>
        <v>104159</v>
      </c>
      <c r="H23" s="1395">
        <f>SUM(H18:H22)</f>
        <v>356179.57635999995</v>
      </c>
      <c r="I23" s="1395">
        <f>SUM(I18:I22)</f>
        <v>117805</v>
      </c>
      <c r="J23" s="1390"/>
      <c r="K23" s="721"/>
      <c r="L23" s="1376"/>
      <c r="M23" s="1377"/>
      <c r="N23" s="1377"/>
      <c r="O23" s="1378"/>
      <c r="P23" s="1378"/>
      <c r="Q23" s="1378"/>
      <c r="R23" s="1377">
        <f t="shared" ref="R23:R35" si="2">X23/D23*10</f>
        <v>758.74491005747223</v>
      </c>
      <c r="S23" s="721"/>
      <c r="T23" s="722">
        <f>SUM(T18:T22)</f>
        <v>0</v>
      </c>
      <c r="U23" s="722">
        <f>SUM(U18:U22)</f>
        <v>40448.723578264966</v>
      </c>
      <c r="V23" s="722">
        <f>SUM(V18:V22)</f>
        <v>1282.2464748959997</v>
      </c>
      <c r="W23" s="722">
        <f>SUM(W18:W22)</f>
        <v>0</v>
      </c>
      <c r="X23" s="722">
        <f>SUM(X18:X22)</f>
        <v>41730.970053160971</v>
      </c>
      <c r="Y23" s="721"/>
      <c r="Z23" s="1388">
        <f t="shared" ref="Z23:Z34" si="3">AC23/D23*10</f>
        <v>756.1090436938357</v>
      </c>
      <c r="AA23" s="1394">
        <f>SUM(AA18:AA22)</f>
        <v>144.97264999999999</v>
      </c>
      <c r="AB23" s="722">
        <f>SUM(AB18:AB22)</f>
        <v>144.97264999999999</v>
      </c>
      <c r="AC23" s="1398">
        <f>SUM(AC18:AC22)</f>
        <v>41585.997403160967</v>
      </c>
      <c r="AD23" s="1283"/>
      <c r="AE23" s="1391">
        <v>0.04</v>
      </c>
      <c r="AF23" s="952">
        <f>AE23*SUM(U20:U22)</f>
        <v>1617.9489431305988</v>
      </c>
      <c r="AG23" s="1658">
        <f t="shared" ref="AG23:AG35" si="4">AF23/D23+Z23</f>
        <v>759.05076904498219</v>
      </c>
      <c r="AH23" s="1654"/>
      <c r="AI23" s="722">
        <f>SUM(AI18:AI22)</f>
        <v>0</v>
      </c>
      <c r="AJ23" s="722">
        <f>SUM(AJ18:AJ22)</f>
        <v>0</v>
      </c>
      <c r="AK23" s="722">
        <f>SUM(AK18:AK22)</f>
        <v>0</v>
      </c>
      <c r="AL23" s="722">
        <f>SUM(AL18:AL22)</f>
        <v>41585.997403160967</v>
      </c>
      <c r="AM23" s="722"/>
      <c r="AN23" s="301"/>
    </row>
    <row r="24" spans="1:40" ht="16.5">
      <c r="A24" s="1373">
        <v>3</v>
      </c>
      <c r="B24" s="1375" t="s">
        <v>62</v>
      </c>
      <c r="C24" s="1376" t="s">
        <v>44</v>
      </c>
      <c r="D24" s="1386">
        <f>'T-1'!S26</f>
        <v>360</v>
      </c>
      <c r="E24" s="1386"/>
      <c r="F24" s="1387"/>
      <c r="G24" s="1377">
        <f>'T-1'!P26</f>
        <v>87615</v>
      </c>
      <c r="H24" s="1377">
        <f>'T-1'!Q26</f>
        <v>277842.91380000039</v>
      </c>
      <c r="I24" s="1377">
        <f>7402+60052*2+8445*3+419*4+474*5+51*6+7045*7</f>
        <v>206508</v>
      </c>
      <c r="J24" s="1390"/>
      <c r="K24" s="1377">
        <v>150</v>
      </c>
      <c r="L24" s="1376"/>
      <c r="M24" s="1377">
        <v>20</v>
      </c>
      <c r="N24" s="1377">
        <v>10</v>
      </c>
      <c r="O24" s="1378"/>
      <c r="P24" s="1378"/>
      <c r="Q24" s="1378"/>
      <c r="R24" s="1377">
        <f t="shared" si="2"/>
        <v>161.63926092</v>
      </c>
      <c r="S24" s="721"/>
      <c r="T24" s="721"/>
      <c r="U24" s="721">
        <f t="shared" ref="U24:U29" si="5">(D24*K24/10)</f>
        <v>5400</v>
      </c>
      <c r="V24" s="1381">
        <f>((H24-I24)*M24+I24*N24)*12/100000</f>
        <v>419.01339312000096</v>
      </c>
      <c r="W24" s="1381"/>
      <c r="X24" s="1381">
        <f t="shared" si="1"/>
        <v>5819.0133931200007</v>
      </c>
      <c r="Y24" s="721">
        <v>0.1</v>
      </c>
      <c r="Z24" s="1388">
        <f t="shared" si="3"/>
        <v>161.42583036444447</v>
      </c>
      <c r="AA24" s="1382">
        <f>(3841750)/1000000*2</f>
        <v>7.6835000000000004</v>
      </c>
      <c r="AB24" s="721">
        <f>AA24*Y24*10</f>
        <v>7.6835000000000004</v>
      </c>
      <c r="AC24" s="1403">
        <f t="shared" ref="AC24:AC30" si="6">X24-AB24</f>
        <v>5811.3298931200006</v>
      </c>
      <c r="AD24" s="1404"/>
      <c r="AE24" s="1391">
        <v>0.02</v>
      </c>
      <c r="AF24" s="1655">
        <f t="shared" ref="AF24:AF34" si="7">AE24*U24</f>
        <v>108</v>
      </c>
      <c r="AG24" s="1658">
        <f t="shared" si="4"/>
        <v>161.72583036444448</v>
      </c>
      <c r="AH24" s="1654"/>
      <c r="AI24" s="721"/>
      <c r="AJ24" s="1655"/>
      <c r="AK24" s="1655"/>
      <c r="AL24" s="1654">
        <f t="shared" si="0"/>
        <v>5811.3298931200006</v>
      </c>
      <c r="AM24" s="1655"/>
      <c r="AN24" s="301"/>
    </row>
    <row r="25" spans="1:40" ht="16.5">
      <c r="A25" s="1373">
        <v>4</v>
      </c>
      <c r="B25" s="1375" t="s">
        <v>63</v>
      </c>
      <c r="C25" s="1376" t="s">
        <v>44</v>
      </c>
      <c r="D25" s="1386">
        <f>'T-1'!S27</f>
        <v>11</v>
      </c>
      <c r="E25" s="1386"/>
      <c r="F25" s="1387"/>
      <c r="G25" s="1377">
        <f>'T-1'!P27</f>
        <v>852</v>
      </c>
      <c r="H25" s="1377">
        <f>'T-1'!Q27</f>
        <v>6883.0060000000012</v>
      </c>
      <c r="I25" s="1377">
        <f t="shared" ref="I25:I31" si="8">H25-G25</f>
        <v>6031.0060000000012</v>
      </c>
      <c r="J25" s="1390"/>
      <c r="K25" s="1377">
        <v>160</v>
      </c>
      <c r="L25" s="1376"/>
      <c r="M25" s="1377">
        <v>20</v>
      </c>
      <c r="N25" s="1377">
        <v>10</v>
      </c>
      <c r="O25" s="1378"/>
      <c r="P25" s="1378"/>
      <c r="Q25" s="1378"/>
      <c r="R25" s="1377">
        <f t="shared" si="2"/>
        <v>168.43818836363639</v>
      </c>
      <c r="S25" s="721"/>
      <c r="T25" s="721"/>
      <c r="U25" s="721">
        <f t="shared" si="5"/>
        <v>176</v>
      </c>
      <c r="V25" s="1381">
        <f>((H25-I25)*M25+I25*N25)*12/100000</f>
        <v>9.2820072000000025</v>
      </c>
      <c r="W25" s="1381"/>
      <c r="X25" s="1381">
        <f t="shared" si="1"/>
        <v>185.28200720000001</v>
      </c>
      <c r="Y25" s="721">
        <v>0.1</v>
      </c>
      <c r="Z25" s="1388">
        <f t="shared" si="3"/>
        <v>167.82635563636364</v>
      </c>
      <c r="AA25" s="1382">
        <f>(336508/1000000)*2</f>
        <v>0.67301599999999995</v>
      </c>
      <c r="AB25" s="721">
        <f>AA25*Y25*10</f>
        <v>0.67301600000000006</v>
      </c>
      <c r="AC25" s="1403">
        <f t="shared" si="6"/>
        <v>184.60899120000002</v>
      </c>
      <c r="AD25" s="1404"/>
      <c r="AE25" s="1391">
        <v>0.02</v>
      </c>
      <c r="AF25" s="1655">
        <f t="shared" si="7"/>
        <v>3.52</v>
      </c>
      <c r="AG25" s="1658">
        <f t="shared" si="4"/>
        <v>168.14635563636364</v>
      </c>
      <c r="AH25" s="1654"/>
      <c r="AI25" s="721"/>
      <c r="AJ25" s="1655"/>
      <c r="AK25" s="1655"/>
      <c r="AL25" s="1654">
        <f t="shared" si="0"/>
        <v>184.60899120000002</v>
      </c>
      <c r="AM25" s="1655"/>
      <c r="AN25" s="301"/>
    </row>
    <row r="26" spans="1:40" ht="16.5">
      <c r="A26" s="1373">
        <v>5</v>
      </c>
      <c r="B26" s="1375" t="s">
        <v>64</v>
      </c>
      <c r="C26" s="1376" t="s">
        <v>44</v>
      </c>
      <c r="D26" s="1386">
        <f>'T-1'!S28</f>
        <v>3</v>
      </c>
      <c r="E26" s="1386"/>
      <c r="F26" s="1387"/>
      <c r="G26" s="1377">
        <f>'T-1'!P28</f>
        <v>118</v>
      </c>
      <c r="H26" s="1377">
        <f>'T-1'!Q28</f>
        <v>2161.288</v>
      </c>
      <c r="I26" s="1377">
        <f t="shared" si="8"/>
        <v>2043.288</v>
      </c>
      <c r="J26" s="1390"/>
      <c r="K26" s="1377">
        <v>310</v>
      </c>
      <c r="L26" s="1376"/>
      <c r="M26" s="1377">
        <v>80</v>
      </c>
      <c r="N26" s="1377">
        <v>50</v>
      </c>
      <c r="O26" s="1378"/>
      <c r="P26" s="1378"/>
      <c r="Q26" s="1378"/>
      <c r="R26" s="1377">
        <f t="shared" si="2"/>
        <v>354.64176000000003</v>
      </c>
      <c r="S26" s="721"/>
      <c r="T26" s="721"/>
      <c r="U26" s="721">
        <f t="shared" si="5"/>
        <v>93</v>
      </c>
      <c r="V26" s="1381">
        <f t="shared" ref="V26:V31" si="9">((H26-I26)*M26+I26*N26)*12/100000</f>
        <v>13.392527999999999</v>
      </c>
      <c r="W26" s="1381"/>
      <c r="X26" s="1381">
        <f t="shared" si="1"/>
        <v>106.392528</v>
      </c>
      <c r="Y26" s="721">
        <v>0.1</v>
      </c>
      <c r="Z26" s="1388">
        <f t="shared" si="3"/>
        <v>345.94106000000005</v>
      </c>
      <c r="AA26" s="1382">
        <f>(1305105/1000000)*2</f>
        <v>2.6102099999999999</v>
      </c>
      <c r="AB26" s="721">
        <f>AA26*Y26*10</f>
        <v>2.6102099999999999</v>
      </c>
      <c r="AC26" s="1403">
        <f t="shared" si="6"/>
        <v>103.782318</v>
      </c>
      <c r="AD26" s="1404"/>
      <c r="AE26" s="1391">
        <v>0.02</v>
      </c>
      <c r="AF26" s="1655">
        <f t="shared" si="7"/>
        <v>1.86</v>
      </c>
      <c r="AG26" s="1658">
        <f t="shared" si="4"/>
        <v>346.56106000000005</v>
      </c>
      <c r="AH26" s="1654">
        <f>X26*1%</f>
        <v>1.0639252800000001</v>
      </c>
      <c r="AI26" s="721"/>
      <c r="AJ26" s="1655"/>
      <c r="AK26" s="1655"/>
      <c r="AL26" s="1654">
        <f t="shared" si="0"/>
        <v>102.71839272</v>
      </c>
      <c r="AM26" s="1655"/>
      <c r="AN26" s="301"/>
    </row>
    <row r="27" spans="1:40" ht="16.5">
      <c r="A27" s="1373">
        <v>6</v>
      </c>
      <c r="B27" s="1375" t="s">
        <v>65</v>
      </c>
      <c r="C27" s="1376" t="s">
        <v>44</v>
      </c>
      <c r="D27" s="1386">
        <f>'T-1'!S29</f>
        <v>52</v>
      </c>
      <c r="E27" s="1386"/>
      <c r="F27" s="1387"/>
      <c r="G27" s="1377">
        <f>'T-1'!P29</f>
        <v>4526</v>
      </c>
      <c r="H27" s="1377">
        <f>'T-1'!Q29</f>
        <v>14534.020000000006</v>
      </c>
      <c r="I27" s="1377">
        <f t="shared" si="8"/>
        <v>10008.020000000006</v>
      </c>
      <c r="J27" s="1390"/>
      <c r="K27" s="1377">
        <f>570+20+30</f>
        <v>620</v>
      </c>
      <c r="L27" s="1376"/>
      <c r="M27" s="1377">
        <v>20</v>
      </c>
      <c r="N27" s="1377">
        <v>15</v>
      </c>
      <c r="O27" s="1378"/>
      <c r="P27" s="1378"/>
      <c r="Q27" s="1378"/>
      <c r="R27" s="1377">
        <f t="shared" si="2"/>
        <v>625.55323769230768</v>
      </c>
      <c r="S27" s="721"/>
      <c r="T27" s="721"/>
      <c r="U27" s="721">
        <f t="shared" si="5"/>
        <v>3224</v>
      </c>
      <c r="V27" s="1381">
        <f t="shared" si="9"/>
        <v>28.876836000000011</v>
      </c>
      <c r="W27" s="1381"/>
      <c r="X27" s="1381">
        <f t="shared" si="1"/>
        <v>3252.8768359999999</v>
      </c>
      <c r="Y27" s="721"/>
      <c r="Z27" s="1388">
        <f t="shared" si="3"/>
        <v>625.55323769230768</v>
      </c>
      <c r="AA27" s="1382"/>
      <c r="AB27" s="721"/>
      <c r="AC27" s="1403">
        <f t="shared" si="6"/>
        <v>3252.8768359999999</v>
      </c>
      <c r="AD27" s="1404"/>
      <c r="AE27" s="1391">
        <v>0.04</v>
      </c>
      <c r="AF27" s="1655">
        <f t="shared" si="7"/>
        <v>128.96</v>
      </c>
      <c r="AG27" s="1658">
        <f t="shared" si="4"/>
        <v>628.03323769230769</v>
      </c>
      <c r="AH27" s="1654"/>
      <c r="AI27" s="721"/>
      <c r="AJ27" s="1655"/>
      <c r="AK27" s="1655"/>
      <c r="AL27" s="1654">
        <f t="shared" si="0"/>
        <v>3252.8768359999999</v>
      </c>
      <c r="AM27" s="1655"/>
      <c r="AN27" s="301"/>
    </row>
    <row r="28" spans="1:40" ht="16.5">
      <c r="A28" s="1373">
        <v>7</v>
      </c>
      <c r="B28" s="1375" t="s">
        <v>174</v>
      </c>
      <c r="C28" s="1376" t="s">
        <v>44</v>
      </c>
      <c r="D28" s="1386">
        <f>'T-1'!S30</f>
        <v>21</v>
      </c>
      <c r="E28" s="1386"/>
      <c r="F28" s="1387"/>
      <c r="G28" s="1377">
        <f>'T-1'!P30</f>
        <v>3713</v>
      </c>
      <c r="H28" s="1377">
        <f>'T-1'!Q30</f>
        <v>37091.669819999981</v>
      </c>
      <c r="I28" s="1377">
        <f t="shared" si="8"/>
        <v>33378.669819999981</v>
      </c>
      <c r="J28" s="1390"/>
      <c r="K28" s="1377">
        <f t="shared" ref="K28:K34" si="10">570+20+30</f>
        <v>620</v>
      </c>
      <c r="L28" s="1376"/>
      <c r="M28" s="1377">
        <v>80</v>
      </c>
      <c r="N28" s="1377">
        <v>35</v>
      </c>
      <c r="O28" s="1378"/>
      <c r="P28" s="1378"/>
      <c r="Q28" s="1378"/>
      <c r="R28" s="1377">
        <f t="shared" si="2"/>
        <v>703.73105392571438</v>
      </c>
      <c r="S28" s="721"/>
      <c r="T28" s="721"/>
      <c r="U28" s="721">
        <f t="shared" si="5"/>
        <v>1302</v>
      </c>
      <c r="V28" s="1381">
        <f t="shared" si="9"/>
        <v>175.83521324399993</v>
      </c>
      <c r="W28" s="1381"/>
      <c r="X28" s="1381">
        <f t="shared" si="1"/>
        <v>1477.835213244</v>
      </c>
      <c r="Y28" s="721">
        <v>0.1</v>
      </c>
      <c r="Z28" s="1388">
        <f t="shared" si="3"/>
        <v>699.57289583047611</v>
      </c>
      <c r="AA28" s="1382">
        <f>(4366066/1000000)*2</f>
        <v>8.732132</v>
      </c>
      <c r="AB28" s="721">
        <f>AA28*Y28*10</f>
        <v>8.732132</v>
      </c>
      <c r="AC28" s="1403">
        <f t="shared" si="6"/>
        <v>1469.1030812439999</v>
      </c>
      <c r="AD28" s="1404"/>
      <c r="AE28" s="1391">
        <v>0.05</v>
      </c>
      <c r="AF28" s="1655">
        <f t="shared" si="7"/>
        <v>65.100000000000009</v>
      </c>
      <c r="AG28" s="1658">
        <f t="shared" si="4"/>
        <v>702.67289583047614</v>
      </c>
      <c r="AH28" s="1654"/>
      <c r="AI28" s="721"/>
      <c r="AJ28" s="1655"/>
      <c r="AK28" s="1655"/>
      <c r="AL28" s="1654">
        <f t="shared" si="0"/>
        <v>1469.1030812439999</v>
      </c>
      <c r="AM28" s="1655"/>
      <c r="AN28" s="301"/>
    </row>
    <row r="29" spans="1:40" ht="16.5">
      <c r="A29" s="1373">
        <v>8</v>
      </c>
      <c r="B29" s="1375" t="s">
        <v>175</v>
      </c>
      <c r="C29" s="1376" t="s">
        <v>44</v>
      </c>
      <c r="D29" s="1386">
        <f>'T-1'!S31</f>
        <v>63</v>
      </c>
      <c r="E29" s="1386"/>
      <c r="F29" s="1382"/>
      <c r="G29" s="1377">
        <f>'T-1'!P31</f>
        <v>1444</v>
      </c>
      <c r="H29" s="1377">
        <f>'T-1'!Q31</f>
        <v>67991.091</v>
      </c>
      <c r="I29" s="1377">
        <f t="shared" si="8"/>
        <v>66547.091</v>
      </c>
      <c r="J29" s="1390"/>
      <c r="K29" s="1377">
        <f t="shared" si="10"/>
        <v>620</v>
      </c>
      <c r="L29" s="1376"/>
      <c r="M29" s="1377">
        <v>100</v>
      </c>
      <c r="N29" s="1377">
        <v>80</v>
      </c>
      <c r="O29" s="1378"/>
      <c r="P29" s="1378"/>
      <c r="Q29" s="1378"/>
      <c r="R29" s="1377">
        <f t="shared" si="2"/>
        <v>724.15556723809527</v>
      </c>
      <c r="S29" s="721"/>
      <c r="T29" s="721"/>
      <c r="U29" s="721">
        <f t="shared" si="5"/>
        <v>3906</v>
      </c>
      <c r="V29" s="1381">
        <f t="shared" si="9"/>
        <v>656.18007360000001</v>
      </c>
      <c r="W29" s="1381"/>
      <c r="X29" s="1381">
        <f t="shared" si="1"/>
        <v>4562.1800736000005</v>
      </c>
      <c r="Y29" s="721"/>
      <c r="Z29" s="1388">
        <f t="shared" si="3"/>
        <v>724.15556723809527</v>
      </c>
      <c r="AA29" s="1382"/>
      <c r="AB29" s="1655"/>
      <c r="AC29" s="1403">
        <f t="shared" si="6"/>
        <v>4562.1800736000005</v>
      </c>
      <c r="AD29" s="1404"/>
      <c r="AE29" s="1391">
        <v>0.08</v>
      </c>
      <c r="AF29" s="1655">
        <f t="shared" si="7"/>
        <v>312.48</v>
      </c>
      <c r="AG29" s="1658">
        <f t="shared" si="4"/>
        <v>729.11556723809531</v>
      </c>
      <c r="AH29" s="1654">
        <f>X29*1%</f>
        <v>45.621800736000004</v>
      </c>
      <c r="AI29" s="721"/>
      <c r="AJ29" s="1655"/>
      <c r="AK29" s="1655"/>
      <c r="AL29" s="1654">
        <f t="shared" si="0"/>
        <v>4516.5582728640002</v>
      </c>
      <c r="AM29" s="1655"/>
      <c r="AN29" s="301"/>
    </row>
    <row r="30" spans="1:40" ht="16.5">
      <c r="A30" s="1373">
        <v>9</v>
      </c>
      <c r="B30" s="1375" t="s">
        <v>276</v>
      </c>
      <c r="C30" s="1376" t="s">
        <v>44</v>
      </c>
      <c r="D30" s="1386">
        <f>'T-1'!S32</f>
        <v>64</v>
      </c>
      <c r="E30" s="1386"/>
      <c r="F30" s="1639"/>
      <c r="G30" s="1377">
        <f>'T-1'!P32</f>
        <v>19590</v>
      </c>
      <c r="H30" s="1377">
        <f>'T-1'!Q32</f>
        <v>45781.301999999974</v>
      </c>
      <c r="I30" s="1658">
        <f t="shared" si="8"/>
        <v>26191.301999999974</v>
      </c>
      <c r="J30" s="1659"/>
      <c r="K30" s="1377">
        <f t="shared" si="10"/>
        <v>620</v>
      </c>
      <c r="L30" s="1376"/>
      <c r="M30" s="1377">
        <v>50</v>
      </c>
      <c r="N30" s="1377">
        <v>50</v>
      </c>
      <c r="O30" s="1373"/>
      <c r="P30" s="1373"/>
      <c r="Q30" s="1660"/>
      <c r="R30" s="1377">
        <f t="shared" si="2"/>
        <v>662.84580812499996</v>
      </c>
      <c r="S30" s="721"/>
      <c r="T30" s="721"/>
      <c r="U30" s="721">
        <f>(D30*K30/10)-((0.11866)*2*20)/10</f>
        <v>3967.5253600000001</v>
      </c>
      <c r="V30" s="1381">
        <f t="shared" si="9"/>
        <v>274.68781199999984</v>
      </c>
      <c r="W30" s="1654"/>
      <c r="X30" s="1381">
        <f t="shared" si="1"/>
        <v>4242.2131719999998</v>
      </c>
      <c r="Y30" s="1655" t="s">
        <v>29</v>
      </c>
      <c r="Z30" s="1388">
        <f t="shared" si="3"/>
        <v>662.84580812499996</v>
      </c>
      <c r="AA30" s="1639"/>
      <c r="AB30" s="1655"/>
      <c r="AC30" s="1403">
        <f t="shared" si="6"/>
        <v>4242.2131719999998</v>
      </c>
      <c r="AD30" s="1404"/>
      <c r="AE30" s="1391">
        <v>0.04</v>
      </c>
      <c r="AF30" s="1655">
        <f t="shared" si="7"/>
        <v>158.70101440000002</v>
      </c>
      <c r="AG30" s="1658">
        <f t="shared" si="4"/>
        <v>665.32551147499998</v>
      </c>
      <c r="AH30" s="1654">
        <f>X30*1%</f>
        <v>42.422131719999996</v>
      </c>
      <c r="AI30" s="1655">
        <f>(T30+U30)*0%</f>
        <v>0</v>
      </c>
      <c r="AJ30" s="1655">
        <f>(T30+U30)*0%</f>
        <v>0</v>
      </c>
      <c r="AK30" s="1655">
        <f>(T30+U30)*0%</f>
        <v>0</v>
      </c>
      <c r="AL30" s="1654">
        <f t="shared" si="0"/>
        <v>4199.7910402799998</v>
      </c>
      <c r="AM30" s="1655"/>
      <c r="AN30" s="301"/>
    </row>
    <row r="31" spans="1:40" ht="16.5">
      <c r="A31" s="1373">
        <v>10</v>
      </c>
      <c r="B31" s="955" t="s">
        <v>277</v>
      </c>
      <c r="C31" s="1376" t="s">
        <v>44</v>
      </c>
      <c r="D31" s="1386">
        <f>'T-1'!S33</f>
        <v>60</v>
      </c>
      <c r="E31" s="1386"/>
      <c r="F31" s="1639"/>
      <c r="G31" s="1377">
        <f>'T-1'!P33</f>
        <v>5022</v>
      </c>
      <c r="H31" s="1377">
        <f>'T-1'!Q33</f>
        <v>37063.799299999955</v>
      </c>
      <c r="I31" s="1658">
        <f t="shared" si="8"/>
        <v>32041.799299999955</v>
      </c>
      <c r="J31" s="1659"/>
      <c r="K31" s="1377">
        <f t="shared" si="10"/>
        <v>620</v>
      </c>
      <c r="L31" s="1376"/>
      <c r="M31" s="1377">
        <v>50</v>
      </c>
      <c r="N31" s="1377">
        <v>50</v>
      </c>
      <c r="O31" s="1373"/>
      <c r="P31" s="1373"/>
      <c r="Q31" s="1660"/>
      <c r="R31" s="1377">
        <f t="shared" si="2"/>
        <v>657.06379930000003</v>
      </c>
      <c r="S31" s="721"/>
      <c r="T31" s="721"/>
      <c r="U31" s="721">
        <f>(D31*K31/10)</f>
        <v>3720</v>
      </c>
      <c r="V31" s="1381">
        <f t="shared" si="9"/>
        <v>222.38279579999971</v>
      </c>
      <c r="W31" s="1655">
        <f>(O31*G31*12)/100000</f>
        <v>0</v>
      </c>
      <c r="X31" s="1381">
        <f t="shared" si="1"/>
        <v>3942.3827957999997</v>
      </c>
      <c r="Y31" s="1655">
        <v>0.1</v>
      </c>
      <c r="Z31" s="1388">
        <f t="shared" si="3"/>
        <v>656.28547963333335</v>
      </c>
      <c r="AA31" s="1382">
        <f>(2334959/1000000)*2</f>
        <v>4.669918</v>
      </c>
      <c r="AB31" s="1405">
        <f>AA31*Y31*10</f>
        <v>4.669918</v>
      </c>
      <c r="AC31" s="1403">
        <f>X31-AB31</f>
        <v>3937.7128777999997</v>
      </c>
      <c r="AD31" s="1404"/>
      <c r="AE31" s="1391">
        <v>0</v>
      </c>
      <c r="AF31" s="1655">
        <f t="shared" si="7"/>
        <v>0</v>
      </c>
      <c r="AG31" s="1658">
        <f t="shared" si="4"/>
        <v>656.28547963333335</v>
      </c>
      <c r="AH31" s="1655"/>
      <c r="AI31" s="1655"/>
      <c r="AJ31" s="1655"/>
      <c r="AK31" s="1655"/>
      <c r="AL31" s="1654">
        <f t="shared" si="0"/>
        <v>3937.7128777999997</v>
      </c>
      <c r="AM31" s="1655"/>
      <c r="AN31" s="301"/>
    </row>
    <row r="32" spans="1:40" ht="16.5">
      <c r="A32" s="1373">
        <v>11</v>
      </c>
      <c r="B32" s="955" t="s">
        <v>278</v>
      </c>
      <c r="C32" s="1376" t="s">
        <v>44</v>
      </c>
      <c r="D32" s="1386">
        <f>'T-1'!S34</f>
        <v>0.1</v>
      </c>
      <c r="E32" s="1386"/>
      <c r="F32" s="1406"/>
      <c r="G32" s="1377">
        <f>'T-1'!P34</f>
        <v>19</v>
      </c>
      <c r="H32" s="1377">
        <f>'T-1'!Q34</f>
        <v>1938</v>
      </c>
      <c r="I32" s="1658"/>
      <c r="J32" s="1659">
        <v>200</v>
      </c>
      <c r="K32" s="1377">
        <f t="shared" si="10"/>
        <v>620</v>
      </c>
      <c r="L32" s="1373"/>
      <c r="M32" s="1640"/>
      <c r="N32" s="1640"/>
      <c r="O32" s="1640">
        <v>30</v>
      </c>
      <c r="P32" s="1654"/>
      <c r="Q32" s="1660"/>
      <c r="R32" s="1377">
        <f t="shared" si="2"/>
        <v>4107.24</v>
      </c>
      <c r="S32" s="1400">
        <v>0.8</v>
      </c>
      <c r="T32" s="1655">
        <f>(H32*J32*S32*12)/100000</f>
        <v>37.209600000000002</v>
      </c>
      <c r="U32" s="721">
        <f>(D32*K32/10)-(0.6014*2*20)/10</f>
        <v>3.7944</v>
      </c>
      <c r="V32" s="1654"/>
      <c r="W32" s="1655">
        <f>(O32*G32*12)/100000</f>
        <v>6.8400000000000002E-2</v>
      </c>
      <c r="X32" s="1381">
        <f>SUM(T32:W32)</f>
        <v>41.072400000000002</v>
      </c>
      <c r="Y32" s="1655">
        <v>0.1</v>
      </c>
      <c r="Z32" s="1388">
        <f t="shared" si="3"/>
        <v>4007.2279999999996</v>
      </c>
      <c r="AA32" s="1382">
        <f>(500060/1000000)*2</f>
        <v>1.0001199999999999</v>
      </c>
      <c r="AB32" s="1405">
        <f>AA32*Y32*10</f>
        <v>1.0001199999999999</v>
      </c>
      <c r="AC32" s="1403">
        <f>X32-AB32</f>
        <v>40.072279999999999</v>
      </c>
      <c r="AD32" s="1404"/>
      <c r="AE32" s="1391">
        <v>0</v>
      </c>
      <c r="AF32" s="1655">
        <f t="shared" si="7"/>
        <v>0</v>
      </c>
      <c r="AG32" s="1658">
        <f t="shared" si="4"/>
        <v>4007.2279999999996</v>
      </c>
      <c r="AH32" s="1654">
        <f>X32*1%</f>
        <v>0.41072400000000003</v>
      </c>
      <c r="AI32" s="1655">
        <f>(T32+U32)*0%</f>
        <v>0</v>
      </c>
      <c r="AJ32" s="1655">
        <f>(T32+U32)*0%</f>
        <v>0</v>
      </c>
      <c r="AK32" s="1655">
        <f>(T32+U32)*0%</f>
        <v>0</v>
      </c>
      <c r="AL32" s="1654">
        <f t="shared" si="0"/>
        <v>39.661555999999997</v>
      </c>
      <c r="AM32" s="1655"/>
      <c r="AN32" s="301"/>
    </row>
    <row r="33" spans="1:40" ht="16.5">
      <c r="A33" s="1373">
        <v>12</v>
      </c>
      <c r="B33" s="1373" t="s">
        <v>279</v>
      </c>
      <c r="C33" s="1376" t="s">
        <v>44</v>
      </c>
      <c r="D33" s="1386">
        <f>'T-1'!S35</f>
        <v>0</v>
      </c>
      <c r="E33" s="1386"/>
      <c r="F33" s="1639"/>
      <c r="G33" s="1377">
        <f>'T-1'!P35</f>
        <v>2</v>
      </c>
      <c r="H33" s="1377">
        <f>'T-1'!Q35</f>
        <v>322</v>
      </c>
      <c r="I33" s="1658"/>
      <c r="J33" s="1659">
        <v>200</v>
      </c>
      <c r="K33" s="1377">
        <f t="shared" si="10"/>
        <v>620</v>
      </c>
      <c r="L33" s="1373"/>
      <c r="M33" s="1640"/>
      <c r="N33" s="1640"/>
      <c r="O33" s="1640">
        <v>30</v>
      </c>
      <c r="P33" s="1654"/>
      <c r="Q33" s="1660"/>
      <c r="R33" s="1377" t="e">
        <f t="shared" si="2"/>
        <v>#DIV/0!</v>
      </c>
      <c r="S33" s="721">
        <v>0.8</v>
      </c>
      <c r="T33" s="1655">
        <f>(H33*J33*S33*12)/100000</f>
        <v>6.1824000000000003</v>
      </c>
      <c r="U33" s="721">
        <f>(D33*K33/10)-(0.022718*2*20)/10</f>
        <v>-9.0871999999999994E-2</v>
      </c>
      <c r="V33" s="1654"/>
      <c r="W33" s="1655">
        <f>(O33*G33*12)/100000</f>
        <v>7.1999999999999998E-3</v>
      </c>
      <c r="X33" s="1381">
        <f>SUM(T33:W33)</f>
        <v>6.0987280000000004</v>
      </c>
      <c r="Y33" s="1655"/>
      <c r="Z33" s="1388" t="e">
        <f t="shared" si="3"/>
        <v>#DIV/0!</v>
      </c>
      <c r="AA33" s="1639"/>
      <c r="AB33" s="1655"/>
      <c r="AC33" s="1403">
        <f>X33-AB33</f>
        <v>6.0987280000000004</v>
      </c>
      <c r="AD33" s="1404"/>
      <c r="AE33" s="1391">
        <v>0.04</v>
      </c>
      <c r="AF33" s="1655">
        <f t="shared" si="7"/>
        <v>-3.6348800000000001E-3</v>
      </c>
      <c r="AG33" s="1658" t="e">
        <f t="shared" si="4"/>
        <v>#DIV/0!</v>
      </c>
      <c r="AH33" s="1654">
        <f>X33*1%</f>
        <v>6.0987280000000005E-2</v>
      </c>
      <c r="AI33" s="1655">
        <f>(T33+U33)*0%</f>
        <v>0</v>
      </c>
      <c r="AJ33" s="1655">
        <f>(T33+U33)*0%</f>
        <v>0</v>
      </c>
      <c r="AK33" s="1655">
        <f>(T33+U33)*0%</f>
        <v>0</v>
      </c>
      <c r="AL33" s="1654">
        <f t="shared" si="0"/>
        <v>6.0377407200000004</v>
      </c>
      <c r="AM33" s="1655"/>
      <c r="AN33" s="301"/>
    </row>
    <row r="34" spans="1:40" ht="16.5">
      <c r="A34" s="1373">
        <v>13</v>
      </c>
      <c r="B34" s="1373" t="s">
        <v>72</v>
      </c>
      <c r="C34" s="1376" t="s">
        <v>44</v>
      </c>
      <c r="D34" s="1386">
        <f>'T-1'!S36</f>
        <v>0</v>
      </c>
      <c r="E34" s="1386"/>
      <c r="F34" s="1639"/>
      <c r="G34" s="1377">
        <f>'T-1'!P36</f>
        <v>0</v>
      </c>
      <c r="H34" s="1377">
        <f>'T-1'!Q36</f>
        <v>0</v>
      </c>
      <c r="I34" s="1658"/>
      <c r="J34" s="1659">
        <v>200</v>
      </c>
      <c r="K34" s="1377">
        <f t="shared" si="10"/>
        <v>620</v>
      </c>
      <c r="L34" s="1373"/>
      <c r="M34" s="1640"/>
      <c r="N34" s="1640"/>
      <c r="O34" s="1640">
        <v>30</v>
      </c>
      <c r="P34" s="1654"/>
      <c r="Q34" s="1660"/>
      <c r="R34" s="1377" t="e">
        <f t="shared" si="2"/>
        <v>#DIV/0!</v>
      </c>
      <c r="S34" s="721">
        <v>0.8</v>
      </c>
      <c r="T34" s="1655">
        <f>(H34*J34*S34*12)/100000</f>
        <v>0</v>
      </c>
      <c r="U34" s="721">
        <f>(D34*K34/10)</f>
        <v>0</v>
      </c>
      <c r="V34" s="1654"/>
      <c r="W34" s="1655">
        <f>(O34*G34*12)/100000</f>
        <v>0</v>
      </c>
      <c r="X34" s="1381">
        <f>SUM(T34:W34)</f>
        <v>0</v>
      </c>
      <c r="Y34" s="1655"/>
      <c r="Z34" s="1388" t="e">
        <f t="shared" si="3"/>
        <v>#DIV/0!</v>
      </c>
      <c r="AA34" s="1639"/>
      <c r="AB34" s="1655"/>
      <c r="AC34" s="1403">
        <f>X34-AB34</f>
        <v>0</v>
      </c>
      <c r="AD34" s="1404"/>
      <c r="AE34" s="1391">
        <v>0.08</v>
      </c>
      <c r="AF34" s="1655">
        <f t="shared" si="7"/>
        <v>0</v>
      </c>
      <c r="AG34" s="1658" t="e">
        <f t="shared" si="4"/>
        <v>#DIV/0!</v>
      </c>
      <c r="AH34" s="1654">
        <f>X34*1%</f>
        <v>0</v>
      </c>
      <c r="AI34" s="1655"/>
      <c r="AJ34" s="1655">
        <f>(T34+U34)*0%</f>
        <v>0</v>
      </c>
      <c r="AK34" s="1655">
        <f t="shared" ref="AK34" si="11">(T34+U34)*1.5%</f>
        <v>0</v>
      </c>
      <c r="AL34" s="1654">
        <f t="shared" si="0"/>
        <v>0</v>
      </c>
      <c r="AM34" s="1655"/>
      <c r="AN34" s="301"/>
    </row>
    <row r="35" spans="1:40" ht="16.5">
      <c r="A35" s="1373"/>
      <c r="B35" s="1374" t="s">
        <v>280</v>
      </c>
      <c r="C35" s="940"/>
      <c r="D35" s="1407">
        <f t="shared" ref="D35:I35" si="12">SUM(D24:D34)+D23+D17</f>
        <v>3544.0999999999995</v>
      </c>
      <c r="E35" s="1407">
        <f t="shared" si="12"/>
        <v>0</v>
      </c>
      <c r="F35" s="1407">
        <f t="shared" si="12"/>
        <v>0</v>
      </c>
      <c r="G35" s="1661">
        <f t="shared" si="12"/>
        <v>2057507</v>
      </c>
      <c r="H35" s="1661">
        <f t="shared" si="12"/>
        <v>2857847.7382800002</v>
      </c>
      <c r="I35" s="1661">
        <f t="shared" si="12"/>
        <v>1266789.17612</v>
      </c>
      <c r="J35" s="1661"/>
      <c r="K35" s="952"/>
      <c r="L35" s="1662"/>
      <c r="M35" s="1661"/>
      <c r="N35" s="1661"/>
      <c r="O35" s="1661"/>
      <c r="P35" s="1662"/>
      <c r="Q35" s="1662"/>
      <c r="R35" s="1395">
        <f t="shared" si="2"/>
        <v>505.26846449777292</v>
      </c>
      <c r="S35" s="721"/>
      <c r="T35" s="952">
        <f>SUM(T24:T34)+T23+T17</f>
        <v>583.9584000000001</v>
      </c>
      <c r="U35" s="952">
        <f>SUM(U24:U34)+U23+U17</f>
        <v>170631.90393999568</v>
      </c>
      <c r="V35" s="952">
        <f>SUM(V24:V34)+V23+V17</f>
        <v>7856.2585626600003</v>
      </c>
      <c r="W35" s="952">
        <f>SUM(W24:W34)+W23+W17</f>
        <v>7.5600000000000001E-2</v>
      </c>
      <c r="X35" s="952">
        <f>SUM(X24:X34)+X23+X17</f>
        <v>179072.19650265569</v>
      </c>
      <c r="Y35" s="952"/>
      <c r="Z35" s="1397">
        <f>(AC35-AH35-AI35+AJ35)/D35*10</f>
        <v>499.25272867756098</v>
      </c>
      <c r="AA35" s="1882">
        <f>SUM(AA24:AA34)+AA23+AA17</f>
        <v>905.39856999999995</v>
      </c>
      <c r="AB35" s="952">
        <f>SUM(AB24:AB34)+AB23+AB17</f>
        <v>905.39857000000006</v>
      </c>
      <c r="AC35" s="1883">
        <f>SUM(AC24:AC34)+AC23+AC17</f>
        <v>178166.79793265567</v>
      </c>
      <c r="AD35" s="952"/>
      <c r="AE35" s="1399"/>
      <c r="AF35" s="952">
        <f>SUM(AF24:AF34)+AF23+AF17</f>
        <v>6732.2043815998277</v>
      </c>
      <c r="AG35" s="1408">
        <f t="shared" si="4"/>
        <v>501.15228128092991</v>
      </c>
      <c r="AH35" s="952">
        <f>SUM(AH24:AH34)+AH23+AH17</f>
        <v>1226.6383620413071</v>
      </c>
      <c r="AI35" s="952">
        <f>SUM(AI24:AI34)+AI23+AI17</f>
        <v>0</v>
      </c>
      <c r="AJ35" s="952">
        <f>SUM(AJ24:AJ34)+AJ23+AJ17</f>
        <v>0</v>
      </c>
      <c r="AK35" s="952">
        <f>SUM(AK24:AK34)+AK23+AK17</f>
        <v>0</v>
      </c>
      <c r="AL35" s="952">
        <f>SUM(AL24:AL34)+AL23+AL17</f>
        <v>178077.21836363967</v>
      </c>
      <c r="AM35" s="952"/>
      <c r="AN35" s="301"/>
    </row>
    <row r="36" spans="1:40" ht="16.5">
      <c r="A36" s="1373"/>
      <c r="B36" s="1374" t="s">
        <v>281</v>
      </c>
      <c r="C36" s="1409"/>
      <c r="D36" s="1664"/>
      <c r="E36" s="1664"/>
      <c r="F36" s="1639"/>
      <c r="G36" s="1658"/>
      <c r="H36" s="1658"/>
      <c r="I36" s="1658"/>
      <c r="J36" s="1659"/>
      <c r="K36" s="1655"/>
      <c r="L36" s="1665"/>
      <c r="M36" s="1640"/>
      <c r="N36" s="1640"/>
      <c r="O36" s="1640"/>
      <c r="P36" s="1654"/>
      <c r="Q36" s="1409"/>
      <c r="R36" s="1658"/>
      <c r="S36" s="1655"/>
      <c r="T36" s="1655"/>
      <c r="U36" s="1655"/>
      <c r="V36" s="1654"/>
      <c r="W36" s="1655"/>
      <c r="X36" s="1654"/>
      <c r="Y36" s="1655"/>
      <c r="Z36" s="1640"/>
      <c r="AA36" s="1639"/>
      <c r="AB36" s="1655"/>
      <c r="AC36" s="1666"/>
      <c r="AD36" s="1654"/>
      <c r="AE36" s="1399"/>
      <c r="AF36" s="1655"/>
      <c r="AG36" s="1655"/>
      <c r="AH36" s="1655"/>
      <c r="AI36" s="1655"/>
      <c r="AJ36" s="1655"/>
      <c r="AK36" s="1655"/>
      <c r="AL36" s="1655"/>
      <c r="AM36" s="1655"/>
      <c r="AN36" s="301"/>
    </row>
    <row r="37" spans="1:40" ht="16.5">
      <c r="A37" s="1373">
        <v>14</v>
      </c>
      <c r="B37" s="1373" t="s">
        <v>282</v>
      </c>
      <c r="C37" s="955" t="s">
        <v>76</v>
      </c>
      <c r="D37" s="1386">
        <f>'T-1'!R39</f>
        <v>23</v>
      </c>
      <c r="E37" s="1386">
        <f>D37</f>
        <v>23</v>
      </c>
      <c r="F37" s="1639">
        <f>D37*1.24%</f>
        <v>0.28520000000000001</v>
      </c>
      <c r="G37" s="1377">
        <f>'T-1'!P39</f>
        <v>31</v>
      </c>
      <c r="H37" s="1377">
        <f>'T-1'!Q39</f>
        <v>9990.4000000000015</v>
      </c>
      <c r="I37" s="1658">
        <f>H37-G37</f>
        <v>9959.4000000000015</v>
      </c>
      <c r="J37" s="1659">
        <v>20</v>
      </c>
      <c r="K37" s="1667">
        <f>440+20+30</f>
        <v>490</v>
      </c>
      <c r="L37" s="1655"/>
      <c r="M37" s="1640"/>
      <c r="N37" s="1640"/>
      <c r="O37" s="1640">
        <v>250</v>
      </c>
      <c r="P37" s="1654"/>
      <c r="Q37" s="1660"/>
      <c r="R37" s="1377">
        <f t="shared" ref="R37:R53" si="13">X37/D37*10</f>
        <v>497.43954782608694</v>
      </c>
      <c r="S37" s="721"/>
      <c r="T37" s="1655">
        <f>(H37*J37*12)/100000</f>
        <v>23.976960000000005</v>
      </c>
      <c r="U37" s="1655">
        <f>(D37*K37/10)-((1.949*2*20)/10)</f>
        <v>1119.204</v>
      </c>
      <c r="V37" s="1654"/>
      <c r="W37" s="1655">
        <f t="shared" ref="W37:W52" si="14">(O37*G37*12)/100000</f>
        <v>0.93</v>
      </c>
      <c r="X37" s="1381">
        <f>SUM(T37:W37)</f>
        <v>1144.11096</v>
      </c>
      <c r="Y37" s="1655">
        <v>0.1</v>
      </c>
      <c r="Z37" s="1388">
        <f t="shared" ref="Z37:Z53" si="15">(AC37-AH37-AI37+AJ37)/D37*10</f>
        <v>493.59369565217389</v>
      </c>
      <c r="AA37" s="1382">
        <f>4.42273*2</f>
        <v>8.8454599999999992</v>
      </c>
      <c r="AB37" s="721">
        <f>AA37*Y37*10</f>
        <v>8.8454599999999992</v>
      </c>
      <c r="AC37" s="1403">
        <f>X37-AB37</f>
        <v>1135.2655</v>
      </c>
      <c r="AD37" s="1404"/>
      <c r="AE37" s="1391">
        <v>0.08</v>
      </c>
      <c r="AF37" s="1655">
        <f t="shared" ref="AF37:AF52" si="16">AE37*U37</f>
        <v>89.536320000000003</v>
      </c>
      <c r="AG37" s="1658">
        <f>AF37/D37+Z37</f>
        <v>497.48657913043473</v>
      </c>
      <c r="AH37" s="1655"/>
      <c r="AI37" s="1655">
        <f>(T37+U37)*0%</f>
        <v>0</v>
      </c>
      <c r="AJ37" s="1655">
        <f t="shared" ref="AJ37:AJ51" si="17">(T37+U37)*0%</f>
        <v>0</v>
      </c>
      <c r="AK37" s="1655">
        <f t="shared" ref="AK37:AK43" si="18">(T37+U37)*0%</f>
        <v>0</v>
      </c>
      <c r="AL37" s="1654">
        <f t="shared" ref="AL37:AL52" si="19">AC37-AH37+AI37+AJ37-AK37</f>
        <v>1135.2655</v>
      </c>
      <c r="AM37" s="1655"/>
      <c r="AN37" s="301"/>
    </row>
    <row r="38" spans="1:40" ht="16.5">
      <c r="A38" s="1373">
        <v>15</v>
      </c>
      <c r="B38" s="1373" t="s">
        <v>62</v>
      </c>
      <c r="C38" s="955" t="s">
        <v>76</v>
      </c>
      <c r="D38" s="1386">
        <f>'T-1'!R40</f>
        <v>85</v>
      </c>
      <c r="E38" s="1386">
        <f t="shared" ref="E38:E39" si="20">D38</f>
        <v>85</v>
      </c>
      <c r="F38" s="1639">
        <f>D38*7.76%</f>
        <v>6.5960000000000001</v>
      </c>
      <c r="G38" s="1377">
        <f>'T-1'!P40</f>
        <v>45</v>
      </c>
      <c r="H38" s="1377">
        <f>'T-1'!Q40</f>
        <v>139523.29999999999</v>
      </c>
      <c r="I38" s="1658">
        <f>H38-G38</f>
        <v>139478.29999999999</v>
      </c>
      <c r="J38" s="1659">
        <v>30</v>
      </c>
      <c r="K38" s="1658">
        <v>140</v>
      </c>
      <c r="L38" s="1373"/>
      <c r="M38" s="1640"/>
      <c r="N38" s="1640"/>
      <c r="O38" s="1640">
        <v>250</v>
      </c>
      <c r="P38" s="1654"/>
      <c r="Q38" s="1660"/>
      <c r="R38" s="1377">
        <f t="shared" si="13"/>
        <v>442.36445647058821</v>
      </c>
      <c r="S38" s="721"/>
      <c r="T38" s="1655">
        <f>(H38*J38*12)/100000+(J38*28494*3*S38)/100000</f>
        <v>502.28387999999995</v>
      </c>
      <c r="U38" s="1554">
        <f>(D38*K38/10)-((4.009*2*20)/10)+(D38*(K42-200-K38)/10)</f>
        <v>3256.4639999999999</v>
      </c>
      <c r="V38" s="1654"/>
      <c r="W38" s="1655">
        <f t="shared" si="14"/>
        <v>1.35</v>
      </c>
      <c r="X38" s="1381">
        <f t="shared" ref="X38:X52" si="21">SUM(T38:W38)</f>
        <v>3760.0978799999998</v>
      </c>
      <c r="Y38" s="1884">
        <v>0.1</v>
      </c>
      <c r="Z38" s="1388">
        <f t="shared" si="15"/>
        <v>440.76167058823523</v>
      </c>
      <c r="AA38" s="1382">
        <f>6.81184*2</f>
        <v>13.62368</v>
      </c>
      <c r="AB38" s="721">
        <f t="shared" ref="AB38:AB39" si="22">AA38*Y38*10</f>
        <v>13.62368</v>
      </c>
      <c r="AC38" s="1403">
        <f t="shared" ref="AC38:AC51" si="23">X38-AB38</f>
        <v>3746.4741999999997</v>
      </c>
      <c r="AD38" s="1404"/>
      <c r="AE38" s="1391">
        <v>0.02</v>
      </c>
      <c r="AF38" s="1655">
        <f t="shared" si="16"/>
        <v>65.129279999999994</v>
      </c>
      <c r="AG38" s="1655"/>
      <c r="AH38" s="1655"/>
      <c r="AI38" s="1655">
        <f>(T38+U38)*0%</f>
        <v>0</v>
      </c>
      <c r="AJ38" s="1655">
        <f t="shared" si="17"/>
        <v>0</v>
      </c>
      <c r="AK38" s="1655">
        <f t="shared" si="18"/>
        <v>0</v>
      </c>
      <c r="AL38" s="1654">
        <f t="shared" si="19"/>
        <v>3746.4741999999997</v>
      </c>
      <c r="AM38" s="1655"/>
      <c r="AN38" s="301"/>
    </row>
    <row r="39" spans="1:40" ht="16.5">
      <c r="A39" s="1373">
        <v>16</v>
      </c>
      <c r="B39" s="1373" t="s">
        <v>63</v>
      </c>
      <c r="C39" s="955" t="s">
        <v>76</v>
      </c>
      <c r="D39" s="1386">
        <f>'T-1'!R41</f>
        <v>5.6</v>
      </c>
      <c r="E39" s="1386">
        <f t="shared" si="20"/>
        <v>5.6</v>
      </c>
      <c r="F39" s="1639">
        <f>D39*1.57%</f>
        <v>8.7920000000000012E-2</v>
      </c>
      <c r="G39" s="1377">
        <f>'T-1'!P41</f>
        <v>8</v>
      </c>
      <c r="H39" s="1377">
        <f>'T-1'!Q41</f>
        <v>1779.3000000000002</v>
      </c>
      <c r="I39" s="1658">
        <f>H39-G39</f>
        <v>1771.3000000000002</v>
      </c>
      <c r="J39" s="1659">
        <v>30</v>
      </c>
      <c r="K39" s="1658">
        <v>150</v>
      </c>
      <c r="L39" s="1373"/>
      <c r="M39" s="1640"/>
      <c r="N39" s="1640"/>
      <c r="O39" s="1640">
        <v>250</v>
      </c>
      <c r="P39" s="1654"/>
      <c r="Q39" s="1660"/>
      <c r="R39" s="1377">
        <f t="shared" si="13"/>
        <v>159.88835714285713</v>
      </c>
      <c r="S39" s="721"/>
      <c r="T39" s="1655">
        <f>(H39*J39*12)/100000</f>
        <v>6.4054800000000007</v>
      </c>
      <c r="U39" s="1655">
        <f>(D39*K39/10)-((0.277*2*20)/10)</f>
        <v>82.891999999999996</v>
      </c>
      <c r="V39" s="1654"/>
      <c r="W39" s="1655">
        <f t="shared" si="14"/>
        <v>0.24</v>
      </c>
      <c r="X39" s="1381">
        <f>SUM(T39:W39)</f>
        <v>89.537479999999988</v>
      </c>
      <c r="Y39" s="1884">
        <v>0.1</v>
      </c>
      <c r="Z39" s="1388">
        <f t="shared" si="15"/>
        <v>154.50610714285713</v>
      </c>
      <c r="AA39" s="1382">
        <f>1.50703*2</f>
        <v>3.0140600000000002</v>
      </c>
      <c r="AB39" s="721">
        <f t="shared" si="22"/>
        <v>3.0140600000000006</v>
      </c>
      <c r="AC39" s="1403">
        <f>X39-AB39</f>
        <v>86.523419999999987</v>
      </c>
      <c r="AD39" s="1404"/>
      <c r="AE39" s="1391">
        <v>0.02</v>
      </c>
      <c r="AF39" s="1655">
        <f t="shared" si="16"/>
        <v>1.65784</v>
      </c>
      <c r="AG39" s="1655"/>
      <c r="AH39" s="1655"/>
      <c r="AI39" s="1655"/>
      <c r="AJ39" s="1655">
        <f t="shared" si="17"/>
        <v>0</v>
      </c>
      <c r="AK39" s="1655">
        <f t="shared" si="18"/>
        <v>0</v>
      </c>
      <c r="AL39" s="1654">
        <f t="shared" si="19"/>
        <v>86.523419999999987</v>
      </c>
      <c r="AM39" s="1655"/>
      <c r="AN39" s="301"/>
    </row>
    <row r="40" spans="1:40" ht="16.5">
      <c r="A40" s="1373">
        <v>17</v>
      </c>
      <c r="B40" s="1373" t="s">
        <v>64</v>
      </c>
      <c r="C40" s="955" t="s">
        <v>76</v>
      </c>
      <c r="D40" s="1386">
        <f>'T-1'!R42</f>
        <v>8.1999999999999993</v>
      </c>
      <c r="E40" s="1386">
        <f>D40</f>
        <v>8.1999999999999993</v>
      </c>
      <c r="F40" s="1639">
        <f>D40*0.76%</f>
        <v>6.2319999999999993E-2</v>
      </c>
      <c r="G40" s="1377">
        <f>'T-1'!P42</f>
        <v>15</v>
      </c>
      <c r="H40" s="1377">
        <f>'T-1'!Q42</f>
        <v>3286.7999999999997</v>
      </c>
      <c r="I40" s="1658">
        <f>H40-G40</f>
        <v>3271.7999999999997</v>
      </c>
      <c r="J40" s="1659">
        <v>50</v>
      </c>
      <c r="K40" s="1658">
        <v>300</v>
      </c>
      <c r="L40" s="1373"/>
      <c r="M40" s="1640"/>
      <c r="N40" s="1640"/>
      <c r="O40" s="1640">
        <v>250</v>
      </c>
      <c r="P40" s="1654"/>
      <c r="Q40" s="1660"/>
      <c r="R40" s="1377">
        <f t="shared" si="13"/>
        <v>321.61317073170733</v>
      </c>
      <c r="S40" s="721"/>
      <c r="T40" s="1655">
        <f>(H40*J40*12)/100000</f>
        <v>19.720800000000001</v>
      </c>
      <c r="U40" s="1655">
        <f>(D40*K40/10)-((0.612*2*20)/10)</f>
        <v>243.55199999999999</v>
      </c>
      <c r="V40" s="1654"/>
      <c r="W40" s="1655">
        <f t="shared" si="14"/>
        <v>0.45</v>
      </c>
      <c r="X40" s="1381">
        <f>SUM(T40:W40)</f>
        <v>263.72280000000001</v>
      </c>
      <c r="Y40" s="1884"/>
      <c r="Z40" s="1388">
        <f t="shared" si="15"/>
        <v>318.39703902439032</v>
      </c>
      <c r="AA40" s="1639"/>
      <c r="AB40" s="1655"/>
      <c r="AC40" s="1403">
        <f>X40-AB40</f>
        <v>263.72280000000001</v>
      </c>
      <c r="AD40" s="1404"/>
      <c r="AE40" s="1391">
        <v>0.02</v>
      </c>
      <c r="AF40" s="1655">
        <f t="shared" si="16"/>
        <v>4.8710399999999998</v>
      </c>
      <c r="AG40" s="1655"/>
      <c r="AH40" s="1655">
        <f>X40*1%</f>
        <v>2.6372279999999999</v>
      </c>
      <c r="AI40" s="1655"/>
      <c r="AJ40" s="1655">
        <f t="shared" si="17"/>
        <v>0</v>
      </c>
      <c r="AK40" s="1655">
        <f t="shared" si="18"/>
        <v>0</v>
      </c>
      <c r="AL40" s="1654">
        <f t="shared" si="19"/>
        <v>261.08557200000001</v>
      </c>
      <c r="AM40" s="1655"/>
      <c r="AN40" s="301"/>
    </row>
    <row r="41" spans="1:40" ht="16.5">
      <c r="A41" s="1373">
        <v>18</v>
      </c>
      <c r="B41" s="1373" t="s">
        <v>77</v>
      </c>
      <c r="C41" s="955" t="s">
        <v>76</v>
      </c>
      <c r="D41" s="1386">
        <f>'T-1'!R43</f>
        <v>47</v>
      </c>
      <c r="E41" s="1386">
        <f>D41-F41</f>
        <v>46.628700000000002</v>
      </c>
      <c r="F41" s="1639">
        <f>D41*0.79%</f>
        <v>0.37130000000000002</v>
      </c>
      <c r="G41" s="1377">
        <f>'T-1'!P43</f>
        <v>80</v>
      </c>
      <c r="H41" s="1377">
        <f>'T-1'!Q43</f>
        <v>32558.199999999997</v>
      </c>
      <c r="I41" s="1658"/>
      <c r="J41" s="1659">
        <v>250</v>
      </c>
      <c r="K41" s="1658">
        <f>535+20+30</f>
        <v>585</v>
      </c>
      <c r="L41" s="955">
        <f>425+20+30</f>
        <v>475</v>
      </c>
      <c r="M41" s="1640"/>
      <c r="N41" s="1640"/>
      <c r="O41" s="1640">
        <v>250</v>
      </c>
      <c r="P41" s="1654"/>
      <c r="Q41" s="1660"/>
      <c r="R41" s="1377">
        <f t="shared" si="13"/>
        <v>755.55925531914909</v>
      </c>
      <c r="S41" s="721">
        <v>0.8</v>
      </c>
      <c r="T41" s="1655">
        <f>(H41*J41*S41*12)/100000+(J41*5958*3*S41)/100000</f>
        <v>817.14480000000003</v>
      </c>
      <c r="U41" s="1655">
        <f>((E41*K41+F41*L41)/10)-((3.458*2*20)/10)</f>
        <v>2731.5837000000006</v>
      </c>
      <c r="V41" s="1654"/>
      <c r="W41" s="1655">
        <f t="shared" si="14"/>
        <v>2.4</v>
      </c>
      <c r="X41" s="1381">
        <f>SUM(T41:W41)</f>
        <v>3551.1285000000007</v>
      </c>
      <c r="Y41" s="1884"/>
      <c r="Z41" s="1388">
        <f t="shared" si="15"/>
        <v>748.00366276595753</v>
      </c>
      <c r="AA41" s="1639"/>
      <c r="AB41" s="1655"/>
      <c r="AC41" s="1403">
        <f t="shared" si="23"/>
        <v>3551.1285000000007</v>
      </c>
      <c r="AD41" s="1404"/>
      <c r="AE41" s="1391">
        <v>0.08</v>
      </c>
      <c r="AF41" s="1655">
        <f t="shared" si="16"/>
        <v>218.52669600000004</v>
      </c>
      <c r="AG41" s="1658">
        <f t="shared" ref="AG41:AG53" si="24">AF41/D41+Z41</f>
        <v>752.65316693617035</v>
      </c>
      <c r="AH41" s="1655">
        <f>X41*1%</f>
        <v>35.511285000000008</v>
      </c>
      <c r="AI41" s="1655">
        <f>(T41+U41)*0%</f>
        <v>0</v>
      </c>
      <c r="AJ41" s="1655">
        <f t="shared" si="17"/>
        <v>0</v>
      </c>
      <c r="AK41" s="1655">
        <f t="shared" si="18"/>
        <v>0</v>
      </c>
      <c r="AL41" s="1654">
        <f t="shared" si="19"/>
        <v>3515.6172150000007</v>
      </c>
      <c r="AM41" s="1655"/>
      <c r="AN41" s="301"/>
    </row>
    <row r="42" spans="1:40" ht="16.5">
      <c r="A42" s="1373">
        <v>19</v>
      </c>
      <c r="B42" s="1373" t="s">
        <v>298</v>
      </c>
      <c r="C42" s="955" t="s">
        <v>76</v>
      </c>
      <c r="D42" s="1386">
        <f>'T-1'!R44</f>
        <v>0</v>
      </c>
      <c r="E42" s="1386">
        <f>D42-F42</f>
        <v>0</v>
      </c>
      <c r="F42" s="1639"/>
      <c r="G42" s="1377">
        <f>'T-1'!P44</f>
        <v>0</v>
      </c>
      <c r="H42" s="1377">
        <f>'T-1'!Q44</f>
        <v>0</v>
      </c>
      <c r="I42" s="1658"/>
      <c r="J42" s="1659">
        <v>250</v>
      </c>
      <c r="K42" s="1658">
        <f t="shared" ref="K42:K50" si="25">535+20+30</f>
        <v>585</v>
      </c>
      <c r="L42" s="955">
        <f t="shared" ref="L42:L50" si="26">425+20+30</f>
        <v>475</v>
      </c>
      <c r="M42" s="1640"/>
      <c r="N42" s="1640"/>
      <c r="O42" s="1640">
        <v>250</v>
      </c>
      <c r="P42" s="1654"/>
      <c r="Q42" s="1373"/>
      <c r="R42" s="1377" t="e">
        <f t="shared" si="13"/>
        <v>#DIV/0!</v>
      </c>
      <c r="S42" s="721">
        <v>0.8</v>
      </c>
      <c r="T42" s="1655">
        <f t="shared" ref="T42:T50" si="27">(H42*J42*S42*12)/100000</f>
        <v>0</v>
      </c>
      <c r="U42" s="1655">
        <f>((E42*K42+F42*L42)/10)-((0*2*20)/10)</f>
        <v>0</v>
      </c>
      <c r="V42" s="1654"/>
      <c r="W42" s="1655">
        <f t="shared" si="14"/>
        <v>0</v>
      </c>
      <c r="X42" s="1381">
        <f>SUM(T42:W42)</f>
        <v>0</v>
      </c>
      <c r="Y42" s="1884">
        <v>0.1</v>
      </c>
      <c r="Z42" s="1388" t="e">
        <f t="shared" si="15"/>
        <v>#DIV/0!</v>
      </c>
      <c r="AA42" s="1639"/>
      <c r="AB42" s="1655"/>
      <c r="AC42" s="1403">
        <f t="shared" si="23"/>
        <v>0</v>
      </c>
      <c r="AD42" s="1404"/>
      <c r="AE42" s="1391">
        <v>0.08</v>
      </c>
      <c r="AF42" s="1655">
        <f t="shared" si="16"/>
        <v>0</v>
      </c>
      <c r="AG42" s="1658" t="e">
        <f t="shared" si="24"/>
        <v>#DIV/0!</v>
      </c>
      <c r="AH42" s="1655"/>
      <c r="AI42" s="1655"/>
      <c r="AJ42" s="1655">
        <f t="shared" si="17"/>
        <v>0</v>
      </c>
      <c r="AK42" s="1655">
        <f t="shared" si="18"/>
        <v>0</v>
      </c>
      <c r="AL42" s="1654">
        <f t="shared" si="19"/>
        <v>0</v>
      </c>
      <c r="AM42" s="1655"/>
      <c r="AN42" s="301"/>
    </row>
    <row r="43" spans="1:40" ht="16.5">
      <c r="A43" s="1373">
        <v>20</v>
      </c>
      <c r="B43" s="1373" t="s">
        <v>284</v>
      </c>
      <c r="C43" s="955" t="s">
        <v>76</v>
      </c>
      <c r="D43" s="1386">
        <f>'T-1'!R45</f>
        <v>195</v>
      </c>
      <c r="E43" s="1386">
        <f>D43-F43</f>
        <v>173.6865</v>
      </c>
      <c r="F43" s="1639">
        <f>D43*10.93%</f>
        <v>21.313499999999998</v>
      </c>
      <c r="G43" s="1377">
        <f>'T-1'!P45</f>
        <v>266</v>
      </c>
      <c r="H43" s="1377">
        <f>'T-1'!Q45</f>
        <v>79657.641999999993</v>
      </c>
      <c r="I43" s="1658"/>
      <c r="J43" s="1659">
        <v>250</v>
      </c>
      <c r="K43" s="1658">
        <f t="shared" si="25"/>
        <v>585</v>
      </c>
      <c r="L43" s="955">
        <f t="shared" si="26"/>
        <v>475</v>
      </c>
      <c r="M43" s="1640"/>
      <c r="N43" s="1640"/>
      <c r="O43" s="1640">
        <v>250</v>
      </c>
      <c r="P43" s="1654"/>
      <c r="Q43" s="1660"/>
      <c r="R43" s="1377">
        <f t="shared" si="13"/>
        <v>673.30332861538454</v>
      </c>
      <c r="S43" s="721">
        <v>0.8</v>
      </c>
      <c r="T43" s="1655">
        <f>(H43*J43*S43*12)/100000+(J43*14000*3*S43)/100000</f>
        <v>1995.783408</v>
      </c>
      <c r="U43" s="1655">
        <f>((E43*K43+F43*L43)/10)-((11.85*2*20)/10)</f>
        <v>11125.651499999998</v>
      </c>
      <c r="V43" s="1654"/>
      <c r="W43" s="1655">
        <f t="shared" si="14"/>
        <v>7.98</v>
      </c>
      <c r="X43" s="1381">
        <f>SUM(T43:W43)</f>
        <v>13129.414907999997</v>
      </c>
      <c r="Y43" s="1884"/>
      <c r="Z43" s="1388">
        <f t="shared" si="15"/>
        <v>666.57029532923059</v>
      </c>
      <c r="AA43" s="1639"/>
      <c r="AB43" s="1655"/>
      <c r="AC43" s="1403">
        <f>X43-AB43</f>
        <v>13129.414907999997</v>
      </c>
      <c r="AD43" s="1404"/>
      <c r="AE43" s="1391">
        <v>0.08</v>
      </c>
      <c r="AF43" s="1655">
        <f t="shared" si="16"/>
        <v>890.05211999999983</v>
      </c>
      <c r="AG43" s="1658">
        <f t="shared" si="24"/>
        <v>671.13466517538438</v>
      </c>
      <c r="AH43" s="1655">
        <f>X43*1%</f>
        <v>131.29414907999998</v>
      </c>
      <c r="AI43" s="1655">
        <f>(T43+U43)*0%</f>
        <v>0</v>
      </c>
      <c r="AJ43" s="1655">
        <f t="shared" si="17"/>
        <v>0</v>
      </c>
      <c r="AK43" s="1655">
        <f t="shared" si="18"/>
        <v>0</v>
      </c>
      <c r="AL43" s="1654">
        <f t="shared" si="19"/>
        <v>12998.120758919997</v>
      </c>
      <c r="AM43" s="1655"/>
      <c r="AN43" s="301"/>
    </row>
    <row r="44" spans="1:40" ht="16.5">
      <c r="A44" s="1373">
        <v>21</v>
      </c>
      <c r="B44" s="1373" t="s">
        <v>285</v>
      </c>
      <c r="C44" s="955" t="s">
        <v>76</v>
      </c>
      <c r="D44" s="1386">
        <f>'T-1'!R46</f>
        <v>0</v>
      </c>
      <c r="E44" s="1386"/>
      <c r="F44" s="1639"/>
      <c r="G44" s="1377">
        <f>'T-1'!P46</f>
        <v>0</v>
      </c>
      <c r="H44" s="1377">
        <f>'T-1'!Q46</f>
        <v>0</v>
      </c>
      <c r="I44" s="1658"/>
      <c r="J44" s="1659">
        <v>150</v>
      </c>
      <c r="K44" s="1658">
        <f t="shared" si="25"/>
        <v>585</v>
      </c>
      <c r="L44" s="955">
        <f t="shared" si="26"/>
        <v>475</v>
      </c>
      <c r="M44" s="1640"/>
      <c r="N44" s="1640"/>
      <c r="O44" s="1640">
        <v>250</v>
      </c>
      <c r="P44" s="1654"/>
      <c r="Q44" s="1373"/>
      <c r="R44" s="1377" t="e">
        <f t="shared" si="13"/>
        <v>#DIV/0!</v>
      </c>
      <c r="S44" s="721">
        <v>0.8</v>
      </c>
      <c r="T44" s="1655">
        <f t="shared" si="27"/>
        <v>0</v>
      </c>
      <c r="U44" s="1655">
        <f>((E44*K44+F44*L44)/10)-((0*2*20)/10)</f>
        <v>0</v>
      </c>
      <c r="V44" s="1654"/>
      <c r="W44" s="1655">
        <f t="shared" si="14"/>
        <v>0</v>
      </c>
      <c r="X44" s="1381">
        <f t="shared" si="21"/>
        <v>0</v>
      </c>
      <c r="Y44" s="1884"/>
      <c r="Z44" s="1388" t="e">
        <f t="shared" si="15"/>
        <v>#DIV/0!</v>
      </c>
      <c r="AA44" s="1639"/>
      <c r="AB44" s="1655"/>
      <c r="AC44" s="1403">
        <f t="shared" si="23"/>
        <v>0</v>
      </c>
      <c r="AD44" s="1404"/>
      <c r="AE44" s="1391">
        <v>0.08</v>
      </c>
      <c r="AF44" s="1655">
        <f t="shared" si="16"/>
        <v>0</v>
      </c>
      <c r="AG44" s="1658" t="e">
        <f t="shared" si="24"/>
        <v>#DIV/0!</v>
      </c>
      <c r="AH44" s="1655"/>
      <c r="AI44" s="1655"/>
      <c r="AJ44" s="1655">
        <f t="shared" si="17"/>
        <v>0</v>
      </c>
      <c r="AK44" s="1655">
        <f t="shared" ref="AK44" si="28">(T44+U44)*1.5%</f>
        <v>0</v>
      </c>
      <c r="AL44" s="1654">
        <f t="shared" si="19"/>
        <v>0</v>
      </c>
      <c r="AM44" s="1655"/>
      <c r="AN44" s="301"/>
    </row>
    <row r="45" spans="1:40" ht="16.5">
      <c r="A45" s="1373">
        <v>22</v>
      </c>
      <c r="B45" s="1373" t="s">
        <v>184</v>
      </c>
      <c r="C45" s="955" t="s">
        <v>76</v>
      </c>
      <c r="D45" s="1386">
        <f>'T-1'!R47</f>
        <v>52</v>
      </c>
      <c r="E45" s="1386">
        <f t="shared" ref="E45:E52" si="29">D45-F45</f>
        <v>49.347999999999999</v>
      </c>
      <c r="F45" s="1639">
        <f>D45*5.1%</f>
        <v>2.6519999999999997</v>
      </c>
      <c r="G45" s="1377">
        <f>'T-1'!P47</f>
        <v>68</v>
      </c>
      <c r="H45" s="1377">
        <f>'T-1'!Q47</f>
        <v>19558.275000000001</v>
      </c>
      <c r="I45" s="1658"/>
      <c r="J45" s="1659">
        <v>250</v>
      </c>
      <c r="K45" s="1658">
        <f t="shared" si="25"/>
        <v>585</v>
      </c>
      <c r="L45" s="955">
        <f t="shared" si="26"/>
        <v>475</v>
      </c>
      <c r="M45" s="1640"/>
      <c r="N45" s="1640"/>
      <c r="O45" s="1640">
        <v>250</v>
      </c>
      <c r="P45" s="1654"/>
      <c r="Q45" s="1660"/>
      <c r="R45" s="1377">
        <f t="shared" si="13"/>
        <v>685.67049999999995</v>
      </c>
      <c r="S45" s="721">
        <v>0.8</v>
      </c>
      <c r="T45" s="1655">
        <f>(H45*J45*S45*12)/100000+(J45*15866*3*S45)/100000</f>
        <v>564.59460000000001</v>
      </c>
      <c r="U45" s="1655">
        <f>((E45*K45+F45*L45)/10)-((3.494*2*20)/10)</f>
        <v>2998.8519999999999</v>
      </c>
      <c r="V45" s="1654"/>
      <c r="W45" s="1655">
        <f t="shared" si="14"/>
        <v>2.04</v>
      </c>
      <c r="X45" s="1381">
        <f t="shared" si="21"/>
        <v>3565.4865999999997</v>
      </c>
      <c r="Y45" s="1884">
        <v>0.1</v>
      </c>
      <c r="Z45" s="1388">
        <f t="shared" si="15"/>
        <v>678.04256807692298</v>
      </c>
      <c r="AA45" s="1382">
        <f>2.00519*2</f>
        <v>4.0103799999999996</v>
      </c>
      <c r="AB45" s="721">
        <f>AA45*Y45*10</f>
        <v>4.0103799999999996</v>
      </c>
      <c r="AC45" s="1403">
        <f t="shared" si="23"/>
        <v>3561.4762199999996</v>
      </c>
      <c r="AD45" s="1404"/>
      <c r="AE45" s="1391">
        <v>0</v>
      </c>
      <c r="AF45" s="1655">
        <f t="shared" si="16"/>
        <v>0</v>
      </c>
      <c r="AG45" s="1658">
        <f t="shared" si="24"/>
        <v>678.04256807692298</v>
      </c>
      <c r="AH45" s="1655">
        <f t="shared" ref="AH45:AH52" si="30">X45*1%</f>
        <v>35.654865999999998</v>
      </c>
      <c r="AI45" s="1655">
        <f>(T45+U45)*0%</f>
        <v>0</v>
      </c>
      <c r="AJ45" s="1655">
        <f t="shared" si="17"/>
        <v>0</v>
      </c>
      <c r="AK45" s="1655">
        <f t="shared" ref="AK45:AK52" si="31">(T45+U45)*0%</f>
        <v>0</v>
      </c>
      <c r="AL45" s="1654">
        <f t="shared" si="19"/>
        <v>3525.8213539999997</v>
      </c>
      <c r="AM45" s="1655"/>
      <c r="AN45" s="301"/>
    </row>
    <row r="46" spans="1:40" ht="16.5">
      <c r="A46" s="1373">
        <v>23</v>
      </c>
      <c r="B46" s="1373" t="s">
        <v>72</v>
      </c>
      <c r="C46" s="955" t="s">
        <v>76</v>
      </c>
      <c r="D46" s="1386">
        <f>'T-1'!R48</f>
        <v>1335.4166666666667</v>
      </c>
      <c r="E46" s="1386">
        <f t="shared" si="29"/>
        <v>1293.2175</v>
      </c>
      <c r="F46" s="1639">
        <f>D46*3.16%</f>
        <v>42.19916666666667</v>
      </c>
      <c r="G46" s="1377">
        <f>'T-1'!P48</f>
        <v>813</v>
      </c>
      <c r="H46" s="1377">
        <f>'T-1'!Q48</f>
        <v>330522.65000000008</v>
      </c>
      <c r="I46" s="1658"/>
      <c r="J46" s="1659">
        <v>250</v>
      </c>
      <c r="K46" s="1658">
        <f t="shared" si="25"/>
        <v>585</v>
      </c>
      <c r="L46" s="955">
        <f t="shared" si="26"/>
        <v>475</v>
      </c>
      <c r="M46" s="1640"/>
      <c r="N46" s="1640"/>
      <c r="O46" s="1640">
        <v>250</v>
      </c>
      <c r="P46" s="1654"/>
      <c r="Q46" s="1660"/>
      <c r="R46" s="1377">
        <f t="shared" si="13"/>
        <v>641.60546970358814</v>
      </c>
      <c r="S46" s="721">
        <v>0.8</v>
      </c>
      <c r="T46" s="1655">
        <f>(H46*J46*S46*12)/100000+(J46*31777*3*S46)/100000</f>
        <v>8123.205600000003</v>
      </c>
      <c r="U46" s="1655">
        <f>((E46*K46+F46*L46)/10)-((31.054*2*20)/10)</f>
        <v>77533.468166666658</v>
      </c>
      <c r="V46" s="1654"/>
      <c r="W46" s="1655">
        <f t="shared" si="14"/>
        <v>24.39</v>
      </c>
      <c r="X46" s="1381">
        <f t="shared" si="21"/>
        <v>85681.063766666659</v>
      </c>
      <c r="Y46" s="1884"/>
      <c r="Z46" s="1388">
        <f t="shared" si="15"/>
        <v>635.18941500655217</v>
      </c>
      <c r="AA46" s="1639"/>
      <c r="AB46" s="1655"/>
      <c r="AC46" s="1403">
        <f t="shared" si="23"/>
        <v>85681.063766666659</v>
      </c>
      <c r="AD46" s="1404"/>
      <c r="AE46" s="1391">
        <v>0.08</v>
      </c>
      <c r="AF46" s="1655">
        <f t="shared" si="16"/>
        <v>6202.6774533333328</v>
      </c>
      <c r="AG46" s="1658">
        <f t="shared" si="24"/>
        <v>639.83416567363486</v>
      </c>
      <c r="AH46" s="1655">
        <f t="shared" si="30"/>
        <v>856.81063766666659</v>
      </c>
      <c r="AI46" s="1655">
        <f>(T46+U46)*0%</f>
        <v>0</v>
      </c>
      <c r="AJ46" s="1655">
        <f t="shared" si="17"/>
        <v>0</v>
      </c>
      <c r="AK46" s="1655">
        <f t="shared" si="31"/>
        <v>0</v>
      </c>
      <c r="AL46" s="1654">
        <f t="shared" si="19"/>
        <v>84824.25312899999</v>
      </c>
      <c r="AM46" s="1655"/>
      <c r="AN46" s="301"/>
    </row>
    <row r="47" spans="1:40" ht="16.5">
      <c r="A47" s="1373">
        <v>24</v>
      </c>
      <c r="B47" s="1274" t="s">
        <v>2286</v>
      </c>
      <c r="C47" s="955" t="s">
        <v>76</v>
      </c>
      <c r="D47" s="1386">
        <f>'T-1'!R49</f>
        <v>15.625</v>
      </c>
      <c r="E47" s="1386">
        <f t="shared" si="29"/>
        <v>15.625</v>
      </c>
      <c r="F47" s="1639"/>
      <c r="G47" s="1377"/>
      <c r="H47" s="1377"/>
      <c r="I47" s="1658"/>
      <c r="J47" s="1659"/>
      <c r="K47" s="1658">
        <v>500</v>
      </c>
      <c r="L47" s="955"/>
      <c r="M47" s="1640"/>
      <c r="N47" s="1640"/>
      <c r="O47" s="1640"/>
      <c r="P47" s="1654"/>
      <c r="Q47" s="1660"/>
      <c r="R47" s="1377">
        <f t="shared" si="13"/>
        <v>500</v>
      </c>
      <c r="S47" s="721"/>
      <c r="T47" s="1655"/>
      <c r="U47" s="1655">
        <f>((E47*K47+F47*L47)/10)</f>
        <v>781.25</v>
      </c>
      <c r="V47" s="1654"/>
      <c r="W47" s="1655"/>
      <c r="X47" s="1381">
        <f t="shared" si="21"/>
        <v>781.25</v>
      </c>
      <c r="Y47" s="1884"/>
      <c r="Z47" s="1388">
        <f t="shared" si="15"/>
        <v>500</v>
      </c>
      <c r="AA47" s="1639"/>
      <c r="AB47" s="1655"/>
      <c r="AC47" s="1403">
        <f t="shared" si="23"/>
        <v>781.25</v>
      </c>
      <c r="AD47" s="1404"/>
      <c r="AE47" s="1391">
        <v>0.08</v>
      </c>
      <c r="AF47" s="1655">
        <f t="shared" ref="AF47" si="32">AE47*U47</f>
        <v>62.5</v>
      </c>
      <c r="AG47" s="1658">
        <f t="shared" ref="AG47" si="33">AF47/D47+Z47</f>
        <v>504</v>
      </c>
      <c r="AH47" s="1655"/>
      <c r="AI47" s="1655"/>
      <c r="AJ47" s="1655"/>
      <c r="AK47" s="1655"/>
      <c r="AL47" s="1654">
        <f t="shared" si="19"/>
        <v>781.25</v>
      </c>
      <c r="AM47" s="1655"/>
      <c r="AN47" s="301"/>
    </row>
    <row r="48" spans="1:40" ht="16.5">
      <c r="A48" s="1373">
        <v>25</v>
      </c>
      <c r="B48" s="1373" t="s">
        <v>82</v>
      </c>
      <c r="C48" s="955" t="s">
        <v>76</v>
      </c>
      <c r="D48" s="1386">
        <f>'T-1'!R50</f>
        <v>651.00193266198755</v>
      </c>
      <c r="E48" s="1386">
        <f t="shared" si="29"/>
        <v>460.5838673583562</v>
      </c>
      <c r="F48" s="1639">
        <f>D48*29.25%</f>
        <v>190.41806530363135</v>
      </c>
      <c r="G48" s="1377">
        <f>'T-1'!P50</f>
        <v>13</v>
      </c>
      <c r="H48" s="1377">
        <f>'T-1'!Q50</f>
        <v>95550</v>
      </c>
      <c r="I48" s="1658"/>
      <c r="J48" s="1659">
        <v>250</v>
      </c>
      <c r="K48" s="1658">
        <f t="shared" si="25"/>
        <v>585</v>
      </c>
      <c r="L48" s="955">
        <f t="shared" si="26"/>
        <v>475</v>
      </c>
      <c r="M48" s="1640"/>
      <c r="N48" s="1640"/>
      <c r="O48" s="1640">
        <v>250</v>
      </c>
      <c r="P48" s="1654"/>
      <c r="Q48" s="1373"/>
      <c r="R48" s="1377">
        <f t="shared" si="13"/>
        <v>583.6955995968749</v>
      </c>
      <c r="S48" s="721">
        <v>0.8</v>
      </c>
      <c r="T48" s="1655">
        <f t="shared" si="27"/>
        <v>2293.1999999999998</v>
      </c>
      <c r="U48" s="1655">
        <f>((E48*K48+F48*L48)/10)-((70.977*2*20)/10)</f>
        <v>35705.106342386323</v>
      </c>
      <c r="V48" s="1654"/>
      <c r="W48" s="1655">
        <f t="shared" si="14"/>
        <v>0.39</v>
      </c>
      <c r="X48" s="1381">
        <f t="shared" si="21"/>
        <v>37998.69634238632</v>
      </c>
      <c r="Y48" s="1884"/>
      <c r="Z48" s="1388">
        <f t="shared" si="15"/>
        <v>577.85864360090613</v>
      </c>
      <c r="AA48" s="1639"/>
      <c r="AB48" s="1655"/>
      <c r="AC48" s="1403">
        <f t="shared" si="23"/>
        <v>37998.69634238632</v>
      </c>
      <c r="AD48" s="1404"/>
      <c r="AE48" s="1391">
        <v>0.08</v>
      </c>
      <c r="AF48" s="1655">
        <f t="shared" si="16"/>
        <v>2856.4085073909059</v>
      </c>
      <c r="AG48" s="1658">
        <f t="shared" si="24"/>
        <v>582.24635485655608</v>
      </c>
      <c r="AH48" s="1655">
        <f t="shared" si="30"/>
        <v>379.98696342386319</v>
      </c>
      <c r="AI48" s="1655">
        <f>(T48+U48)*0%</f>
        <v>0</v>
      </c>
      <c r="AJ48" s="1655">
        <f t="shared" si="17"/>
        <v>0</v>
      </c>
      <c r="AK48" s="1655">
        <f t="shared" si="31"/>
        <v>0</v>
      </c>
      <c r="AL48" s="1654">
        <f t="shared" si="19"/>
        <v>37618.709378962456</v>
      </c>
      <c r="AM48" s="1655"/>
      <c r="AN48" s="301"/>
    </row>
    <row r="49" spans="1:40" ht="16.5">
      <c r="A49" s="1373">
        <v>26</v>
      </c>
      <c r="B49" s="1373" t="s">
        <v>92</v>
      </c>
      <c r="C49" s="955" t="s">
        <v>76</v>
      </c>
      <c r="D49" s="1386">
        <f>'T-1'!R51</f>
        <v>232.72285743195388</v>
      </c>
      <c r="E49" s="1386">
        <f t="shared" si="29"/>
        <v>173.58797935849441</v>
      </c>
      <c r="F49" s="1639">
        <f>D49*25.41%</f>
        <v>59.134878073459483</v>
      </c>
      <c r="G49" s="1377">
        <f>'T-1'!P51</f>
        <v>5</v>
      </c>
      <c r="H49" s="1377">
        <f>'T-1'!Q51</f>
        <v>37350</v>
      </c>
      <c r="I49" s="1658"/>
      <c r="J49" s="1659">
        <v>250</v>
      </c>
      <c r="K49" s="1658">
        <f t="shared" si="25"/>
        <v>585</v>
      </c>
      <c r="L49" s="955">
        <f t="shared" si="26"/>
        <v>475</v>
      </c>
      <c r="M49" s="1640"/>
      <c r="N49" s="1640"/>
      <c r="O49" s="1640">
        <v>250</v>
      </c>
      <c r="P49" s="1654"/>
      <c r="Q49" s="1373"/>
      <c r="R49" s="1377">
        <f t="shared" si="13"/>
        <v>592.1512675217391</v>
      </c>
      <c r="S49" s="721">
        <v>0.8</v>
      </c>
      <c r="T49" s="1655">
        <f t="shared" si="27"/>
        <v>896.4</v>
      </c>
      <c r="U49" s="1655">
        <f>((E49*K49+F49*L49)/10)-((19.91*2*20)/10)</f>
        <v>12884.163500961247</v>
      </c>
      <c r="V49" s="1654"/>
      <c r="W49" s="1655">
        <f t="shared" si="14"/>
        <v>0.15</v>
      </c>
      <c r="X49" s="1381">
        <f t="shared" si="21"/>
        <v>13780.713500961247</v>
      </c>
      <c r="Y49" s="1884"/>
      <c r="Z49" s="1388">
        <f t="shared" si="15"/>
        <v>586.2297548465217</v>
      </c>
      <c r="AA49" s="1639"/>
      <c r="AB49" s="1655"/>
      <c r="AC49" s="1403">
        <f t="shared" si="23"/>
        <v>13780.713500961247</v>
      </c>
      <c r="AD49" s="1404"/>
      <c r="AE49" s="1391">
        <v>0.08</v>
      </c>
      <c r="AF49" s="1655">
        <f t="shared" si="16"/>
        <v>1030.7330800768998</v>
      </c>
      <c r="AG49" s="1658">
        <f t="shared" si="24"/>
        <v>590.65877007713038</v>
      </c>
      <c r="AH49" s="1655">
        <f t="shared" si="30"/>
        <v>137.80713500961247</v>
      </c>
      <c r="AI49" s="1655">
        <f>(T49+U49)*0%</f>
        <v>0</v>
      </c>
      <c r="AJ49" s="1655">
        <f t="shared" si="17"/>
        <v>0</v>
      </c>
      <c r="AK49" s="1655">
        <f t="shared" si="31"/>
        <v>0</v>
      </c>
      <c r="AL49" s="1654">
        <f t="shared" si="19"/>
        <v>13642.906365951634</v>
      </c>
      <c r="AM49" s="1655"/>
      <c r="AN49" s="301"/>
    </row>
    <row r="50" spans="1:40" ht="16.5">
      <c r="A50" s="1373">
        <v>27</v>
      </c>
      <c r="B50" s="1373" t="s">
        <v>84</v>
      </c>
      <c r="C50" s="955" t="s">
        <v>76</v>
      </c>
      <c r="D50" s="1386">
        <f>'T-1'!R52</f>
        <v>9.9999999999999995E-7</v>
      </c>
      <c r="E50" s="1386">
        <f t="shared" si="29"/>
        <v>9.9999999999999995E-7</v>
      </c>
      <c r="F50" s="1639">
        <f>D50*0%</f>
        <v>0</v>
      </c>
      <c r="G50" s="1377">
        <f>'T-1'!P52</f>
        <v>0</v>
      </c>
      <c r="H50" s="1377">
        <f>'T-1'!Q52</f>
        <v>0</v>
      </c>
      <c r="I50" s="1658"/>
      <c r="J50" s="1659">
        <v>250</v>
      </c>
      <c r="K50" s="1658">
        <f t="shared" si="25"/>
        <v>585</v>
      </c>
      <c r="L50" s="955">
        <f t="shared" si="26"/>
        <v>475</v>
      </c>
      <c r="M50" s="1640"/>
      <c r="N50" s="1640"/>
      <c r="O50" s="1640">
        <v>250</v>
      </c>
      <c r="P50" s="1654"/>
      <c r="Q50" s="1660"/>
      <c r="R50" s="1377">
        <f t="shared" si="13"/>
        <v>585</v>
      </c>
      <c r="S50" s="721">
        <v>0.8</v>
      </c>
      <c r="T50" s="1655">
        <f t="shared" si="27"/>
        <v>0</v>
      </c>
      <c r="U50" s="1655">
        <f>(E50*K50+F50*L50)/10-((0*2*20)/10)</f>
        <v>5.8499999999999999E-5</v>
      </c>
      <c r="V50" s="1654"/>
      <c r="W50" s="1655">
        <f t="shared" si="14"/>
        <v>0</v>
      </c>
      <c r="X50" s="1381">
        <f t="shared" si="21"/>
        <v>5.8499999999999999E-5</v>
      </c>
      <c r="Y50" s="1884"/>
      <c r="Z50" s="1388">
        <f t="shared" si="15"/>
        <v>569.90699999999993</v>
      </c>
      <c r="AA50" s="1639"/>
      <c r="AB50" s="1655"/>
      <c r="AC50" s="1403">
        <f t="shared" si="23"/>
        <v>5.8499999999999999E-5</v>
      </c>
      <c r="AD50" s="1404"/>
      <c r="AE50" s="1391">
        <v>0</v>
      </c>
      <c r="AF50" s="1655">
        <f t="shared" si="16"/>
        <v>0</v>
      </c>
      <c r="AG50" s="1658">
        <f t="shared" si="24"/>
        <v>569.90699999999993</v>
      </c>
      <c r="AH50" s="1655">
        <f t="shared" si="30"/>
        <v>5.8500000000000001E-7</v>
      </c>
      <c r="AI50" s="1655">
        <f>(T50+U50)*1.58%</f>
        <v>9.2430000000000009E-7</v>
      </c>
      <c r="AJ50" s="1655">
        <f t="shared" si="17"/>
        <v>0</v>
      </c>
      <c r="AK50" s="1655">
        <f t="shared" si="31"/>
        <v>0</v>
      </c>
      <c r="AL50" s="1654">
        <f t="shared" si="19"/>
        <v>5.8839299999999998E-5</v>
      </c>
      <c r="AM50" s="1655"/>
      <c r="AN50" s="301"/>
    </row>
    <row r="51" spans="1:40" ht="16.5">
      <c r="A51" s="1373">
        <v>28</v>
      </c>
      <c r="B51" s="1373" t="s">
        <v>286</v>
      </c>
      <c r="C51" s="955" t="s">
        <v>76</v>
      </c>
      <c r="D51" s="1386">
        <f>'T-1'!R53</f>
        <v>0</v>
      </c>
      <c r="E51" s="1386">
        <f t="shared" si="29"/>
        <v>0</v>
      </c>
      <c r="F51" s="1639"/>
      <c r="G51" s="1377">
        <f>'T-1'!P53</f>
        <v>0</v>
      </c>
      <c r="H51" s="1377">
        <f>'T-1'!Q53</f>
        <v>0</v>
      </c>
      <c r="I51" s="1658"/>
      <c r="J51" s="1659">
        <v>0</v>
      </c>
      <c r="K51" s="1658">
        <f>730+20+30</f>
        <v>780</v>
      </c>
      <c r="L51" s="1655"/>
      <c r="M51" s="1640"/>
      <c r="N51" s="1640"/>
      <c r="O51" s="1640">
        <v>250</v>
      </c>
      <c r="P51" s="1654"/>
      <c r="Q51" s="1660"/>
      <c r="R51" s="1377" t="e">
        <f t="shared" si="13"/>
        <v>#DIV/0!</v>
      </c>
      <c r="S51" s="721"/>
      <c r="T51" s="1655"/>
      <c r="U51" s="1655">
        <f>(E51*K51+F51*L51)/10-(0*2*20/10)</f>
        <v>0</v>
      </c>
      <c r="V51" s="1654"/>
      <c r="W51" s="1655">
        <f t="shared" si="14"/>
        <v>0</v>
      </c>
      <c r="X51" s="1381">
        <f t="shared" si="21"/>
        <v>0</v>
      </c>
      <c r="Y51" s="1884"/>
      <c r="Z51" s="1388" t="e">
        <f t="shared" si="15"/>
        <v>#DIV/0!</v>
      </c>
      <c r="AA51" s="1639"/>
      <c r="AB51" s="1655"/>
      <c r="AC51" s="1403">
        <f t="shared" si="23"/>
        <v>0</v>
      </c>
      <c r="AD51" s="1404"/>
      <c r="AE51" s="1391">
        <v>0.08</v>
      </c>
      <c r="AF51" s="1655">
        <f t="shared" si="16"/>
        <v>0</v>
      </c>
      <c r="AG51" s="1658" t="e">
        <f t="shared" si="24"/>
        <v>#DIV/0!</v>
      </c>
      <c r="AH51" s="1655">
        <f t="shared" si="30"/>
        <v>0</v>
      </c>
      <c r="AI51" s="1655">
        <f>(T51+U51)*0%</f>
        <v>0</v>
      </c>
      <c r="AJ51" s="1655">
        <f t="shared" si="17"/>
        <v>0</v>
      </c>
      <c r="AK51" s="1655">
        <f t="shared" si="31"/>
        <v>0</v>
      </c>
      <c r="AL51" s="1654">
        <f t="shared" si="19"/>
        <v>0</v>
      </c>
      <c r="AM51" s="1655"/>
      <c r="AN51" s="301"/>
    </row>
    <row r="52" spans="1:40" ht="16.5">
      <c r="A52" s="1373">
        <v>29</v>
      </c>
      <c r="B52" s="1373" t="s">
        <v>86</v>
      </c>
      <c r="C52" s="955" t="s">
        <v>76</v>
      </c>
      <c r="D52" s="1386">
        <f>'T-1'!R54</f>
        <v>7.2</v>
      </c>
      <c r="E52" s="1386">
        <f t="shared" si="29"/>
        <v>7.2</v>
      </c>
      <c r="F52" s="1639"/>
      <c r="G52" s="1377">
        <f>'T-1'!P54</f>
        <v>0</v>
      </c>
      <c r="H52" s="1377">
        <f>'T-1'!Q54</f>
        <v>0</v>
      </c>
      <c r="I52" s="1658"/>
      <c r="J52" s="1659">
        <v>0</v>
      </c>
      <c r="K52" s="1658">
        <f>440+20+30</f>
        <v>490</v>
      </c>
      <c r="L52" s="1655"/>
      <c r="M52" s="1640"/>
      <c r="N52" s="1640"/>
      <c r="O52" s="1640">
        <v>0</v>
      </c>
      <c r="P52" s="1654"/>
      <c r="Q52" s="1374"/>
      <c r="R52" s="1377">
        <f t="shared" si="13"/>
        <v>490</v>
      </c>
      <c r="S52" s="721"/>
      <c r="T52" s="1655"/>
      <c r="U52" s="1655">
        <f>(E52*K52+F52*L52)/10</f>
        <v>352.8</v>
      </c>
      <c r="V52" s="1654"/>
      <c r="W52" s="1655">
        <f t="shared" si="14"/>
        <v>0</v>
      </c>
      <c r="X52" s="1381">
        <f t="shared" si="21"/>
        <v>352.8</v>
      </c>
      <c r="Y52" s="1884"/>
      <c r="Z52" s="1388">
        <f t="shared" si="15"/>
        <v>485.09999999999997</v>
      </c>
      <c r="AA52" s="1639"/>
      <c r="AB52" s="1655"/>
      <c r="AC52" s="1403">
        <f>X52-AB52</f>
        <v>352.8</v>
      </c>
      <c r="AD52" s="1404"/>
      <c r="AE52" s="1391">
        <v>0.08</v>
      </c>
      <c r="AF52" s="1655">
        <f t="shared" si="16"/>
        <v>28.224</v>
      </c>
      <c r="AG52" s="1658">
        <f t="shared" si="24"/>
        <v>489.02</v>
      </c>
      <c r="AH52" s="1655">
        <f t="shared" si="30"/>
        <v>3.528</v>
      </c>
      <c r="AI52" s="1655"/>
      <c r="AJ52" s="1655"/>
      <c r="AK52" s="1655">
        <f t="shared" si="31"/>
        <v>0</v>
      </c>
      <c r="AL52" s="1654">
        <f t="shared" si="19"/>
        <v>349.27199999999999</v>
      </c>
      <c r="AM52" s="1655"/>
      <c r="AN52" s="301"/>
    </row>
    <row r="53" spans="1:40" ht="16.5">
      <c r="A53" s="1373"/>
      <c r="B53" s="1374" t="s">
        <v>287</v>
      </c>
      <c r="C53" s="1380"/>
      <c r="D53" s="1407">
        <f t="shared" ref="D53:I53" si="34">SUM(D37:D52)</f>
        <v>2657.7664577606079</v>
      </c>
      <c r="E53" s="1407">
        <f t="shared" si="34"/>
        <v>2341.6775477168503</v>
      </c>
      <c r="F53" s="1407">
        <f t="shared" ref="F53" si="35">SUM(F37:F52)</f>
        <v>323.12035004375753</v>
      </c>
      <c r="G53" s="1408">
        <f t="shared" si="34"/>
        <v>1344</v>
      </c>
      <c r="H53" s="1408">
        <f t="shared" si="34"/>
        <v>749776.56700000004</v>
      </c>
      <c r="I53" s="1408">
        <f t="shared" si="34"/>
        <v>154480.79999999996</v>
      </c>
      <c r="J53" s="1661"/>
      <c r="K53" s="952"/>
      <c r="L53" s="952"/>
      <c r="M53" s="1661"/>
      <c r="N53" s="1661"/>
      <c r="O53" s="1661"/>
      <c r="P53" s="1662"/>
      <c r="Q53" s="1668"/>
      <c r="R53" s="1395">
        <f t="shared" si="13"/>
        <v>617.42830081007435</v>
      </c>
      <c r="S53" s="721"/>
      <c r="T53" s="952">
        <f>SUM(T37:T52)</f>
        <v>15242.715528000002</v>
      </c>
      <c r="U53" s="952">
        <f>SUM(U37:U52)</f>
        <v>148814.98726851423</v>
      </c>
      <c r="V53" s="1662">
        <f>SUM(V37:V52)</f>
        <v>0</v>
      </c>
      <c r="W53" s="952">
        <f>SUM(W37:W52)</f>
        <v>40.32</v>
      </c>
      <c r="X53" s="1662">
        <f>SUM(X37:X52)</f>
        <v>164098.02279651424</v>
      </c>
      <c r="Y53" s="956"/>
      <c r="Z53" s="1397">
        <f t="shared" si="15"/>
        <v>611.36033407439538</v>
      </c>
      <c r="AA53" s="1407">
        <f>SUM(AA37:AA52)</f>
        <v>29.493580000000001</v>
      </c>
      <c r="AB53" s="952">
        <f>SUM(AB37:AB52)</f>
        <v>29.493580000000001</v>
      </c>
      <c r="AC53" s="1663">
        <f>SUM(AC37:AC52)</f>
        <v>164068.52921651423</v>
      </c>
      <c r="AD53" s="1662"/>
      <c r="AE53" s="1399"/>
      <c r="AF53" s="952">
        <f>SUM(AF37:AF52)</f>
        <v>11450.316336801139</v>
      </c>
      <c r="AG53" s="1408">
        <f t="shared" si="24"/>
        <v>615.66858181503733</v>
      </c>
      <c r="AH53" s="1662">
        <f>SUM(AH37:AH52)</f>
        <v>1583.2302647651422</v>
      </c>
      <c r="AI53" s="952">
        <f>SUM(AI37:AI52)</f>
        <v>9.2430000000000009E-7</v>
      </c>
      <c r="AJ53" s="952">
        <f>SUM(AJ37:AJ52)</f>
        <v>0</v>
      </c>
      <c r="AK53" s="952">
        <f>SUM(AK37:AK52)</f>
        <v>0</v>
      </c>
      <c r="AL53" s="952">
        <f>SUM(AL37:AL52)</f>
        <v>162485.29895267339</v>
      </c>
      <c r="AM53" s="952"/>
      <c r="AN53" s="301"/>
    </row>
    <row r="54" spans="1:40" ht="16.5">
      <c r="A54" s="1373"/>
      <c r="B54" s="1374" t="s">
        <v>288</v>
      </c>
      <c r="C54" s="1374"/>
      <c r="D54" s="1669"/>
      <c r="E54" s="1669"/>
      <c r="F54" s="1639"/>
      <c r="G54" s="1658"/>
      <c r="H54" s="1658"/>
      <c r="I54" s="1658"/>
      <c r="J54" s="1659"/>
      <c r="K54" s="1655"/>
      <c r="L54" s="1655"/>
      <c r="M54" s="1640"/>
      <c r="N54" s="1640"/>
      <c r="O54" s="1640"/>
      <c r="P54" s="1654"/>
      <c r="Q54" s="1374"/>
      <c r="R54" s="1377"/>
      <c r="S54" s="721"/>
      <c r="T54" s="1655"/>
      <c r="U54" s="1655"/>
      <c r="V54" s="1654"/>
      <c r="W54" s="1655"/>
      <c r="X54" s="1654"/>
      <c r="Y54" s="1885"/>
      <c r="Z54" s="1640"/>
      <c r="AA54" s="1639"/>
      <c r="AB54" s="1655"/>
      <c r="AC54" s="1666"/>
      <c r="AD54" s="1654"/>
      <c r="AE54" s="1399"/>
      <c r="AF54" s="1655"/>
      <c r="AG54" s="1655"/>
      <c r="AH54" s="1655"/>
      <c r="AI54" s="1655"/>
      <c r="AJ54" s="1655"/>
      <c r="AK54" s="1655"/>
      <c r="AL54" s="1655"/>
      <c r="AM54" s="1655"/>
      <c r="AN54" s="301"/>
    </row>
    <row r="55" spans="1:40" ht="16.5">
      <c r="A55" s="1373">
        <v>30</v>
      </c>
      <c r="B55" s="1373" t="s">
        <v>89</v>
      </c>
      <c r="C55" s="955" t="s">
        <v>90</v>
      </c>
      <c r="D55" s="1386">
        <f>'T-1'!R58</f>
        <v>0.47092547092547093</v>
      </c>
      <c r="E55" s="1386">
        <f t="shared" ref="E55:E65" si="36">D55-F55</f>
        <v>0.47092547092547093</v>
      </c>
      <c r="F55" s="1639">
        <f>D55*0%</f>
        <v>0</v>
      </c>
      <c r="G55" s="1377">
        <f>'T-1'!P58</f>
        <v>2</v>
      </c>
      <c r="H55" s="1377">
        <f>'T-1'!Q58</f>
        <v>221</v>
      </c>
      <c r="I55" s="1658"/>
      <c r="J55" s="1659">
        <v>250</v>
      </c>
      <c r="K55" s="1658">
        <f>530+20+30</f>
        <v>580</v>
      </c>
      <c r="L55" s="1658">
        <f>420+20+30</f>
        <v>470</v>
      </c>
      <c r="M55" s="1640"/>
      <c r="N55" s="1640"/>
      <c r="O55" s="1640">
        <v>700</v>
      </c>
      <c r="P55" s="1654"/>
      <c r="Q55" s="1373"/>
      <c r="R55" s="1377">
        <f t="shared" ref="R55" si="37">X55/D55*10</f>
        <v>0</v>
      </c>
      <c r="S55" s="721">
        <v>0.8</v>
      </c>
      <c r="T55" s="1655">
        <f>(H55*J55*S55*12)/100000</f>
        <v>5.3040000000000003</v>
      </c>
      <c r="U55" s="1655">
        <f>(E55*K55+F55*L55)/10-((0.03*2*20)/10)</f>
        <v>27.193677313677309</v>
      </c>
      <c r="V55" s="1654"/>
      <c r="W55" s="1655"/>
      <c r="X55" s="1381"/>
      <c r="Y55" s="1884"/>
      <c r="Z55" s="1388"/>
      <c r="AA55" s="1639"/>
      <c r="AB55" s="1655"/>
      <c r="AC55" s="1403"/>
      <c r="AD55" s="1404"/>
      <c r="AE55" s="1391"/>
      <c r="AF55" s="1655"/>
      <c r="AG55" s="1658"/>
      <c r="AH55" s="1655"/>
      <c r="AI55" s="1655"/>
      <c r="AJ55" s="1655"/>
      <c r="AK55" s="1655"/>
      <c r="AL55" s="1654"/>
      <c r="AM55" s="1655"/>
      <c r="AN55" s="301"/>
    </row>
    <row r="56" spans="1:40" ht="16.5">
      <c r="A56" s="1373">
        <v>31</v>
      </c>
      <c r="B56" s="1373" t="s">
        <v>72</v>
      </c>
      <c r="C56" s="955" t="s">
        <v>90</v>
      </c>
      <c r="D56" s="1386">
        <f>'T-1'!R59</f>
        <v>609.13185913185919</v>
      </c>
      <c r="E56" s="1386">
        <f t="shared" si="36"/>
        <v>468.17874692874693</v>
      </c>
      <c r="F56" s="1639">
        <f>D56*23.14%</f>
        <v>140.95311220311223</v>
      </c>
      <c r="G56" s="1377">
        <f>'T-1'!P59</f>
        <v>12</v>
      </c>
      <c r="H56" s="1377">
        <f>'T-1'!Q59</f>
        <v>145000</v>
      </c>
      <c r="I56" s="1658"/>
      <c r="J56" s="1659">
        <v>250</v>
      </c>
      <c r="K56" s="1658">
        <f t="shared" ref="K56:K62" si="38">530+20+30</f>
        <v>580</v>
      </c>
      <c r="L56" s="1658">
        <f t="shared" ref="L56:L62" si="39">420+20+30</f>
        <v>470</v>
      </c>
      <c r="M56" s="1640"/>
      <c r="N56" s="1640"/>
      <c r="O56" s="1640">
        <v>700</v>
      </c>
      <c r="P56" s="1654"/>
      <c r="Q56" s="1670"/>
      <c r="R56" s="1377">
        <f t="shared" ref="R56:R62" si="40">X56/D56*10</f>
        <v>613.28172275630254</v>
      </c>
      <c r="S56" s="721">
        <v>0.8</v>
      </c>
      <c r="T56" s="1655">
        <f>(H56*J56*S56*12)/100000+(((12500+2000+5000+3000)*J56*S56*6)/100000)</f>
        <v>3750</v>
      </c>
      <c r="U56" s="1655">
        <f>(E56*K56+F56*L56)/10-((43.307*2*20)/10)</f>
        <v>33605.935595413597</v>
      </c>
      <c r="V56" s="1654"/>
      <c r="W56" s="1655">
        <f t="shared" ref="W56:W65" si="41">(O56*G56*12)/100000</f>
        <v>1.008</v>
      </c>
      <c r="X56" s="1381">
        <f t="shared" ref="X56:X65" si="42">SUM(T56:W56)</f>
        <v>37356.943595413599</v>
      </c>
      <c r="Y56" s="1884"/>
      <c r="Z56" s="1388">
        <f t="shared" ref="Z56:Z64" si="43">(AC56-AH56-AI56+AJ56)/D56*10</f>
        <v>607.14890552873942</v>
      </c>
      <c r="AA56" s="1639"/>
      <c r="AB56" s="1655"/>
      <c r="AC56" s="1403">
        <f t="shared" ref="AC56:AC65" si="44">X56-AB56</f>
        <v>37356.943595413599</v>
      </c>
      <c r="AD56" s="1404"/>
      <c r="AE56" s="1391">
        <v>0.09</v>
      </c>
      <c r="AF56" s="1655">
        <f t="shared" ref="AF56:AF65" si="45">AE56*U56</f>
        <v>3024.5342035872236</v>
      </c>
      <c r="AG56" s="1658">
        <f t="shared" ref="AG56:AG67" si="46">AF56/D56+Z56</f>
        <v>612.11422487338484</v>
      </c>
      <c r="AH56" s="1655">
        <f t="shared" ref="AH56:AH64" si="47">X56*1%</f>
        <v>373.569435954136</v>
      </c>
      <c r="AI56" s="1655">
        <f t="shared" ref="AI56:AI63" si="48">(T56+U56)*0%</f>
        <v>0</v>
      </c>
      <c r="AJ56" s="1655">
        <f t="shared" ref="AJ56:AJ63" si="49">(T56+U56)*0%</f>
        <v>0</v>
      </c>
      <c r="AK56" s="1655">
        <f t="shared" ref="AK56:AK64" si="50">(T56+U56)*0%</f>
        <v>0</v>
      </c>
      <c r="AL56" s="1654">
        <f t="shared" ref="AL56:AL65" si="51">AC56-AH56+AI56+AJ56-AK56</f>
        <v>36983.374159459461</v>
      </c>
      <c r="AM56" s="1655"/>
      <c r="AN56" s="301"/>
    </row>
    <row r="57" spans="1:40" ht="16.5">
      <c r="A57" s="1373">
        <v>32</v>
      </c>
      <c r="B57" s="1274" t="s">
        <v>2286</v>
      </c>
      <c r="C57" s="955" t="s">
        <v>90</v>
      </c>
      <c r="D57" s="1386">
        <f>'T-1'!R60</f>
        <v>51.187551187551186</v>
      </c>
      <c r="E57" s="1386">
        <f t="shared" si="36"/>
        <v>51.187551187551186</v>
      </c>
      <c r="F57" s="1639"/>
      <c r="G57" s="1377"/>
      <c r="H57" s="1377"/>
      <c r="I57" s="1658"/>
      <c r="J57" s="1659"/>
      <c r="K57" s="1658">
        <v>500</v>
      </c>
      <c r="L57" s="1658"/>
      <c r="M57" s="1640"/>
      <c r="N57" s="1640"/>
      <c r="O57" s="1640"/>
      <c r="P57" s="1654"/>
      <c r="Q57" s="1670"/>
      <c r="R57" s="1377">
        <f t="shared" si="40"/>
        <v>500</v>
      </c>
      <c r="S57" s="721"/>
      <c r="T57" s="1655"/>
      <c r="U57" s="1655">
        <f>(E57*K57+F57*L57)/10</f>
        <v>2559.3775593775595</v>
      </c>
      <c r="V57" s="1654"/>
      <c r="W57" s="1655"/>
      <c r="X57" s="1381">
        <f t="shared" si="42"/>
        <v>2559.3775593775595</v>
      </c>
      <c r="Y57" s="1884"/>
      <c r="Z57" s="1388">
        <f t="shared" si="43"/>
        <v>500</v>
      </c>
      <c r="AA57" s="1639"/>
      <c r="AB57" s="1655"/>
      <c r="AC57" s="1403">
        <f t="shared" si="44"/>
        <v>2559.3775593775595</v>
      </c>
      <c r="AD57" s="1404"/>
      <c r="AE57" s="1391">
        <v>0.09</v>
      </c>
      <c r="AF57" s="1655">
        <f t="shared" ref="AF57" si="52">AE57*U57</f>
        <v>230.34398034398035</v>
      </c>
      <c r="AG57" s="1658">
        <f t="shared" ref="AG57" si="53">AF57/D57+Z57</f>
        <v>504.5</v>
      </c>
      <c r="AH57" s="1655"/>
      <c r="AI57" s="1655"/>
      <c r="AJ57" s="1655"/>
      <c r="AK57" s="1655"/>
      <c r="AL57" s="1654">
        <f t="shared" si="51"/>
        <v>2559.3775593775595</v>
      </c>
      <c r="AM57" s="1655"/>
      <c r="AN57" s="301"/>
    </row>
    <row r="58" spans="1:40" ht="16.5">
      <c r="A58" s="1373">
        <v>33</v>
      </c>
      <c r="B58" s="1373" t="s">
        <v>84</v>
      </c>
      <c r="C58" s="955" t="s">
        <v>90</v>
      </c>
      <c r="D58" s="1386">
        <f>'T-1'!R61</f>
        <v>982.32848232848232</v>
      </c>
      <c r="E58" s="1386">
        <f t="shared" si="36"/>
        <v>982.32848232848232</v>
      </c>
      <c r="F58" s="1639">
        <f>D58*0%</f>
        <v>0</v>
      </c>
      <c r="G58" s="1377">
        <f>'T-1'!P61</f>
        <v>20</v>
      </c>
      <c r="H58" s="1377">
        <f>'T-1'!Q61</f>
        <v>303000</v>
      </c>
      <c r="I58" s="1658"/>
      <c r="J58" s="1659">
        <v>250</v>
      </c>
      <c r="K58" s="1658">
        <f t="shared" si="38"/>
        <v>580</v>
      </c>
      <c r="L58" s="1658">
        <f t="shared" si="39"/>
        <v>470</v>
      </c>
      <c r="M58" s="1640"/>
      <c r="N58" s="1640"/>
      <c r="O58" s="1640">
        <v>700</v>
      </c>
      <c r="P58" s="1654"/>
      <c r="Q58" s="1660"/>
      <c r="R58" s="1377">
        <f t="shared" si="40"/>
        <v>654.04529269841282</v>
      </c>
      <c r="S58" s="721">
        <v>0.8</v>
      </c>
      <c r="T58" s="1655">
        <f t="shared" ref="T58:T63" si="54">(H58*J58*S58*12)/100000</f>
        <v>7272</v>
      </c>
      <c r="U58" s="1655">
        <f>(E58*K58+F58*L58)/10-((0*2*20)/10)</f>
        <v>56975.051975051974</v>
      </c>
      <c r="V58" s="1654"/>
      <c r="W58" s="1655">
        <f t="shared" si="41"/>
        <v>1.68</v>
      </c>
      <c r="X58" s="1381">
        <f t="shared" si="42"/>
        <v>64248.731975051975</v>
      </c>
      <c r="Y58" s="1884"/>
      <c r="Z58" s="1388">
        <f t="shared" si="43"/>
        <v>647.50483977142846</v>
      </c>
      <c r="AA58" s="1639"/>
      <c r="AB58" s="1655"/>
      <c r="AC58" s="1403">
        <f t="shared" si="44"/>
        <v>64248.731975051975</v>
      </c>
      <c r="AD58" s="1404"/>
      <c r="AE58" s="1391">
        <v>0</v>
      </c>
      <c r="AF58" s="1655">
        <f t="shared" si="45"/>
        <v>0</v>
      </c>
      <c r="AG58" s="1658">
        <f t="shared" si="46"/>
        <v>647.50483977142846</v>
      </c>
      <c r="AH58" s="1655">
        <f t="shared" si="47"/>
        <v>642.48731975051976</v>
      </c>
      <c r="AI58" s="1655">
        <f t="shared" si="48"/>
        <v>0</v>
      </c>
      <c r="AJ58" s="1655">
        <f t="shared" si="49"/>
        <v>0</v>
      </c>
      <c r="AK58" s="1655">
        <f t="shared" si="50"/>
        <v>0</v>
      </c>
      <c r="AL58" s="1654">
        <f t="shared" si="51"/>
        <v>63606.244655301452</v>
      </c>
      <c r="AM58" s="1655"/>
      <c r="AN58" s="301"/>
    </row>
    <row r="59" spans="1:40" ht="16.5">
      <c r="A59" s="1373">
        <v>34</v>
      </c>
      <c r="B59" s="1373" t="s">
        <v>91</v>
      </c>
      <c r="C59" s="955" t="s">
        <v>90</v>
      </c>
      <c r="D59" s="1386">
        <f>'T-1'!R62</f>
        <v>281.38760605735149</v>
      </c>
      <c r="E59" s="1386">
        <f t="shared" si="36"/>
        <v>280.85296960584253</v>
      </c>
      <c r="F59" s="1639">
        <f>D59*0.19%</f>
        <v>0.53463645150896788</v>
      </c>
      <c r="G59" s="1377">
        <f>'T-1'!P62</f>
        <v>3</v>
      </c>
      <c r="H59" s="1377">
        <f>'T-1'!Q62</f>
        <v>248556</v>
      </c>
      <c r="I59" s="1658"/>
      <c r="J59" s="1659">
        <v>250</v>
      </c>
      <c r="K59" s="1658">
        <f t="shared" si="38"/>
        <v>580</v>
      </c>
      <c r="L59" s="1658">
        <f t="shared" si="39"/>
        <v>470</v>
      </c>
      <c r="M59" s="1640"/>
      <c r="N59" s="1640"/>
      <c r="O59" s="1640">
        <v>700</v>
      </c>
      <c r="P59" s="1654"/>
      <c r="Q59" s="1660"/>
      <c r="R59" s="1377">
        <f t="shared" si="40"/>
        <v>786.9728329770993</v>
      </c>
      <c r="S59" s="721">
        <v>0.8</v>
      </c>
      <c r="T59" s="1655">
        <f t="shared" si="54"/>
        <v>5965.3440000000001</v>
      </c>
      <c r="U59" s="1655">
        <f>((E59*K59+F59*L59)/10)-((33.939*2*20)/10)</f>
        <v>16178.84415035979</v>
      </c>
      <c r="V59" s="1654"/>
      <c r="W59" s="1655">
        <f t="shared" si="41"/>
        <v>0.252</v>
      </c>
      <c r="X59" s="1381">
        <f t="shared" si="42"/>
        <v>22144.440150359791</v>
      </c>
      <c r="Y59" s="1884"/>
      <c r="Z59" s="1388">
        <f t="shared" si="43"/>
        <v>779.10310464732834</v>
      </c>
      <c r="AA59" s="1639"/>
      <c r="AB59" s="1655"/>
      <c r="AC59" s="1403">
        <f t="shared" si="44"/>
        <v>22144.440150359791</v>
      </c>
      <c r="AD59" s="1404"/>
      <c r="AE59" s="1391">
        <v>0.09</v>
      </c>
      <c r="AF59" s="1655">
        <f t="shared" si="45"/>
        <v>1456.0959735323811</v>
      </c>
      <c r="AG59" s="1658">
        <f t="shared" si="46"/>
        <v>784.2778029715879</v>
      </c>
      <c r="AH59" s="1655">
        <f t="shared" si="47"/>
        <v>221.4444015035979</v>
      </c>
      <c r="AI59" s="1655">
        <f t="shared" si="48"/>
        <v>0</v>
      </c>
      <c r="AJ59" s="1655">
        <f t="shared" si="49"/>
        <v>0</v>
      </c>
      <c r="AK59" s="1655">
        <f t="shared" si="50"/>
        <v>0</v>
      </c>
      <c r="AL59" s="1654">
        <f t="shared" si="51"/>
        <v>21922.995748856192</v>
      </c>
      <c r="AM59" s="1655"/>
      <c r="AN59" s="301"/>
    </row>
    <row r="60" spans="1:40" ht="16.5">
      <c r="A60" s="1373">
        <v>35</v>
      </c>
      <c r="B60" s="1373" t="s">
        <v>82</v>
      </c>
      <c r="C60" s="955" t="s">
        <v>90</v>
      </c>
      <c r="D60" s="1386">
        <f>'T-1'!R63</f>
        <v>1628.3951886501491</v>
      </c>
      <c r="E60" s="1386">
        <f t="shared" si="36"/>
        <v>1628.3951886501491</v>
      </c>
      <c r="F60" s="1639">
        <f>D60*0%</f>
        <v>0</v>
      </c>
      <c r="G60" s="1377">
        <f>'T-1'!P63</f>
        <v>7</v>
      </c>
      <c r="H60" s="1377">
        <f>'T-1'!Q63</f>
        <v>526667</v>
      </c>
      <c r="I60" s="1658"/>
      <c r="J60" s="1659">
        <v>250</v>
      </c>
      <c r="K60" s="1658">
        <f t="shared" si="38"/>
        <v>580</v>
      </c>
      <c r="L60" s="1658">
        <f t="shared" si="39"/>
        <v>470</v>
      </c>
      <c r="M60" s="1640"/>
      <c r="N60" s="1640"/>
      <c r="O60" s="1640">
        <v>700</v>
      </c>
      <c r="P60" s="1654"/>
      <c r="Q60" s="1660"/>
      <c r="R60" s="1377">
        <f t="shared" si="40"/>
        <v>664.75139263608469</v>
      </c>
      <c r="S60" s="721">
        <v>0.8</v>
      </c>
      <c r="T60" s="1655">
        <f>(H60*J60*S60*12)/100000+((100000+100000+3000)*J59*S59*3)/100000</f>
        <v>13858.008</v>
      </c>
      <c r="U60" s="1655">
        <f>(E60*K60+F60*L60)/10-(14.43*2*20)/10</f>
        <v>94389.200941708637</v>
      </c>
      <c r="V60" s="1654"/>
      <c r="W60" s="1655">
        <f t="shared" si="41"/>
        <v>0.58799999999999997</v>
      </c>
      <c r="X60" s="1381">
        <f t="shared" si="42"/>
        <v>108247.79694170864</v>
      </c>
      <c r="Y60" s="1884"/>
      <c r="Z60" s="1388">
        <f t="shared" si="43"/>
        <v>658.10387870972374</v>
      </c>
      <c r="AA60" s="1639"/>
      <c r="AB60" s="1655"/>
      <c r="AC60" s="1403">
        <f t="shared" si="44"/>
        <v>108247.79694170864</v>
      </c>
      <c r="AD60" s="1404"/>
      <c r="AE60" s="1391">
        <v>0.09</v>
      </c>
      <c r="AF60" s="1655">
        <f t="shared" si="45"/>
        <v>8495.0280847537779</v>
      </c>
      <c r="AG60" s="1658">
        <f t="shared" si="46"/>
        <v>663.32068857502168</v>
      </c>
      <c r="AH60" s="1655">
        <f t="shared" si="47"/>
        <v>1082.4779694170863</v>
      </c>
      <c r="AI60" s="1655">
        <f t="shared" si="48"/>
        <v>0</v>
      </c>
      <c r="AJ60" s="1655">
        <f t="shared" si="49"/>
        <v>0</v>
      </c>
      <c r="AK60" s="1655">
        <f t="shared" si="50"/>
        <v>0</v>
      </c>
      <c r="AL60" s="1654">
        <f t="shared" si="51"/>
        <v>107165.31897229156</v>
      </c>
      <c r="AM60" s="1655"/>
      <c r="AN60" s="301"/>
    </row>
    <row r="61" spans="1:40" ht="16.5">
      <c r="A61" s="1373">
        <v>36</v>
      </c>
      <c r="B61" s="1274" t="s">
        <v>1963</v>
      </c>
      <c r="C61" s="955" t="s">
        <v>90</v>
      </c>
      <c r="D61" s="1386">
        <f>'T-1'!R64</f>
        <v>0</v>
      </c>
      <c r="E61" s="1386">
        <f t="shared" si="36"/>
        <v>0</v>
      </c>
      <c r="F61" s="1639"/>
      <c r="G61" s="1377"/>
      <c r="H61" s="1377"/>
      <c r="I61" s="1658"/>
      <c r="J61" s="1659"/>
      <c r="K61" s="1658">
        <v>500</v>
      </c>
      <c r="L61" s="1658"/>
      <c r="M61" s="1640"/>
      <c r="N61" s="1640"/>
      <c r="O61" s="1640"/>
      <c r="P61" s="1654"/>
      <c r="Q61" s="1660"/>
      <c r="R61" s="1377" t="e">
        <f t="shared" si="40"/>
        <v>#DIV/0!</v>
      </c>
      <c r="S61" s="721"/>
      <c r="T61" s="1655"/>
      <c r="U61" s="1655">
        <f>(E61*K61+F61*L61)/10</f>
        <v>0</v>
      </c>
      <c r="V61" s="1654"/>
      <c r="W61" s="1655"/>
      <c r="X61" s="1381">
        <f t="shared" si="42"/>
        <v>0</v>
      </c>
      <c r="Y61" s="1884"/>
      <c r="Z61" s="1388" t="e">
        <f t="shared" si="43"/>
        <v>#DIV/0!</v>
      </c>
      <c r="AA61" s="1639"/>
      <c r="AB61" s="1655"/>
      <c r="AC61" s="1403">
        <f t="shared" si="44"/>
        <v>0</v>
      </c>
      <c r="AD61" s="1404"/>
      <c r="AE61" s="1391">
        <v>0.09</v>
      </c>
      <c r="AF61" s="1655">
        <f t="shared" ref="AF61" si="55">AE61*U61</f>
        <v>0</v>
      </c>
      <c r="AG61" s="1658" t="e">
        <f t="shared" ref="AG61" si="56">AF61/D61+Z61</f>
        <v>#DIV/0!</v>
      </c>
      <c r="AH61" s="1655"/>
      <c r="AI61" s="1655"/>
      <c r="AJ61" s="1655"/>
      <c r="AK61" s="1655"/>
      <c r="AL61" s="1654">
        <f t="shared" si="51"/>
        <v>0</v>
      </c>
      <c r="AM61" s="1655"/>
      <c r="AN61" s="301"/>
    </row>
    <row r="62" spans="1:40" ht="16.5">
      <c r="A62" s="1373">
        <v>37</v>
      </c>
      <c r="B62" s="1373" t="s">
        <v>92</v>
      </c>
      <c r="C62" s="955" t="s">
        <v>90</v>
      </c>
      <c r="D62" s="1386">
        <f>'T-1'!R65</f>
        <v>7.661290322580645</v>
      </c>
      <c r="E62" s="1386">
        <f t="shared" si="36"/>
        <v>7.661290322580645</v>
      </c>
      <c r="F62" s="1639">
        <f>D62*0%</f>
        <v>0</v>
      </c>
      <c r="G62" s="1377">
        <f>'T-1'!P65</f>
        <v>1</v>
      </c>
      <c r="H62" s="1377">
        <f>'T-1'!Q65</f>
        <v>5000</v>
      </c>
      <c r="I62" s="1658"/>
      <c r="J62" s="1659">
        <v>250</v>
      </c>
      <c r="K62" s="1658">
        <f t="shared" si="38"/>
        <v>580</v>
      </c>
      <c r="L62" s="1658">
        <f t="shared" si="39"/>
        <v>470</v>
      </c>
      <c r="M62" s="1640"/>
      <c r="N62" s="1640"/>
      <c r="O62" s="1640">
        <v>700</v>
      </c>
      <c r="P62" s="1654"/>
      <c r="Q62" s="1660"/>
      <c r="R62" s="1377">
        <f t="shared" si="40"/>
        <v>732.68968421052614</v>
      </c>
      <c r="S62" s="721">
        <v>0.8</v>
      </c>
      <c r="T62" s="1655">
        <f t="shared" si="54"/>
        <v>120</v>
      </c>
      <c r="U62" s="1655">
        <f>((E62*K62+F62*L62)/10)-((0.776*2*20)/10)</f>
        <v>441.2508387096774</v>
      </c>
      <c r="V62" s="1654"/>
      <c r="W62" s="1655">
        <f t="shared" si="41"/>
        <v>8.4000000000000005E-2</v>
      </c>
      <c r="X62" s="1381">
        <f t="shared" si="42"/>
        <v>561.33483870967734</v>
      </c>
      <c r="Y62" s="1884"/>
      <c r="Z62" s="1388">
        <f t="shared" si="43"/>
        <v>725.3627873684211</v>
      </c>
      <c r="AA62" s="1639"/>
      <c r="AB62" s="1655"/>
      <c r="AC62" s="1403">
        <f t="shared" si="44"/>
        <v>561.33483870967734</v>
      </c>
      <c r="AD62" s="1404"/>
      <c r="AE62" s="1391">
        <v>0.09</v>
      </c>
      <c r="AF62" s="1655">
        <f t="shared" si="45"/>
        <v>39.712575483870964</v>
      </c>
      <c r="AG62" s="1658">
        <f t="shared" si="46"/>
        <v>730.54632353684212</v>
      </c>
      <c r="AH62" s="1655">
        <f t="shared" si="47"/>
        <v>5.6133483870967735</v>
      </c>
      <c r="AI62" s="1655">
        <f t="shared" si="48"/>
        <v>0</v>
      </c>
      <c r="AJ62" s="1655">
        <f t="shared" si="49"/>
        <v>0</v>
      </c>
      <c r="AK62" s="1655">
        <f t="shared" si="50"/>
        <v>0</v>
      </c>
      <c r="AL62" s="1654">
        <f t="shared" si="51"/>
        <v>555.72149032258062</v>
      </c>
      <c r="AM62" s="1655"/>
      <c r="AN62" s="301"/>
    </row>
    <row r="63" spans="1:40" ht="16.5">
      <c r="A63" s="1373">
        <v>38</v>
      </c>
      <c r="B63" s="1373" t="s">
        <v>286</v>
      </c>
      <c r="C63" s="955" t="s">
        <v>90</v>
      </c>
      <c r="D63" s="1386">
        <f>'T-1'!R66</f>
        <v>1.0501995379122033</v>
      </c>
      <c r="E63" s="1386">
        <f t="shared" si="36"/>
        <v>1.0501995379122033</v>
      </c>
      <c r="F63" s="1639"/>
      <c r="G63" s="1377">
        <f>'T-1'!P66</f>
        <v>1</v>
      </c>
      <c r="H63" s="1377">
        <f>'T-1'!Q66</f>
        <v>5000</v>
      </c>
      <c r="I63" s="1658"/>
      <c r="J63" s="1659">
        <v>0</v>
      </c>
      <c r="K63" s="1658">
        <f>720+20+30</f>
        <v>770</v>
      </c>
      <c r="L63" s="1373"/>
      <c r="M63" s="1640"/>
      <c r="N63" s="1640"/>
      <c r="O63" s="1640">
        <v>700</v>
      </c>
      <c r="P63" s="1654"/>
      <c r="Q63" s="1373"/>
      <c r="R63" s="1377"/>
      <c r="S63" s="721"/>
      <c r="T63" s="1655">
        <f t="shared" si="54"/>
        <v>0</v>
      </c>
      <c r="U63" s="1655">
        <f>(E63*K63+F63*L63)/10-(0*2*20/10)</f>
        <v>80.865364419239654</v>
      </c>
      <c r="V63" s="1654"/>
      <c r="W63" s="1655">
        <f t="shared" si="41"/>
        <v>8.4000000000000005E-2</v>
      </c>
      <c r="X63" s="1381">
        <f t="shared" si="42"/>
        <v>80.949364419239657</v>
      </c>
      <c r="Y63" s="1884"/>
      <c r="Z63" s="1388">
        <f t="shared" si="43"/>
        <v>763.09184951999998</v>
      </c>
      <c r="AA63" s="1639"/>
      <c r="AB63" s="1655"/>
      <c r="AC63" s="1403">
        <f t="shared" si="44"/>
        <v>80.949364419239657</v>
      </c>
      <c r="AD63" s="1404"/>
      <c r="AE63" s="1391">
        <v>0.09</v>
      </c>
      <c r="AF63" s="1655">
        <f t="shared" si="45"/>
        <v>7.2778827977315688</v>
      </c>
      <c r="AG63" s="1658">
        <f t="shared" si="46"/>
        <v>770.02184951999993</v>
      </c>
      <c r="AH63" s="1655">
        <f t="shared" si="47"/>
        <v>0.80949364419239656</v>
      </c>
      <c r="AI63" s="1655">
        <f t="shared" si="48"/>
        <v>0</v>
      </c>
      <c r="AJ63" s="1655">
        <f t="shared" si="49"/>
        <v>0</v>
      </c>
      <c r="AK63" s="1655">
        <f t="shared" si="50"/>
        <v>0</v>
      </c>
      <c r="AL63" s="1654">
        <f t="shared" si="51"/>
        <v>80.139870775047257</v>
      </c>
      <c r="AM63" s="1655"/>
      <c r="AN63" s="301"/>
    </row>
    <row r="64" spans="1:40" ht="16.5">
      <c r="A64" s="1373">
        <v>39</v>
      </c>
      <c r="B64" s="1373" t="s">
        <v>86</v>
      </c>
      <c r="C64" s="955" t="s">
        <v>90</v>
      </c>
      <c r="D64" s="1386">
        <f>'T-1'!R67</f>
        <v>35</v>
      </c>
      <c r="E64" s="1386">
        <f t="shared" si="36"/>
        <v>35</v>
      </c>
      <c r="F64" s="1639"/>
      <c r="G64" s="1377">
        <f>'T-1'!P67</f>
        <v>0</v>
      </c>
      <c r="H64" s="1377">
        <f>'T-1'!Q67</f>
        <v>0</v>
      </c>
      <c r="I64" s="1658"/>
      <c r="J64" s="1659"/>
      <c r="K64" s="1658">
        <f>435+20+30</f>
        <v>485</v>
      </c>
      <c r="L64" s="1373"/>
      <c r="M64" s="1373"/>
      <c r="N64" s="1373"/>
      <c r="O64" s="1640">
        <v>0</v>
      </c>
      <c r="P64" s="1373"/>
      <c r="Q64" s="1373"/>
      <c r="R64" s="1377">
        <f>X64/D64*10</f>
        <v>485</v>
      </c>
      <c r="S64" s="721"/>
      <c r="T64" s="1655"/>
      <c r="U64" s="1655">
        <f>(E64*K64+F64*L64)/10</f>
        <v>1697.5</v>
      </c>
      <c r="V64" s="1654"/>
      <c r="W64" s="1655">
        <f t="shared" si="41"/>
        <v>0</v>
      </c>
      <c r="X64" s="1381">
        <f t="shared" si="42"/>
        <v>1697.5</v>
      </c>
      <c r="Y64" s="1884"/>
      <c r="Z64" s="1388">
        <f t="shared" si="43"/>
        <v>480.15</v>
      </c>
      <c r="AA64" s="1639"/>
      <c r="AB64" s="1655"/>
      <c r="AC64" s="1403">
        <f t="shared" si="44"/>
        <v>1697.5</v>
      </c>
      <c r="AD64" s="1404"/>
      <c r="AE64" s="1391">
        <v>0.09</v>
      </c>
      <c r="AF64" s="1655">
        <f t="shared" si="45"/>
        <v>152.77500000000001</v>
      </c>
      <c r="AG64" s="1658">
        <f t="shared" si="46"/>
        <v>484.51499999999999</v>
      </c>
      <c r="AH64" s="1655">
        <f t="shared" si="47"/>
        <v>16.975000000000001</v>
      </c>
      <c r="AI64" s="1655"/>
      <c r="AJ64" s="1655"/>
      <c r="AK64" s="1655">
        <f t="shared" si="50"/>
        <v>0</v>
      </c>
      <c r="AL64" s="1654">
        <f t="shared" si="51"/>
        <v>1680.5250000000001</v>
      </c>
      <c r="AM64" s="1655"/>
      <c r="AN64" s="301"/>
    </row>
    <row r="65" spans="1:40" ht="16.5">
      <c r="A65" s="1373">
        <v>40</v>
      </c>
      <c r="B65" s="1373" t="s">
        <v>289</v>
      </c>
      <c r="C65" s="955" t="s">
        <v>90</v>
      </c>
      <c r="D65" s="1386">
        <f>'T-1'!R68</f>
        <v>0</v>
      </c>
      <c r="E65" s="1386">
        <f t="shared" si="36"/>
        <v>0</v>
      </c>
      <c r="F65" s="1639"/>
      <c r="G65" s="1377">
        <f>'T-1'!P68</f>
        <v>0</v>
      </c>
      <c r="H65" s="1377">
        <f>'T-1'!Q68</f>
        <v>0</v>
      </c>
      <c r="I65" s="1658"/>
      <c r="J65" s="1655"/>
      <c r="K65" s="1658"/>
      <c r="L65" s="1373"/>
      <c r="M65" s="1373"/>
      <c r="N65" s="1373"/>
      <c r="O65" s="1640"/>
      <c r="P65" s="1654"/>
      <c r="Q65" s="1373"/>
      <c r="R65" s="1377" t="e">
        <f>X65/D65*10</f>
        <v>#DIV/0!</v>
      </c>
      <c r="S65" s="721"/>
      <c r="T65" s="1655"/>
      <c r="U65" s="1655">
        <f>(E65*K65+F65*L65)/10</f>
        <v>0</v>
      </c>
      <c r="V65" s="1654"/>
      <c r="W65" s="1655">
        <f t="shared" si="41"/>
        <v>0</v>
      </c>
      <c r="X65" s="1381">
        <f t="shared" si="42"/>
        <v>0</v>
      </c>
      <c r="Y65" s="1884"/>
      <c r="Z65" s="1388"/>
      <c r="AA65" s="1639"/>
      <c r="AB65" s="1655"/>
      <c r="AC65" s="1403">
        <f t="shared" si="44"/>
        <v>0</v>
      </c>
      <c r="AD65" s="1404"/>
      <c r="AE65" s="1391">
        <v>0.09</v>
      </c>
      <c r="AF65" s="1655">
        <f t="shared" si="45"/>
        <v>0</v>
      </c>
      <c r="AG65" s="1658" t="e">
        <f t="shared" si="46"/>
        <v>#DIV/0!</v>
      </c>
      <c r="AH65" s="1655"/>
      <c r="AI65" s="1655"/>
      <c r="AJ65" s="1655"/>
      <c r="AK65" s="1655"/>
      <c r="AL65" s="1654">
        <f t="shared" si="51"/>
        <v>0</v>
      </c>
      <c r="AM65" s="1655"/>
      <c r="AN65" s="301"/>
    </row>
    <row r="66" spans="1:40" ht="16.5">
      <c r="A66" s="1373"/>
      <c r="B66" s="1374" t="s">
        <v>290</v>
      </c>
      <c r="C66" s="1380"/>
      <c r="D66" s="1407">
        <f t="shared" ref="D66:I66" si="57">SUM(D55:D65)</f>
        <v>3596.6131026868115</v>
      </c>
      <c r="E66" s="1407">
        <f t="shared" si="57"/>
        <v>3455.1253540321904</v>
      </c>
      <c r="F66" s="1407">
        <f t="shared" si="57"/>
        <v>141.48774865462119</v>
      </c>
      <c r="G66" s="1408">
        <f t="shared" si="57"/>
        <v>46</v>
      </c>
      <c r="H66" s="1408">
        <f t="shared" si="57"/>
        <v>1233444</v>
      </c>
      <c r="I66" s="1408">
        <f t="shared" si="57"/>
        <v>0</v>
      </c>
      <c r="J66" s="952"/>
      <c r="K66" s="1668"/>
      <c r="L66" s="1668"/>
      <c r="M66" s="1668"/>
      <c r="N66" s="1668"/>
      <c r="O66" s="1374"/>
      <c r="P66" s="1374"/>
      <c r="Q66" s="947"/>
      <c r="R66" s="1395">
        <f>X66/D66*10</f>
        <v>658.66710613957616</v>
      </c>
      <c r="S66" s="721"/>
      <c r="T66" s="952">
        <f>SUM(T55:T65)</f>
        <v>30970.656000000003</v>
      </c>
      <c r="U66" s="952">
        <f>SUM(U55:U65)</f>
        <v>205955.22010235416</v>
      </c>
      <c r="V66" s="1662"/>
      <c r="W66" s="952">
        <f>SUM(W55:W65)</f>
        <v>3.6959999999999997</v>
      </c>
      <c r="X66" s="1662">
        <f>SUM(X55:X65)</f>
        <v>236897.07442504048</v>
      </c>
      <c r="Y66" s="956"/>
      <c r="Z66" s="1397">
        <f>(AC66-AH66-AI66+AJ66)/D66*10</f>
        <v>652.15159584766855</v>
      </c>
      <c r="AA66" s="1407">
        <f>SUM(AA55:AA65)</f>
        <v>0</v>
      </c>
      <c r="AB66" s="1662">
        <f>SUM(AB55:AB65)</f>
        <v>0</v>
      </c>
      <c r="AC66" s="1663">
        <f>SUM(AC55:AC65)</f>
        <v>236897.07442504048</v>
      </c>
      <c r="AD66" s="1662"/>
      <c r="AE66" s="1391"/>
      <c r="AF66" s="952">
        <f>SUM(AF55:AF65)</f>
        <v>13405.767700498965</v>
      </c>
      <c r="AG66" s="1408">
        <f t="shared" si="46"/>
        <v>655.87892689989769</v>
      </c>
      <c r="AH66" s="1662">
        <f>SUM(AH55:AH65)</f>
        <v>2343.3769686566293</v>
      </c>
      <c r="AI66" s="952">
        <f>SUM(AI55:AI65)</f>
        <v>0</v>
      </c>
      <c r="AJ66" s="952">
        <f>SUM(AJ55:AJ65)</f>
        <v>0</v>
      </c>
      <c r="AK66" s="952">
        <f>SUM(AK55:AK64)</f>
        <v>0</v>
      </c>
      <c r="AL66" s="952">
        <f>SUM(AL55:AL65)</f>
        <v>234553.69745638384</v>
      </c>
      <c r="AM66" s="952"/>
      <c r="AN66" s="301"/>
    </row>
    <row r="67" spans="1:40" ht="15.5">
      <c r="A67" s="1942" t="s">
        <v>94</v>
      </c>
      <c r="B67" s="1942"/>
      <c r="C67" s="1942"/>
      <c r="D67" s="1407">
        <f t="shared" ref="D67:I67" si="58">D66+D53+D35</f>
        <v>9798.4795604474202</v>
      </c>
      <c r="E67" s="1410">
        <f t="shared" si="58"/>
        <v>5796.8029017490408</v>
      </c>
      <c r="F67" s="1410">
        <f t="shared" si="58"/>
        <v>464.60809869837874</v>
      </c>
      <c r="G67" s="1408">
        <f t="shared" si="58"/>
        <v>2058897</v>
      </c>
      <c r="H67" s="1408">
        <f t="shared" si="58"/>
        <v>4841068.30528</v>
      </c>
      <c r="I67" s="1408">
        <f t="shared" si="58"/>
        <v>1421269.97612</v>
      </c>
      <c r="J67" s="955"/>
      <c r="K67" s="955"/>
      <c r="L67" s="955"/>
      <c r="M67" s="955"/>
      <c r="N67" s="955"/>
      <c r="O67" s="955"/>
      <c r="P67" s="955"/>
      <c r="Q67" s="947"/>
      <c r="R67" s="1395">
        <f>X67/D67*10</f>
        <v>591.99724829320689</v>
      </c>
      <c r="S67" s="721"/>
      <c r="T67" s="952">
        <f>T66+T53+T35</f>
        <v>46797.329928000006</v>
      </c>
      <c r="U67" s="952">
        <f>U66+U53+U35</f>
        <v>525402.1113108641</v>
      </c>
      <c r="V67" s="1411">
        <f>V66+V53+V35</f>
        <v>7856.2585626600003</v>
      </c>
      <c r="W67" s="952">
        <f>W66+W53+W35</f>
        <v>44.0916</v>
      </c>
      <c r="X67" s="1411">
        <f>X66+X53+X35</f>
        <v>580067.29372421047</v>
      </c>
      <c r="Y67" s="956"/>
      <c r="Z67" s="1397">
        <f>(AC67-AH67-AI67+AJ67)/D67*10</f>
        <v>585.78389885584841</v>
      </c>
      <c r="AA67" s="1410">
        <f>AA66+AA53+AA35</f>
        <v>934.8921499999999</v>
      </c>
      <c r="AB67" s="952">
        <f>AB66+AB53+AB35</f>
        <v>934.89215000000002</v>
      </c>
      <c r="AC67" s="1555">
        <f>AC66+AC53+AC35</f>
        <v>579132.40157421038</v>
      </c>
      <c r="AD67" s="1411"/>
      <c r="AE67" s="1385"/>
      <c r="AF67" s="952">
        <f>AF66+AF53+AF35</f>
        <v>31588.288418899931</v>
      </c>
      <c r="AG67" s="1408">
        <f t="shared" si="46"/>
        <v>589.0076937542334</v>
      </c>
      <c r="AH67" s="1411">
        <f>AH66+AH53+AH35</f>
        <v>5153.2455954630786</v>
      </c>
      <c r="AI67" s="952">
        <f>AI66+AI53+AI35</f>
        <v>9.2430000000000009E-7</v>
      </c>
      <c r="AJ67" s="952">
        <f>AJ66+AJ53+AJ35</f>
        <v>0</v>
      </c>
      <c r="AK67" s="952">
        <f>AK66+AK53+AK35</f>
        <v>0</v>
      </c>
      <c r="AL67" s="952">
        <f>AL66+AL53+AL35</f>
        <v>575116.21477269684</v>
      </c>
      <c r="AM67" s="952"/>
      <c r="AN67" s="301"/>
    </row>
    <row r="68" spans="1:40" ht="15.5">
      <c r="I68" s="161"/>
      <c r="L68" s="161"/>
      <c r="O68" s="301"/>
      <c r="P68" s="301"/>
      <c r="AJ68" s="347"/>
      <c r="AK68" s="347"/>
      <c r="AL68" s="347"/>
      <c r="AM68" s="347"/>
    </row>
    <row r="69" spans="1:40">
      <c r="K69" s="8"/>
      <c r="AJ69" s="347"/>
      <c r="AK69" s="347"/>
      <c r="AL69" s="347"/>
      <c r="AM69" s="347"/>
    </row>
    <row r="70" spans="1:40" ht="15.5">
      <c r="O70" s="301"/>
      <c r="P70" s="301"/>
      <c r="AJ70" s="347"/>
      <c r="AK70" s="347"/>
      <c r="AL70" s="347"/>
      <c r="AM70" s="347"/>
    </row>
    <row r="71" spans="1:40" ht="15.5">
      <c r="O71" s="301"/>
      <c r="P71" s="301"/>
      <c r="AJ71" s="347"/>
      <c r="AK71" s="347"/>
      <c r="AL71" s="347"/>
      <c r="AM71" s="347"/>
    </row>
    <row r="72" spans="1:40" ht="15.5">
      <c r="O72" s="301"/>
      <c r="P72" s="301"/>
      <c r="AJ72" s="347"/>
      <c r="AK72" s="347"/>
      <c r="AL72" s="347"/>
      <c r="AM72" s="347"/>
    </row>
    <row r="73" spans="1:40" ht="15.5">
      <c r="O73" s="301"/>
      <c r="P73" s="301"/>
      <c r="AJ73" s="347"/>
      <c r="AK73" s="347"/>
      <c r="AL73" s="347"/>
      <c r="AM73" s="347"/>
    </row>
    <row r="74" spans="1:40" ht="15.5">
      <c r="O74" s="301"/>
      <c r="P74" s="301"/>
      <c r="AJ74" s="347"/>
      <c r="AK74" s="347"/>
      <c r="AL74" s="347"/>
      <c r="AM74" s="347"/>
    </row>
    <row r="75" spans="1:40" ht="15.5">
      <c r="O75" s="301"/>
      <c r="P75" s="301"/>
      <c r="AJ75" s="347"/>
      <c r="AK75" s="347"/>
      <c r="AL75" s="347"/>
      <c r="AM75" s="347"/>
    </row>
    <row r="76" spans="1:40" ht="15.5">
      <c r="O76" s="301"/>
      <c r="P76" s="301"/>
      <c r="AJ76" s="347"/>
      <c r="AK76" s="347"/>
      <c r="AL76" s="347"/>
      <c r="AM76" s="347"/>
    </row>
    <row r="77" spans="1:40" ht="13">
      <c r="G77" s="2"/>
      <c r="H77" s="2"/>
      <c r="I77" s="2"/>
      <c r="J77" s="2"/>
      <c r="K77" s="2"/>
      <c r="L77" s="2"/>
      <c r="M77" s="2"/>
      <c r="N77" s="2"/>
      <c r="O77" s="2"/>
      <c r="P77" s="2"/>
      <c r="Q77" s="2"/>
      <c r="R77" s="2"/>
      <c r="S77" s="2"/>
      <c r="AJ77" s="347"/>
      <c r="AK77" s="347"/>
      <c r="AL77" s="347"/>
      <c r="AM77" s="347"/>
    </row>
    <row r="78" spans="1:40" ht="15.5">
      <c r="O78" s="954"/>
      <c r="P78" s="954"/>
      <c r="Q78" s="954"/>
      <c r="R78" s="954"/>
      <c r="S78" s="954"/>
      <c r="AJ78" s="347"/>
      <c r="AK78" s="347"/>
      <c r="AL78" s="347"/>
      <c r="AM78" s="347"/>
    </row>
    <row r="79" spans="1:40" ht="15.5">
      <c r="O79" s="954"/>
      <c r="P79" s="954"/>
      <c r="Q79" s="954"/>
      <c r="R79" s="954"/>
      <c r="S79" s="954"/>
      <c r="AJ79" s="347"/>
      <c r="AK79" s="347"/>
      <c r="AL79" s="347"/>
      <c r="AM79" s="347"/>
    </row>
    <row r="80" spans="1:40" ht="15.5">
      <c r="O80" s="301"/>
      <c r="P80" s="301"/>
      <c r="AJ80" s="347"/>
      <c r="AK80" s="347"/>
      <c r="AL80" s="347"/>
      <c r="AM80" s="347"/>
    </row>
    <row r="81" spans="7:39" ht="15.5">
      <c r="O81" s="301"/>
      <c r="P81" s="301"/>
      <c r="AJ81" s="347"/>
      <c r="AK81" s="347"/>
      <c r="AL81" s="347"/>
      <c r="AM81" s="347"/>
    </row>
    <row r="82" spans="7:39" ht="13">
      <c r="G82" s="2"/>
      <c r="H82" s="2"/>
      <c r="I82" s="2"/>
      <c r="J82" s="2"/>
      <c r="K82" s="2"/>
      <c r="L82" s="2"/>
      <c r="M82" s="2"/>
      <c r="N82" s="2"/>
      <c r="O82" s="2"/>
      <c r="P82" s="2"/>
      <c r="Q82" s="2"/>
      <c r="R82" s="2"/>
      <c r="S82" s="2"/>
      <c r="AJ82" s="347"/>
      <c r="AK82" s="347"/>
      <c r="AL82" s="347"/>
      <c r="AM82" s="347"/>
    </row>
    <row r="83" spans="7:39" ht="15.5">
      <c r="O83" s="954"/>
      <c r="P83" s="954"/>
      <c r="Q83" s="954"/>
      <c r="R83" s="954"/>
      <c r="S83" s="954"/>
      <c r="AJ83" s="347"/>
      <c r="AK83" s="347"/>
      <c r="AL83" s="347"/>
      <c r="AM83" s="347"/>
    </row>
    <row r="84" spans="7:39" ht="15.5">
      <c r="O84" s="954"/>
      <c r="P84" s="954"/>
      <c r="Q84" s="954"/>
      <c r="R84" s="954"/>
      <c r="S84" s="954"/>
      <c r="AJ84" s="347"/>
      <c r="AK84" s="347"/>
      <c r="AL84" s="347"/>
      <c r="AM84" s="347"/>
    </row>
    <row r="85" spans="7:39">
      <c r="AJ85" s="347"/>
      <c r="AK85" s="347"/>
      <c r="AL85" s="347"/>
      <c r="AM85" s="347"/>
    </row>
    <row r="86" spans="7:39">
      <c r="AJ86" s="347"/>
      <c r="AK86" s="347"/>
      <c r="AL86" s="347"/>
      <c r="AM86" s="347"/>
    </row>
    <row r="87" spans="7:39">
      <c r="AJ87" s="347"/>
      <c r="AK87" s="347"/>
      <c r="AL87" s="347"/>
      <c r="AM87" s="347"/>
    </row>
    <row r="88" spans="7:39">
      <c r="AJ88" s="347"/>
      <c r="AK88" s="347"/>
      <c r="AL88" s="347"/>
      <c r="AM88" s="347"/>
    </row>
    <row r="89" spans="7:39">
      <c r="AJ89" s="347"/>
      <c r="AK89" s="347"/>
      <c r="AL89" s="347"/>
      <c r="AM89" s="347"/>
    </row>
    <row r="90" spans="7:39">
      <c r="AJ90" s="347"/>
      <c r="AK90" s="347"/>
      <c r="AL90" s="347"/>
      <c r="AM90" s="347"/>
    </row>
    <row r="91" spans="7:39">
      <c r="AJ91" s="347"/>
      <c r="AK91" s="347"/>
      <c r="AL91" s="347"/>
      <c r="AM91" s="347"/>
    </row>
    <row r="92" spans="7:39">
      <c r="AJ92" s="347"/>
      <c r="AK92" s="347"/>
      <c r="AL92" s="347"/>
      <c r="AM92" s="347"/>
    </row>
    <row r="93" spans="7:39">
      <c r="AJ93" s="347"/>
      <c r="AK93" s="347"/>
      <c r="AL93" s="347"/>
      <c r="AM93" s="347"/>
    </row>
  </sheetData>
  <mergeCells count="3">
    <mergeCell ref="A67:C67"/>
    <mergeCell ref="M7:N7"/>
    <mergeCell ref="P7:Q7"/>
  </mergeCells>
  <phoneticPr fontId="0" type="noConversion"/>
  <printOptions horizontalCentered="1" gridLines="1"/>
  <pageMargins left="0.23622047244094491" right="0" top="0.43307086614173229" bottom="0.74803149606299213" header="0" footer="0"/>
  <pageSetup paperSize="9" scale="75" fitToWidth="6" fitToHeight="6" orientation="landscape" r:id="rId1"/>
  <headerFooter alignWithMargins="0">
    <oddFooter xml:space="preserve">&amp;R&amp;"Arial,Bold"&amp;12OERC FORM-&amp;A
&amp;"Arial,Regular"&amp;10
</oddFooter>
  </headerFooter>
  <rowBreaks count="2" manualBreakCount="2">
    <brk id="35" max="39" man="1"/>
    <brk id="53" max="3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N93"/>
  <sheetViews>
    <sheetView showGridLines="0" view="pageBreakPreview" zoomScale="90" zoomScaleNormal="75" zoomScaleSheetLayoutView="90" workbookViewId="0">
      <pane xSplit="2" ySplit="7" topLeftCell="C53" activePane="bottomRight" state="frozen"/>
      <selection pane="topRight" activeCell="C1" sqref="C1"/>
      <selection pane="bottomLeft" activeCell="A8" sqref="A8"/>
      <selection pane="bottomRight" activeCell="D57" sqref="D57"/>
    </sheetView>
  </sheetViews>
  <sheetFormatPr defaultColWidth="8.7265625" defaultRowHeight="12.5"/>
  <cols>
    <col min="1" max="1" width="3.54296875" customWidth="1"/>
    <col min="2" max="2" width="30" customWidth="1"/>
    <col min="3" max="3" width="7.81640625" bestFit="1" customWidth="1"/>
    <col min="4" max="4" width="13" bestFit="1" customWidth="1"/>
    <col min="5" max="5" width="12.54296875" bestFit="1" customWidth="1"/>
    <col min="6" max="6" width="9.54296875" customWidth="1"/>
    <col min="7" max="8" width="9.7265625" bestFit="1" customWidth="1"/>
    <col min="9" max="9" width="9.81640625" bestFit="1" customWidth="1"/>
    <col min="10" max="10" width="10" customWidth="1"/>
    <col min="11" max="11" width="11.26953125" bestFit="1" customWidth="1"/>
    <col min="12" max="12" width="10.1796875" bestFit="1" customWidth="1"/>
    <col min="13" max="13" width="8.453125" customWidth="1"/>
    <col min="14" max="14" width="7.26953125" customWidth="1"/>
    <col min="15" max="15" width="10.1796875" customWidth="1"/>
    <col min="16" max="16" width="9.54296875" customWidth="1"/>
    <col min="17" max="17" width="7.81640625" customWidth="1"/>
    <col min="18" max="18" width="9.54296875" customWidth="1"/>
    <col min="19" max="19" width="7.81640625" bestFit="1" customWidth="1"/>
    <col min="20" max="20" width="12.7265625" bestFit="1" customWidth="1"/>
    <col min="21" max="21" width="12.54296875" customWidth="1"/>
    <col min="22" max="22" width="11.453125" customWidth="1"/>
    <col min="23" max="23" width="9.453125" bestFit="1" customWidth="1"/>
    <col min="24" max="24" width="11.54296875" bestFit="1" customWidth="1"/>
    <col min="25" max="25" width="7.453125" bestFit="1" customWidth="1"/>
    <col min="26" max="26" width="11.453125" bestFit="1" customWidth="1"/>
    <col min="27" max="27" width="9.1796875" bestFit="1" customWidth="1"/>
    <col min="28" max="28" width="8.54296875" customWidth="1"/>
    <col min="29" max="29" width="11.54296875" bestFit="1" customWidth="1"/>
    <col min="30" max="30" width="7.453125" customWidth="1"/>
    <col min="31" max="31" width="7.7265625" customWidth="1"/>
    <col min="32" max="32" width="11.453125" customWidth="1"/>
    <col min="33" max="35" width="10" customWidth="1"/>
    <col min="36" max="37" width="10.54296875" customWidth="1"/>
    <col min="38" max="38" width="12.54296875" bestFit="1" customWidth="1"/>
    <col min="39" max="39" width="10.54296875" customWidth="1"/>
  </cols>
  <sheetData>
    <row r="1" spans="1:40" ht="21" customHeight="1">
      <c r="B1" s="2" t="s">
        <v>104</v>
      </c>
      <c r="R1" s="4"/>
      <c r="S1" s="4"/>
      <c r="T1" s="9"/>
    </row>
    <row r="2" spans="1:40" ht="18.75" customHeight="1">
      <c r="B2" s="68" t="s">
        <v>216</v>
      </c>
    </row>
    <row r="3" spans="1:40" ht="18">
      <c r="B3" s="6" t="s">
        <v>2346</v>
      </c>
    </row>
    <row r="4" spans="1:40" ht="13">
      <c r="B4" s="2"/>
    </row>
    <row r="5" spans="1:40" ht="15.5">
      <c r="A5" s="946">
        <v>1</v>
      </c>
      <c r="B5" s="947">
        <v>2</v>
      </c>
      <c r="C5" s="946">
        <v>3</v>
      </c>
      <c r="D5" s="946">
        <v>4</v>
      </c>
      <c r="E5" s="946">
        <v>5</v>
      </c>
      <c r="F5" s="946">
        <v>6</v>
      </c>
      <c r="G5" s="946">
        <v>7</v>
      </c>
      <c r="H5" s="946">
        <v>8</v>
      </c>
      <c r="I5" s="946">
        <v>9</v>
      </c>
      <c r="J5" s="946">
        <v>10</v>
      </c>
      <c r="K5" s="946">
        <v>11</v>
      </c>
      <c r="L5" s="946">
        <v>12</v>
      </c>
      <c r="M5" s="946">
        <v>13</v>
      </c>
      <c r="N5" s="946">
        <v>14</v>
      </c>
      <c r="O5" s="946">
        <v>15</v>
      </c>
      <c r="P5" s="946">
        <v>16</v>
      </c>
      <c r="Q5" s="946">
        <v>17</v>
      </c>
      <c r="R5" s="946">
        <v>18</v>
      </c>
      <c r="S5" s="946">
        <v>19</v>
      </c>
      <c r="T5" s="946">
        <v>20</v>
      </c>
      <c r="U5" s="946">
        <v>21</v>
      </c>
      <c r="V5" s="946">
        <v>22</v>
      </c>
      <c r="W5" s="946">
        <v>23</v>
      </c>
      <c r="X5" s="946">
        <v>24</v>
      </c>
      <c r="Y5" s="946">
        <v>25</v>
      </c>
      <c r="Z5" s="946">
        <v>26</v>
      </c>
      <c r="AA5" s="946">
        <v>27</v>
      </c>
      <c r="AB5" s="946">
        <v>28</v>
      </c>
      <c r="AC5" s="946">
        <v>29</v>
      </c>
      <c r="AD5" s="946">
        <v>30</v>
      </c>
      <c r="AE5" s="946">
        <v>31</v>
      </c>
      <c r="AF5" s="946">
        <v>32</v>
      </c>
      <c r="AG5" s="946">
        <v>33</v>
      </c>
      <c r="AH5" s="946">
        <v>34</v>
      </c>
      <c r="AI5" s="946">
        <v>35</v>
      </c>
      <c r="AJ5" s="946">
        <v>36</v>
      </c>
      <c r="AK5" s="946">
        <v>37</v>
      </c>
      <c r="AL5" s="946">
        <v>38</v>
      </c>
      <c r="AM5" s="946">
        <v>39</v>
      </c>
      <c r="AN5" s="301"/>
    </row>
    <row r="6" spans="1:40" ht="15.5">
      <c r="A6" s="946"/>
      <c r="B6" s="947"/>
      <c r="C6" s="946"/>
      <c r="D6" s="946"/>
      <c r="E6" s="946"/>
      <c r="F6" s="946"/>
      <c r="G6" s="946"/>
      <c r="H6" s="946"/>
      <c r="I6" s="946"/>
      <c r="J6" s="946"/>
      <c r="K6" s="946"/>
      <c r="L6" s="946"/>
      <c r="M6" s="948"/>
      <c r="N6" s="949"/>
      <c r="O6" s="946"/>
      <c r="P6" s="948"/>
      <c r="Q6" s="949"/>
      <c r="R6" s="946"/>
      <c r="S6" s="946"/>
      <c r="T6" s="946"/>
      <c r="U6" s="946"/>
      <c r="V6" s="946"/>
      <c r="W6" s="946"/>
      <c r="X6" s="946"/>
      <c r="Y6" s="946"/>
      <c r="Z6" s="946"/>
      <c r="AA6" s="946"/>
      <c r="AB6" s="946"/>
      <c r="AC6" s="946"/>
      <c r="AD6" s="946"/>
      <c r="AE6" s="946"/>
      <c r="AF6" s="946"/>
      <c r="AG6" s="946"/>
      <c r="AH6" s="946"/>
      <c r="AI6" s="946"/>
      <c r="AJ6" s="946"/>
      <c r="AK6" s="946"/>
      <c r="AL6" s="946"/>
      <c r="AM6" s="946"/>
      <c r="AN6" s="301"/>
    </row>
    <row r="7" spans="1:40" s="951" customFormat="1" ht="88.5" customHeight="1">
      <c r="A7" s="586" t="s">
        <v>217</v>
      </c>
      <c r="B7" s="950" t="s">
        <v>9</v>
      </c>
      <c r="C7" s="586" t="s">
        <v>218</v>
      </c>
      <c r="D7" s="586" t="s">
        <v>219</v>
      </c>
      <c r="E7" s="586" t="s">
        <v>220</v>
      </c>
      <c r="F7" s="586" t="s">
        <v>221</v>
      </c>
      <c r="G7" s="586" t="s">
        <v>222</v>
      </c>
      <c r="H7" s="586" t="s">
        <v>223</v>
      </c>
      <c r="I7" s="586" t="s">
        <v>224</v>
      </c>
      <c r="J7" s="586" t="s">
        <v>225</v>
      </c>
      <c r="K7" s="586" t="s">
        <v>226</v>
      </c>
      <c r="L7" s="586" t="s">
        <v>227</v>
      </c>
      <c r="M7" s="1955" t="s">
        <v>228</v>
      </c>
      <c r="N7" s="1956"/>
      <c r="O7" s="586" t="s">
        <v>229</v>
      </c>
      <c r="P7" s="1955" t="s">
        <v>230</v>
      </c>
      <c r="Q7" s="1956"/>
      <c r="R7" s="586" t="s">
        <v>231</v>
      </c>
      <c r="S7" s="586" t="s">
        <v>232</v>
      </c>
      <c r="T7" s="586" t="s">
        <v>233</v>
      </c>
      <c r="U7" s="586" t="s">
        <v>234</v>
      </c>
      <c r="V7" s="586" t="s">
        <v>235</v>
      </c>
      <c r="W7" s="586" t="s">
        <v>236</v>
      </c>
      <c r="X7" s="586" t="s">
        <v>237</v>
      </c>
      <c r="Y7" s="586" t="s">
        <v>238</v>
      </c>
      <c r="Z7" s="586" t="s">
        <v>239</v>
      </c>
      <c r="AA7" s="586" t="s">
        <v>240</v>
      </c>
      <c r="AB7" s="586" t="s">
        <v>241</v>
      </c>
      <c r="AC7" s="586" t="s">
        <v>242</v>
      </c>
      <c r="AD7" s="586" t="s">
        <v>243</v>
      </c>
      <c r="AE7" s="586" t="s">
        <v>244</v>
      </c>
      <c r="AF7" s="586" t="s">
        <v>245</v>
      </c>
      <c r="AG7" s="586" t="s">
        <v>246</v>
      </c>
      <c r="AH7" s="586" t="s">
        <v>247</v>
      </c>
      <c r="AI7" s="586" t="s">
        <v>248</v>
      </c>
      <c r="AJ7" s="586" t="s">
        <v>249</v>
      </c>
      <c r="AK7" s="586" t="s">
        <v>250</v>
      </c>
      <c r="AL7" s="586" t="s">
        <v>251</v>
      </c>
      <c r="AM7" s="586" t="s">
        <v>252</v>
      </c>
    </row>
    <row r="8" spans="1:40" s="951" customFormat="1" ht="44.25" customHeight="1">
      <c r="A8" s="586"/>
      <c r="B8" s="950" t="s">
        <v>253</v>
      </c>
      <c r="C8" s="586"/>
      <c r="D8" s="586" t="s">
        <v>254</v>
      </c>
      <c r="E8" s="586" t="s">
        <v>254</v>
      </c>
      <c r="F8" s="586" t="s">
        <v>254</v>
      </c>
      <c r="G8" s="586" t="s">
        <v>255</v>
      </c>
      <c r="H8" s="586" t="s">
        <v>256</v>
      </c>
      <c r="I8" s="586" t="s">
        <v>257</v>
      </c>
      <c r="J8" s="586" t="s">
        <v>258</v>
      </c>
      <c r="K8" s="586" t="s">
        <v>259</v>
      </c>
      <c r="L8" s="586" t="s">
        <v>259</v>
      </c>
      <c r="M8" s="586" t="s">
        <v>260</v>
      </c>
      <c r="N8" s="586" t="s">
        <v>261</v>
      </c>
      <c r="O8" s="586" t="s">
        <v>262</v>
      </c>
      <c r="P8" s="586" t="s">
        <v>263</v>
      </c>
      <c r="Q8" s="586" t="s">
        <v>264</v>
      </c>
      <c r="R8" s="586" t="s">
        <v>265</v>
      </c>
      <c r="S8" s="586"/>
      <c r="T8" s="586" t="s">
        <v>266</v>
      </c>
      <c r="U8" s="586" t="s">
        <v>266</v>
      </c>
      <c r="V8" s="586" t="s">
        <v>266</v>
      </c>
      <c r="W8" s="586" t="s">
        <v>266</v>
      </c>
      <c r="X8" s="586" t="s">
        <v>266</v>
      </c>
      <c r="Y8" s="586" t="s">
        <v>267</v>
      </c>
      <c r="Z8" s="586" t="s">
        <v>265</v>
      </c>
      <c r="AA8" s="586" t="s">
        <v>268</v>
      </c>
      <c r="AB8" s="586" t="s">
        <v>266</v>
      </c>
      <c r="AC8" s="586" t="s">
        <v>266</v>
      </c>
      <c r="AD8" s="586" t="s">
        <v>269</v>
      </c>
      <c r="AE8" s="586" t="s">
        <v>270</v>
      </c>
      <c r="AF8" s="586" t="s">
        <v>266</v>
      </c>
      <c r="AG8" s="586" t="s">
        <v>271</v>
      </c>
      <c r="AH8" s="586" t="s">
        <v>266</v>
      </c>
      <c r="AI8" s="586" t="s">
        <v>266</v>
      </c>
      <c r="AJ8" s="586" t="s">
        <v>266</v>
      </c>
      <c r="AK8" s="586" t="s">
        <v>266</v>
      </c>
      <c r="AL8" s="586" t="s">
        <v>266</v>
      </c>
      <c r="AM8" s="586"/>
    </row>
    <row r="9" spans="1:40" ht="15.5">
      <c r="A9" s="1373"/>
      <c r="B9" s="1374" t="s">
        <v>41</v>
      </c>
      <c r="C9" s="1374"/>
      <c r="D9" s="1374"/>
      <c r="E9" s="1374"/>
      <c r="F9" s="1374"/>
      <c r="G9" s="1374"/>
      <c r="H9" s="1374"/>
      <c r="I9" s="1374"/>
      <c r="J9" s="1374"/>
      <c r="K9" s="1374"/>
      <c r="L9" s="1374"/>
      <c r="M9" s="1374"/>
      <c r="N9" s="1374"/>
      <c r="O9" s="1374"/>
      <c r="P9" s="1374"/>
      <c r="Q9" s="1374"/>
      <c r="R9" s="1373"/>
      <c r="S9" s="1373"/>
      <c r="T9" s="1373"/>
      <c r="U9" s="1373"/>
      <c r="V9" s="1373"/>
      <c r="W9" s="1373"/>
      <c r="X9" s="1373"/>
      <c r="Y9" s="1373"/>
      <c r="Z9" s="1373"/>
      <c r="AA9" s="1373"/>
      <c r="AB9" s="1654"/>
      <c r="AC9" s="1373"/>
      <c r="AD9" s="1373"/>
      <c r="AE9" s="1373"/>
      <c r="AF9" s="1373"/>
      <c r="AG9" s="1373"/>
      <c r="AH9" s="1373"/>
      <c r="AI9" s="1373"/>
      <c r="AJ9" s="1373"/>
      <c r="AK9" s="1373"/>
      <c r="AL9" s="1373"/>
      <c r="AM9" s="1373"/>
      <c r="AN9" s="301"/>
    </row>
    <row r="10" spans="1:40" ht="15.5">
      <c r="A10" s="1373">
        <v>1</v>
      </c>
      <c r="B10" s="1375" t="s">
        <v>43</v>
      </c>
      <c r="C10" s="1376" t="s">
        <v>44</v>
      </c>
      <c r="D10" s="1376"/>
      <c r="E10" s="1376"/>
      <c r="F10" s="1376"/>
      <c r="G10" s="1377">
        <f>'T-1'!H12</f>
        <v>1944967</v>
      </c>
      <c r="H10" s="1377">
        <f>('T-1'!I12+'T-1'!L12)/2</f>
        <v>2121099.9865000006</v>
      </c>
      <c r="I10" s="1377">
        <f>(137960+197334)+(68760+76863)*2+(23983+7760)*3+(18212+6072)*4</f>
        <v>818905</v>
      </c>
      <c r="J10" s="1378"/>
      <c r="K10" s="1376"/>
      <c r="L10" s="1376"/>
      <c r="M10" s="1377">
        <v>20</v>
      </c>
      <c r="N10" s="1377">
        <v>20</v>
      </c>
      <c r="O10" s="1378"/>
      <c r="P10" s="1378"/>
      <c r="Q10" s="1378"/>
      <c r="R10" s="1378"/>
      <c r="S10" s="1379"/>
      <c r="T10" s="1380"/>
      <c r="U10" s="1654"/>
      <c r="V10" s="721">
        <f>((H10-I10)*M10+I10*N10)*6/100000</f>
        <v>2545.3199838000005</v>
      </c>
      <c r="W10" s="721"/>
      <c r="X10" s="721">
        <f>SUM(T10:W10)</f>
        <v>2545.3199838000005</v>
      </c>
      <c r="Y10" s="721">
        <v>0.1</v>
      </c>
      <c r="Z10" s="1378"/>
      <c r="AA10" s="1382">
        <f>(367528512)/1000000*1</f>
        <v>367.52851199999998</v>
      </c>
      <c r="AB10" s="721">
        <f>AA10*Y10*10</f>
        <v>367.52851200000003</v>
      </c>
      <c r="AC10" s="1383">
        <f>X10-AB10</f>
        <v>2177.7914718000006</v>
      </c>
      <c r="AD10" s="1384"/>
      <c r="AE10" s="1385"/>
      <c r="AF10" s="1373"/>
      <c r="AG10" s="1373"/>
      <c r="AH10" s="1373"/>
      <c r="AI10" s="1378"/>
      <c r="AJ10" s="1373"/>
      <c r="AK10" s="1373"/>
      <c r="AL10" s="1655">
        <f>AC10-AH10+AI10+AJ10-AK10</f>
        <v>2177.7914718000006</v>
      </c>
      <c r="AM10" s="1373"/>
      <c r="AN10" s="301"/>
    </row>
    <row r="11" spans="1:40" ht="15.5">
      <c r="A11" s="1373" t="s">
        <v>272</v>
      </c>
      <c r="B11" s="1375" t="s">
        <v>168</v>
      </c>
      <c r="C11" s="1378"/>
      <c r="D11" s="1386">
        <f>'T-1'!N13-'T-6 (six mth)'!H12</f>
        <v>5.1117444940246797</v>
      </c>
      <c r="E11" s="1386"/>
      <c r="F11" s="1387"/>
      <c r="G11" s="1377">
        <f>'T-1'!H13</f>
        <v>115673</v>
      </c>
      <c r="H11" s="1377">
        <f>('T-1'!I13+'T-1'!L13)/2</f>
        <v>47011.140000000181</v>
      </c>
      <c r="I11" s="1377"/>
      <c r="J11" s="1390">
        <v>80</v>
      </c>
      <c r="K11" s="1376"/>
      <c r="L11" s="1376"/>
      <c r="M11" s="1377"/>
      <c r="N11" s="1377"/>
      <c r="O11" s="1378"/>
      <c r="P11" s="1378"/>
      <c r="Q11" s="1378"/>
      <c r="R11" s="1381"/>
      <c r="S11" s="1381"/>
      <c r="T11" s="1381">
        <f>((J11*G11)*6)/100000</f>
        <v>555.23040000000003</v>
      </c>
      <c r="U11" s="1654"/>
      <c r="V11" s="1655"/>
      <c r="W11" s="721"/>
      <c r="X11" s="721">
        <f>SUM(T11:W11)</f>
        <v>555.23040000000003</v>
      </c>
      <c r="Y11" s="721"/>
      <c r="Z11" s="1388">
        <f>AC11/D11*10</f>
        <v>1086.1857447081536</v>
      </c>
      <c r="AA11" s="1382"/>
      <c r="AB11" s="721"/>
      <c r="AC11" s="1383">
        <f>X11-AB11</f>
        <v>555.23040000000003</v>
      </c>
      <c r="AD11" s="1384"/>
      <c r="AE11" s="1656">
        <v>0</v>
      </c>
      <c r="AF11" s="1654">
        <f>AE11*D11</f>
        <v>0</v>
      </c>
      <c r="AG11" s="1654"/>
      <c r="AH11" s="1373"/>
      <c r="AI11" s="1381"/>
      <c r="AJ11" s="1373"/>
      <c r="AK11" s="1373"/>
      <c r="AL11" s="1655">
        <f>AC11-AH11+AI11+AJ11-AK11</f>
        <v>555.23040000000003</v>
      </c>
      <c r="AM11" s="1373"/>
      <c r="AN11" s="301"/>
    </row>
    <row r="12" spans="1:40" ht="15.5">
      <c r="A12" s="1373" t="s">
        <v>169</v>
      </c>
      <c r="B12" s="1389" t="s">
        <v>49</v>
      </c>
      <c r="C12" s="1378"/>
      <c r="D12" s="1386"/>
      <c r="E12" s="1386"/>
      <c r="F12" s="1382"/>
      <c r="G12" s="1377"/>
      <c r="H12" s="1377"/>
      <c r="I12" s="1377"/>
      <c r="J12" s="1390"/>
      <c r="K12" s="1376"/>
      <c r="L12" s="1376"/>
      <c r="M12" s="1377"/>
      <c r="N12" s="1377"/>
      <c r="O12" s="1378"/>
      <c r="P12" s="1378"/>
      <c r="Q12" s="1378"/>
      <c r="R12" s="1381"/>
      <c r="S12" s="1381"/>
      <c r="T12" s="1381"/>
      <c r="U12" s="1654"/>
      <c r="V12" s="1655"/>
      <c r="W12" s="721"/>
      <c r="X12" s="721"/>
      <c r="Y12" s="721"/>
      <c r="Z12" s="1378"/>
      <c r="AA12" s="1382"/>
      <c r="AB12" s="721"/>
      <c r="AC12" s="1383"/>
      <c r="AD12" s="1384"/>
      <c r="AE12" s="1656"/>
      <c r="AF12" s="1654"/>
      <c r="AG12" s="1373"/>
      <c r="AH12" s="1373"/>
      <c r="AI12" s="1381"/>
      <c r="AJ12" s="1373"/>
      <c r="AK12" s="1373"/>
      <c r="AL12" s="1655"/>
      <c r="AM12" s="1373"/>
      <c r="AN12" s="301"/>
    </row>
    <row r="13" spans="1:40" ht="15.5">
      <c r="A13" s="1373"/>
      <c r="B13" s="1273" t="s">
        <v>170</v>
      </c>
      <c r="C13" s="1378"/>
      <c r="D13" s="1386">
        <f>'T-1'!N15-'T-6 (six mth)'!H14</f>
        <v>359.8148775465113</v>
      </c>
      <c r="E13" s="1386"/>
      <c r="F13" s="1382"/>
      <c r="G13" s="1377"/>
      <c r="H13" s="1377"/>
      <c r="I13" s="1377"/>
      <c r="J13" s="1390"/>
      <c r="K13" s="1377">
        <f>250+20+30</f>
        <v>300</v>
      </c>
      <c r="L13" s="1376"/>
      <c r="M13" s="1377"/>
      <c r="N13" s="1377"/>
      <c r="O13" s="1378"/>
      <c r="P13" s="1378"/>
      <c r="Q13" s="1378"/>
      <c r="R13" s="1381"/>
      <c r="S13" s="1381"/>
      <c r="T13" s="1381"/>
      <c r="U13" s="721">
        <f>D13*K13/10</f>
        <v>10794.44632639534</v>
      </c>
      <c r="V13" s="721"/>
      <c r="W13" s="721"/>
      <c r="X13" s="721">
        <f>SUM(T13:W13)</f>
        <v>10794.44632639534</v>
      </c>
      <c r="Y13" s="721"/>
      <c r="Z13" s="1378"/>
      <c r="AA13" s="1382"/>
      <c r="AB13" s="721"/>
      <c r="AC13" s="1383">
        <f>X13-AB13</f>
        <v>10794.44632639534</v>
      </c>
      <c r="AD13" s="1384"/>
      <c r="AE13" s="1656"/>
      <c r="AF13" s="1654"/>
      <c r="AG13" s="1373"/>
      <c r="AH13" s="1373"/>
      <c r="AI13" s="1381"/>
      <c r="AJ13" s="1373"/>
      <c r="AK13" s="1373"/>
      <c r="AL13" s="1655">
        <f t="shared" ref="AL13:AL34" si="0">AC13-AH13+AI13+AJ13-AK13</f>
        <v>10794.44632639534</v>
      </c>
      <c r="AM13" s="1373"/>
      <c r="AN13" s="301"/>
    </row>
    <row r="14" spans="1:40" ht="15.5">
      <c r="A14" s="1373"/>
      <c r="B14" s="1273" t="s">
        <v>52</v>
      </c>
      <c r="C14" s="1378"/>
      <c r="D14" s="1386">
        <f>'T-1'!N16-'T-6 (six mth)'!H15</f>
        <v>427.75292089921322</v>
      </c>
      <c r="E14" s="1386"/>
      <c r="F14" s="1382"/>
      <c r="G14" s="1377"/>
      <c r="H14" s="1377"/>
      <c r="I14" s="1377"/>
      <c r="J14" s="1390"/>
      <c r="K14" s="1377">
        <f>430+20+30</f>
        <v>480</v>
      </c>
      <c r="L14" s="1376"/>
      <c r="M14" s="1377"/>
      <c r="N14" s="1377"/>
      <c r="O14" s="1378"/>
      <c r="P14" s="1378"/>
      <c r="Q14" s="1378"/>
      <c r="R14" s="1381"/>
      <c r="S14" s="1381"/>
      <c r="T14" s="1381"/>
      <c r="U14" s="721">
        <f>D14*K14/10</f>
        <v>20532.140203162235</v>
      </c>
      <c r="V14" s="721"/>
      <c r="W14" s="721"/>
      <c r="X14" s="721">
        <f>SUM(T14:W14)</f>
        <v>20532.140203162235</v>
      </c>
      <c r="Y14" s="721"/>
      <c r="Z14" s="1378"/>
      <c r="AA14" s="1382"/>
      <c r="AB14" s="721"/>
      <c r="AC14" s="1383">
        <f>X14-AB14</f>
        <v>20532.140203162235</v>
      </c>
      <c r="AD14" s="1384"/>
      <c r="AE14" s="1656"/>
      <c r="AF14" s="1654"/>
      <c r="AG14" s="1373"/>
      <c r="AH14" s="1373"/>
      <c r="AI14" s="1381"/>
      <c r="AJ14" s="1373"/>
      <c r="AK14" s="1373"/>
      <c r="AL14" s="1655">
        <f t="shared" si="0"/>
        <v>20532.140203162235</v>
      </c>
      <c r="AM14" s="1373"/>
      <c r="AN14" s="301"/>
    </row>
    <row r="15" spans="1:40" ht="15.5">
      <c r="A15" s="1373"/>
      <c r="B15" s="1273" t="s">
        <v>53</v>
      </c>
      <c r="C15" s="1378"/>
      <c r="D15" s="1386">
        <f>'T-1'!N17-'T-6 (six mth)'!H16</f>
        <v>166.74742467587075</v>
      </c>
      <c r="E15" s="1386"/>
      <c r="F15" s="1382"/>
      <c r="G15" s="1377"/>
      <c r="H15" s="1377"/>
      <c r="I15" s="1377"/>
      <c r="J15" s="1390"/>
      <c r="K15" s="1377">
        <f>530+20+30</f>
        <v>580</v>
      </c>
      <c r="L15" s="1376"/>
      <c r="M15" s="1377"/>
      <c r="N15" s="1377"/>
      <c r="O15" s="1378"/>
      <c r="P15" s="1378"/>
      <c r="Q15" s="1378"/>
      <c r="R15" s="1381"/>
      <c r="S15" s="1381"/>
      <c r="T15" s="1381"/>
      <c r="U15" s="721">
        <f>D15*K15/10</f>
        <v>9671.3506312005029</v>
      </c>
      <c r="V15" s="721"/>
      <c r="W15" s="721"/>
      <c r="X15" s="721">
        <f>SUM(T15:W15)</f>
        <v>9671.3506312005029</v>
      </c>
      <c r="Y15" s="721"/>
      <c r="Z15" s="1378"/>
      <c r="AA15" s="1382"/>
      <c r="AB15" s="721"/>
      <c r="AC15" s="1383">
        <f>X15-AB15</f>
        <v>9671.3506312005029</v>
      </c>
      <c r="AD15" s="1384"/>
      <c r="AE15" s="1657"/>
      <c r="AF15" s="1654"/>
      <c r="AG15" s="1373"/>
      <c r="AH15" s="1373"/>
      <c r="AI15" s="1381"/>
      <c r="AJ15" s="1373"/>
      <c r="AK15" s="1373"/>
      <c r="AL15" s="1655">
        <f t="shared" si="0"/>
        <v>9671.3506312005029</v>
      </c>
      <c r="AM15" s="1373"/>
      <c r="AN15" s="301"/>
    </row>
    <row r="16" spans="1:40" ht="16.5">
      <c r="A16" s="1373"/>
      <c r="B16" s="1273" t="s">
        <v>273</v>
      </c>
      <c r="C16" s="1378"/>
      <c r="D16" s="1386">
        <f>'T-1'!N18-'T-6 (six mth)'!H17</f>
        <v>204.52866414534105</v>
      </c>
      <c r="E16" s="1386"/>
      <c r="F16" s="1382"/>
      <c r="G16" s="1377"/>
      <c r="H16" s="1377"/>
      <c r="I16" s="1377"/>
      <c r="J16" s="1390"/>
      <c r="K16" s="1377">
        <f>570+20+30</f>
        <v>620</v>
      </c>
      <c r="L16" s="1376"/>
      <c r="M16" s="1377"/>
      <c r="N16" s="1377"/>
      <c r="O16" s="1378"/>
      <c r="P16" s="1378"/>
      <c r="Q16" s="1378"/>
      <c r="R16" s="1381"/>
      <c r="S16" s="1381"/>
      <c r="T16" s="1381"/>
      <c r="U16" s="721">
        <f>(D16*K16/10)-((5.768*1*20)/10)</f>
        <v>12669.241177011147</v>
      </c>
      <c r="V16" s="721"/>
      <c r="W16" s="721"/>
      <c r="X16" s="721">
        <f>SUM(T16:W16)</f>
        <v>12669.241177011147</v>
      </c>
      <c r="Y16" s="721"/>
      <c r="Z16" s="1388">
        <f>((AC17-X11)/SUM(D13:D16))*10</f>
        <v>481.90244107233667</v>
      </c>
      <c r="AA16" s="1382"/>
      <c r="AB16" s="721"/>
      <c r="AC16" s="1383">
        <f>X16-AB16</f>
        <v>12669.241177011147</v>
      </c>
      <c r="AD16" s="1384"/>
      <c r="AE16" s="1391">
        <v>0.04</v>
      </c>
      <c r="AF16" s="1655">
        <f>AE16*SUM(U13:U16)</f>
        <v>2146.6871335107689</v>
      </c>
      <c r="AG16" s="1654"/>
      <c r="AH16" s="1373"/>
      <c r="AI16" s="1381"/>
      <c r="AJ16" s="1373"/>
      <c r="AK16" s="1373"/>
      <c r="AL16" s="1655">
        <f t="shared" si="0"/>
        <v>12669.241177011147</v>
      </c>
      <c r="AM16" s="1373"/>
      <c r="AN16" s="301"/>
    </row>
    <row r="17" spans="1:40" ht="16.5">
      <c r="A17" s="1373"/>
      <c r="B17" s="1392" t="s">
        <v>55</v>
      </c>
      <c r="C17" s="1376"/>
      <c r="D17" s="1393">
        <f>SUM(D10:D16)</f>
        <v>1163.9556317609608</v>
      </c>
      <c r="E17" s="1393"/>
      <c r="F17" s="1394"/>
      <c r="G17" s="1395">
        <f>SUM(G10:G16)</f>
        <v>2060640</v>
      </c>
      <c r="H17" s="1395">
        <f>SUM(H10:H16)</f>
        <v>2168111.1265000007</v>
      </c>
      <c r="I17" s="1395">
        <f>SUM(I10:I16)</f>
        <v>818905</v>
      </c>
      <c r="J17" s="1390"/>
      <c r="K17" s="721"/>
      <c r="L17" s="1376"/>
      <c r="M17" s="1377"/>
      <c r="N17" s="1377"/>
      <c r="O17" s="1378"/>
      <c r="P17" s="1378"/>
      <c r="Q17" s="1378"/>
      <c r="R17" s="1395">
        <f>(X17/D17)*10</f>
        <v>487.7138541413708</v>
      </c>
      <c r="S17" s="722"/>
      <c r="T17" s="1396">
        <f>SUM(T10:T16)</f>
        <v>555.23040000000003</v>
      </c>
      <c r="U17" s="722">
        <f>SUM(U10:U16)</f>
        <v>53667.178337769219</v>
      </c>
      <c r="V17" s="722">
        <f>SUM(V10:V16)</f>
        <v>2545.3199838000005</v>
      </c>
      <c r="W17" s="722">
        <f>SUM(W10:W16)</f>
        <v>0</v>
      </c>
      <c r="X17" s="722">
        <f>SUM(X10:X16)</f>
        <v>56767.728721569234</v>
      </c>
      <c r="Y17" s="721"/>
      <c r="Z17" s="1397">
        <f>AC17/D17*10</f>
        <v>484.55627234038781</v>
      </c>
      <c r="AA17" s="1394">
        <f>SUM(AA10:AA16)</f>
        <v>367.52851199999998</v>
      </c>
      <c r="AB17" s="722">
        <f>SUM(AB10:AB16)</f>
        <v>367.52851200000003</v>
      </c>
      <c r="AC17" s="1398">
        <f>SUM(AC10:AC16)</f>
        <v>56400.20020956923</v>
      </c>
      <c r="AD17" s="1283"/>
      <c r="AE17" s="1399"/>
      <c r="AF17" s="722">
        <f>SUM(AF10:AF16)</f>
        <v>2146.6871335107689</v>
      </c>
      <c r="AG17" s="1658">
        <f>AF17/SUM(D13:D16)+Z17</f>
        <v>486.40871092775751</v>
      </c>
      <c r="AH17" s="1654">
        <f t="shared" ref="AH17" si="1">X17*1%</f>
        <v>567.67728721569233</v>
      </c>
      <c r="AI17" s="722">
        <f>SUM(AI10:AI16)</f>
        <v>0</v>
      </c>
      <c r="AJ17" s="722">
        <f>SUM(AJ10:AJ16)</f>
        <v>0</v>
      </c>
      <c r="AK17" s="722">
        <f>SUM(AK10:AK16)</f>
        <v>0</v>
      </c>
      <c r="AL17" s="722">
        <f>SUM(AL10:AL16)</f>
        <v>56400.20020956923</v>
      </c>
      <c r="AM17" s="722"/>
      <c r="AN17" s="301"/>
    </row>
    <row r="18" spans="1:40" ht="16.5">
      <c r="A18" s="1373">
        <v>2</v>
      </c>
      <c r="B18" s="1375" t="s">
        <v>274</v>
      </c>
      <c r="C18" s="1376" t="s">
        <v>44</v>
      </c>
      <c r="D18" s="1386"/>
      <c r="E18" s="1386"/>
      <c r="F18" s="1387"/>
      <c r="G18" s="1377">
        <f>'T-1'!H25</f>
        <v>103720</v>
      </c>
      <c r="H18" s="1377">
        <f>('T-1'!I25+'T-1'!L25)/2</f>
        <v>329857.75836000044</v>
      </c>
      <c r="I18" s="1377">
        <f>(9026+6272)+(4914+2743)*2+(1937+1008)*3+(7630+7745)*4</f>
        <v>100947</v>
      </c>
      <c r="J18" s="1390"/>
      <c r="K18" s="721"/>
      <c r="L18" s="1376"/>
      <c r="M18" s="1377">
        <v>30</v>
      </c>
      <c r="N18" s="1377">
        <v>30</v>
      </c>
      <c r="O18" s="1378"/>
      <c r="P18" s="1378"/>
      <c r="Q18" s="1378"/>
      <c r="R18" s="1377"/>
      <c r="S18" s="1400"/>
      <c r="T18" s="1657"/>
      <c r="U18" s="721"/>
      <c r="V18" s="721">
        <f>((H18-I18)*M18+I18*N18)*6/100000</f>
        <v>593.74396504800086</v>
      </c>
      <c r="W18" s="721"/>
      <c r="X18" s="721">
        <f>SUM(T18:W18)</f>
        <v>593.74396504800086</v>
      </c>
      <c r="Y18" s="721">
        <v>0.1</v>
      </c>
      <c r="Z18" s="1378"/>
      <c r="AA18" s="1382">
        <f>(72486325)/1000000*1</f>
        <v>72.486324999999994</v>
      </c>
      <c r="AB18" s="721">
        <f>Y18*AA18*10</f>
        <v>72.486324999999994</v>
      </c>
      <c r="AC18" s="1383">
        <f>X18-AB18</f>
        <v>521.25764004800089</v>
      </c>
      <c r="AD18" s="1384"/>
      <c r="AE18" s="1399"/>
      <c r="AF18" s="1655"/>
      <c r="AG18" s="1655"/>
      <c r="AH18" s="1373"/>
      <c r="AI18" s="721"/>
      <c r="AJ18" s="1655"/>
      <c r="AK18" s="1655"/>
      <c r="AL18" s="1655">
        <f t="shared" si="0"/>
        <v>521.25764004800089</v>
      </c>
      <c r="AM18" s="1655"/>
      <c r="AN18" s="301"/>
    </row>
    <row r="19" spans="1:40" ht="16.5">
      <c r="A19" s="1373"/>
      <c r="B19" s="1375" t="s">
        <v>57</v>
      </c>
      <c r="C19" s="1376"/>
      <c r="D19" s="1386"/>
      <c r="E19" s="1386"/>
      <c r="F19" s="1387"/>
      <c r="G19" s="1377"/>
      <c r="H19" s="1377"/>
      <c r="I19" s="1377"/>
      <c r="J19" s="1390"/>
      <c r="K19" s="721"/>
      <c r="L19" s="1376"/>
      <c r="M19" s="1377"/>
      <c r="N19" s="1377"/>
      <c r="O19" s="1378"/>
      <c r="P19" s="1378"/>
      <c r="Q19" s="1378"/>
      <c r="R19" s="1377"/>
      <c r="S19" s="721"/>
      <c r="T19" s="721"/>
      <c r="U19" s="721"/>
      <c r="V19" s="721"/>
      <c r="W19" s="721"/>
      <c r="X19" s="721"/>
      <c r="Y19" s="721"/>
      <c r="Z19" s="1378"/>
      <c r="AA19" s="1382"/>
      <c r="AB19" s="721"/>
      <c r="AC19" s="1383"/>
      <c r="AD19" s="1384"/>
      <c r="AE19" s="1399"/>
      <c r="AF19" s="1655"/>
      <c r="AG19" s="1655"/>
      <c r="AH19" s="1373"/>
      <c r="AI19" s="721"/>
      <c r="AJ19" s="1655"/>
      <c r="AK19" s="1655"/>
      <c r="AL19" s="1655"/>
      <c r="AM19" s="1655"/>
      <c r="AN19" s="301"/>
    </row>
    <row r="20" spans="1:40" ht="16.5">
      <c r="A20" s="1373"/>
      <c r="B20" s="1375" t="s">
        <v>58</v>
      </c>
      <c r="C20" s="1376"/>
      <c r="D20" s="1386">
        <f>'T-1'!N22-'T-6 (six mth)'!H22</f>
        <v>27.03910899129205</v>
      </c>
      <c r="E20" s="1386"/>
      <c r="F20" s="1387"/>
      <c r="G20" s="1377"/>
      <c r="H20" s="1377"/>
      <c r="I20" s="1377"/>
      <c r="J20" s="1390"/>
      <c r="K20" s="1377">
        <f>540+20+30</f>
        <v>590</v>
      </c>
      <c r="L20" s="1376"/>
      <c r="M20" s="1377"/>
      <c r="N20" s="1377"/>
      <c r="O20" s="1378"/>
      <c r="P20" s="1378"/>
      <c r="Q20" s="1378"/>
      <c r="R20" s="1377"/>
      <c r="S20" s="721"/>
      <c r="T20" s="721"/>
      <c r="U20" s="721">
        <f>D20*K20/10</f>
        <v>1595.3074304862309</v>
      </c>
      <c r="V20" s="721"/>
      <c r="W20" s="721"/>
      <c r="X20" s="721">
        <f>SUM(T20:W20)</f>
        <v>1595.3074304862309</v>
      </c>
      <c r="Y20" s="721"/>
      <c r="Z20" s="1378"/>
      <c r="AA20" s="1382"/>
      <c r="AB20" s="721"/>
      <c r="AC20" s="1383">
        <f>X20-AB20</f>
        <v>1595.3074304862309</v>
      </c>
      <c r="AD20" s="1384"/>
      <c r="AE20" s="1399"/>
      <c r="AF20" s="1655"/>
      <c r="AG20" s="1655"/>
      <c r="AH20" s="1373"/>
      <c r="AI20" s="721"/>
      <c r="AJ20" s="1655"/>
      <c r="AK20" s="1655"/>
      <c r="AL20" s="1655">
        <f t="shared" si="0"/>
        <v>1595.3074304862309</v>
      </c>
      <c r="AM20" s="1655"/>
      <c r="AN20" s="301"/>
    </row>
    <row r="21" spans="1:40" ht="16.5">
      <c r="A21" s="1373"/>
      <c r="B21" s="1375" t="s">
        <v>59</v>
      </c>
      <c r="C21" s="1378"/>
      <c r="D21" s="1386">
        <f>'T-1'!N23-'T-6 (six mth)'!H23</f>
        <v>31.718218525207263</v>
      </c>
      <c r="E21" s="1386"/>
      <c r="F21" s="1382"/>
      <c r="G21" s="1377"/>
      <c r="H21" s="1377"/>
      <c r="I21" s="1377"/>
      <c r="J21" s="1390"/>
      <c r="K21" s="1377">
        <f>650+20+30</f>
        <v>700</v>
      </c>
      <c r="L21" s="1376"/>
      <c r="M21" s="1377"/>
      <c r="N21" s="1377"/>
      <c r="O21" s="1378"/>
      <c r="P21" s="1378"/>
      <c r="Q21" s="1378"/>
      <c r="R21" s="1377"/>
      <c r="S21" s="721"/>
      <c r="T21" s="721"/>
      <c r="U21" s="721">
        <f>D21*K21/10</f>
        <v>2220.2752967645083</v>
      </c>
      <c r="V21" s="721"/>
      <c r="W21" s="721"/>
      <c r="X21" s="721">
        <f>SUM(T21:W21)</f>
        <v>2220.2752967645083</v>
      </c>
      <c r="Y21" s="721"/>
      <c r="Z21" s="1378"/>
      <c r="AA21" s="1382"/>
      <c r="AB21" s="721"/>
      <c r="AC21" s="1383">
        <f>X21-AB21</f>
        <v>2220.2752967645083</v>
      </c>
      <c r="AD21" s="1384"/>
      <c r="AE21" s="1399"/>
      <c r="AF21" s="1655"/>
      <c r="AG21" s="1655"/>
      <c r="AH21" s="1373"/>
      <c r="AI21" s="721"/>
      <c r="AJ21" s="1655"/>
      <c r="AK21" s="1655"/>
      <c r="AL21" s="1655">
        <f t="shared" si="0"/>
        <v>2220.2752967645083</v>
      </c>
      <c r="AM21" s="1655"/>
      <c r="AN21" s="301"/>
    </row>
    <row r="22" spans="1:40" ht="16.5">
      <c r="A22" s="1373"/>
      <c r="B22" s="1401" t="s">
        <v>60</v>
      </c>
      <c r="C22" s="1376"/>
      <c r="D22" s="1386">
        <f>'T-1'!N24-'T-6 (six mth)'!H24</f>
        <v>205.79682620932084</v>
      </c>
      <c r="E22" s="1386"/>
      <c r="F22" s="1387"/>
      <c r="G22" s="1377"/>
      <c r="H22" s="1377"/>
      <c r="I22" s="1377"/>
      <c r="J22" s="1390"/>
      <c r="K22" s="1377">
        <f>710+20+30</f>
        <v>760</v>
      </c>
      <c r="L22" s="1376"/>
      <c r="M22" s="1377"/>
      <c r="N22" s="1377"/>
      <c r="O22" s="1378"/>
      <c r="P22" s="1378"/>
      <c r="Q22" s="1378"/>
      <c r="R22" s="1377"/>
      <c r="S22" s="721"/>
      <c r="T22" s="721"/>
      <c r="U22" s="721">
        <f>(D22*K22/10)-(13.996*1*20)/10</f>
        <v>15612.566791908383</v>
      </c>
      <c r="V22" s="721"/>
      <c r="W22" s="721"/>
      <c r="X22" s="721">
        <f>SUM(T22:W22)</f>
        <v>15612.566791908383</v>
      </c>
      <c r="Y22" s="721"/>
      <c r="Z22" s="1378"/>
      <c r="AA22" s="1382"/>
      <c r="AB22" s="721"/>
      <c r="AC22" s="1383">
        <f>X22-AB22</f>
        <v>15612.566791908383</v>
      </c>
      <c r="AD22" s="1384"/>
      <c r="AE22" s="1399"/>
      <c r="AF22" s="1657"/>
      <c r="AG22" s="1655"/>
      <c r="AH22" s="1373"/>
      <c r="AI22" s="721"/>
      <c r="AJ22" s="1655"/>
      <c r="AK22" s="1655"/>
      <c r="AL22" s="1655">
        <f t="shared" si="0"/>
        <v>15612.566791908383</v>
      </c>
      <c r="AM22" s="1655"/>
      <c r="AN22" s="301"/>
    </row>
    <row r="23" spans="1:40" ht="16.5">
      <c r="A23" s="1373"/>
      <c r="B23" s="1402" t="s">
        <v>275</v>
      </c>
      <c r="C23" s="1378"/>
      <c r="D23" s="1393">
        <f>SUM(D18:D22)</f>
        <v>264.55415372582013</v>
      </c>
      <c r="E23" s="1393"/>
      <c r="F23" s="1394"/>
      <c r="G23" s="1395">
        <f>SUM(G18:G22)</f>
        <v>103720</v>
      </c>
      <c r="H23" s="1395">
        <f>SUM(H18:H22)</f>
        <v>329857.75836000044</v>
      </c>
      <c r="I23" s="1395">
        <f>SUM(I18:I22)</f>
        <v>100947</v>
      </c>
      <c r="J23" s="1390"/>
      <c r="K23" s="721"/>
      <c r="L23" s="1376"/>
      <c r="M23" s="1377"/>
      <c r="N23" s="1377"/>
      <c r="O23" s="1378"/>
      <c r="P23" s="1378"/>
      <c r="Q23" s="1378"/>
      <c r="R23" s="1377">
        <f t="shared" ref="R23:R35" si="2">X23/D23*10</f>
        <v>756.816447681162</v>
      </c>
      <c r="S23" s="721"/>
      <c r="T23" s="1396">
        <f>SUM(T18:T22)</f>
        <v>0</v>
      </c>
      <c r="U23" s="722">
        <f>SUM(U18:U22)</f>
        <v>19428.149519159124</v>
      </c>
      <c r="V23" s="722">
        <f>SUM(V18:V22)</f>
        <v>593.74396504800086</v>
      </c>
      <c r="W23" s="722">
        <f>SUM(W18:W22)</f>
        <v>0</v>
      </c>
      <c r="X23" s="722">
        <f>SUM(X18:X22)</f>
        <v>20021.893484207125</v>
      </c>
      <c r="Y23" s="721"/>
      <c r="Z23" s="1388">
        <f t="shared" ref="Z23:Z28" si="3">AC23/D23*10</f>
        <v>754.0765048762903</v>
      </c>
      <c r="AA23" s="1394">
        <f>SUM(AA18:AA22)</f>
        <v>72.486324999999994</v>
      </c>
      <c r="AB23" s="722">
        <f>SUM(AB18:AB22)</f>
        <v>72.486324999999994</v>
      </c>
      <c r="AC23" s="1398">
        <f>SUM(AC18:AC22)</f>
        <v>19949.407159207123</v>
      </c>
      <c r="AD23" s="1283"/>
      <c r="AE23" s="1391">
        <v>0.04</v>
      </c>
      <c r="AF23" s="952">
        <f>AE23*SUM(U20:U22)</f>
        <v>777.12598076636493</v>
      </c>
      <c r="AG23" s="1658">
        <f t="shared" ref="AG23:AG35" si="4">AF23/D23+Z23</f>
        <v>757.01399789925665</v>
      </c>
      <c r="AH23" s="1373"/>
      <c r="AI23" s="722">
        <f>SUM(AI18:AI22)</f>
        <v>0</v>
      </c>
      <c r="AJ23" s="722">
        <f>SUM(AJ18:AJ22)</f>
        <v>0</v>
      </c>
      <c r="AK23" s="722">
        <f>SUM(AK18:AK22)</f>
        <v>0</v>
      </c>
      <c r="AL23" s="722">
        <f>SUM(AL18:AL22)</f>
        <v>19949.407159207123</v>
      </c>
      <c r="AM23" s="722"/>
      <c r="AN23" s="301"/>
    </row>
    <row r="24" spans="1:40" ht="16.5">
      <c r="A24" s="1373">
        <v>3</v>
      </c>
      <c r="B24" s="1375" t="s">
        <v>62</v>
      </c>
      <c r="C24" s="1376" t="s">
        <v>44</v>
      </c>
      <c r="D24" s="1386">
        <f>'T-1'!N26-'T-6 (six mth)'!H26</f>
        <v>179.79874999999996</v>
      </c>
      <c r="E24" s="1386"/>
      <c r="F24" s="1387"/>
      <c r="G24" s="1377">
        <f>'T-1'!H26</f>
        <v>84608</v>
      </c>
      <c r="H24" s="1377">
        <f>('T-1'!I26+'T-1'!L26)/2</f>
        <v>271604.18062500074</v>
      </c>
      <c r="I24" s="1377">
        <f>6764+52054*2+6877*3+250*4+399*5+45*6+6066*7</f>
        <v>177230</v>
      </c>
      <c r="J24" s="1390"/>
      <c r="K24" s="1377">
        <v>150</v>
      </c>
      <c r="L24" s="1376"/>
      <c r="M24" s="1377">
        <v>20</v>
      </c>
      <c r="N24" s="1377">
        <v>10</v>
      </c>
      <c r="O24" s="1378"/>
      <c r="P24" s="1378"/>
      <c r="Q24" s="1378"/>
      <c r="R24" s="1377">
        <f t="shared" si="2"/>
        <v>162.20370090170263</v>
      </c>
      <c r="S24" s="721"/>
      <c r="T24" s="721"/>
      <c r="U24" s="721">
        <f>(D24*K24/10)-(0.083*1*20)/10</f>
        <v>2696.8152499999992</v>
      </c>
      <c r="V24" s="721">
        <f t="shared" ref="V24:V31" si="5">((H24-I24)*M24+I24*N24)*6/100000</f>
        <v>219.58701675000086</v>
      </c>
      <c r="W24" s="721"/>
      <c r="X24" s="721">
        <f t="shared" ref="X24:X30" si="6">SUM(T24:W24)</f>
        <v>2916.4022667499999</v>
      </c>
      <c r="Y24" s="721">
        <v>0.1</v>
      </c>
      <c r="Z24" s="1388">
        <f t="shared" si="3"/>
        <v>161.99003145183158</v>
      </c>
      <c r="AA24" s="1382">
        <f>(3841750)/1000000*1</f>
        <v>3.8417500000000002</v>
      </c>
      <c r="AB24" s="721">
        <f>AA24*Y24*10</f>
        <v>3.8417500000000002</v>
      </c>
      <c r="AC24" s="1403">
        <f t="shared" ref="AC24:AC30" si="7">X24-AB24</f>
        <v>2912.5605167499998</v>
      </c>
      <c r="AD24" s="1404"/>
      <c r="AE24" s="1391">
        <v>0.02</v>
      </c>
      <c r="AF24" s="1655">
        <f t="shared" ref="AF24:AF34" si="8">AE24*U24</f>
        <v>53.936304999999983</v>
      </c>
      <c r="AG24" s="1658">
        <f t="shared" si="4"/>
        <v>162.29001298674214</v>
      </c>
      <c r="AH24" s="1373"/>
      <c r="AI24" s="721"/>
      <c r="AJ24" s="1655"/>
      <c r="AK24" s="1655"/>
      <c r="AL24" s="1655">
        <f t="shared" si="0"/>
        <v>2912.5605167499998</v>
      </c>
      <c r="AM24" s="1655"/>
      <c r="AN24" s="301"/>
    </row>
    <row r="25" spans="1:40" ht="16.5">
      <c r="A25" s="1373">
        <v>4</v>
      </c>
      <c r="B25" s="1375" t="s">
        <v>63</v>
      </c>
      <c r="C25" s="1376" t="s">
        <v>44</v>
      </c>
      <c r="D25" s="1386">
        <f>'T-1'!N27-'T-6 (six mth)'!H27</f>
        <v>5.2775999999999996</v>
      </c>
      <c r="E25" s="1386"/>
      <c r="F25" s="1387"/>
      <c r="G25" s="1377">
        <f>'T-1'!H27</f>
        <v>714</v>
      </c>
      <c r="H25" s="1377">
        <f>('T-1'!I27+'T-1'!L27)/2</f>
        <v>6668.1850000000013</v>
      </c>
      <c r="I25" s="1377">
        <f t="shared" ref="I25:I31" si="9">H25-G25</f>
        <v>5954.1850000000013</v>
      </c>
      <c r="J25" s="1390"/>
      <c r="K25" s="1377">
        <v>160</v>
      </c>
      <c r="L25" s="1376"/>
      <c r="M25" s="1377">
        <v>20</v>
      </c>
      <c r="N25" s="1377">
        <v>10</v>
      </c>
      <c r="O25" s="1378"/>
      <c r="P25" s="1378"/>
      <c r="Q25" s="1378"/>
      <c r="R25" s="1377">
        <f t="shared" si="2"/>
        <v>167.75221881158103</v>
      </c>
      <c r="S25" s="721"/>
      <c r="T25" s="721"/>
      <c r="U25" s="721">
        <f>(D25*K25/10)-(0.169*1*20)/10</f>
        <v>84.1036</v>
      </c>
      <c r="V25" s="721">
        <f t="shared" si="5"/>
        <v>4.4293110000000002</v>
      </c>
      <c r="W25" s="721"/>
      <c r="X25" s="721">
        <f t="shared" si="6"/>
        <v>88.532910999999999</v>
      </c>
      <c r="Y25" s="721">
        <v>0.1</v>
      </c>
      <c r="Z25" s="1388">
        <f t="shared" si="3"/>
        <v>167.11460322874035</v>
      </c>
      <c r="AA25" s="1382">
        <f>(336508/1000000)*1</f>
        <v>0.33650799999999997</v>
      </c>
      <c r="AB25" s="721">
        <f>AA25*Y25*10</f>
        <v>0.33650800000000003</v>
      </c>
      <c r="AC25" s="1403">
        <f t="shared" si="7"/>
        <v>88.196403000000004</v>
      </c>
      <c r="AD25" s="1404"/>
      <c r="AE25" s="1391">
        <v>0.02</v>
      </c>
      <c r="AF25" s="1655">
        <f t="shared" si="8"/>
        <v>1.682072</v>
      </c>
      <c r="AG25" s="1658">
        <f t="shared" si="4"/>
        <v>167.43332234348946</v>
      </c>
      <c r="AH25" s="1654"/>
      <c r="AI25" s="721"/>
      <c r="AJ25" s="1655"/>
      <c r="AK25" s="1655"/>
      <c r="AL25" s="1655">
        <f t="shared" si="0"/>
        <v>88.196403000000004</v>
      </c>
      <c r="AM25" s="1655"/>
      <c r="AN25" s="301"/>
    </row>
    <row r="26" spans="1:40" ht="16.5">
      <c r="A26" s="1373">
        <v>5</v>
      </c>
      <c r="B26" s="1375" t="s">
        <v>64</v>
      </c>
      <c r="C26" s="1376" t="s">
        <v>44</v>
      </c>
      <c r="D26" s="1386">
        <f>'T-1'!N28-'T-6 (six mth)'!H28</f>
        <v>0.8335999999999999</v>
      </c>
      <c r="E26" s="1386"/>
      <c r="F26" s="1387"/>
      <c r="G26" s="1377">
        <f>'T-1'!H28</f>
        <v>124</v>
      </c>
      <c r="H26" s="1377">
        <f>('T-1'!I28+'T-1'!L28)/2</f>
        <v>2344.9780000000001</v>
      </c>
      <c r="I26" s="1377">
        <f t="shared" si="9"/>
        <v>2220.9780000000001</v>
      </c>
      <c r="J26" s="1390"/>
      <c r="K26" s="1377">
        <v>310</v>
      </c>
      <c r="L26" s="1376"/>
      <c r="M26" s="1377">
        <v>80</v>
      </c>
      <c r="N26" s="1377">
        <v>50</v>
      </c>
      <c r="O26" s="1378"/>
      <c r="P26" s="1378"/>
      <c r="Q26" s="1378"/>
      <c r="R26" s="1377">
        <f t="shared" si="2"/>
        <v>387.59277831094045</v>
      </c>
      <c r="S26" s="721"/>
      <c r="T26" s="721"/>
      <c r="U26" s="721">
        <f>(D26*K26/10)-(0.395*1*20)/10</f>
        <v>25.051599999999993</v>
      </c>
      <c r="V26" s="721">
        <f t="shared" si="5"/>
        <v>7.2581340000000001</v>
      </c>
      <c r="W26" s="721"/>
      <c r="X26" s="721">
        <f t="shared" si="6"/>
        <v>32.309733999999992</v>
      </c>
      <c r="Y26" s="721">
        <v>0.1</v>
      </c>
      <c r="Z26" s="1388">
        <f t="shared" si="3"/>
        <v>371.93652831094039</v>
      </c>
      <c r="AA26" s="1382">
        <f>(1305105/1000000)*1</f>
        <v>1.305105</v>
      </c>
      <c r="AB26" s="721">
        <f>AA26*Y26*10</f>
        <v>1.305105</v>
      </c>
      <c r="AC26" s="1403">
        <f>X26-AB26</f>
        <v>31.004628999999991</v>
      </c>
      <c r="AD26" s="1404"/>
      <c r="AE26" s="1391">
        <v>0.02</v>
      </c>
      <c r="AF26" s="1655">
        <f t="shared" si="8"/>
        <v>0.50103199999999992</v>
      </c>
      <c r="AG26" s="1658">
        <f t="shared" si="4"/>
        <v>372.53757437619953</v>
      </c>
      <c r="AH26" s="1654">
        <f>X26*1%</f>
        <v>0.3230973399999999</v>
      </c>
      <c r="AI26" s="721"/>
      <c r="AJ26" s="1655"/>
      <c r="AK26" s="1655"/>
      <c r="AL26" s="1655">
        <f t="shared" si="0"/>
        <v>30.68153165999999</v>
      </c>
      <c r="AM26" s="1655"/>
      <c r="AN26" s="301"/>
    </row>
    <row r="27" spans="1:40" ht="16.5">
      <c r="A27" s="1373">
        <v>6</v>
      </c>
      <c r="B27" s="1375" t="s">
        <v>65</v>
      </c>
      <c r="C27" s="1376" t="s">
        <v>44</v>
      </c>
      <c r="D27" s="1386">
        <f>'T-1'!N29-'T-6 (six mth)'!H29</f>
        <v>26.814239999999998</v>
      </c>
      <c r="E27" s="1386"/>
      <c r="F27" s="1387"/>
      <c r="G27" s="1377">
        <f>'T-1'!H29</f>
        <v>3834</v>
      </c>
      <c r="H27" s="1377">
        <f>('T-1'!I29+'T-1'!L29)/2</f>
        <v>13931.147500000006</v>
      </c>
      <c r="I27" s="1377">
        <f t="shared" si="9"/>
        <v>10097.147500000006</v>
      </c>
      <c r="J27" s="1390"/>
      <c r="K27" s="1377">
        <f t="shared" ref="K27:K34" si="10">570+20+30</f>
        <v>620</v>
      </c>
      <c r="L27" s="1376"/>
      <c r="M27" s="1377">
        <v>20</v>
      </c>
      <c r="N27" s="1377">
        <v>15</v>
      </c>
      <c r="O27" s="1378"/>
      <c r="P27" s="1378"/>
      <c r="Q27" s="1378"/>
      <c r="R27" s="1377">
        <f t="shared" si="2"/>
        <v>625.10483711266852</v>
      </c>
      <c r="S27" s="721"/>
      <c r="T27" s="721"/>
      <c r="U27" s="721">
        <f>(D27*K27/10)-(0*1*20)/10</f>
        <v>1662.48288</v>
      </c>
      <c r="V27" s="721">
        <f t="shared" si="5"/>
        <v>13.688232750000005</v>
      </c>
      <c r="W27" s="721"/>
      <c r="X27" s="721">
        <f t="shared" si="6"/>
        <v>1676.17111275</v>
      </c>
      <c r="Y27" s="721"/>
      <c r="Z27" s="1388">
        <f t="shared" si="3"/>
        <v>625.10483711266852</v>
      </c>
      <c r="AA27" s="1382"/>
      <c r="AB27" s="721"/>
      <c r="AC27" s="1403">
        <f t="shared" si="7"/>
        <v>1676.17111275</v>
      </c>
      <c r="AD27" s="1404"/>
      <c r="AE27" s="1391">
        <v>0.04</v>
      </c>
      <c r="AF27" s="1655">
        <f t="shared" si="8"/>
        <v>66.499315199999998</v>
      </c>
      <c r="AG27" s="1658">
        <f t="shared" si="4"/>
        <v>627.58483711266854</v>
      </c>
      <c r="AH27" s="1373"/>
      <c r="AI27" s="721"/>
      <c r="AJ27" s="1655"/>
      <c r="AK27" s="1655"/>
      <c r="AL27" s="1655">
        <f t="shared" si="0"/>
        <v>1676.17111275</v>
      </c>
      <c r="AM27" s="1655"/>
      <c r="AN27" s="301"/>
    </row>
    <row r="28" spans="1:40" ht="16.5">
      <c r="A28" s="1373">
        <v>7</v>
      </c>
      <c r="B28" s="1375" t="s">
        <v>174</v>
      </c>
      <c r="C28" s="1376" t="s">
        <v>44</v>
      </c>
      <c r="D28" s="1386">
        <f>'T-1'!N30-'T-6 (six mth)'!H30</f>
        <v>11.80541</v>
      </c>
      <c r="E28" s="1386"/>
      <c r="F28" s="1387"/>
      <c r="G28" s="1377">
        <f>'T-1'!H30</f>
        <v>3766</v>
      </c>
      <c r="H28" s="1377">
        <f>('T-1'!I30+'T-1'!L30)/2</f>
        <v>37367.408820000026</v>
      </c>
      <c r="I28" s="1377">
        <f t="shared" si="9"/>
        <v>33601.408820000026</v>
      </c>
      <c r="J28" s="1390"/>
      <c r="K28" s="1377">
        <f t="shared" si="10"/>
        <v>620</v>
      </c>
      <c r="L28" s="1376"/>
      <c r="M28" s="1377">
        <v>80</v>
      </c>
      <c r="N28" s="1377">
        <v>35</v>
      </c>
      <c r="O28" s="1378"/>
      <c r="P28" s="1378"/>
      <c r="Q28" s="1378"/>
      <c r="R28" s="1377">
        <f t="shared" si="2"/>
        <v>693.78291691859931</v>
      </c>
      <c r="S28" s="721"/>
      <c r="T28" s="721"/>
      <c r="U28" s="721">
        <f>(D28*K28/10)-(0.768*1*20)/10</f>
        <v>730.39942000000008</v>
      </c>
      <c r="V28" s="721">
        <f t="shared" si="5"/>
        <v>88.639758522000051</v>
      </c>
      <c r="W28" s="721"/>
      <c r="X28" s="721">
        <f t="shared" si="6"/>
        <v>819.03917852200016</v>
      </c>
      <c r="Y28" s="721">
        <v>0.1</v>
      </c>
      <c r="Z28" s="1388">
        <f t="shared" si="3"/>
        <v>690.08455659058018</v>
      </c>
      <c r="AA28" s="1382">
        <f>(4366066/1000000)*1</f>
        <v>4.366066</v>
      </c>
      <c r="AB28" s="721">
        <f>AA28*Y28*10</f>
        <v>4.366066</v>
      </c>
      <c r="AC28" s="1403">
        <f t="shared" si="7"/>
        <v>814.67311252200011</v>
      </c>
      <c r="AD28" s="1404"/>
      <c r="AE28" s="1391">
        <v>0.05</v>
      </c>
      <c r="AF28" s="1655">
        <f t="shared" si="8"/>
        <v>36.519971000000005</v>
      </c>
      <c r="AG28" s="1658">
        <f t="shared" si="4"/>
        <v>693.1780510986066</v>
      </c>
      <c r="AH28" s="1373"/>
      <c r="AI28" s="721"/>
      <c r="AJ28" s="1655"/>
      <c r="AK28" s="1655"/>
      <c r="AL28" s="1655">
        <f t="shared" si="0"/>
        <v>814.67311252200011</v>
      </c>
      <c r="AM28" s="1655"/>
      <c r="AN28" s="301"/>
    </row>
    <row r="29" spans="1:40" ht="16.5">
      <c r="A29" s="1373">
        <v>8</v>
      </c>
      <c r="B29" s="1375" t="s">
        <v>175</v>
      </c>
      <c r="C29" s="1376" t="s">
        <v>44</v>
      </c>
      <c r="D29" s="1386">
        <f>'T-1'!N31-'T-6 (six mth)'!H31</f>
        <v>33.500792000000004</v>
      </c>
      <c r="E29" s="1386"/>
      <c r="F29" s="1382"/>
      <c r="G29" s="1377">
        <f>'T-1'!H31</f>
        <v>1439</v>
      </c>
      <c r="H29" s="1377">
        <f>('T-1'!I31+'T-1'!L31)/2</f>
        <v>67598.466</v>
      </c>
      <c r="I29" s="1377">
        <f t="shared" si="9"/>
        <v>66159.466</v>
      </c>
      <c r="J29" s="1390"/>
      <c r="K29" s="1377">
        <f t="shared" si="10"/>
        <v>620</v>
      </c>
      <c r="L29" s="1376"/>
      <c r="M29" s="1377">
        <v>100</v>
      </c>
      <c r="N29" s="1377">
        <v>80</v>
      </c>
      <c r="O29" s="1378"/>
      <c r="P29" s="1378"/>
      <c r="Q29" s="1378"/>
      <c r="R29" s="1377">
        <f t="shared" si="2"/>
        <v>714.14148680425217</v>
      </c>
      <c r="S29" s="721"/>
      <c r="T29" s="721"/>
      <c r="U29" s="721">
        <f>(D29*K29/10)-(5.409*1*20)/10</f>
        <v>2066.231104</v>
      </c>
      <c r="V29" s="721">
        <f t="shared" si="5"/>
        <v>326.1994368</v>
      </c>
      <c r="W29" s="721"/>
      <c r="X29" s="721">
        <f t="shared" si="6"/>
        <v>2392.4305408</v>
      </c>
      <c r="Y29" s="721"/>
      <c r="Z29" s="1388">
        <f>(AC29-AH29)/D29*10</f>
        <v>707.00007193620979</v>
      </c>
      <c r="AA29" s="1382"/>
      <c r="AB29" s="1655"/>
      <c r="AC29" s="1403">
        <f t="shared" si="7"/>
        <v>2392.4305408</v>
      </c>
      <c r="AD29" s="1404"/>
      <c r="AE29" s="1391">
        <v>0.08</v>
      </c>
      <c r="AF29" s="1655">
        <f t="shared" si="8"/>
        <v>165.29848831999999</v>
      </c>
      <c r="AG29" s="1658">
        <f t="shared" si="4"/>
        <v>711.93423851710736</v>
      </c>
      <c r="AH29" s="1654">
        <f t="shared" ref="AH29:AH34" si="11">X29*1%</f>
        <v>23.924305408000002</v>
      </c>
      <c r="AI29" s="721"/>
      <c r="AJ29" s="1655"/>
      <c r="AK29" s="1655"/>
      <c r="AL29" s="1655">
        <f t="shared" si="0"/>
        <v>2368.5062353920002</v>
      </c>
      <c r="AM29" s="1655"/>
      <c r="AN29" s="301"/>
    </row>
    <row r="30" spans="1:40" ht="18" customHeight="1">
      <c r="A30" s="1373">
        <v>9</v>
      </c>
      <c r="B30" s="1375" t="s">
        <v>276</v>
      </c>
      <c r="C30" s="1376" t="s">
        <v>44</v>
      </c>
      <c r="D30" s="1386">
        <f>'T-1'!N32-'T-6 (six mth)'!H32</f>
        <v>30.397420000000004</v>
      </c>
      <c r="E30" s="1386"/>
      <c r="F30" s="1639"/>
      <c r="G30" s="1377">
        <f>'T-1'!H32</f>
        <v>14781</v>
      </c>
      <c r="H30" s="1377">
        <f>('T-1'!I32+'T-1'!L32)/2</f>
        <v>41949.731999999967</v>
      </c>
      <c r="I30" s="1658">
        <f t="shared" si="9"/>
        <v>27168.731999999967</v>
      </c>
      <c r="J30" s="1659"/>
      <c r="K30" s="1377">
        <f t="shared" si="10"/>
        <v>620</v>
      </c>
      <c r="L30" s="1376"/>
      <c r="M30" s="1377">
        <v>50</v>
      </c>
      <c r="N30" s="1377">
        <v>50</v>
      </c>
      <c r="O30" s="1373"/>
      <c r="P30" s="1373"/>
      <c r="Q30" s="1660"/>
      <c r="R30" s="1377">
        <f t="shared" si="2"/>
        <v>660.33276376745118</v>
      </c>
      <c r="S30" s="721"/>
      <c r="T30" s="721"/>
      <c r="U30" s="721">
        <f>(D30*K30/10)-((1.555+0.069)*1*20)/10</f>
        <v>1881.3920400000002</v>
      </c>
      <c r="V30" s="721">
        <f t="shared" si="5"/>
        <v>125.84919599999992</v>
      </c>
      <c r="W30" s="1655"/>
      <c r="X30" s="721">
        <f t="shared" si="6"/>
        <v>2007.2412360000001</v>
      </c>
      <c r="Y30" s="1655" t="s">
        <v>29</v>
      </c>
      <c r="Z30" s="1388">
        <f>(AC30-AH30)/D30*10</f>
        <v>653.72943612977679</v>
      </c>
      <c r="AA30" s="1639"/>
      <c r="AB30" s="1655"/>
      <c r="AC30" s="1403">
        <f t="shared" si="7"/>
        <v>2007.2412360000001</v>
      </c>
      <c r="AD30" s="1404"/>
      <c r="AE30" s="1391">
        <v>0.04</v>
      </c>
      <c r="AF30" s="1655">
        <f t="shared" si="8"/>
        <v>75.255681600000003</v>
      </c>
      <c r="AG30" s="1658">
        <f t="shared" si="4"/>
        <v>656.20516208283459</v>
      </c>
      <c r="AH30" s="1654">
        <f t="shared" si="11"/>
        <v>20.072412360000001</v>
      </c>
      <c r="AI30" s="1655">
        <f>(T30+U30)*0%</f>
        <v>0</v>
      </c>
      <c r="AJ30" s="1655">
        <f>(T30+U30)*0%</f>
        <v>0</v>
      </c>
      <c r="AK30" s="1655">
        <f>(T30+U30)*0%</f>
        <v>0</v>
      </c>
      <c r="AL30" s="1655">
        <f t="shared" si="0"/>
        <v>1987.16882364</v>
      </c>
      <c r="AM30" s="1655"/>
      <c r="AN30" s="301"/>
    </row>
    <row r="31" spans="1:40" ht="18" customHeight="1">
      <c r="A31" s="1373">
        <v>10</v>
      </c>
      <c r="B31" s="955" t="s">
        <v>277</v>
      </c>
      <c r="C31" s="1376"/>
      <c r="D31" s="1386">
        <f>'T-1'!N33-'T-6 (six mth)'!H33</f>
        <v>28.52148</v>
      </c>
      <c r="E31" s="1386"/>
      <c r="F31" s="1639"/>
      <c r="G31" s="1377">
        <f>'T-1'!H33</f>
        <v>4952</v>
      </c>
      <c r="H31" s="1377">
        <f>('T-1'!I33+'T-1'!L33)/2</f>
        <v>36087.062674999965</v>
      </c>
      <c r="I31" s="1658">
        <f t="shared" si="9"/>
        <v>31135.062674999965</v>
      </c>
      <c r="J31" s="1659"/>
      <c r="K31" s="1377">
        <f t="shared" si="10"/>
        <v>620</v>
      </c>
      <c r="L31" s="1376"/>
      <c r="M31" s="1377">
        <v>50</v>
      </c>
      <c r="N31" s="1377">
        <v>50</v>
      </c>
      <c r="O31" s="1373"/>
      <c r="P31" s="1373"/>
      <c r="Q31" s="1660"/>
      <c r="R31" s="1377">
        <f t="shared" si="2"/>
        <v>657.43045172445466</v>
      </c>
      <c r="S31" s="721"/>
      <c r="T31" s="721"/>
      <c r="U31" s="721">
        <f>(D31*K31/10)-(0.752*1*20)/10</f>
        <v>1766.8277599999999</v>
      </c>
      <c r="V31" s="721">
        <f t="shared" si="5"/>
        <v>108.2611880249999</v>
      </c>
      <c r="W31" s="1655"/>
      <c r="X31" s="721">
        <f>SUM(T31:W31)</f>
        <v>1875.0889480249998</v>
      </c>
      <c r="Y31" s="1655">
        <v>0.1</v>
      </c>
      <c r="Z31" s="1388">
        <f>AC31/D31*10</f>
        <v>656.61178488107907</v>
      </c>
      <c r="AA31" s="1382">
        <f>(2334959/1000000)*1</f>
        <v>2.334959</v>
      </c>
      <c r="AB31" s="721">
        <f>AA31*Y31*10</f>
        <v>2.334959</v>
      </c>
      <c r="AC31" s="1403">
        <f>X31-AB31</f>
        <v>1872.7539890249998</v>
      </c>
      <c r="AD31" s="1404"/>
      <c r="AE31" s="1391">
        <v>0</v>
      </c>
      <c r="AF31" s="1655">
        <f t="shared" si="8"/>
        <v>0</v>
      </c>
      <c r="AG31" s="1658">
        <f t="shared" si="4"/>
        <v>656.61178488107907</v>
      </c>
      <c r="AH31" s="1655"/>
      <c r="AI31" s="1655"/>
      <c r="AJ31" s="1655"/>
      <c r="AK31" s="1655"/>
      <c r="AL31" s="1655">
        <f t="shared" si="0"/>
        <v>1872.7539890249998</v>
      </c>
      <c r="AM31" s="1655"/>
      <c r="AN31" s="301"/>
    </row>
    <row r="32" spans="1:40" ht="18" customHeight="1">
      <c r="A32" s="1373">
        <v>11</v>
      </c>
      <c r="B32" s="955" t="s">
        <v>278</v>
      </c>
      <c r="C32" s="1376"/>
      <c r="D32" s="1386">
        <f>'T-1'!N34-'T-6 (six mth)'!H34</f>
        <v>9.8286000000000012E-2</v>
      </c>
      <c r="E32" s="1386"/>
      <c r="F32" s="1639"/>
      <c r="G32" s="1377">
        <f>'T-1'!H34</f>
        <v>19</v>
      </c>
      <c r="H32" s="1377">
        <f>('T-1'!I34+'T-1'!L34)/2</f>
        <v>1938</v>
      </c>
      <c r="I32" s="1658"/>
      <c r="J32" s="1659">
        <v>200</v>
      </c>
      <c r="K32" s="1377">
        <f t="shared" si="10"/>
        <v>620</v>
      </c>
      <c r="L32" s="1373"/>
      <c r="M32" s="1640"/>
      <c r="N32" s="1640"/>
      <c r="O32" s="1640">
        <v>30</v>
      </c>
      <c r="P32" s="1654"/>
      <c r="Q32" s="1660"/>
      <c r="R32" s="1377">
        <f t="shared" si="2"/>
        <v>2391.0558980933192</v>
      </c>
      <c r="S32" s="1400">
        <v>0.8</v>
      </c>
      <c r="T32" s="1655">
        <f>(H32*J32*S32*6)/100000</f>
        <v>18.604800000000001</v>
      </c>
      <c r="U32" s="721">
        <f>(D32*K32/10)-(0.616*1*20)/10</f>
        <v>4.8617320000000008</v>
      </c>
      <c r="V32" s="1655"/>
      <c r="W32" s="1655">
        <f>(O32*G32*6)/100000</f>
        <v>3.4200000000000001E-2</v>
      </c>
      <c r="X32" s="721">
        <f>SUM(T32:W32)</f>
        <v>23.500731999999999</v>
      </c>
      <c r="Y32" s="1655">
        <v>0.1</v>
      </c>
      <c r="Z32" s="1388">
        <f>(AC32-AH32)/D32*10</f>
        <v>2316.2672893392746</v>
      </c>
      <c r="AA32" s="1382">
        <f>(500060/1000000)*1</f>
        <v>0.50005999999999995</v>
      </c>
      <c r="AB32" s="721">
        <f>AA32*Y32*10</f>
        <v>0.50005999999999995</v>
      </c>
      <c r="AC32" s="1403">
        <f>X32-AB32</f>
        <v>23.000671999999998</v>
      </c>
      <c r="AD32" s="1404"/>
      <c r="AE32" s="1391">
        <v>0</v>
      </c>
      <c r="AF32" s="1655">
        <f t="shared" si="8"/>
        <v>0</v>
      </c>
      <c r="AG32" s="1658">
        <f t="shared" si="4"/>
        <v>2316.2672893392746</v>
      </c>
      <c r="AH32" s="1654">
        <f t="shared" si="11"/>
        <v>0.23500731999999999</v>
      </c>
      <c r="AI32" s="1655">
        <f>(T32+U32)*0%</f>
        <v>0</v>
      </c>
      <c r="AJ32" s="1655">
        <f>(T32+U32)*0%</f>
        <v>0</v>
      </c>
      <c r="AK32" s="1655">
        <f>(T32+U32)*0%</f>
        <v>0</v>
      </c>
      <c r="AL32" s="1655">
        <f t="shared" si="0"/>
        <v>22.765664679999997</v>
      </c>
      <c r="AM32" s="1655"/>
      <c r="AN32" s="301"/>
    </row>
    <row r="33" spans="1:40" ht="18" customHeight="1">
      <c r="A33" s="1373">
        <v>12</v>
      </c>
      <c r="B33" s="1373" t="s">
        <v>279</v>
      </c>
      <c r="C33" s="1376" t="s">
        <v>44</v>
      </c>
      <c r="D33" s="1386">
        <f>'T-1'!N35-'T-6 (six mth)'!H35</f>
        <v>0</v>
      </c>
      <c r="E33" s="1386"/>
      <c r="F33" s="1639"/>
      <c r="G33" s="1377">
        <f>'T-1'!H35</f>
        <v>2</v>
      </c>
      <c r="H33" s="1377">
        <f>('T-1'!I35+'T-1'!L35)/2</f>
        <v>322</v>
      </c>
      <c r="I33" s="1658"/>
      <c r="J33" s="1659">
        <v>200</v>
      </c>
      <c r="K33" s="1377">
        <f t="shared" si="10"/>
        <v>620</v>
      </c>
      <c r="L33" s="1373"/>
      <c r="M33" s="1640"/>
      <c r="N33" s="1640"/>
      <c r="O33" s="1640">
        <v>30</v>
      </c>
      <c r="P33" s="1654"/>
      <c r="Q33" s="1660"/>
      <c r="R33" s="1377" t="e">
        <f t="shared" si="2"/>
        <v>#DIV/0!</v>
      </c>
      <c r="S33" s="721">
        <v>0.8</v>
      </c>
      <c r="T33" s="1655">
        <f>(H33*J33*S33*6)/100000</f>
        <v>3.0912000000000002</v>
      </c>
      <c r="U33" s="721">
        <f>(D33*K33/10)-(0.024*1*20)/10</f>
        <v>-4.8000000000000001E-2</v>
      </c>
      <c r="V33" s="1655"/>
      <c r="W33" s="1655">
        <f>(O33*G33*6)/100000</f>
        <v>3.5999999999999999E-3</v>
      </c>
      <c r="X33" s="721">
        <f>SUM(T33:W33)</f>
        <v>3.0468000000000002</v>
      </c>
      <c r="Y33" s="1655"/>
      <c r="Z33" s="1388" t="e">
        <f>(AC33-AH33)/D33*10</f>
        <v>#DIV/0!</v>
      </c>
      <c r="AA33" s="1639"/>
      <c r="AB33" s="1655"/>
      <c r="AC33" s="1403">
        <f>X33-AB33</f>
        <v>3.0468000000000002</v>
      </c>
      <c r="AD33" s="1404"/>
      <c r="AE33" s="1391">
        <v>0.04</v>
      </c>
      <c r="AF33" s="1655">
        <f t="shared" si="8"/>
        <v>-1.92E-3</v>
      </c>
      <c r="AG33" s="1658" t="e">
        <f t="shared" si="4"/>
        <v>#DIV/0!</v>
      </c>
      <c r="AH33" s="1654">
        <f t="shared" si="11"/>
        <v>3.0468000000000002E-2</v>
      </c>
      <c r="AI33" s="1655">
        <f>(T33+U33)*0%</f>
        <v>0</v>
      </c>
      <c r="AJ33" s="1655">
        <f>(T33+U33)*0%</f>
        <v>0</v>
      </c>
      <c r="AK33" s="1655">
        <f>(T33+U33)*0%</f>
        <v>0</v>
      </c>
      <c r="AL33" s="1655">
        <f t="shared" si="0"/>
        <v>3.0163320000000002</v>
      </c>
      <c r="AM33" s="1655"/>
      <c r="AN33" s="301"/>
    </row>
    <row r="34" spans="1:40" ht="18" customHeight="1">
      <c r="A34" s="1373">
        <v>13</v>
      </c>
      <c r="B34" s="1373" t="s">
        <v>72</v>
      </c>
      <c r="C34" s="1376" t="s">
        <v>44</v>
      </c>
      <c r="D34" s="1386">
        <f>'T-1'!N36-'T-6 (six mth)'!H36</f>
        <v>0</v>
      </c>
      <c r="E34" s="1386"/>
      <c r="F34" s="1639"/>
      <c r="G34" s="1377">
        <f>'T-1'!H36</f>
        <v>0</v>
      </c>
      <c r="H34" s="1377">
        <f>('T-1'!I36+'T-1'!L36)/2</f>
        <v>0</v>
      </c>
      <c r="I34" s="1658"/>
      <c r="J34" s="1659">
        <v>200</v>
      </c>
      <c r="K34" s="1377">
        <f t="shared" si="10"/>
        <v>620</v>
      </c>
      <c r="L34" s="1373"/>
      <c r="M34" s="1640"/>
      <c r="N34" s="1640"/>
      <c r="O34" s="1640">
        <v>30</v>
      </c>
      <c r="P34" s="1654"/>
      <c r="Q34" s="1660"/>
      <c r="R34" s="1377" t="e">
        <f t="shared" si="2"/>
        <v>#DIV/0!</v>
      </c>
      <c r="S34" s="721">
        <v>0.8</v>
      </c>
      <c r="T34" s="1655">
        <f>(H34*J34*S34*6)/100000</f>
        <v>0</v>
      </c>
      <c r="U34" s="721">
        <f>(D34*K34/10)-(0*1*20)/10</f>
        <v>0</v>
      </c>
      <c r="V34" s="1655"/>
      <c r="W34" s="1655">
        <f>(O34*G34*6)/100000</f>
        <v>0</v>
      </c>
      <c r="X34" s="721">
        <f>SUM(T34:W34)</f>
        <v>0</v>
      </c>
      <c r="Y34" s="1655"/>
      <c r="Z34" s="1388" t="e">
        <f>(AC34-AH34)/D34*10</f>
        <v>#DIV/0!</v>
      </c>
      <c r="AA34" s="1639"/>
      <c r="AB34" s="1655"/>
      <c r="AC34" s="1403">
        <f>X34-AB34</f>
        <v>0</v>
      </c>
      <c r="AD34" s="1404"/>
      <c r="AE34" s="1391">
        <v>0.08</v>
      </c>
      <c r="AF34" s="1655">
        <f t="shared" si="8"/>
        <v>0</v>
      </c>
      <c r="AG34" s="1658" t="e">
        <f t="shared" si="4"/>
        <v>#DIV/0!</v>
      </c>
      <c r="AH34" s="1654">
        <f t="shared" si="11"/>
        <v>0</v>
      </c>
      <c r="AI34" s="1655"/>
      <c r="AJ34" s="1655">
        <f>(T34+U34)*0%</f>
        <v>0</v>
      </c>
      <c r="AK34" s="1655">
        <f t="shared" ref="AK34" si="12">(T34+U34)*1.5%</f>
        <v>0</v>
      </c>
      <c r="AL34" s="1655">
        <f t="shared" si="0"/>
        <v>0</v>
      </c>
      <c r="AM34" s="1655"/>
      <c r="AN34" s="301"/>
    </row>
    <row r="35" spans="1:40" ht="18" customHeight="1">
      <c r="A35" s="1373"/>
      <c r="B35" s="1374" t="s">
        <v>280</v>
      </c>
      <c r="C35" s="940"/>
      <c r="D35" s="1407">
        <f>SUM(D24:D34)+D23+D17</f>
        <v>1745.557363486781</v>
      </c>
      <c r="E35" s="1407"/>
      <c r="F35" s="1407">
        <f>SUM(F24:F34)+F23+F17</f>
        <v>0</v>
      </c>
      <c r="G35" s="1408">
        <f>SUM(G24:G34)+G23+G17</f>
        <v>2278599</v>
      </c>
      <c r="H35" s="1408">
        <f>SUM(H24:H34)+H23+H17</f>
        <v>2977780.0454800017</v>
      </c>
      <c r="I35" s="1408">
        <f>SUM(I24:I34)+I23+I17</f>
        <v>1273418.9799949999</v>
      </c>
      <c r="J35" s="1661"/>
      <c r="K35" s="952"/>
      <c r="L35" s="1662"/>
      <c r="M35" s="1661"/>
      <c r="N35" s="1661"/>
      <c r="O35" s="1661"/>
      <c r="P35" s="1662"/>
      <c r="Q35" s="1662"/>
      <c r="R35" s="1395">
        <f t="shared" si="2"/>
        <v>507.7082398976371</v>
      </c>
      <c r="S35" s="721"/>
      <c r="T35" s="952">
        <f>SUM(T24:T34)+T23+T17</f>
        <v>576.92640000000006</v>
      </c>
      <c r="U35" s="952">
        <f>SUM(U24:U34)+U23+U17</f>
        <v>84013.445242928341</v>
      </c>
      <c r="V35" s="952">
        <f>SUM(V24:V34)+V23+V17</f>
        <v>4032.976222695002</v>
      </c>
      <c r="W35" s="952">
        <f>SUM(W24:W34)+W23+W17</f>
        <v>3.78E-2</v>
      </c>
      <c r="X35" s="952">
        <f>SUM(X24:X34)+X23+X17</f>
        <v>88623.385665623355</v>
      </c>
      <c r="Y35" s="952"/>
      <c r="Z35" s="1397">
        <f>(AC35-AH35-AI35+AJ35)/D35*10</f>
        <v>501.60725527850991</v>
      </c>
      <c r="AA35" s="1407">
        <f>SUM(AA24:AA34)+AA23+AA17</f>
        <v>452.69928499999997</v>
      </c>
      <c r="AB35" s="1662">
        <f>SUM(AB24:AB34)+AB23+AB17</f>
        <v>452.69928500000003</v>
      </c>
      <c r="AC35" s="1663">
        <f>SUM(AC24:AC34)+AC23+AC17</f>
        <v>88170.686380623345</v>
      </c>
      <c r="AD35" s="1662"/>
      <c r="AE35" s="1399"/>
      <c r="AF35" s="952">
        <f>SUM(AF24:AF34)+AF23+AF17</f>
        <v>3323.5040593971339</v>
      </c>
      <c r="AG35" s="1408">
        <f t="shared" si="4"/>
        <v>503.51123398979007</v>
      </c>
      <c r="AH35" s="1662">
        <f>SUM(AH24:AH34)+AH23+AH17</f>
        <v>612.26257764369234</v>
      </c>
      <c r="AI35" s="1662">
        <f>SUM(AI24:AI34)+AI23+AI17</f>
        <v>0</v>
      </c>
      <c r="AJ35" s="952">
        <f>SUM(AJ24:AJ34)+AJ23+AJ17</f>
        <v>0</v>
      </c>
      <c r="AK35" s="952">
        <f>SUM(AK24:AK34)+AK23+AK17</f>
        <v>0</v>
      </c>
      <c r="AL35" s="952">
        <f>SUM(AL24:AL34)+AL23+AL17</f>
        <v>88126.101090195356</v>
      </c>
      <c r="AM35" s="952"/>
      <c r="AN35" s="301"/>
    </row>
    <row r="36" spans="1:40" ht="18" customHeight="1">
      <c r="A36" s="1373"/>
      <c r="B36" s="1374" t="s">
        <v>281</v>
      </c>
      <c r="C36" s="1409"/>
      <c r="D36" s="1664"/>
      <c r="E36" s="1664"/>
      <c r="F36" s="1639"/>
      <c r="G36" s="1658"/>
      <c r="H36" s="1658"/>
      <c r="I36" s="1658"/>
      <c r="J36" s="1659"/>
      <c r="K36" s="1655"/>
      <c r="L36" s="1665"/>
      <c r="M36" s="1640"/>
      <c r="N36" s="1640"/>
      <c r="O36" s="1640"/>
      <c r="P36" s="1654"/>
      <c r="Q36" s="1409"/>
      <c r="R36" s="1658"/>
      <c r="S36" s="1655"/>
      <c r="T36" s="1655"/>
      <c r="U36" s="1655"/>
      <c r="V36" s="1655"/>
      <c r="W36" s="1655"/>
      <c r="X36" s="1655"/>
      <c r="Y36" s="1655"/>
      <c r="Z36" s="1640"/>
      <c r="AA36" s="1639"/>
      <c r="AB36" s="1655"/>
      <c r="AC36" s="1666"/>
      <c r="AD36" s="1654"/>
      <c r="AE36" s="1399"/>
      <c r="AF36" s="1655"/>
      <c r="AG36" s="1655"/>
      <c r="AH36" s="1655"/>
      <c r="AI36" s="1655"/>
      <c r="AJ36" s="1655"/>
      <c r="AK36" s="1655"/>
      <c r="AL36" s="1655"/>
      <c r="AM36" s="1655"/>
      <c r="AN36" s="301"/>
    </row>
    <row r="37" spans="1:40" ht="18" customHeight="1">
      <c r="A37" s="1373">
        <v>14</v>
      </c>
      <c r="B37" s="1373" t="s">
        <v>282</v>
      </c>
      <c r="C37" s="955" t="s">
        <v>76</v>
      </c>
      <c r="D37" s="1386">
        <f>'T-1'!M39-'T-6 (six mth)'!H39/0.9802</f>
        <v>11.569914303203428</v>
      </c>
      <c r="E37" s="1386">
        <f>D37-F37</f>
        <v>11.426447365843705</v>
      </c>
      <c r="F37" s="1639">
        <f>D37*1.24%</f>
        <v>0.14346693735972249</v>
      </c>
      <c r="G37" s="1377">
        <f>'T-1'!H39</f>
        <v>30</v>
      </c>
      <c r="H37" s="1377">
        <f>('T-1'!I39+'T-1'!L39)/2</f>
        <v>9877.9000000000015</v>
      </c>
      <c r="I37" s="1658">
        <f>H37-G37</f>
        <v>9847.9000000000015</v>
      </c>
      <c r="J37" s="1659">
        <v>20</v>
      </c>
      <c r="K37" s="1667">
        <f>440+20+30</f>
        <v>490</v>
      </c>
      <c r="L37" s="1655"/>
      <c r="M37" s="1640"/>
      <c r="N37" s="1640"/>
      <c r="O37" s="1640">
        <v>250</v>
      </c>
      <c r="P37" s="1654"/>
      <c r="Q37" s="1660"/>
      <c r="R37" s="1377">
        <f>X37/D37*10</f>
        <v>497.2649457720467</v>
      </c>
      <c r="S37" s="721"/>
      <c r="T37" s="1655">
        <f>(H37*J37*6)/100000</f>
        <v>11.853480000000003</v>
      </c>
      <c r="U37" s="1655">
        <f>(D37*K37/10)-((1.949*1*20)/10)</f>
        <v>563.02780085696793</v>
      </c>
      <c r="V37" s="1655"/>
      <c r="W37" s="1655">
        <f t="shared" ref="W37:W52" si="13">(O37*G37*6)/100000</f>
        <v>0.45</v>
      </c>
      <c r="X37" s="721">
        <f t="shared" ref="X37:X51" si="14">SUM(T37:W37)</f>
        <v>575.33128085696796</v>
      </c>
      <c r="Y37" s="1655">
        <v>0.1</v>
      </c>
      <c r="Z37" s="1388">
        <f>(AC37-AH37-AI37+AJ37)/D37*10</f>
        <v>493.44233318901706</v>
      </c>
      <c r="AA37" s="1382">
        <f>4.42273*1</f>
        <v>4.4227299999999996</v>
      </c>
      <c r="AB37" s="721">
        <f>AA37*Y37*10</f>
        <v>4.4227299999999996</v>
      </c>
      <c r="AC37" s="1403">
        <f t="shared" ref="AC37:AC51" si="15">X37-AB37</f>
        <v>570.90855085696796</v>
      </c>
      <c r="AD37" s="1404"/>
      <c r="AE37" s="1391">
        <v>0.08</v>
      </c>
      <c r="AF37" s="1655">
        <f t="shared" ref="AF37:AF52" si="16">AE37*U37</f>
        <v>45.042224068557438</v>
      </c>
      <c r="AG37" s="1658">
        <f>AF37/D37+Z37</f>
        <v>497.33538052611675</v>
      </c>
      <c r="AH37" s="1655"/>
      <c r="AI37" s="1655">
        <f>(T37+U37)*0%</f>
        <v>0</v>
      </c>
      <c r="AJ37" s="1655">
        <f t="shared" ref="AJ37:AJ51" si="17">(T37+U37)*0%</f>
        <v>0</v>
      </c>
      <c r="AK37" s="1655">
        <f>(T37+U37)*0%</f>
        <v>0</v>
      </c>
      <c r="AL37" s="1655">
        <f t="shared" ref="AL37:AL52" si="18">AC37-AH37+AI37+AJ37-AK37</f>
        <v>570.90855085696796</v>
      </c>
      <c r="AM37" s="1655"/>
      <c r="AN37" s="301"/>
    </row>
    <row r="38" spans="1:40" ht="18" customHeight="1">
      <c r="A38" s="1373">
        <v>15</v>
      </c>
      <c r="B38" s="1375" t="s">
        <v>62</v>
      </c>
      <c r="C38" s="955" t="s">
        <v>76</v>
      </c>
      <c r="D38" s="1386">
        <f>'T-1'!M40-('T-6 (six mth)'!H40-'T-6 (six mth)'!H66)/0.9755</f>
        <v>43.374628395694515</v>
      </c>
      <c r="E38" s="1386">
        <f t="shared" ref="E38:E40" si="19">D38-F38</f>
        <v>40.008757232188621</v>
      </c>
      <c r="F38" s="1639">
        <f>D38*7.76%</f>
        <v>3.3658711635058944</v>
      </c>
      <c r="G38" s="1377">
        <f>'T-1'!H40</f>
        <v>40</v>
      </c>
      <c r="H38" s="1377">
        <f>('T-1'!I40+'T-1'!L40)/2</f>
        <v>120445.99999999997</v>
      </c>
      <c r="I38" s="1658">
        <f>H38-G38</f>
        <v>120405.99999999997</v>
      </c>
      <c r="J38" s="1659">
        <v>30</v>
      </c>
      <c r="K38" s="1658">
        <v>140</v>
      </c>
      <c r="L38" s="1373"/>
      <c r="M38" s="1640"/>
      <c r="N38" s="1640"/>
      <c r="O38" s="1640">
        <v>250</v>
      </c>
      <c r="P38" s="1654"/>
      <c r="Q38" s="1660"/>
      <c r="R38" s="1377">
        <f>X38/D38*10</f>
        <v>433.27356630928136</v>
      </c>
      <c r="S38" s="721"/>
      <c r="T38" s="1655">
        <f>(H38*J38*6)/100000</f>
        <v>216.80279999999993</v>
      </c>
      <c r="U38" s="1554">
        <f>(D38*K38/10)-((4.009*1*20)/10)+(D38*(K42-200-K38)/10)</f>
        <v>1661.9051932342386</v>
      </c>
      <c r="V38" s="1655"/>
      <c r="W38" s="1655">
        <f t="shared" si="13"/>
        <v>0.6</v>
      </c>
      <c r="X38" s="721">
        <f t="shared" si="14"/>
        <v>1879.3079932342384</v>
      </c>
      <c r="Y38" s="1655">
        <v>0.1</v>
      </c>
      <c r="Z38" s="1388">
        <f>AC38/D38*10</f>
        <v>431.70309982877166</v>
      </c>
      <c r="AA38" s="1382">
        <f>6.81184*1</f>
        <v>6.8118400000000001</v>
      </c>
      <c r="AB38" s="721">
        <f>AA38*Y38*10</f>
        <v>6.8118400000000001</v>
      </c>
      <c r="AC38" s="1403">
        <f t="shared" si="15"/>
        <v>1872.4961532342384</v>
      </c>
      <c r="AD38" s="1404"/>
      <c r="AE38" s="1391">
        <v>0.02</v>
      </c>
      <c r="AF38" s="1655">
        <f t="shared" si="16"/>
        <v>33.238103864684774</v>
      </c>
      <c r="AG38" s="1655"/>
      <c r="AH38" s="1655"/>
      <c r="AI38" s="1655">
        <f>(T38+U38)*0%</f>
        <v>0</v>
      </c>
      <c r="AJ38" s="1655">
        <f t="shared" si="17"/>
        <v>0</v>
      </c>
      <c r="AK38" s="1655">
        <f t="shared" ref="AK38" si="20">(T38+U38)*0%</f>
        <v>0</v>
      </c>
      <c r="AL38" s="1655">
        <f t="shared" si="18"/>
        <v>1872.4961532342384</v>
      </c>
      <c r="AM38" s="1655"/>
      <c r="AN38" s="301"/>
    </row>
    <row r="39" spans="1:40" ht="18" customHeight="1">
      <c r="A39" s="1373">
        <v>16</v>
      </c>
      <c r="B39" s="1375" t="s">
        <v>63</v>
      </c>
      <c r="C39" s="955" t="s">
        <v>76</v>
      </c>
      <c r="D39" s="1386">
        <f>'T-1'!M41-'T-6 (six mth)'!H41/0.9075</f>
        <v>3.3129366391184574</v>
      </c>
      <c r="E39" s="1386">
        <f t="shared" si="19"/>
        <v>3.2609235338842977</v>
      </c>
      <c r="F39" s="1639">
        <f>D39*1.57%</f>
        <v>5.2013105234159786E-2</v>
      </c>
      <c r="G39" s="1377">
        <f>'T-1'!H41</f>
        <v>8</v>
      </c>
      <c r="H39" s="1377">
        <f>('T-1'!I41+'T-1'!L41)/2</f>
        <v>1779.3000000000002</v>
      </c>
      <c r="I39" s="1658">
        <f>H39-G39</f>
        <v>1771.3000000000002</v>
      </c>
      <c r="J39" s="1659">
        <v>30</v>
      </c>
      <c r="K39" s="1658">
        <v>150</v>
      </c>
      <c r="L39" s="1373"/>
      <c r="M39" s="1640"/>
      <c r="N39" s="1640"/>
      <c r="O39" s="1640">
        <v>250</v>
      </c>
      <c r="P39" s="1654"/>
      <c r="Q39" s="1660"/>
      <c r="R39" s="1377">
        <f>X39/D39*10</f>
        <v>158.35735874724347</v>
      </c>
      <c r="S39" s="721"/>
      <c r="T39" s="1655">
        <f>(H39*J39*6)/100000</f>
        <v>3.2027400000000004</v>
      </c>
      <c r="U39" s="1655">
        <f>(D39*K39/10)-((0.277*1*20)/10)</f>
        <v>49.140049586776861</v>
      </c>
      <c r="V39" s="1655"/>
      <c r="W39" s="1655">
        <f t="shared" si="13"/>
        <v>0.12</v>
      </c>
      <c r="X39" s="721">
        <f>SUM(T39:W39)</f>
        <v>52.462789586776857</v>
      </c>
      <c r="Y39" s="1655">
        <v>0.1</v>
      </c>
      <c r="Z39" s="1388">
        <f>AC39/D39*10</f>
        <v>153.80843383813018</v>
      </c>
      <c r="AA39" s="1382">
        <f>1.50703*1</f>
        <v>1.5070300000000001</v>
      </c>
      <c r="AB39" s="721">
        <f>AA39*Y39*10</f>
        <v>1.5070300000000003</v>
      </c>
      <c r="AC39" s="1403">
        <f>X39-AB39</f>
        <v>50.955759586776857</v>
      </c>
      <c r="AD39" s="1404"/>
      <c r="AE39" s="1391">
        <v>0.02</v>
      </c>
      <c r="AF39" s="1655">
        <f t="shared" si="16"/>
        <v>0.98280099173553725</v>
      </c>
      <c r="AG39" s="1658"/>
      <c r="AH39" s="1655"/>
      <c r="AI39" s="1655"/>
      <c r="AJ39" s="1655">
        <f t="shared" si="17"/>
        <v>0</v>
      </c>
      <c r="AK39" s="1655">
        <f>(T39+U39)*0%</f>
        <v>0</v>
      </c>
      <c r="AL39" s="1655">
        <f t="shared" si="18"/>
        <v>50.955759586776857</v>
      </c>
      <c r="AM39" s="1655"/>
      <c r="AN39" s="301"/>
    </row>
    <row r="40" spans="1:40" ht="18" customHeight="1">
      <c r="A40" s="1373">
        <v>17</v>
      </c>
      <c r="B40" s="1375" t="s">
        <v>64</v>
      </c>
      <c r="C40" s="955" t="s">
        <v>76</v>
      </c>
      <c r="D40" s="1386">
        <f>'T-1'!M42-'T-6 (six mth)'!H42/0.9328</f>
        <v>4.3459048027444265</v>
      </c>
      <c r="E40" s="1386">
        <f t="shared" si="19"/>
        <v>4.312875926243569</v>
      </c>
      <c r="F40" s="1639">
        <f>D40*0.76%</f>
        <v>3.3028876500857639E-2</v>
      </c>
      <c r="G40" s="1377">
        <f>'T-1'!H42</f>
        <v>14</v>
      </c>
      <c r="H40" s="1377">
        <f>('T-1'!I42+'T-1'!L42)/2</f>
        <v>3016.7999999999997</v>
      </c>
      <c r="I40" s="1658">
        <f>H40-G40</f>
        <v>3002.7999999999997</v>
      </c>
      <c r="J40" s="1659">
        <v>50</v>
      </c>
      <c r="K40" s="1658">
        <v>300</v>
      </c>
      <c r="L40" s="1373"/>
      <c r="M40" s="1640"/>
      <c r="N40" s="1640"/>
      <c r="O40" s="1640">
        <v>250</v>
      </c>
      <c r="P40" s="1654"/>
      <c r="Q40" s="1660"/>
      <c r="R40" s="1377">
        <f>X40/D40*10</f>
        <v>318.49189148120558</v>
      </c>
      <c r="S40" s="721"/>
      <c r="T40" s="1655">
        <f>(H40*J40*6)/100000</f>
        <v>9.0503999999999998</v>
      </c>
      <c r="U40" s="1655">
        <f>(D40*K40/10)-((0.612*1*20)/10)</f>
        <v>129.1531440823328</v>
      </c>
      <c r="V40" s="1655"/>
      <c r="W40" s="1655">
        <f t="shared" si="13"/>
        <v>0.21</v>
      </c>
      <c r="X40" s="721">
        <f>SUM(T40:W40)</f>
        <v>138.41354408233281</v>
      </c>
      <c r="Y40" s="1655"/>
      <c r="Z40" s="1388">
        <f>AC40/D40*10</f>
        <v>318.49189148120558</v>
      </c>
      <c r="AA40" s="1382"/>
      <c r="AB40" s="1655"/>
      <c r="AC40" s="1403">
        <f>X40-AB40</f>
        <v>138.41354408233281</v>
      </c>
      <c r="AD40" s="1404"/>
      <c r="AE40" s="1391">
        <v>0.02</v>
      </c>
      <c r="AF40" s="1655">
        <f t="shared" si="16"/>
        <v>2.5830628816466561</v>
      </c>
      <c r="AG40" s="1658">
        <f t="shared" ref="AG40:AG53" si="21">AF40/D40+Z40</f>
        <v>319.08625859205796</v>
      </c>
      <c r="AH40" s="1655">
        <f>X40*1%</f>
        <v>1.3841354408233282</v>
      </c>
      <c r="AI40" s="1655"/>
      <c r="AJ40" s="1655">
        <f t="shared" si="17"/>
        <v>0</v>
      </c>
      <c r="AK40" s="1655">
        <f>(T40+U40)*0%</f>
        <v>0</v>
      </c>
      <c r="AL40" s="1655">
        <f t="shared" si="18"/>
        <v>137.02940864150949</v>
      </c>
      <c r="AM40" s="1655"/>
      <c r="AN40" s="301"/>
    </row>
    <row r="41" spans="1:40" ht="18" customHeight="1">
      <c r="A41" s="1373">
        <v>18</v>
      </c>
      <c r="B41" s="1373" t="s">
        <v>77</v>
      </c>
      <c r="C41" s="955" t="s">
        <v>76</v>
      </c>
      <c r="D41" s="1386">
        <f>'T-1'!M43-'T-6 (six mth)'!H43/0.9714</f>
        <v>23.427846407247262</v>
      </c>
      <c r="E41" s="1386">
        <f t="shared" ref="E41:E51" si="22">D41-F41</f>
        <v>23.242766420630009</v>
      </c>
      <c r="F41" s="1639">
        <f>D41*0.79%</f>
        <v>0.18507998661725339</v>
      </c>
      <c r="G41" s="1377">
        <f>'T-1'!H43</f>
        <v>75</v>
      </c>
      <c r="H41" s="1377">
        <f>('T-1'!I43+'T-1'!L43)/2</f>
        <v>28429.15</v>
      </c>
      <c r="I41" s="1658"/>
      <c r="J41" s="1659">
        <v>250</v>
      </c>
      <c r="K41" s="1658">
        <f t="shared" ref="K41:K50" si="23">535+20+30</f>
        <v>585</v>
      </c>
      <c r="L41" s="955">
        <f t="shared" ref="L41:L50" si="24">425+20+30</f>
        <v>475</v>
      </c>
      <c r="M41" s="1640"/>
      <c r="N41" s="1640"/>
      <c r="O41" s="1640">
        <v>250</v>
      </c>
      <c r="P41" s="1654"/>
      <c r="Q41" s="1660"/>
      <c r="R41" s="1377">
        <f>X41/D41*10</f>
        <v>727.27638100107185</v>
      </c>
      <c r="S41" s="721">
        <v>0.8</v>
      </c>
      <c r="T41" s="1655">
        <f t="shared" ref="T41:T50" si="25">(H41*J41*S41*6)/100000</f>
        <v>341.14980000000003</v>
      </c>
      <c r="U41" s="1655">
        <f>((E41*K41+F41*L41)/10)-((3.458*1*20)/10)</f>
        <v>1361.5771349711749</v>
      </c>
      <c r="V41" s="1655"/>
      <c r="W41" s="1655">
        <f t="shared" si="13"/>
        <v>1.125</v>
      </c>
      <c r="X41" s="721">
        <f>SUM(T41:W41)</f>
        <v>1703.8519349711751</v>
      </c>
      <c r="Y41" s="1655"/>
      <c r="Z41" s="1388">
        <f>(AC41-AH41-AI41+AJ41)/D41*10</f>
        <v>720.00361719106104</v>
      </c>
      <c r="AA41" s="1639"/>
      <c r="AB41" s="1655"/>
      <c r="AC41" s="1403">
        <f t="shared" si="15"/>
        <v>1703.8519349711751</v>
      </c>
      <c r="AD41" s="1404"/>
      <c r="AE41" s="1391">
        <v>0.08</v>
      </c>
      <c r="AF41" s="1655">
        <f t="shared" si="16"/>
        <v>108.926170797694</v>
      </c>
      <c r="AG41" s="1658">
        <f t="shared" si="21"/>
        <v>724.65304885047294</v>
      </c>
      <c r="AH41" s="1655">
        <f>X41*1%</f>
        <v>17.038519349711752</v>
      </c>
      <c r="AI41" s="1655">
        <f>(T41+U41)*0%</f>
        <v>0</v>
      </c>
      <c r="AJ41" s="1655">
        <f t="shared" si="17"/>
        <v>0</v>
      </c>
      <c r="AK41" s="1655">
        <f>(T41+U41)*0%</f>
        <v>0</v>
      </c>
      <c r="AL41" s="1655">
        <f t="shared" si="18"/>
        <v>1686.8134156214633</v>
      </c>
      <c r="AM41" s="1655"/>
      <c r="AN41" s="301"/>
    </row>
    <row r="42" spans="1:40" ht="18" customHeight="1">
      <c r="A42" s="1373">
        <v>19</v>
      </c>
      <c r="B42" s="1373" t="s">
        <v>283</v>
      </c>
      <c r="C42" s="955" t="s">
        <v>76</v>
      </c>
      <c r="D42" s="1386">
        <f>'T-1'!M44-'T-6 (six mth)'!H44</f>
        <v>0</v>
      </c>
      <c r="E42" s="1386">
        <f t="shared" si="22"/>
        <v>0</v>
      </c>
      <c r="F42" s="1639">
        <f>D42*11%</f>
        <v>0</v>
      </c>
      <c r="G42" s="1377">
        <f>'T-1'!H44</f>
        <v>0</v>
      </c>
      <c r="H42" s="1377">
        <f>('T-1'!I44+'T-1'!L44)/2</f>
        <v>0</v>
      </c>
      <c r="I42" s="1658"/>
      <c r="J42" s="1659">
        <v>250</v>
      </c>
      <c r="K42" s="1658">
        <f t="shared" si="23"/>
        <v>585</v>
      </c>
      <c r="L42" s="955">
        <f t="shared" si="24"/>
        <v>475</v>
      </c>
      <c r="M42" s="1640"/>
      <c r="N42" s="1640"/>
      <c r="O42" s="1640">
        <v>250</v>
      </c>
      <c r="P42" s="1654"/>
      <c r="Q42" s="1373"/>
      <c r="R42" s="1377"/>
      <c r="S42" s="721">
        <v>0.8</v>
      </c>
      <c r="T42" s="1655">
        <f t="shared" si="25"/>
        <v>0</v>
      </c>
      <c r="U42" s="1655">
        <f>((E42*K42+F42*L42)/10)-((0*1*20)/10)</f>
        <v>0</v>
      </c>
      <c r="V42" s="1655"/>
      <c r="W42" s="1655">
        <f t="shared" si="13"/>
        <v>0</v>
      </c>
      <c r="X42" s="721">
        <f t="shared" si="14"/>
        <v>0</v>
      </c>
      <c r="Y42" s="1655"/>
      <c r="Z42" s="1381"/>
      <c r="AA42" s="1382">
        <f>D42*0%</f>
        <v>0</v>
      </c>
      <c r="AB42" s="1655"/>
      <c r="AC42" s="1403">
        <f t="shared" si="15"/>
        <v>0</v>
      </c>
      <c r="AD42" s="1404"/>
      <c r="AE42" s="1391">
        <v>0.08</v>
      </c>
      <c r="AF42" s="1655">
        <f t="shared" si="16"/>
        <v>0</v>
      </c>
      <c r="AG42" s="1658" t="e">
        <f t="shared" si="21"/>
        <v>#DIV/0!</v>
      </c>
      <c r="AH42" s="1655"/>
      <c r="AI42" s="1655"/>
      <c r="AJ42" s="1655">
        <f t="shared" si="17"/>
        <v>0</v>
      </c>
      <c r="AK42" s="1655">
        <f>(T42+U42)*0%</f>
        <v>0</v>
      </c>
      <c r="AL42" s="1655">
        <f t="shared" si="18"/>
        <v>0</v>
      </c>
      <c r="AM42" s="1655"/>
      <c r="AN42" s="301"/>
    </row>
    <row r="43" spans="1:40" ht="18" customHeight="1">
      <c r="A43" s="1373">
        <v>20</v>
      </c>
      <c r="B43" s="1373" t="s">
        <v>284</v>
      </c>
      <c r="C43" s="955" t="s">
        <v>76</v>
      </c>
      <c r="D43" s="1386">
        <f>'T-1'!M45-'T-6 (six mth)'!H45/0.9505</f>
        <v>98.111025775907436</v>
      </c>
      <c r="E43" s="1386">
        <f t="shared" si="22"/>
        <v>87.387490658600754</v>
      </c>
      <c r="F43" s="1639">
        <f>D43*10.93%</f>
        <v>10.723535117306682</v>
      </c>
      <c r="G43" s="1377">
        <f>'T-1'!H45</f>
        <v>233</v>
      </c>
      <c r="H43" s="1377">
        <f>('T-1'!I45+'T-1'!L45)/2</f>
        <v>73582.94200000001</v>
      </c>
      <c r="I43" s="1658"/>
      <c r="J43" s="1659">
        <v>250</v>
      </c>
      <c r="K43" s="1658">
        <f t="shared" si="23"/>
        <v>585</v>
      </c>
      <c r="L43" s="955">
        <f t="shared" si="24"/>
        <v>475</v>
      </c>
      <c r="M43" s="1640"/>
      <c r="N43" s="1640"/>
      <c r="O43" s="1640">
        <v>250</v>
      </c>
      <c r="P43" s="1654"/>
      <c r="Q43" s="1660"/>
      <c r="R43" s="1377">
        <f t="shared" ref="R43:R53" si="26">X43/D43*10</f>
        <v>660.91719807423829</v>
      </c>
      <c r="S43" s="721">
        <v>0.8</v>
      </c>
      <c r="T43" s="1655">
        <f t="shared" si="25"/>
        <v>882.99530400000026</v>
      </c>
      <c r="U43" s="1655">
        <f>((E43*K43+F43*L43)/10)-((11.85*1*20)/10)</f>
        <v>5597.8361216002113</v>
      </c>
      <c r="V43" s="1655"/>
      <c r="W43" s="1655">
        <f t="shared" si="13"/>
        <v>3.4950000000000001</v>
      </c>
      <c r="X43" s="721">
        <f>SUM(T43:W43)</f>
        <v>6484.3264256002112</v>
      </c>
      <c r="Y43" s="1655"/>
      <c r="Z43" s="1388">
        <f>(AC43-AH43-AI43+AJ43)/D43*10</f>
        <v>654.30802609349598</v>
      </c>
      <c r="AA43" s="1639"/>
      <c r="AB43" s="1655"/>
      <c r="AC43" s="1403">
        <f>X43-AB43</f>
        <v>6484.3264256002112</v>
      </c>
      <c r="AD43" s="1404"/>
      <c r="AE43" s="1391">
        <v>0.08</v>
      </c>
      <c r="AF43" s="1655">
        <f t="shared" si="16"/>
        <v>447.82688972801691</v>
      </c>
      <c r="AG43" s="1658">
        <f t="shared" si="21"/>
        <v>658.8725170483749</v>
      </c>
      <c r="AH43" s="1657">
        <f>X43*1%</f>
        <v>64.843264256002115</v>
      </c>
      <c r="AI43" s="1655">
        <f>(T43+U43)*0%</f>
        <v>0</v>
      </c>
      <c r="AJ43" s="1655">
        <f t="shared" si="17"/>
        <v>0</v>
      </c>
      <c r="AK43" s="1655">
        <f>(T43+U43)*0%</f>
        <v>0</v>
      </c>
      <c r="AL43" s="1655">
        <f t="shared" si="18"/>
        <v>6419.4831613442093</v>
      </c>
      <c r="AM43" s="1655"/>
      <c r="AN43" s="301"/>
    </row>
    <row r="44" spans="1:40" ht="18" customHeight="1">
      <c r="A44" s="1373">
        <v>21</v>
      </c>
      <c r="B44" s="1373" t="s">
        <v>285</v>
      </c>
      <c r="C44" s="955" t="s">
        <v>76</v>
      </c>
      <c r="D44" s="1386">
        <f>'T-1'!M46-'T-6 (six mth)'!H46</f>
        <v>0</v>
      </c>
      <c r="E44" s="1386">
        <f t="shared" si="22"/>
        <v>0</v>
      </c>
      <c r="F44" s="1639"/>
      <c r="G44" s="1377">
        <f>'T-1'!H46</f>
        <v>0</v>
      </c>
      <c r="H44" s="1377">
        <f>('T-1'!I46+'T-1'!L46)/2</f>
        <v>0</v>
      </c>
      <c r="I44" s="1658"/>
      <c r="J44" s="1659">
        <v>150</v>
      </c>
      <c r="K44" s="1658">
        <f t="shared" si="23"/>
        <v>585</v>
      </c>
      <c r="L44" s="955">
        <f t="shared" si="24"/>
        <v>475</v>
      </c>
      <c r="M44" s="1640"/>
      <c r="N44" s="1640"/>
      <c r="O44" s="1640">
        <v>250</v>
      </c>
      <c r="P44" s="1654"/>
      <c r="Q44" s="1373"/>
      <c r="R44" s="1377" t="e">
        <f t="shared" si="26"/>
        <v>#DIV/0!</v>
      </c>
      <c r="S44" s="721">
        <v>0.8</v>
      </c>
      <c r="T44" s="1655">
        <f t="shared" si="25"/>
        <v>0</v>
      </c>
      <c r="U44" s="1655">
        <f>((E44*K44+F44*L44)/10)-((0*1*20)/10)</f>
        <v>0</v>
      </c>
      <c r="V44" s="1655"/>
      <c r="W44" s="1655">
        <f t="shared" si="13"/>
        <v>0</v>
      </c>
      <c r="X44" s="721">
        <f t="shared" si="14"/>
        <v>0</v>
      </c>
      <c r="Y44" s="1655"/>
      <c r="Z44" s="1388" t="e">
        <f>AC44/D44*10</f>
        <v>#DIV/0!</v>
      </c>
      <c r="AA44" s="1639"/>
      <c r="AB44" s="1655"/>
      <c r="AC44" s="1403">
        <f t="shared" si="15"/>
        <v>0</v>
      </c>
      <c r="AD44" s="1404"/>
      <c r="AE44" s="1391">
        <v>0.08</v>
      </c>
      <c r="AF44" s="1655">
        <f t="shared" si="16"/>
        <v>0</v>
      </c>
      <c r="AG44" s="1658" t="e">
        <f t="shared" si="21"/>
        <v>#DIV/0!</v>
      </c>
      <c r="AH44" s="1655"/>
      <c r="AI44" s="1655"/>
      <c r="AJ44" s="1655">
        <f t="shared" si="17"/>
        <v>0</v>
      </c>
      <c r="AK44" s="1655">
        <f t="shared" ref="AK44" si="27">(T44+U44)*1.5%</f>
        <v>0</v>
      </c>
      <c r="AL44" s="1655">
        <f t="shared" si="18"/>
        <v>0</v>
      </c>
      <c r="AM44" s="1655"/>
      <c r="AN44" s="301"/>
    </row>
    <row r="45" spans="1:40" ht="18" customHeight="1">
      <c r="A45" s="1373">
        <v>22</v>
      </c>
      <c r="B45" s="1373" t="s">
        <v>184</v>
      </c>
      <c r="C45" s="955" t="s">
        <v>76</v>
      </c>
      <c r="D45" s="1386">
        <f>'T-1'!M47-'T-6 (six mth)'!H47/0.8822</f>
        <v>29.341555202901834</v>
      </c>
      <c r="E45" s="1386">
        <f t="shared" si="22"/>
        <v>27.845135887553841</v>
      </c>
      <c r="F45" s="1639">
        <f>D45*5.1%</f>
        <v>1.4964193153479934</v>
      </c>
      <c r="G45" s="1377">
        <f>'T-1'!H47</f>
        <v>66</v>
      </c>
      <c r="H45" s="1377">
        <f>('T-1'!I47+'T-1'!L47)/2</f>
        <v>18680.568750000006</v>
      </c>
      <c r="I45" s="1658"/>
      <c r="J45" s="1659">
        <v>250</v>
      </c>
      <c r="K45" s="1658">
        <f t="shared" si="23"/>
        <v>585</v>
      </c>
      <c r="L45" s="955">
        <f t="shared" si="24"/>
        <v>475</v>
      </c>
      <c r="M45" s="1640"/>
      <c r="N45" s="1640"/>
      <c r="O45" s="1640">
        <v>250</v>
      </c>
      <c r="P45" s="1654"/>
      <c r="Q45" s="1660"/>
      <c r="R45" s="1377">
        <f t="shared" si="26"/>
        <v>653.74489478704368</v>
      </c>
      <c r="S45" s="721">
        <v>0.8</v>
      </c>
      <c r="T45" s="1655">
        <f t="shared" si="25"/>
        <v>224.1668250000001</v>
      </c>
      <c r="U45" s="1655">
        <f>((E45*K45+F45*L45)/10)-((3.494*1*20)/10)</f>
        <v>1693.0323669009292</v>
      </c>
      <c r="V45" s="1655"/>
      <c r="W45" s="1655">
        <f t="shared" si="13"/>
        <v>0.99</v>
      </c>
      <c r="X45" s="721">
        <f t="shared" si="14"/>
        <v>1918.1891919009292</v>
      </c>
      <c r="Y45" s="1655">
        <v>0.1</v>
      </c>
      <c r="Z45" s="1388">
        <f t="shared" ref="Z45:Z53" si="28">(AC45-AH45-AI45+AJ45)/D45*10</f>
        <v>646.52404988891294</v>
      </c>
      <c r="AA45" s="1382">
        <f>2.00519*1</f>
        <v>2.0051899999999998</v>
      </c>
      <c r="AB45" s="721">
        <f>AA45*Y45*10</f>
        <v>2.0051899999999998</v>
      </c>
      <c r="AC45" s="1403">
        <f t="shared" si="15"/>
        <v>1916.1840019009292</v>
      </c>
      <c r="AD45" s="1404"/>
      <c r="AE45" s="1391">
        <v>0</v>
      </c>
      <c r="AF45" s="1655">
        <f t="shared" si="16"/>
        <v>0</v>
      </c>
      <c r="AG45" s="1658">
        <f t="shared" si="21"/>
        <v>646.52404988891294</v>
      </c>
      <c r="AH45" s="1655">
        <f>X45*1%</f>
        <v>19.181891919009292</v>
      </c>
      <c r="AI45" s="1655">
        <f t="shared" ref="AI45:AI51" si="29">(T45+U45)*0%</f>
        <v>0</v>
      </c>
      <c r="AJ45" s="1655">
        <f t="shared" si="17"/>
        <v>0</v>
      </c>
      <c r="AK45" s="1655">
        <f t="shared" ref="AK45:AK52" si="30">(T45+U45)*0%</f>
        <v>0</v>
      </c>
      <c r="AL45" s="1655">
        <f t="shared" si="18"/>
        <v>1897.0021099819198</v>
      </c>
      <c r="AM45" s="1655"/>
      <c r="AN45" s="301"/>
    </row>
    <row r="46" spans="1:40" ht="18" customHeight="1">
      <c r="A46" s="1373">
        <v>23</v>
      </c>
      <c r="B46" s="1373" t="s">
        <v>72</v>
      </c>
      <c r="C46" s="955" t="s">
        <v>76</v>
      </c>
      <c r="D46" s="1386">
        <f>'T-1'!M48-'T-6 (six mth)'!H48/0.9463</f>
        <v>626.75808239861669</v>
      </c>
      <c r="E46" s="1386">
        <f t="shared" si="22"/>
        <v>606.95252699482035</v>
      </c>
      <c r="F46" s="1639">
        <f>D46*3.16%</f>
        <v>19.805555403796291</v>
      </c>
      <c r="G46" s="1377">
        <f>'T-1'!H48</f>
        <v>797</v>
      </c>
      <c r="H46" s="1377">
        <f>('T-1'!I48+'T-1'!L48)/2</f>
        <v>327956.75000000006</v>
      </c>
      <c r="I46" s="1658"/>
      <c r="J46" s="1659">
        <v>250</v>
      </c>
      <c r="K46" s="1658">
        <f t="shared" si="23"/>
        <v>585</v>
      </c>
      <c r="L46" s="955">
        <f t="shared" si="24"/>
        <v>475</v>
      </c>
      <c r="M46" s="1640"/>
      <c r="N46" s="1640"/>
      <c r="O46" s="1640">
        <v>250</v>
      </c>
      <c r="P46" s="1654"/>
      <c r="Q46" s="1660"/>
      <c r="R46" s="1377">
        <f t="shared" si="26"/>
        <v>643.51487190277248</v>
      </c>
      <c r="S46" s="721">
        <v>0.8</v>
      </c>
      <c r="T46" s="1655">
        <f t="shared" si="25"/>
        <v>3935.4810000000011</v>
      </c>
      <c r="U46" s="1655">
        <f>((E46*K46+F46*L46)/10)-((31.054*1*20)/10)</f>
        <v>36385.378710877318</v>
      </c>
      <c r="V46" s="1655"/>
      <c r="W46" s="1655">
        <f t="shared" si="13"/>
        <v>11.955</v>
      </c>
      <c r="X46" s="721">
        <f t="shared" si="14"/>
        <v>40332.814710877319</v>
      </c>
      <c r="Y46" s="1655"/>
      <c r="Z46" s="1388">
        <f t="shared" si="28"/>
        <v>637.07972318374482</v>
      </c>
      <c r="AA46" s="1639"/>
      <c r="AB46" s="1655"/>
      <c r="AC46" s="1403">
        <f t="shared" si="15"/>
        <v>40332.814710877319</v>
      </c>
      <c r="AD46" s="1404"/>
      <c r="AE46" s="1391">
        <v>0.08</v>
      </c>
      <c r="AF46" s="1655">
        <f t="shared" si="16"/>
        <v>2910.8302968701855</v>
      </c>
      <c r="AG46" s="1658">
        <f t="shared" si="21"/>
        <v>641.72398765933065</v>
      </c>
      <c r="AH46" s="1655">
        <f>(X46*1%)</f>
        <v>403.32814710877318</v>
      </c>
      <c r="AI46" s="1655">
        <f t="shared" si="29"/>
        <v>0</v>
      </c>
      <c r="AJ46" s="1655">
        <f t="shared" si="17"/>
        <v>0</v>
      </c>
      <c r="AK46" s="1655">
        <f t="shared" si="30"/>
        <v>0</v>
      </c>
      <c r="AL46" s="1655">
        <f t="shared" si="18"/>
        <v>39929.486563768543</v>
      </c>
      <c r="AM46" s="1655"/>
      <c r="AN46" s="301"/>
    </row>
    <row r="47" spans="1:40" ht="18" customHeight="1">
      <c r="A47" s="1373">
        <v>24</v>
      </c>
      <c r="B47" s="1274" t="s">
        <v>2286</v>
      </c>
      <c r="C47" s="955" t="s">
        <v>76</v>
      </c>
      <c r="D47" s="1386">
        <f>'T-1'!M49-'T-6 (six mth)'!H49/0.9825</f>
        <v>2.3622391857506351</v>
      </c>
      <c r="E47" s="1386">
        <f t="shared" si="22"/>
        <v>2.3622391857506351</v>
      </c>
      <c r="F47" s="1639">
        <v>0</v>
      </c>
      <c r="G47" s="1377"/>
      <c r="H47" s="1377"/>
      <c r="I47" s="1658"/>
      <c r="J47" s="1659"/>
      <c r="K47" s="1658">
        <v>500</v>
      </c>
      <c r="L47" s="955"/>
      <c r="M47" s="1640"/>
      <c r="N47" s="1640"/>
      <c r="O47" s="1640"/>
      <c r="P47" s="1654"/>
      <c r="Q47" s="1660"/>
      <c r="R47" s="1377">
        <f t="shared" si="26"/>
        <v>500</v>
      </c>
      <c r="S47" s="721"/>
      <c r="T47" s="1655"/>
      <c r="U47" s="1655">
        <f>((E47*K47+F47*L47)/10)</f>
        <v>118.11195928753175</v>
      </c>
      <c r="V47" s="1655"/>
      <c r="W47" s="1655"/>
      <c r="X47" s="721">
        <f t="shared" si="14"/>
        <v>118.11195928753175</v>
      </c>
      <c r="Y47" s="1655"/>
      <c r="Z47" s="1388">
        <f t="shared" si="28"/>
        <v>500</v>
      </c>
      <c r="AA47" s="1639"/>
      <c r="AB47" s="1655"/>
      <c r="AC47" s="1403">
        <f t="shared" si="15"/>
        <v>118.11195928753175</v>
      </c>
      <c r="AD47" s="1404"/>
      <c r="AE47" s="1391">
        <v>0.08</v>
      </c>
      <c r="AF47" s="1655">
        <f t="shared" si="16"/>
        <v>9.4489567430025403</v>
      </c>
      <c r="AG47" s="1658">
        <f t="shared" si="21"/>
        <v>504</v>
      </c>
      <c r="AH47" s="1655"/>
      <c r="AI47" s="1655"/>
      <c r="AJ47" s="1655"/>
      <c r="AK47" s="1655"/>
      <c r="AL47" s="1655">
        <f t="shared" si="18"/>
        <v>118.11195928753175</v>
      </c>
      <c r="AM47" s="1655"/>
      <c r="AN47" s="301"/>
    </row>
    <row r="48" spans="1:40" ht="18" customHeight="1">
      <c r="A48" s="1373">
        <v>25</v>
      </c>
      <c r="B48" s="1373" t="s">
        <v>82</v>
      </c>
      <c r="C48" s="955" t="s">
        <v>76</v>
      </c>
      <c r="D48" s="1386">
        <f>'T-1'!M50-'T-6 (six mth)'!H50/0.9946</f>
        <v>313.04191634828067</v>
      </c>
      <c r="E48" s="1386">
        <f t="shared" si="22"/>
        <v>221.47715581640858</v>
      </c>
      <c r="F48" s="1639">
        <f>D48*29.25%</f>
        <v>91.564760531872082</v>
      </c>
      <c r="G48" s="1377">
        <f>'T-1'!H50</f>
        <v>13</v>
      </c>
      <c r="H48" s="1377">
        <f>('T-1'!I50+'T-1'!L50)/2</f>
        <v>95550</v>
      </c>
      <c r="I48" s="1658"/>
      <c r="J48" s="1659">
        <v>250</v>
      </c>
      <c r="K48" s="1658">
        <f t="shared" si="23"/>
        <v>585</v>
      </c>
      <c r="L48" s="955">
        <f t="shared" si="24"/>
        <v>475</v>
      </c>
      <c r="M48" s="1640"/>
      <c r="N48" s="1640"/>
      <c r="O48" s="1640">
        <v>250</v>
      </c>
      <c r="P48" s="1654"/>
      <c r="Q48" s="1373"/>
      <c r="R48" s="1377">
        <f t="shared" si="26"/>
        <v>584.92424765736621</v>
      </c>
      <c r="S48" s="721">
        <v>0.8</v>
      </c>
      <c r="T48" s="1655">
        <f t="shared" si="25"/>
        <v>1146.5999999999999</v>
      </c>
      <c r="U48" s="1655">
        <f>((E48*K48+F48*L48)/10)-((70.977*1*20)/10)</f>
        <v>17163.785740523825</v>
      </c>
      <c r="V48" s="1655"/>
      <c r="W48" s="1655">
        <f t="shared" si="13"/>
        <v>0.19500000000000001</v>
      </c>
      <c r="X48" s="721">
        <f t="shared" si="14"/>
        <v>18310.580740523823</v>
      </c>
      <c r="Y48" s="1655"/>
      <c r="Z48" s="1388">
        <f t="shared" si="28"/>
        <v>579.07500518079257</v>
      </c>
      <c r="AA48" s="1639"/>
      <c r="AB48" s="1655"/>
      <c r="AC48" s="1403">
        <f t="shared" si="15"/>
        <v>18310.580740523823</v>
      </c>
      <c r="AD48" s="1404"/>
      <c r="AE48" s="1391">
        <v>0.08</v>
      </c>
      <c r="AF48" s="1655">
        <f t="shared" si="16"/>
        <v>1373.1028592419059</v>
      </c>
      <c r="AG48" s="1658">
        <f t="shared" si="21"/>
        <v>583.46132786645569</v>
      </c>
      <c r="AH48" s="1655">
        <f>(X48*1%)</f>
        <v>183.10580740523824</v>
      </c>
      <c r="AI48" s="1655">
        <f t="shared" si="29"/>
        <v>0</v>
      </c>
      <c r="AJ48" s="1655">
        <f t="shared" si="17"/>
        <v>0</v>
      </c>
      <c r="AK48" s="1655">
        <f t="shared" si="30"/>
        <v>0</v>
      </c>
      <c r="AL48" s="1655">
        <f t="shared" si="18"/>
        <v>18127.474933118585</v>
      </c>
      <c r="AM48" s="1655"/>
      <c r="AN48" s="301"/>
    </row>
    <row r="49" spans="1:40" ht="18" customHeight="1">
      <c r="A49" s="1373">
        <v>26</v>
      </c>
      <c r="B49" s="1373" t="s">
        <v>92</v>
      </c>
      <c r="C49" s="955" t="s">
        <v>76</v>
      </c>
      <c r="D49" s="1386">
        <f>'T-1'!M51-'T-6 (six mth)'!H51/0.99</f>
        <v>114.93214141414143</v>
      </c>
      <c r="E49" s="1386">
        <f t="shared" si="22"/>
        <v>85.727884280808098</v>
      </c>
      <c r="F49" s="1639">
        <f>D49*25.41%</f>
        <v>29.204257133333336</v>
      </c>
      <c r="G49" s="1377">
        <f>'T-1'!H51</f>
        <v>4</v>
      </c>
      <c r="H49" s="1377">
        <f>('T-1'!I51+'T-1'!L51)/2</f>
        <v>29250</v>
      </c>
      <c r="I49" s="1658"/>
      <c r="J49" s="1659">
        <v>250</v>
      </c>
      <c r="K49" s="1658">
        <f t="shared" si="23"/>
        <v>585</v>
      </c>
      <c r="L49" s="955">
        <f t="shared" si="24"/>
        <v>475</v>
      </c>
      <c r="M49" s="1640"/>
      <c r="N49" s="1640"/>
      <c r="O49" s="1640">
        <v>250</v>
      </c>
      <c r="P49" s="1654"/>
      <c r="Q49" s="1373"/>
      <c r="R49" s="1377">
        <f t="shared" si="26"/>
        <v>584.12932724096675</v>
      </c>
      <c r="S49" s="721">
        <v>0.8</v>
      </c>
      <c r="T49" s="1655">
        <f t="shared" si="25"/>
        <v>351</v>
      </c>
      <c r="U49" s="1655">
        <f>((E49*K49+F49*L49)/10)-((19.91*1*20)/10)</f>
        <v>6362.4634442606075</v>
      </c>
      <c r="V49" s="1655"/>
      <c r="W49" s="1655">
        <f t="shared" si="13"/>
        <v>0.06</v>
      </c>
      <c r="X49" s="721">
        <f t="shared" si="14"/>
        <v>6713.5234442606079</v>
      </c>
      <c r="Y49" s="1655"/>
      <c r="Z49" s="1388">
        <f t="shared" si="28"/>
        <v>578.2880339685571</v>
      </c>
      <c r="AA49" s="1639"/>
      <c r="AB49" s="1655"/>
      <c r="AC49" s="1403">
        <f t="shared" si="15"/>
        <v>6713.5234442606079</v>
      </c>
      <c r="AD49" s="1404"/>
      <c r="AE49" s="1391">
        <v>0.08</v>
      </c>
      <c r="AF49" s="1655">
        <f t="shared" si="16"/>
        <v>508.99707554084858</v>
      </c>
      <c r="AG49" s="1658">
        <f t="shared" si="21"/>
        <v>582.71670874375991</v>
      </c>
      <c r="AH49" s="1655">
        <f>(X49*1%)</f>
        <v>67.135234442606077</v>
      </c>
      <c r="AI49" s="1655">
        <f t="shared" si="29"/>
        <v>0</v>
      </c>
      <c r="AJ49" s="1655">
        <f t="shared" si="17"/>
        <v>0</v>
      </c>
      <c r="AK49" s="1655">
        <f t="shared" si="30"/>
        <v>0</v>
      </c>
      <c r="AL49" s="1655">
        <f t="shared" si="18"/>
        <v>6646.388209818002</v>
      </c>
      <c r="AM49" s="1655"/>
      <c r="AN49" s="301"/>
    </row>
    <row r="50" spans="1:40" ht="18" customHeight="1">
      <c r="A50" s="1373">
        <v>27</v>
      </c>
      <c r="B50" s="1373" t="s">
        <v>84</v>
      </c>
      <c r="C50" s="955" t="s">
        <v>76</v>
      </c>
      <c r="D50" s="1386">
        <f>'T-1'!M52-'T-6 (six mth)'!H52</f>
        <v>0</v>
      </c>
      <c r="E50" s="1386">
        <f t="shared" si="22"/>
        <v>0</v>
      </c>
      <c r="F50" s="1639">
        <f>D50*0%</f>
        <v>0</v>
      </c>
      <c r="G50" s="1377">
        <f>'T-1'!H52</f>
        <v>0</v>
      </c>
      <c r="H50" s="1377">
        <f>('T-1'!I52+'T-1'!L52)/2</f>
        <v>0</v>
      </c>
      <c r="I50" s="1658"/>
      <c r="J50" s="1659">
        <v>250</v>
      </c>
      <c r="K50" s="1658">
        <f t="shared" si="23"/>
        <v>585</v>
      </c>
      <c r="L50" s="955">
        <f t="shared" si="24"/>
        <v>475</v>
      </c>
      <c r="M50" s="1640"/>
      <c r="N50" s="1640"/>
      <c r="O50" s="1640">
        <v>250</v>
      </c>
      <c r="P50" s="1654"/>
      <c r="Q50" s="1660"/>
      <c r="R50" s="1377" t="e">
        <f t="shared" si="26"/>
        <v>#DIV/0!</v>
      </c>
      <c r="S50" s="721">
        <v>0.8</v>
      </c>
      <c r="T50" s="1655">
        <f t="shared" si="25"/>
        <v>0</v>
      </c>
      <c r="U50" s="1655">
        <f>(E50*K50+F50*L50)/10-((0*1*20)/10)</f>
        <v>0</v>
      </c>
      <c r="V50" s="1655"/>
      <c r="W50" s="1655">
        <f t="shared" si="13"/>
        <v>0</v>
      </c>
      <c r="X50" s="721">
        <f t="shared" si="14"/>
        <v>0</v>
      </c>
      <c r="Y50" s="1655"/>
      <c r="Z50" s="1388" t="e">
        <f t="shared" si="28"/>
        <v>#DIV/0!</v>
      </c>
      <c r="AA50" s="1639"/>
      <c r="AB50" s="1655"/>
      <c r="AC50" s="1403">
        <f t="shared" si="15"/>
        <v>0</v>
      </c>
      <c r="AD50" s="1404"/>
      <c r="AE50" s="1391">
        <v>0</v>
      </c>
      <c r="AF50" s="1655">
        <f t="shared" si="16"/>
        <v>0</v>
      </c>
      <c r="AG50" s="1658" t="e">
        <f t="shared" si="21"/>
        <v>#DIV/0!</v>
      </c>
      <c r="AH50" s="1655">
        <f>X50*1%</f>
        <v>0</v>
      </c>
      <c r="AI50" s="1655">
        <f t="shared" si="29"/>
        <v>0</v>
      </c>
      <c r="AJ50" s="1655">
        <f t="shared" si="17"/>
        <v>0</v>
      </c>
      <c r="AK50" s="1655">
        <f t="shared" si="30"/>
        <v>0</v>
      </c>
      <c r="AL50" s="1655">
        <f t="shared" si="18"/>
        <v>0</v>
      </c>
      <c r="AM50" s="1655"/>
      <c r="AN50" s="301"/>
    </row>
    <row r="51" spans="1:40" ht="18" customHeight="1">
      <c r="A51" s="1373">
        <v>28</v>
      </c>
      <c r="B51" s="1373" t="s">
        <v>286</v>
      </c>
      <c r="C51" s="955" t="s">
        <v>76</v>
      </c>
      <c r="D51" s="1386">
        <f>'T-1'!M53</f>
        <v>0</v>
      </c>
      <c r="E51" s="1386">
        <f t="shared" si="22"/>
        <v>0</v>
      </c>
      <c r="F51" s="1639"/>
      <c r="G51" s="1377">
        <f>'T-1'!H53</f>
        <v>0</v>
      </c>
      <c r="H51" s="1377">
        <f>('T-1'!I53+'T-1'!L53)/2</f>
        <v>0</v>
      </c>
      <c r="I51" s="1658"/>
      <c r="J51" s="1659">
        <v>0</v>
      </c>
      <c r="K51" s="1658">
        <f>730+20+30</f>
        <v>780</v>
      </c>
      <c r="L51" s="1655"/>
      <c r="M51" s="1640"/>
      <c r="N51" s="1640"/>
      <c r="O51" s="1640">
        <v>250</v>
      </c>
      <c r="P51" s="1654"/>
      <c r="Q51" s="1660"/>
      <c r="R51" s="1377" t="e">
        <f t="shared" si="26"/>
        <v>#DIV/0!</v>
      </c>
      <c r="S51" s="721"/>
      <c r="T51" s="1655"/>
      <c r="U51" s="1655">
        <f>(E51*K51+F51*L51)/10-(0*1*20/10)</f>
        <v>0</v>
      </c>
      <c r="V51" s="1655"/>
      <c r="W51" s="1655">
        <f t="shared" si="13"/>
        <v>0</v>
      </c>
      <c r="X51" s="721">
        <f t="shared" si="14"/>
        <v>0</v>
      </c>
      <c r="Y51" s="1655"/>
      <c r="Z51" s="1388" t="e">
        <f t="shared" si="28"/>
        <v>#DIV/0!</v>
      </c>
      <c r="AA51" s="1639"/>
      <c r="AB51" s="1655"/>
      <c r="AC51" s="1403">
        <f t="shared" si="15"/>
        <v>0</v>
      </c>
      <c r="AD51" s="1404"/>
      <c r="AE51" s="1391">
        <v>0.08</v>
      </c>
      <c r="AF51" s="1655">
        <f t="shared" si="16"/>
        <v>0</v>
      </c>
      <c r="AG51" s="1658" t="e">
        <f t="shared" si="21"/>
        <v>#DIV/0!</v>
      </c>
      <c r="AH51" s="1655">
        <f t="shared" ref="AH51:AH52" si="31">X51*1%</f>
        <v>0</v>
      </c>
      <c r="AI51" s="1655">
        <f t="shared" si="29"/>
        <v>0</v>
      </c>
      <c r="AJ51" s="1655">
        <f t="shared" si="17"/>
        <v>0</v>
      </c>
      <c r="AK51" s="1655">
        <f t="shared" si="30"/>
        <v>0</v>
      </c>
      <c r="AL51" s="1655">
        <f t="shared" si="18"/>
        <v>0</v>
      </c>
      <c r="AM51" s="1655"/>
      <c r="AN51" s="301"/>
    </row>
    <row r="52" spans="1:40" ht="18" customHeight="1">
      <c r="A52" s="1373">
        <v>29</v>
      </c>
      <c r="B52" s="1373" t="s">
        <v>86</v>
      </c>
      <c r="C52" s="955" t="s">
        <v>76</v>
      </c>
      <c r="D52" s="1386">
        <f>'T-1'!M54-'T-6 (six mth)'!H54</f>
        <v>3.2130344499999994</v>
      </c>
      <c r="E52" s="1386">
        <f>D52-F52</f>
        <v>3.2130344499999994</v>
      </c>
      <c r="F52" s="1639"/>
      <c r="G52" s="1377">
        <f>'T-1'!H54</f>
        <v>0</v>
      </c>
      <c r="H52" s="1377">
        <f>('T-1'!I54+'T-1'!L54)/2</f>
        <v>0</v>
      </c>
      <c r="I52" s="1658"/>
      <c r="J52" s="1659">
        <v>0</v>
      </c>
      <c r="K52" s="1658">
        <f>440+20+30</f>
        <v>490</v>
      </c>
      <c r="L52" s="1655"/>
      <c r="M52" s="1640"/>
      <c r="N52" s="1640"/>
      <c r="O52" s="1640"/>
      <c r="P52" s="1654"/>
      <c r="Q52" s="1374"/>
      <c r="R52" s="1377">
        <f t="shared" si="26"/>
        <v>490</v>
      </c>
      <c r="S52" s="721"/>
      <c r="T52" s="1655"/>
      <c r="U52" s="1655">
        <f>(E52*K52+F52*L52)/10</f>
        <v>157.43868804999997</v>
      </c>
      <c r="V52" s="1655"/>
      <c r="W52" s="1655">
        <f t="shared" si="13"/>
        <v>0</v>
      </c>
      <c r="X52" s="721">
        <f>SUM(T52:W52)</f>
        <v>157.43868804999997</v>
      </c>
      <c r="Y52" s="1655"/>
      <c r="Z52" s="1388">
        <f t="shared" si="28"/>
        <v>485.1</v>
      </c>
      <c r="AA52" s="1639"/>
      <c r="AB52" s="1655"/>
      <c r="AC52" s="1403">
        <f>X52-AB52</f>
        <v>157.43868804999997</v>
      </c>
      <c r="AD52" s="1404"/>
      <c r="AE52" s="1391">
        <v>0.08</v>
      </c>
      <c r="AF52" s="1655">
        <f t="shared" si="16"/>
        <v>12.595095043999997</v>
      </c>
      <c r="AG52" s="1658">
        <f t="shared" si="21"/>
        <v>489.02000000000004</v>
      </c>
      <c r="AH52" s="1655">
        <f t="shared" si="31"/>
        <v>1.5743868804999996</v>
      </c>
      <c r="AI52" s="1655"/>
      <c r="AJ52" s="1655"/>
      <c r="AK52" s="1655">
        <f t="shared" si="30"/>
        <v>0</v>
      </c>
      <c r="AL52" s="1655">
        <f t="shared" si="18"/>
        <v>155.86430116949998</v>
      </c>
      <c r="AM52" s="1655"/>
      <c r="AN52" s="301"/>
    </row>
    <row r="53" spans="1:40" ht="18" customHeight="1">
      <c r="A53" s="1373"/>
      <c r="B53" s="1374" t="s">
        <v>287</v>
      </c>
      <c r="C53" s="1380"/>
      <c r="D53" s="1407">
        <f t="shared" ref="D53:I53" si="32">SUM(D37:D52)</f>
        <v>1273.7912253236066</v>
      </c>
      <c r="E53" s="1407">
        <f t="shared" si="32"/>
        <v>1117.2172377527324</v>
      </c>
      <c r="F53" s="1407">
        <f t="shared" si="32"/>
        <v>156.57398757087427</v>
      </c>
      <c r="G53" s="1408">
        <f t="shared" si="32"/>
        <v>1280</v>
      </c>
      <c r="H53" s="1408">
        <f t="shared" si="32"/>
        <v>708569.41075000004</v>
      </c>
      <c r="I53" s="1408">
        <f t="shared" si="32"/>
        <v>135027.99999999994</v>
      </c>
      <c r="J53" s="1661"/>
      <c r="K53" s="952"/>
      <c r="L53" s="952"/>
      <c r="M53" s="1661"/>
      <c r="N53" s="1661"/>
      <c r="O53" s="1661"/>
      <c r="P53" s="1662"/>
      <c r="Q53" s="1668"/>
      <c r="R53" s="1395">
        <f t="shared" si="26"/>
        <v>615.36263670931123</v>
      </c>
      <c r="S53" s="721"/>
      <c r="T53" s="952">
        <f>SUM(T37:T52)</f>
        <v>7122.3023490000014</v>
      </c>
      <c r="U53" s="952">
        <f>SUM(U37:U52)</f>
        <v>71242.850354231909</v>
      </c>
      <c r="V53" s="952">
        <f>SUM(V37:V52)</f>
        <v>0</v>
      </c>
      <c r="W53" s="952">
        <f>SUM(W37:W52)</f>
        <v>19.2</v>
      </c>
      <c r="X53" s="952">
        <f>SUM(X37:X52)</f>
        <v>78384.352703231896</v>
      </c>
      <c r="Y53" s="952"/>
      <c r="Z53" s="1397">
        <f t="shared" si="28"/>
        <v>609.29933401536732</v>
      </c>
      <c r="AA53" s="1407">
        <f>SUM(AA37:AA52)</f>
        <v>14.746790000000001</v>
      </c>
      <c r="AB53" s="952">
        <f>SUM(AB37:AB52)</f>
        <v>14.746790000000001</v>
      </c>
      <c r="AC53" s="1663">
        <f>SUM(AC37:AC52)</f>
        <v>78369.605913231891</v>
      </c>
      <c r="AD53" s="1662"/>
      <c r="AE53" s="1399"/>
      <c r="AF53" s="952">
        <f>SUM(AF37:AF52)</f>
        <v>5453.5735357722779</v>
      </c>
      <c r="AG53" s="1408">
        <f t="shared" si="21"/>
        <v>613.58070558344889</v>
      </c>
      <c r="AH53" s="1662">
        <f>SUM(AH37:AH52)</f>
        <v>757.59138680266392</v>
      </c>
      <c r="AI53" s="952">
        <f>SUM(AI37:AI52)</f>
        <v>0</v>
      </c>
      <c r="AJ53" s="952">
        <f>SUM(AJ37:AJ52)</f>
        <v>0</v>
      </c>
      <c r="AK53" s="952">
        <f>SUM(AK37:AK52)</f>
        <v>0</v>
      </c>
      <c r="AL53" s="952">
        <f>SUM(AL37:AL52)</f>
        <v>77612.014526429251</v>
      </c>
      <c r="AM53" s="952"/>
      <c r="AN53" s="301"/>
    </row>
    <row r="54" spans="1:40" ht="18" customHeight="1">
      <c r="A54" s="1373"/>
      <c r="B54" s="1374" t="s">
        <v>288</v>
      </c>
      <c r="C54" s="1374"/>
      <c r="D54" s="1669"/>
      <c r="E54" s="1669"/>
      <c r="F54" s="1639"/>
      <c r="G54" s="1658"/>
      <c r="H54" s="1658"/>
      <c r="I54" s="1658"/>
      <c r="J54" s="1659"/>
      <c r="K54" s="1655"/>
      <c r="L54" s="1655"/>
      <c r="M54" s="1640"/>
      <c r="N54" s="1640"/>
      <c r="O54" s="1640"/>
      <c r="P54" s="1654"/>
      <c r="Q54" s="1374"/>
      <c r="R54" s="1377"/>
      <c r="S54" s="721"/>
      <c r="T54" s="1655"/>
      <c r="U54" s="1655"/>
      <c r="V54" s="1655"/>
      <c r="W54" s="1655"/>
      <c r="X54" s="1655"/>
      <c r="Y54" s="1655"/>
      <c r="Z54" s="1640"/>
      <c r="AA54" s="1639"/>
      <c r="AB54" s="1655"/>
      <c r="AC54" s="1666"/>
      <c r="AD54" s="1654"/>
      <c r="AE54" s="1399"/>
      <c r="AF54" s="1655"/>
      <c r="AG54" s="1655"/>
      <c r="AH54" s="1655"/>
      <c r="AI54" s="1655"/>
      <c r="AJ54" s="1655"/>
      <c r="AK54" s="1655"/>
      <c r="AL54" s="1655"/>
      <c r="AM54" s="1655"/>
      <c r="AN54" s="301"/>
    </row>
    <row r="55" spans="1:40" ht="18" customHeight="1">
      <c r="A55" s="1373">
        <v>30</v>
      </c>
      <c r="B55" s="1373" t="s">
        <v>89</v>
      </c>
      <c r="C55" s="955" t="s">
        <v>90</v>
      </c>
      <c r="D55" s="1386">
        <f>'T-1'!M58-'T-6 (six mth)'!H57/0.876</f>
        <v>0.19566210045662102</v>
      </c>
      <c r="E55" s="1386">
        <f t="shared" ref="E55:E65" si="33">D55-F55</f>
        <v>0.19566210045662102</v>
      </c>
      <c r="F55" s="1639">
        <f>D55*0%</f>
        <v>0</v>
      </c>
      <c r="G55" s="1377">
        <f>'T-1'!H58*0</f>
        <v>0</v>
      </c>
      <c r="H55" s="1377">
        <f>('T-1'!I58+'T-1'!L58)/2*0</f>
        <v>0</v>
      </c>
      <c r="I55" s="1658"/>
      <c r="J55" s="1659">
        <v>250</v>
      </c>
      <c r="K55" s="1658">
        <f t="shared" ref="K55:K62" si="34">530+20+30</f>
        <v>580</v>
      </c>
      <c r="L55" s="1658">
        <f t="shared" ref="L55:L62" si="35">420+20+30</f>
        <v>470</v>
      </c>
      <c r="M55" s="1640"/>
      <c r="N55" s="1640"/>
      <c r="O55" s="1640">
        <v>700</v>
      </c>
      <c r="P55" s="1654"/>
      <c r="Q55" s="1373"/>
      <c r="R55" s="1377">
        <f t="shared" ref="R55:R62" si="36">X55/D55*10</f>
        <v>576.93348891481901</v>
      </c>
      <c r="S55" s="721">
        <v>0.8</v>
      </c>
      <c r="T55" s="1655">
        <f t="shared" ref="T55:T63" si="37">(H55*J55*S55*6)/100000</f>
        <v>0</v>
      </c>
      <c r="U55" s="1655">
        <f>(E55*K55+F55*L55)/10-((0.03*1*20)/10)</f>
        <v>11.288401826484018</v>
      </c>
      <c r="V55" s="1655"/>
      <c r="W55" s="1655">
        <f t="shared" ref="W55:W65" si="38">(O55*G55*6)/100000</f>
        <v>0</v>
      </c>
      <c r="X55" s="721">
        <f t="shared" ref="X55:X65" si="39">SUM(T55:W55)</f>
        <v>11.288401826484018</v>
      </c>
      <c r="Y55" s="1655"/>
      <c r="Z55" s="1388">
        <f t="shared" ref="Z55:Z67" si="40">(AC55-AH55-AI55+AJ55)/D55*10</f>
        <v>571.16415402567088</v>
      </c>
      <c r="AA55" s="1639"/>
      <c r="AB55" s="1655"/>
      <c r="AC55" s="1403">
        <f t="shared" ref="AC55:AC65" si="41">X55-AB55</f>
        <v>11.288401826484018</v>
      </c>
      <c r="AD55" s="1404"/>
      <c r="AE55" s="1391">
        <v>0.09</v>
      </c>
      <c r="AF55" s="1655">
        <f t="shared" ref="AF55:AF65" si="42">AE55*U55</f>
        <v>1.0159561643835615</v>
      </c>
      <c r="AG55" s="1658">
        <f t="shared" ref="AG55:AG67" si="43">AF55/D55+Z55</f>
        <v>576.35655542590428</v>
      </c>
      <c r="AH55" s="1655">
        <f>X55*1%</f>
        <v>0.11288401826484018</v>
      </c>
      <c r="AI55" s="1655">
        <f t="shared" ref="AI55:AI63" si="44">(T55+U55)*0%</f>
        <v>0</v>
      </c>
      <c r="AJ55" s="1655">
        <f t="shared" ref="AJ55:AJ63" si="45">(T55+U55)*0%</f>
        <v>0</v>
      </c>
      <c r="AK55" s="1655">
        <f t="shared" ref="AK55:AK64" si="46">(T55+U55)*0%</f>
        <v>0</v>
      </c>
      <c r="AL55" s="1655">
        <f t="shared" ref="AL55:AL64" si="47">AC55-AH55+AI55+AJ55-AK55</f>
        <v>11.175517808219178</v>
      </c>
      <c r="AM55" s="1655"/>
      <c r="AN55" s="301"/>
    </row>
    <row r="56" spans="1:40" ht="18" customHeight="1">
      <c r="A56" s="1373">
        <v>31</v>
      </c>
      <c r="B56" s="1373" t="s">
        <v>72</v>
      </c>
      <c r="C56" s="955" t="s">
        <v>90</v>
      </c>
      <c r="D56" s="1386">
        <f>'T-1'!M59-'T-6 (six mth)'!H58/0.9788</f>
        <v>288.6866590333596</v>
      </c>
      <c r="E56" s="1386">
        <f t="shared" si="33"/>
        <v>221.88456613304021</v>
      </c>
      <c r="F56" s="1639">
        <f>D56*23.14%</f>
        <v>66.802092900319408</v>
      </c>
      <c r="G56" s="1377">
        <f>'T-1'!H59</f>
        <v>12</v>
      </c>
      <c r="H56" s="1377">
        <f>('T-1'!I59+'T-1'!L59)/2</f>
        <v>126868.75</v>
      </c>
      <c r="I56" s="1658"/>
      <c r="J56" s="1659">
        <v>250</v>
      </c>
      <c r="K56" s="1658">
        <f t="shared" si="34"/>
        <v>580</v>
      </c>
      <c r="L56" s="1658">
        <f t="shared" si="35"/>
        <v>470</v>
      </c>
      <c r="M56" s="1640"/>
      <c r="N56" s="1640"/>
      <c r="O56" s="1640">
        <v>700</v>
      </c>
      <c r="P56" s="1654"/>
      <c r="Q56" s="1670"/>
      <c r="R56" s="1377">
        <f t="shared" si="36"/>
        <v>604.29942486588629</v>
      </c>
      <c r="S56" s="721">
        <v>0.8</v>
      </c>
      <c r="T56" s="1655">
        <f t="shared" si="37"/>
        <v>1522.425</v>
      </c>
      <c r="U56" s="1655">
        <f>(E56*K56+F56*L56)/10-((43.307*1*20)/10)</f>
        <v>15922.389202031343</v>
      </c>
      <c r="V56" s="1655"/>
      <c r="W56" s="1655">
        <f t="shared" si="38"/>
        <v>0.504</v>
      </c>
      <c r="X56" s="721">
        <f t="shared" si="39"/>
        <v>17445.318202031343</v>
      </c>
      <c r="Y56" s="1655"/>
      <c r="Z56" s="1388">
        <f t="shared" si="40"/>
        <v>598.25643061722747</v>
      </c>
      <c r="AA56" s="1639"/>
      <c r="AB56" s="1655"/>
      <c r="AC56" s="1403">
        <f t="shared" si="41"/>
        <v>17445.318202031343</v>
      </c>
      <c r="AD56" s="1404"/>
      <c r="AE56" s="1391">
        <v>0.09</v>
      </c>
      <c r="AF56" s="1655">
        <f t="shared" si="42"/>
        <v>1433.0150281828207</v>
      </c>
      <c r="AG56" s="1658">
        <f t="shared" si="43"/>
        <v>603.2203421224599</v>
      </c>
      <c r="AH56" s="1655">
        <f t="shared" ref="AH56:AH64" si="48">X56*1%</f>
        <v>174.45318202031345</v>
      </c>
      <c r="AI56" s="1655">
        <f t="shared" si="44"/>
        <v>0</v>
      </c>
      <c r="AJ56" s="1655">
        <f t="shared" si="45"/>
        <v>0</v>
      </c>
      <c r="AK56" s="1655">
        <f t="shared" si="46"/>
        <v>0</v>
      </c>
      <c r="AL56" s="1655">
        <f t="shared" si="47"/>
        <v>17270.865020011031</v>
      </c>
      <c r="AM56" s="1655"/>
      <c r="AN56" s="301"/>
    </row>
    <row r="57" spans="1:40" ht="18" customHeight="1">
      <c r="A57" s="1373">
        <v>32</v>
      </c>
      <c r="B57" s="1274" t="s">
        <v>2286</v>
      </c>
      <c r="C57" s="955" t="s">
        <v>90</v>
      </c>
      <c r="D57" s="1386">
        <f>'T-1'!M60-'T-6 (six mth)'!H59/0.9998</f>
        <v>6.0012002400480071</v>
      </c>
      <c r="E57" s="1386">
        <f t="shared" si="33"/>
        <v>6.0012002400480071</v>
      </c>
      <c r="F57" s="1639"/>
      <c r="G57" s="1377"/>
      <c r="H57" s="1377"/>
      <c r="I57" s="1658"/>
      <c r="J57" s="1659"/>
      <c r="K57" s="1658">
        <v>500</v>
      </c>
      <c r="L57" s="1658"/>
      <c r="M57" s="1640"/>
      <c r="N57" s="1640"/>
      <c r="O57" s="1640"/>
      <c r="P57" s="1654"/>
      <c r="Q57" s="1670"/>
      <c r="R57" s="1377">
        <f t="shared" si="36"/>
        <v>500</v>
      </c>
      <c r="S57" s="721"/>
      <c r="T57" s="1655"/>
      <c r="U57" s="1655">
        <f>(E57*K57+F57*L57)/10</f>
        <v>300.06001200240036</v>
      </c>
      <c r="V57" s="1655"/>
      <c r="W57" s="1655"/>
      <c r="X57" s="721">
        <f t="shared" si="39"/>
        <v>300.06001200240036</v>
      </c>
      <c r="Y57" s="1655"/>
      <c r="Z57" s="1388">
        <f t="shared" si="40"/>
        <v>500</v>
      </c>
      <c r="AA57" s="1639"/>
      <c r="AB57" s="1655"/>
      <c r="AC57" s="1403">
        <f t="shared" si="41"/>
        <v>300.06001200240036</v>
      </c>
      <c r="AD57" s="1404"/>
      <c r="AE57" s="1391">
        <v>0.09</v>
      </c>
      <c r="AF57" s="1655">
        <f t="shared" si="42"/>
        <v>27.005401080216032</v>
      </c>
      <c r="AG57" s="1658">
        <f t="shared" si="43"/>
        <v>504.5</v>
      </c>
      <c r="AH57" s="1655"/>
      <c r="AI57" s="1655"/>
      <c r="AJ57" s="1655"/>
      <c r="AK57" s="1655"/>
      <c r="AL57" s="1655">
        <f t="shared" si="47"/>
        <v>300.06001200240036</v>
      </c>
      <c r="AM57" s="1655"/>
      <c r="AN57" s="301"/>
    </row>
    <row r="58" spans="1:40" ht="18" customHeight="1">
      <c r="A58" s="1373">
        <v>33</v>
      </c>
      <c r="B58" s="1373" t="s">
        <v>84</v>
      </c>
      <c r="C58" s="955" t="s">
        <v>90</v>
      </c>
      <c r="D58" s="1386">
        <f>'T-1'!M61-'T-6 (six mth)'!H60/0.9677</f>
        <v>490.78372429471938</v>
      </c>
      <c r="E58" s="1386">
        <f t="shared" si="33"/>
        <v>490.78372429471938</v>
      </c>
      <c r="F58" s="1639">
        <f>D58*0%</f>
        <v>0</v>
      </c>
      <c r="G58" s="1377">
        <f>'T-1'!H61</f>
        <v>18</v>
      </c>
      <c r="H58" s="1377">
        <f>('T-1'!I61+'T-1'!L61)/2</f>
        <v>264750</v>
      </c>
      <c r="I58" s="1658"/>
      <c r="J58" s="1659">
        <v>250</v>
      </c>
      <c r="K58" s="1658">
        <f t="shared" si="34"/>
        <v>580</v>
      </c>
      <c r="L58" s="1658">
        <f t="shared" si="35"/>
        <v>470</v>
      </c>
      <c r="M58" s="1640"/>
      <c r="N58" s="1640"/>
      <c r="O58" s="1640">
        <v>700</v>
      </c>
      <c r="P58" s="1654"/>
      <c r="Q58" s="1660"/>
      <c r="R58" s="1377">
        <f t="shared" si="36"/>
        <v>644.74860193390873</v>
      </c>
      <c r="S58" s="721">
        <v>0.8</v>
      </c>
      <c r="T58" s="1655">
        <f t="shared" si="37"/>
        <v>3177</v>
      </c>
      <c r="U58" s="1655">
        <f>(E58*K58+F58*L58)/10-((0*1*20)/10)</f>
        <v>28465.456009093723</v>
      </c>
      <c r="V58" s="1655"/>
      <c r="W58" s="1655">
        <f t="shared" si="38"/>
        <v>0.75600000000000001</v>
      </c>
      <c r="X58" s="721">
        <f t="shared" si="39"/>
        <v>31643.212009093724</v>
      </c>
      <c r="Y58" s="1655"/>
      <c r="Z58" s="1388">
        <f t="shared" si="40"/>
        <v>638.30111591456966</v>
      </c>
      <c r="AA58" s="1639"/>
      <c r="AB58" s="1655"/>
      <c r="AC58" s="1403">
        <f t="shared" si="41"/>
        <v>31643.212009093724</v>
      </c>
      <c r="AD58" s="1404"/>
      <c r="AE58" s="1391">
        <v>0</v>
      </c>
      <c r="AF58" s="1655">
        <f t="shared" si="42"/>
        <v>0</v>
      </c>
      <c r="AG58" s="1658">
        <f t="shared" si="43"/>
        <v>638.30111591456966</v>
      </c>
      <c r="AH58" s="1655">
        <f t="shared" si="48"/>
        <v>316.43212009093725</v>
      </c>
      <c r="AI58" s="1655">
        <f t="shared" si="44"/>
        <v>0</v>
      </c>
      <c r="AJ58" s="1655">
        <f t="shared" si="45"/>
        <v>0</v>
      </c>
      <c r="AK58" s="1655">
        <f t="shared" si="46"/>
        <v>0</v>
      </c>
      <c r="AL58" s="1655">
        <f t="shared" si="47"/>
        <v>31326.779889002788</v>
      </c>
      <c r="AM58" s="1655"/>
      <c r="AN58" s="301"/>
    </row>
    <row r="59" spans="1:40" ht="18" customHeight="1">
      <c r="A59" s="1373">
        <v>34</v>
      </c>
      <c r="B59" s="1373" t="s">
        <v>91</v>
      </c>
      <c r="C59" s="955" t="s">
        <v>90</v>
      </c>
      <c r="D59" s="1386">
        <f>'T-1'!M62-'T-6 (six mth)'!H61/0.9049</f>
        <v>146.95926732235608</v>
      </c>
      <c r="E59" s="1386">
        <f t="shared" si="33"/>
        <v>146.6800447144436</v>
      </c>
      <c r="F59" s="1639">
        <f>D59*0.19%</f>
        <v>0.27922260791247655</v>
      </c>
      <c r="G59" s="1377">
        <f>'T-1'!H62</f>
        <v>3</v>
      </c>
      <c r="H59" s="1377">
        <f>('T-1'!I62+'T-1'!L62)/2</f>
        <v>229914.3</v>
      </c>
      <c r="I59" s="1658"/>
      <c r="J59" s="1659">
        <v>250</v>
      </c>
      <c r="K59" s="1658">
        <f t="shared" si="34"/>
        <v>580</v>
      </c>
      <c r="L59" s="1658">
        <f t="shared" si="35"/>
        <v>470</v>
      </c>
      <c r="M59" s="1640"/>
      <c r="N59" s="1640"/>
      <c r="O59" s="1640">
        <v>700</v>
      </c>
      <c r="P59" s="1654"/>
      <c r="Q59" s="1660"/>
      <c r="R59" s="1377">
        <f t="shared" si="36"/>
        <v>762.9179064574738</v>
      </c>
      <c r="S59" s="721">
        <v>0.8</v>
      </c>
      <c r="T59" s="1655">
        <f t="shared" si="37"/>
        <v>2758.9715999999999</v>
      </c>
      <c r="U59" s="1655">
        <f>(E59*K59+F59*L59)/10-((33.939*1*20)/10)</f>
        <v>8452.6880560096142</v>
      </c>
      <c r="V59" s="1655"/>
      <c r="W59" s="1655">
        <f t="shared" si="38"/>
        <v>0.126</v>
      </c>
      <c r="X59" s="721">
        <f t="shared" si="39"/>
        <v>11211.785656009615</v>
      </c>
      <c r="Y59" s="1655"/>
      <c r="Z59" s="1388">
        <f t="shared" si="40"/>
        <v>755.28872739289909</v>
      </c>
      <c r="AA59" s="1639"/>
      <c r="AB59" s="1655"/>
      <c r="AC59" s="1403">
        <f t="shared" si="41"/>
        <v>11211.785656009615</v>
      </c>
      <c r="AD59" s="1404"/>
      <c r="AE59" s="1391">
        <v>0.09</v>
      </c>
      <c r="AF59" s="1655">
        <f t="shared" si="42"/>
        <v>760.74192504086523</v>
      </c>
      <c r="AG59" s="1658">
        <f t="shared" si="43"/>
        <v>760.46527691510221</v>
      </c>
      <c r="AH59" s="1655">
        <f t="shared" si="48"/>
        <v>112.11785656009616</v>
      </c>
      <c r="AI59" s="1655">
        <f t="shared" si="44"/>
        <v>0</v>
      </c>
      <c r="AJ59" s="1655">
        <f t="shared" si="45"/>
        <v>0</v>
      </c>
      <c r="AK59" s="1655">
        <f t="shared" si="46"/>
        <v>0</v>
      </c>
      <c r="AL59" s="1655">
        <f t="shared" si="47"/>
        <v>11099.667799449518</v>
      </c>
      <c r="AM59" s="1655"/>
      <c r="AN59" s="301"/>
    </row>
    <row r="60" spans="1:40" ht="18" customHeight="1">
      <c r="A60" s="1373">
        <v>35</v>
      </c>
      <c r="B60" s="1373" t="s">
        <v>82</v>
      </c>
      <c r="C60" s="955" t="s">
        <v>90</v>
      </c>
      <c r="D60" s="1386">
        <f>'T-1'!M63-'T-6 (six mth)'!H62/0.9839</f>
        <v>345.25401971745094</v>
      </c>
      <c r="E60" s="1386">
        <f t="shared" si="33"/>
        <v>345.25401971745094</v>
      </c>
      <c r="F60" s="1639">
        <f>D60*0%</f>
        <v>0</v>
      </c>
      <c r="G60" s="1377">
        <f>'T-1'!H63</f>
        <v>7</v>
      </c>
      <c r="H60" s="1377">
        <f>('T-1'!I63+'T-1'!L63)/2</f>
        <v>488179.47499999998</v>
      </c>
      <c r="I60" s="1658"/>
      <c r="J60" s="1659">
        <v>250</v>
      </c>
      <c r="K60" s="1658">
        <f t="shared" si="34"/>
        <v>580</v>
      </c>
      <c r="L60" s="1658">
        <f t="shared" si="35"/>
        <v>470</v>
      </c>
      <c r="M60" s="1640"/>
      <c r="N60" s="1640"/>
      <c r="O60" s="1640">
        <v>700</v>
      </c>
      <c r="P60" s="1654"/>
      <c r="Q60" s="1660"/>
      <c r="R60" s="1377">
        <f t="shared" si="36"/>
        <v>748.849234681491</v>
      </c>
      <c r="S60" s="721">
        <v>0.8</v>
      </c>
      <c r="T60" s="1655">
        <f t="shared" si="37"/>
        <v>5858.1536999999998</v>
      </c>
      <c r="U60" s="1655">
        <f>(E60*K60+F60*L60)/10-(14.43*1*20)/10</f>
        <v>19995.873143612152</v>
      </c>
      <c r="V60" s="1655"/>
      <c r="W60" s="1655">
        <f t="shared" si="38"/>
        <v>0.29399999999999998</v>
      </c>
      <c r="X60" s="721">
        <f t="shared" si="39"/>
        <v>25854.320843612153</v>
      </c>
      <c r="Y60" s="1655"/>
      <c r="Z60" s="1388">
        <f t="shared" si="40"/>
        <v>741.36074233467616</v>
      </c>
      <c r="AA60" s="1639"/>
      <c r="AB60" s="1655"/>
      <c r="AC60" s="1403">
        <f t="shared" si="41"/>
        <v>25854.320843612153</v>
      </c>
      <c r="AD60" s="1404"/>
      <c r="AE60" s="1391">
        <v>0.09</v>
      </c>
      <c r="AF60" s="1655">
        <f t="shared" si="42"/>
        <v>1799.6285829250937</v>
      </c>
      <c r="AG60" s="1658">
        <f t="shared" si="43"/>
        <v>746.57321917824163</v>
      </c>
      <c r="AH60" s="1655">
        <f t="shared" si="48"/>
        <v>258.54320843612152</v>
      </c>
      <c r="AI60" s="1655">
        <f t="shared" si="44"/>
        <v>0</v>
      </c>
      <c r="AJ60" s="1655">
        <f t="shared" si="45"/>
        <v>0</v>
      </c>
      <c r="AK60" s="1655">
        <f t="shared" si="46"/>
        <v>0</v>
      </c>
      <c r="AL60" s="1655">
        <f t="shared" si="47"/>
        <v>25595.777635176033</v>
      </c>
      <c r="AM60" s="1655"/>
      <c r="AN60" s="301"/>
    </row>
    <row r="61" spans="1:40" ht="18" customHeight="1">
      <c r="A61" s="1373">
        <v>36</v>
      </c>
      <c r="B61" s="1274" t="s">
        <v>1963</v>
      </c>
      <c r="C61" s="955" t="s">
        <v>90</v>
      </c>
      <c r="D61" s="1386">
        <f>'T-1'!M64-'T-6 (six mth)'!H63/0.9718</f>
        <v>1288.6522329697468</v>
      </c>
      <c r="E61" s="1386">
        <f t="shared" si="33"/>
        <v>1288.6522329697468</v>
      </c>
      <c r="F61" s="1639"/>
      <c r="G61" s="1377"/>
      <c r="H61" s="1377"/>
      <c r="I61" s="1658"/>
      <c r="J61" s="1659"/>
      <c r="K61" s="1658">
        <v>500</v>
      </c>
      <c r="L61" s="1658"/>
      <c r="M61" s="1640"/>
      <c r="N61" s="1640"/>
      <c r="O61" s="1640"/>
      <c r="P61" s="1654"/>
      <c r="Q61" s="1660"/>
      <c r="R61" s="1377">
        <f t="shared" si="36"/>
        <v>500.00000000000006</v>
      </c>
      <c r="S61" s="721"/>
      <c r="T61" s="1655"/>
      <c r="U61" s="1655">
        <f>(E61*K61+F61*L61)/10</f>
        <v>64432.611648487349</v>
      </c>
      <c r="V61" s="1655"/>
      <c r="W61" s="1655"/>
      <c r="X61" s="721">
        <f t="shared" si="39"/>
        <v>64432.611648487349</v>
      </c>
      <c r="Y61" s="1655"/>
      <c r="Z61" s="1388">
        <f t="shared" si="40"/>
        <v>500.00000000000006</v>
      </c>
      <c r="AA61" s="1639"/>
      <c r="AB61" s="1655"/>
      <c r="AC61" s="1403">
        <f t="shared" si="41"/>
        <v>64432.611648487349</v>
      </c>
      <c r="AD61" s="1404"/>
      <c r="AE61" s="1391">
        <v>0.09</v>
      </c>
      <c r="AF61" s="1655">
        <f t="shared" ref="AF61" si="49">AE61*U61</f>
        <v>5798.9350483638609</v>
      </c>
      <c r="AG61" s="1658">
        <f t="shared" ref="AG61" si="50">AF61/D61+Z61</f>
        <v>504.50000000000006</v>
      </c>
      <c r="AH61" s="1655"/>
      <c r="AI61" s="1655"/>
      <c r="AJ61" s="1655"/>
      <c r="AK61" s="1655"/>
      <c r="AL61" s="1655">
        <f t="shared" si="47"/>
        <v>64432.611648487349</v>
      </c>
      <c r="AM61" s="1655"/>
      <c r="AN61" s="301"/>
    </row>
    <row r="62" spans="1:40" ht="18" customHeight="1">
      <c r="A62" s="1373">
        <v>37</v>
      </c>
      <c r="B62" s="1373" t="s">
        <v>92</v>
      </c>
      <c r="C62" s="955" t="s">
        <v>90</v>
      </c>
      <c r="D62" s="1386">
        <f>'T-1'!M65-'T-6 (six mth)'!H64/0.9956</f>
        <v>3.6745339493772593</v>
      </c>
      <c r="E62" s="1386">
        <f t="shared" si="33"/>
        <v>3.6745339493772593</v>
      </c>
      <c r="F62" s="1639">
        <f>D62*0%</f>
        <v>0</v>
      </c>
      <c r="G62" s="1377">
        <f>'T-1'!H65</f>
        <v>1</v>
      </c>
      <c r="H62" s="1377">
        <f>('T-1'!I65+'T-1'!L65)/2</f>
        <v>4625</v>
      </c>
      <c r="I62" s="1658"/>
      <c r="J62" s="1659">
        <v>250</v>
      </c>
      <c r="K62" s="1658">
        <f t="shared" si="34"/>
        <v>580</v>
      </c>
      <c r="L62" s="1658">
        <f t="shared" si="35"/>
        <v>470</v>
      </c>
      <c r="M62" s="1640"/>
      <c r="N62" s="1640"/>
      <c r="O62" s="1640">
        <v>700</v>
      </c>
      <c r="P62" s="1654"/>
      <c r="Q62" s="1660"/>
      <c r="R62" s="1377">
        <f t="shared" si="36"/>
        <v>726.93019779868951</v>
      </c>
      <c r="S62" s="721">
        <v>0.8</v>
      </c>
      <c r="T62" s="1655">
        <f t="shared" si="37"/>
        <v>55.5</v>
      </c>
      <c r="U62" s="1655">
        <f>((E62*K62+F62*L62)/10)-((0.776*1*20)/10)</f>
        <v>211.57096906388105</v>
      </c>
      <c r="V62" s="1655"/>
      <c r="W62" s="1655">
        <f t="shared" si="38"/>
        <v>4.2000000000000003E-2</v>
      </c>
      <c r="X62" s="721">
        <f t="shared" si="39"/>
        <v>267.11296906388105</v>
      </c>
      <c r="Y62" s="1655"/>
      <c r="Z62" s="1388">
        <f t="shared" si="40"/>
        <v>719.66089582070254</v>
      </c>
      <c r="AA62" s="1639"/>
      <c r="AB62" s="1655"/>
      <c r="AC62" s="1403">
        <f t="shared" si="41"/>
        <v>267.11296906388105</v>
      </c>
      <c r="AD62" s="1404"/>
      <c r="AE62" s="1391">
        <v>0.09</v>
      </c>
      <c r="AF62" s="1655">
        <f t="shared" si="42"/>
        <v>19.041387215749292</v>
      </c>
      <c r="AG62" s="1658">
        <f t="shared" si="43"/>
        <v>724.84288283676381</v>
      </c>
      <c r="AH62" s="1655">
        <f t="shared" si="48"/>
        <v>2.6711296906388107</v>
      </c>
      <c r="AI62" s="1655">
        <f t="shared" si="44"/>
        <v>0</v>
      </c>
      <c r="AJ62" s="1655">
        <f t="shared" si="45"/>
        <v>0</v>
      </c>
      <c r="AK62" s="1655">
        <f t="shared" si="46"/>
        <v>0</v>
      </c>
      <c r="AL62" s="1655">
        <f t="shared" si="47"/>
        <v>264.44183937324226</v>
      </c>
      <c r="AM62" s="1655"/>
      <c r="AN62" s="301"/>
    </row>
    <row r="63" spans="1:40" ht="18" customHeight="1">
      <c r="A63" s="1373">
        <v>38</v>
      </c>
      <c r="B63" s="1373" t="s">
        <v>286</v>
      </c>
      <c r="C63" s="955" t="s">
        <v>90</v>
      </c>
      <c r="D63" s="1386">
        <f>'T-1'!M66-'T-6 (six mth)'!H65/0.8964</f>
        <v>0.72466532797858096</v>
      </c>
      <c r="E63" s="1386">
        <f t="shared" si="33"/>
        <v>0.72466532797858096</v>
      </c>
      <c r="F63" s="1639"/>
      <c r="G63" s="1377">
        <f>'T-1'!H66</f>
        <v>1</v>
      </c>
      <c r="H63" s="1377">
        <f>('T-1'!I66+'T-1'!L66)/2</f>
        <v>4625</v>
      </c>
      <c r="I63" s="1658"/>
      <c r="J63" s="1659">
        <v>0</v>
      </c>
      <c r="K63" s="1658">
        <f>720+20+30</f>
        <v>770</v>
      </c>
      <c r="L63" s="1373"/>
      <c r="M63" s="1640"/>
      <c r="N63" s="1640"/>
      <c r="O63" s="1640">
        <v>700</v>
      </c>
      <c r="P63" s="1654"/>
      <c r="Q63" s="1373"/>
      <c r="R63" s="1377"/>
      <c r="S63" s="721"/>
      <c r="T63" s="1655">
        <f t="shared" si="37"/>
        <v>0</v>
      </c>
      <c r="U63" s="1655">
        <f>(E63*K63+F63*L63)/10-((0*20*1/10))</f>
        <v>55.799230254350732</v>
      </c>
      <c r="V63" s="1655"/>
      <c r="W63" s="1655">
        <f t="shared" si="38"/>
        <v>4.2000000000000003E-2</v>
      </c>
      <c r="X63" s="721">
        <f t="shared" si="39"/>
        <v>55.841230254350734</v>
      </c>
      <c r="Y63" s="1655"/>
      <c r="Z63" s="1388">
        <f t="shared" si="40"/>
        <v>762.87378210871464</v>
      </c>
      <c r="AA63" s="1639"/>
      <c r="AB63" s="1655"/>
      <c r="AC63" s="1403">
        <f t="shared" si="41"/>
        <v>55.841230254350734</v>
      </c>
      <c r="AD63" s="1404"/>
      <c r="AE63" s="1391">
        <v>0.09</v>
      </c>
      <c r="AF63" s="1655">
        <f t="shared" si="42"/>
        <v>5.0219307228915655</v>
      </c>
      <c r="AG63" s="1658">
        <f t="shared" si="43"/>
        <v>769.80378210871459</v>
      </c>
      <c r="AH63" s="1655">
        <f t="shared" si="48"/>
        <v>0.55841230254350738</v>
      </c>
      <c r="AI63" s="1655">
        <f t="shared" si="44"/>
        <v>0</v>
      </c>
      <c r="AJ63" s="1655">
        <f t="shared" si="45"/>
        <v>0</v>
      </c>
      <c r="AK63" s="1655">
        <f t="shared" si="46"/>
        <v>0</v>
      </c>
      <c r="AL63" s="1655">
        <f t="shared" si="47"/>
        <v>55.282817951807225</v>
      </c>
      <c r="AM63" s="1655"/>
      <c r="AN63" s="301"/>
    </row>
    <row r="64" spans="1:40" ht="18" customHeight="1">
      <c r="A64" s="1373">
        <v>39</v>
      </c>
      <c r="B64" s="1373" t="s">
        <v>86</v>
      </c>
      <c r="C64" s="955" t="s">
        <v>90</v>
      </c>
      <c r="D64" s="1386">
        <f>'T-1'!M67-'T-6 (six mth)'!H67</f>
        <v>14.886948560000004</v>
      </c>
      <c r="E64" s="1386">
        <f t="shared" si="33"/>
        <v>14.886948560000004</v>
      </c>
      <c r="F64" s="1639"/>
      <c r="G64" s="1377">
        <f>'T-1'!H67</f>
        <v>0</v>
      </c>
      <c r="H64" s="1377">
        <f>('T-1'!I67+'T-1'!L67)/2</f>
        <v>0</v>
      </c>
      <c r="I64" s="1658"/>
      <c r="J64" s="1659"/>
      <c r="K64" s="1658">
        <f>435+20+30</f>
        <v>485</v>
      </c>
      <c r="L64" s="1373"/>
      <c r="M64" s="1373"/>
      <c r="N64" s="1373"/>
      <c r="O64" s="1640">
        <v>0</v>
      </c>
      <c r="P64" s="1373"/>
      <c r="Q64" s="1373"/>
      <c r="R64" s="1377">
        <f>X64/D64*10</f>
        <v>485</v>
      </c>
      <c r="S64" s="721"/>
      <c r="T64" s="1655"/>
      <c r="U64" s="1655">
        <f>(E64*K64+F64*L64)/10</f>
        <v>722.01700516000017</v>
      </c>
      <c r="V64" s="1655"/>
      <c r="W64" s="1655">
        <f t="shared" si="38"/>
        <v>0</v>
      </c>
      <c r="X64" s="721">
        <f t="shared" si="39"/>
        <v>722.01700516000017</v>
      </c>
      <c r="Y64" s="1655"/>
      <c r="Z64" s="1388">
        <f t="shared" si="40"/>
        <v>480.15</v>
      </c>
      <c r="AA64" s="1639"/>
      <c r="AB64" s="1655"/>
      <c r="AC64" s="1403">
        <f t="shared" si="41"/>
        <v>722.01700516000017</v>
      </c>
      <c r="AD64" s="1404"/>
      <c r="AE64" s="1391">
        <v>0.09</v>
      </c>
      <c r="AF64" s="1655">
        <f t="shared" si="42"/>
        <v>64.981530464400009</v>
      </c>
      <c r="AG64" s="1658">
        <f t="shared" si="43"/>
        <v>484.51499999999999</v>
      </c>
      <c r="AH64" s="1655">
        <f t="shared" si="48"/>
        <v>7.220170051600002</v>
      </c>
      <c r="AI64" s="1655"/>
      <c r="AJ64" s="1655"/>
      <c r="AK64" s="1655">
        <f t="shared" si="46"/>
        <v>0</v>
      </c>
      <c r="AL64" s="1655">
        <f t="shared" si="47"/>
        <v>714.79683510840016</v>
      </c>
      <c r="AM64" s="1655"/>
      <c r="AN64" s="301"/>
    </row>
    <row r="65" spans="1:40" ht="18" customHeight="1">
      <c r="A65" s="1373">
        <v>40</v>
      </c>
      <c r="B65" s="1373" t="s">
        <v>289</v>
      </c>
      <c r="C65" s="955" t="s">
        <v>90</v>
      </c>
      <c r="D65" s="1386">
        <f>'T-1'!M68</f>
        <v>0</v>
      </c>
      <c r="E65" s="1386">
        <f t="shared" si="33"/>
        <v>0</v>
      </c>
      <c r="F65" s="1639"/>
      <c r="G65" s="1377">
        <f>'T-1'!P68</f>
        <v>0</v>
      </c>
      <c r="H65" s="1377">
        <f>'T-1'!Q68</f>
        <v>0</v>
      </c>
      <c r="I65" s="1658"/>
      <c r="J65" s="1655"/>
      <c r="K65" s="1658"/>
      <c r="L65" s="1373"/>
      <c r="M65" s="1373"/>
      <c r="N65" s="1373"/>
      <c r="O65" s="1640"/>
      <c r="P65" s="1654"/>
      <c r="Q65" s="1373"/>
      <c r="R65" s="1377" t="e">
        <f>X65/D65*10</f>
        <v>#DIV/0!</v>
      </c>
      <c r="S65" s="721"/>
      <c r="T65" s="1655"/>
      <c r="U65" s="1655">
        <f>(E65*K65+F65*L65)/10</f>
        <v>0</v>
      </c>
      <c r="V65" s="1655"/>
      <c r="W65" s="1655">
        <f t="shared" si="38"/>
        <v>0</v>
      </c>
      <c r="X65" s="721">
        <f t="shared" si="39"/>
        <v>0</v>
      </c>
      <c r="Y65" s="1655"/>
      <c r="Z65" s="1388"/>
      <c r="AA65" s="1639"/>
      <c r="AB65" s="1655"/>
      <c r="AC65" s="1403">
        <f t="shared" si="41"/>
        <v>0</v>
      </c>
      <c r="AD65" s="1404"/>
      <c r="AE65" s="1391">
        <v>0.09</v>
      </c>
      <c r="AF65" s="1655">
        <f t="shared" si="42"/>
        <v>0</v>
      </c>
      <c r="AG65" s="1658" t="e">
        <f t="shared" si="43"/>
        <v>#DIV/0!</v>
      </c>
      <c r="AH65" s="1655"/>
      <c r="AI65" s="1655"/>
      <c r="AJ65" s="1655"/>
      <c r="AK65" s="1655"/>
      <c r="AL65" s="1655">
        <f>AC65-AH65+AI65+AJ65</f>
        <v>0</v>
      </c>
      <c r="AM65" s="1655"/>
      <c r="AN65" s="301"/>
    </row>
    <row r="66" spans="1:40" ht="18" customHeight="1">
      <c r="A66" s="1373"/>
      <c r="B66" s="1374" t="s">
        <v>290</v>
      </c>
      <c r="C66" s="1380"/>
      <c r="D66" s="1407">
        <f t="shared" ref="D66:I66" si="51">SUM(D55:D64)</f>
        <v>2585.818913515493</v>
      </c>
      <c r="E66" s="1407">
        <f t="shared" si="51"/>
        <v>2518.7375980072616</v>
      </c>
      <c r="F66" s="1407">
        <f t="shared" si="51"/>
        <v>67.081315508231881</v>
      </c>
      <c r="G66" s="1408">
        <f t="shared" si="51"/>
        <v>42</v>
      </c>
      <c r="H66" s="1408">
        <f t="shared" si="51"/>
        <v>1118962.5249999999</v>
      </c>
      <c r="I66" s="1408">
        <f t="shared" si="51"/>
        <v>0</v>
      </c>
      <c r="J66" s="952"/>
      <c r="K66" s="1668"/>
      <c r="L66" s="1668"/>
      <c r="M66" s="1668"/>
      <c r="N66" s="1668"/>
      <c r="O66" s="1374"/>
      <c r="P66" s="1374"/>
      <c r="Q66" s="947"/>
      <c r="R66" s="1395">
        <f>X66/D66*10</f>
        <v>587.60328182057344</v>
      </c>
      <c r="S66" s="721"/>
      <c r="T66" s="952">
        <f>SUM(T55:T64)</f>
        <v>13372.050299999999</v>
      </c>
      <c r="U66" s="952">
        <f>SUM(U55:U64)</f>
        <v>138569.7536775413</v>
      </c>
      <c r="V66" s="952"/>
      <c r="W66" s="952">
        <f>SUM(W55:W64)</f>
        <v>1.7640000000000002</v>
      </c>
      <c r="X66" s="952">
        <f>SUM(X55:X64)</f>
        <v>151943.56797754133</v>
      </c>
      <c r="Y66" s="952"/>
      <c r="Z66" s="1397">
        <f t="shared" si="40"/>
        <v>584.23062119607175</v>
      </c>
      <c r="AA66" s="1407">
        <f>SUM(AA55:AA64)</f>
        <v>0</v>
      </c>
      <c r="AB66" s="1662">
        <f>SUM(AB55:AB64)</f>
        <v>0</v>
      </c>
      <c r="AC66" s="1663">
        <f>SUM(AC55:AC64)</f>
        <v>151943.56797754133</v>
      </c>
      <c r="AD66" s="1662"/>
      <c r="AE66" s="1391"/>
      <c r="AF66" s="952">
        <f>SUM(AF55:AF64)</f>
        <v>9909.3867901602807</v>
      </c>
      <c r="AG66" s="1408">
        <f t="shared" si="43"/>
        <v>588.06282566265918</v>
      </c>
      <c r="AH66" s="1662">
        <f>SUM(AH55:AH64)</f>
        <v>872.10896317051561</v>
      </c>
      <c r="AI66" s="952">
        <f>SUM(AI55:AI64)</f>
        <v>0</v>
      </c>
      <c r="AJ66" s="952">
        <f>SUM(AJ55:AJ64)</f>
        <v>0</v>
      </c>
      <c r="AK66" s="952">
        <f>SUM(AK55:AK64)</f>
        <v>0</v>
      </c>
      <c r="AL66" s="952">
        <f>SUM(AL55:AL64)</f>
        <v>151071.4590143708</v>
      </c>
      <c r="AM66" s="952"/>
      <c r="AN66" s="301"/>
    </row>
    <row r="67" spans="1:40" ht="18" customHeight="1">
      <c r="A67" s="1942" t="s">
        <v>94</v>
      </c>
      <c r="B67" s="1942"/>
      <c r="C67" s="1942"/>
      <c r="D67" s="1407">
        <f t="shared" ref="D67:I67" si="52">D66+D53+D35</f>
        <v>5605.1675023258813</v>
      </c>
      <c r="E67" s="1410">
        <f t="shared" si="52"/>
        <v>3635.9548357599942</v>
      </c>
      <c r="F67" s="1410">
        <f t="shared" si="52"/>
        <v>223.65530307910615</v>
      </c>
      <c r="G67" s="1408">
        <f t="shared" si="52"/>
        <v>2279921</v>
      </c>
      <c r="H67" s="1408">
        <f t="shared" si="52"/>
        <v>4805311.9812300019</v>
      </c>
      <c r="I67" s="1408">
        <f t="shared" si="52"/>
        <v>1408446.9799949999</v>
      </c>
      <c r="J67" s="955"/>
      <c r="K67" s="955"/>
      <c r="L67" s="955"/>
      <c r="M67" s="955"/>
      <c r="N67" s="955"/>
      <c r="O67" s="955"/>
      <c r="P67" s="955"/>
      <c r="Q67" s="947"/>
      <c r="R67" s="1395">
        <f>X67/D67*10</f>
        <v>569.03082060267911</v>
      </c>
      <c r="S67" s="721"/>
      <c r="T67" s="952">
        <f>T66+T53+T35</f>
        <v>21071.279049000001</v>
      </c>
      <c r="U67" s="952">
        <f>U66+U53+U35</f>
        <v>293826.04927470157</v>
      </c>
      <c r="V67" s="952">
        <f>V66+V53+V35</f>
        <v>4032.976222695002</v>
      </c>
      <c r="W67" s="952">
        <f>W66+W53+W35</f>
        <v>21.001799999999999</v>
      </c>
      <c r="X67" s="952">
        <f>X66+X53+X35</f>
        <v>318951.30634639657</v>
      </c>
      <c r="Y67" s="952"/>
      <c r="Z67" s="1397">
        <f t="shared" si="40"/>
        <v>564.19705069037479</v>
      </c>
      <c r="AA67" s="1410">
        <f>AA66+AA53+AA35</f>
        <v>467.44607499999995</v>
      </c>
      <c r="AB67" s="952">
        <f>AB66+AB53+AB35</f>
        <v>467.44607500000001</v>
      </c>
      <c r="AC67" s="1671">
        <f>AC66+AC53+AC35</f>
        <v>318483.86027139658</v>
      </c>
      <c r="AD67" s="1411"/>
      <c r="AE67" s="1385"/>
      <c r="AF67" s="952">
        <f>AF66+AF53+AF35</f>
        <v>18686.464385329695</v>
      </c>
      <c r="AG67" s="1408">
        <f t="shared" si="43"/>
        <v>567.53084301283002</v>
      </c>
      <c r="AH67" s="1411">
        <f>AH66+AH53+AH35</f>
        <v>2241.9629276168716</v>
      </c>
      <c r="AI67" s="952">
        <f>AI66+AI53+AI35</f>
        <v>0</v>
      </c>
      <c r="AJ67" s="952">
        <f>AJ66+AJ53+AJ35</f>
        <v>0</v>
      </c>
      <c r="AK67" s="952">
        <f>AK66+AK53+AK35</f>
        <v>0</v>
      </c>
      <c r="AL67" s="952">
        <f>AL66+AL53+AL35</f>
        <v>316809.5746309954</v>
      </c>
      <c r="AM67" s="952"/>
      <c r="AN67" s="301"/>
    </row>
    <row r="68" spans="1:40" ht="15.5">
      <c r="C68" s="953"/>
      <c r="D68" s="4"/>
      <c r="I68" s="161"/>
      <c r="L68" s="161"/>
      <c r="O68" s="301"/>
      <c r="P68" s="301"/>
      <c r="AJ68" s="347"/>
      <c r="AK68" s="347"/>
      <c r="AL68" s="216"/>
      <c r="AM68" s="347"/>
    </row>
    <row r="69" spans="1:40">
      <c r="D69" s="4"/>
      <c r="K69" s="8"/>
      <c r="AJ69" s="347"/>
      <c r="AK69" s="347"/>
      <c r="AL69" s="347"/>
      <c r="AM69" s="347"/>
    </row>
    <row r="70" spans="1:40" ht="15.5">
      <c r="O70" s="301"/>
      <c r="P70" s="301"/>
      <c r="AJ70" s="347"/>
      <c r="AK70" s="347"/>
      <c r="AL70" s="347"/>
      <c r="AM70" s="347"/>
    </row>
    <row r="71" spans="1:40" ht="15.5">
      <c r="O71" s="301"/>
      <c r="P71" s="301"/>
      <c r="AJ71" s="347"/>
      <c r="AK71" s="347"/>
      <c r="AL71" s="347"/>
      <c r="AM71" s="347"/>
    </row>
    <row r="72" spans="1:40" ht="15.5">
      <c r="O72" s="301"/>
      <c r="P72" s="301"/>
      <c r="AJ72" s="347"/>
      <c r="AK72" s="347"/>
      <c r="AL72" s="347"/>
      <c r="AM72" s="347"/>
    </row>
    <row r="73" spans="1:40" ht="15.5">
      <c r="O73" s="301"/>
      <c r="P73" s="301"/>
      <c r="AJ73" s="347"/>
      <c r="AK73" s="347"/>
      <c r="AL73" s="347"/>
      <c r="AM73" s="347"/>
    </row>
    <row r="74" spans="1:40" ht="15.5">
      <c r="O74" s="301"/>
      <c r="P74" s="301"/>
      <c r="AJ74" s="347"/>
      <c r="AK74" s="347"/>
      <c r="AL74" s="347"/>
      <c r="AM74" s="347"/>
    </row>
    <row r="75" spans="1:40" ht="15.5">
      <c r="O75" s="301"/>
      <c r="P75" s="301"/>
      <c r="AJ75" s="347"/>
      <c r="AK75" s="347"/>
      <c r="AL75" s="347"/>
      <c r="AM75" s="347"/>
    </row>
    <row r="76" spans="1:40" ht="15.5">
      <c r="O76" s="301"/>
      <c r="P76" s="301"/>
      <c r="AJ76" s="347"/>
      <c r="AK76" s="347"/>
      <c r="AL76" s="347"/>
      <c r="AM76" s="347"/>
    </row>
    <row r="77" spans="1:40" ht="13">
      <c r="G77" s="2"/>
      <c r="H77" s="2"/>
      <c r="I77" s="2"/>
      <c r="J77" s="2"/>
      <c r="K77" s="2"/>
      <c r="L77" s="2"/>
      <c r="M77" s="2"/>
      <c r="N77" s="2"/>
      <c r="O77" s="2"/>
      <c r="P77" s="2"/>
      <c r="Q77" s="2"/>
      <c r="R77" s="2"/>
      <c r="S77" s="2"/>
      <c r="AJ77" s="347"/>
      <c r="AK77" s="347"/>
      <c r="AL77" s="347"/>
      <c r="AM77" s="347"/>
    </row>
    <row r="78" spans="1:40" ht="15.5">
      <c r="O78" s="954"/>
      <c r="P78" s="954"/>
      <c r="Q78" s="954"/>
      <c r="R78" s="954"/>
      <c r="S78" s="954"/>
      <c r="AJ78" s="347"/>
      <c r="AK78" s="347"/>
      <c r="AL78" s="347"/>
      <c r="AM78" s="347"/>
    </row>
    <row r="79" spans="1:40" ht="15.5">
      <c r="O79" s="954"/>
      <c r="P79" s="954"/>
      <c r="Q79" s="954"/>
      <c r="R79" s="954"/>
      <c r="S79" s="954"/>
      <c r="AJ79" s="347"/>
      <c r="AK79" s="347"/>
      <c r="AL79" s="347"/>
      <c r="AM79" s="347"/>
    </row>
    <row r="80" spans="1:40" ht="15.5">
      <c r="O80" s="301"/>
      <c r="P80" s="301"/>
      <c r="AJ80" s="347"/>
      <c r="AK80" s="347"/>
      <c r="AL80" s="347"/>
      <c r="AM80" s="347"/>
    </row>
    <row r="81" spans="7:39" ht="15.5">
      <c r="O81" s="301"/>
      <c r="P81" s="301"/>
      <c r="AJ81" s="347"/>
      <c r="AK81" s="347"/>
      <c r="AL81" s="347"/>
      <c r="AM81" s="347"/>
    </row>
    <row r="82" spans="7:39" ht="13">
      <c r="G82" s="2"/>
      <c r="H82" s="2"/>
      <c r="I82" s="2"/>
      <c r="J82" s="2"/>
      <c r="K82" s="2"/>
      <c r="L82" s="2"/>
      <c r="M82" s="2"/>
      <c r="N82" s="2"/>
      <c r="O82" s="2"/>
      <c r="P82" s="2"/>
      <c r="Q82" s="2"/>
      <c r="R82" s="2"/>
      <c r="S82" s="2"/>
      <c r="AJ82" s="347"/>
      <c r="AK82" s="347"/>
      <c r="AL82" s="347"/>
      <c r="AM82" s="347"/>
    </row>
    <row r="83" spans="7:39" ht="15.5">
      <c r="O83" s="954"/>
      <c r="P83" s="954"/>
      <c r="Q83" s="954"/>
      <c r="R83" s="954"/>
      <c r="S83" s="954"/>
      <c r="AJ83" s="347"/>
      <c r="AK83" s="347"/>
      <c r="AL83" s="347"/>
      <c r="AM83" s="347"/>
    </row>
    <row r="84" spans="7:39" ht="15.5">
      <c r="O84" s="954"/>
      <c r="P84" s="954"/>
      <c r="Q84" s="954"/>
      <c r="R84" s="954"/>
      <c r="S84" s="954"/>
      <c r="AJ84" s="347"/>
      <c r="AK84" s="347"/>
      <c r="AL84" s="347"/>
      <c r="AM84" s="347"/>
    </row>
    <row r="85" spans="7:39">
      <c r="AJ85" s="347"/>
      <c r="AK85" s="347"/>
      <c r="AL85" s="347"/>
      <c r="AM85" s="347"/>
    </row>
    <row r="86" spans="7:39">
      <c r="AJ86" s="347"/>
      <c r="AK86" s="347"/>
      <c r="AL86" s="347"/>
      <c r="AM86" s="347"/>
    </row>
    <row r="87" spans="7:39">
      <c r="AJ87" s="347"/>
      <c r="AK87" s="347"/>
      <c r="AL87" s="347"/>
      <c r="AM87" s="347"/>
    </row>
    <row r="88" spans="7:39">
      <c r="AJ88" s="347"/>
      <c r="AK88" s="347"/>
      <c r="AL88" s="347"/>
      <c r="AM88" s="347"/>
    </row>
    <row r="89" spans="7:39">
      <c r="AJ89" s="347"/>
      <c r="AK89" s="347"/>
      <c r="AL89" s="347"/>
      <c r="AM89" s="347"/>
    </row>
    <row r="90" spans="7:39">
      <c r="AJ90" s="347"/>
      <c r="AK90" s="347"/>
      <c r="AL90" s="347"/>
      <c r="AM90" s="347"/>
    </row>
    <row r="91" spans="7:39">
      <c r="AJ91" s="347"/>
      <c r="AK91" s="347"/>
      <c r="AL91" s="347"/>
      <c r="AM91" s="347"/>
    </row>
    <row r="92" spans="7:39">
      <c r="AJ92" s="347"/>
      <c r="AK92" s="347"/>
      <c r="AL92" s="347"/>
      <c r="AM92" s="347"/>
    </row>
    <row r="93" spans="7:39">
      <c r="AJ93" s="347"/>
      <c r="AK93" s="347"/>
      <c r="AL93" s="347"/>
      <c r="AM93" s="347"/>
    </row>
  </sheetData>
  <mergeCells count="3">
    <mergeCell ref="A67:C67"/>
    <mergeCell ref="M7:N7"/>
    <mergeCell ref="P7:Q7"/>
  </mergeCells>
  <phoneticPr fontId="0" type="noConversion"/>
  <printOptions horizontalCentered="1" gridLines="1"/>
  <pageMargins left="0.23622047244094491" right="0" top="0.70866141732283472" bottom="0.31496062992125984" header="0" footer="0.19685039370078741"/>
  <pageSetup paperSize="9" scale="75" fitToWidth="15" fitToHeight="15" orientation="landscape" r:id="rId1"/>
  <headerFooter alignWithMargins="0">
    <oddFooter>&amp;R&amp;"Arial,Bold"&amp;12OERC FORM-&amp;A</oddFooter>
  </headerFooter>
  <rowBreaks count="2" manualBreakCount="2">
    <brk id="35" max="38" man="1"/>
    <brk id="53" max="38" man="1"/>
  </rowBreaks>
  <colBreaks count="2" manualBreakCount="2">
    <brk id="16" max="66" man="1"/>
    <brk id="29" max="6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X96"/>
  <sheetViews>
    <sheetView showGridLines="0" view="pageBreakPreview" zoomScale="86" zoomScaleNormal="75" zoomScaleSheetLayoutView="86" workbookViewId="0">
      <pane xSplit="4" ySplit="6" topLeftCell="AV64" activePane="bottomRight" state="frozen"/>
      <selection activeCell="L45" sqref="L45"/>
      <selection pane="topRight" activeCell="L45" sqref="L45"/>
      <selection pane="bottomLeft" activeCell="L45" sqref="L45"/>
      <selection pane="bottomRight" activeCell="D53" sqref="D53"/>
    </sheetView>
  </sheetViews>
  <sheetFormatPr defaultColWidth="14.7265625" defaultRowHeight="15.5"/>
  <cols>
    <col min="1" max="1" width="5.7265625" style="38" customWidth="1"/>
    <col min="2" max="2" width="31" style="38" customWidth="1"/>
    <col min="3" max="3" width="11.26953125" style="38" customWidth="1"/>
    <col min="4" max="4" width="11.7265625" style="38" customWidth="1"/>
    <col min="5" max="5" width="11.453125" style="38" bestFit="1" customWidth="1"/>
    <col min="6" max="9" width="11.453125" style="38" customWidth="1"/>
    <col min="10" max="10" width="9" style="38" customWidth="1"/>
    <col min="11" max="11" width="10.453125" style="38" customWidth="1"/>
    <col min="12" max="12" width="11.54296875" style="38" customWidth="1"/>
    <col min="13" max="13" width="9" style="38" customWidth="1"/>
    <col min="14" max="14" width="8.81640625" style="38" customWidth="1"/>
    <col min="15" max="15" width="12.26953125" style="38" customWidth="1"/>
    <col min="16" max="16" width="9.81640625" style="38" customWidth="1"/>
    <col min="17" max="17" width="8.26953125" style="38" customWidth="1"/>
    <col min="18" max="18" width="9.1796875" style="38" customWidth="1"/>
    <col min="19" max="19" width="8.54296875" style="38" customWidth="1"/>
    <col min="20" max="20" width="11.54296875" style="38" customWidth="1"/>
    <col min="21" max="24" width="12.26953125" style="38" customWidth="1"/>
    <col min="25" max="25" width="11.54296875" style="38" customWidth="1"/>
    <col min="26" max="26" width="10.453125" style="38" customWidth="1"/>
    <col min="27" max="27" width="13" style="38" customWidth="1"/>
    <col min="28" max="28" width="11" style="38" customWidth="1"/>
    <col min="29" max="29" width="13" style="38" customWidth="1"/>
    <col min="30" max="30" width="10" style="38" customWidth="1"/>
    <col min="31" max="31" width="9.54296875" style="38" customWidth="1"/>
    <col min="32" max="33" width="9.7265625" style="38" customWidth="1"/>
    <col min="34" max="34" width="12.81640625" style="38" customWidth="1"/>
    <col min="35" max="35" width="10.26953125" style="38" customWidth="1"/>
    <col min="36" max="36" width="9.1796875" style="38" customWidth="1"/>
    <col min="37" max="37" width="9.7265625" style="38" customWidth="1"/>
    <col min="38" max="38" width="8" style="38" customWidth="1"/>
    <col min="39" max="39" width="9.54296875" style="38" customWidth="1"/>
    <col min="40" max="40" width="10.81640625" style="38" customWidth="1"/>
    <col min="41" max="41" width="8.7265625" style="38" customWidth="1"/>
    <col min="42" max="42" width="8.453125" style="38" customWidth="1"/>
    <col min="43" max="43" width="11.26953125" style="38" customWidth="1"/>
    <col min="44" max="44" width="10.7265625" style="38" customWidth="1"/>
    <col min="45" max="45" width="11.7265625" style="38" customWidth="1"/>
    <col min="46" max="46" width="12.453125" style="38" customWidth="1"/>
    <col min="47" max="47" width="13.453125" style="38" customWidth="1"/>
    <col min="48" max="48" width="11.54296875" style="38" customWidth="1"/>
    <col min="49" max="49" width="13.453125" style="38" customWidth="1"/>
    <col min="50" max="50" width="11.453125" style="38" customWidth="1"/>
    <col min="51" max="51" width="11.81640625" style="38" customWidth="1"/>
    <col min="52" max="52" width="11.1796875" style="38" customWidth="1"/>
    <col min="53" max="53" width="12.1796875" style="38" customWidth="1"/>
    <col min="54" max="54" width="13.453125" style="38" customWidth="1"/>
    <col min="55" max="55" width="13.1796875" style="38" customWidth="1"/>
    <col min="56" max="56" width="11.54296875" style="38" customWidth="1"/>
    <col min="57" max="57" width="12.1796875" style="38" customWidth="1"/>
    <col min="58" max="64" width="9.7265625" style="38" customWidth="1"/>
    <col min="65" max="65" width="10.54296875" style="38" customWidth="1"/>
    <col min="66" max="66" width="10.26953125" style="38" customWidth="1"/>
    <col min="67" max="68" width="12.453125" style="38" customWidth="1"/>
    <col min="69" max="69" width="13.1796875" style="38" customWidth="1"/>
    <col min="70" max="70" width="9.453125" style="38" customWidth="1"/>
    <col min="71" max="71" width="11.453125" style="38" customWidth="1"/>
    <col min="72" max="72" width="11.81640625" style="38" customWidth="1"/>
    <col min="73" max="73" width="13.7265625" style="38" customWidth="1"/>
    <col min="74" max="74" width="12.453125" style="38" customWidth="1"/>
    <col min="75" max="75" width="10.7265625" style="38" customWidth="1"/>
    <col min="76" max="76" width="14.453125" style="38" customWidth="1"/>
    <col min="77" max="16384" width="14.7265625" style="38"/>
  </cols>
  <sheetData>
    <row r="1" spans="1:76" ht="18">
      <c r="B1" s="59" t="s">
        <v>104</v>
      </c>
      <c r="F1" s="40"/>
      <c r="AL1" s="40" t="s">
        <v>0</v>
      </c>
      <c r="AM1" s="63" t="s">
        <v>299</v>
      </c>
      <c r="BB1" s="40"/>
      <c r="BC1" s="63"/>
      <c r="BV1" s="40"/>
      <c r="BW1" s="63"/>
    </row>
    <row r="2" spans="1:76" ht="18">
      <c r="B2" s="59" t="s">
        <v>300</v>
      </c>
      <c r="F2" s="40"/>
      <c r="K2" s="41"/>
      <c r="AD2" s="296"/>
      <c r="AL2" s="40"/>
      <c r="AM2" s="63"/>
      <c r="BB2" s="40"/>
      <c r="BC2" s="63"/>
      <c r="BV2" s="40"/>
      <c r="BW2" s="63"/>
    </row>
    <row r="3" spans="1:76" ht="30">
      <c r="B3" s="6" t="s">
        <v>301</v>
      </c>
      <c r="C3"/>
      <c r="D3"/>
      <c r="E3"/>
      <c r="F3" s="6"/>
      <c r="G3" s="41"/>
      <c r="H3" s="41"/>
      <c r="I3" s="41"/>
      <c r="J3" s="41"/>
      <c r="K3" s="41"/>
      <c r="L3" s="41"/>
      <c r="M3" s="41"/>
      <c r="N3" s="41"/>
      <c r="O3" s="41"/>
      <c r="P3" s="41"/>
      <c r="Q3" s="41"/>
      <c r="R3" s="41"/>
      <c r="S3" s="41"/>
      <c r="T3" s="147"/>
      <c r="U3" s="41"/>
      <c r="V3" s="41"/>
      <c r="W3" s="41"/>
      <c r="X3" s="41"/>
      <c r="Y3" s="41"/>
      <c r="Z3" s="41"/>
      <c r="AA3" s="41"/>
      <c r="AB3" s="41"/>
      <c r="AC3" s="41"/>
      <c r="AD3" s="41"/>
      <c r="AE3" s="41"/>
      <c r="AF3" s="41"/>
      <c r="AG3" s="41"/>
      <c r="AH3" s="41"/>
      <c r="AI3" s="41"/>
      <c r="AJ3" s="41"/>
      <c r="AK3" s="41"/>
      <c r="AL3" s="41"/>
      <c r="AM3" s="41"/>
      <c r="AN3" s="147"/>
      <c r="AO3" s="147"/>
      <c r="AP3" s="41"/>
      <c r="AQ3" s="41"/>
      <c r="AR3" s="41"/>
      <c r="AS3" s="41"/>
      <c r="AT3" s="41"/>
      <c r="AU3" s="41"/>
      <c r="AV3" s="41"/>
      <c r="AW3" s="41"/>
      <c r="AX3" s="41"/>
      <c r="AY3" s="41"/>
      <c r="AZ3" s="41"/>
      <c r="BA3" s="41"/>
      <c r="BB3" s="41"/>
      <c r="BC3"/>
      <c r="BD3" s="41"/>
      <c r="BE3" s="41"/>
      <c r="BF3" s="41"/>
      <c r="BG3" s="41"/>
      <c r="BH3" s="41"/>
      <c r="BI3" s="41"/>
      <c r="BJ3" s="41"/>
      <c r="BK3" s="41"/>
      <c r="BL3" s="41"/>
      <c r="BM3" s="41"/>
      <c r="BN3" s="41"/>
      <c r="BO3" s="41"/>
      <c r="BP3" s="41"/>
      <c r="BQ3" s="41"/>
      <c r="BR3" s="41"/>
      <c r="BS3" s="41"/>
      <c r="BT3" s="41"/>
      <c r="BU3" s="41"/>
      <c r="BV3" s="41"/>
      <c r="BW3" s="41"/>
      <c r="BX3" s="41"/>
    </row>
    <row r="4" spans="1:76" ht="20.149999999999999" customHeight="1">
      <c r="A4" s="429">
        <v>1</v>
      </c>
      <c r="B4" s="56">
        <v>2</v>
      </c>
      <c r="C4" s="56">
        <v>3</v>
      </c>
      <c r="D4" s="56">
        <v>4</v>
      </c>
      <c r="E4" s="56">
        <v>5</v>
      </c>
      <c r="F4" s="56">
        <v>6</v>
      </c>
      <c r="G4" s="56">
        <v>7</v>
      </c>
      <c r="H4" s="56">
        <v>8</v>
      </c>
      <c r="I4" s="56">
        <v>9</v>
      </c>
      <c r="J4" s="56">
        <v>10</v>
      </c>
      <c r="K4" s="56">
        <v>11</v>
      </c>
      <c r="L4" s="56">
        <v>12</v>
      </c>
      <c r="M4" s="56">
        <v>13</v>
      </c>
      <c r="N4" s="56">
        <v>14</v>
      </c>
      <c r="O4" s="56">
        <v>15</v>
      </c>
      <c r="P4" s="56">
        <v>16</v>
      </c>
      <c r="Q4" s="56">
        <v>17</v>
      </c>
      <c r="R4" s="56">
        <v>18</v>
      </c>
      <c r="S4" s="56">
        <v>19</v>
      </c>
      <c r="T4" s="56">
        <v>20</v>
      </c>
      <c r="U4" s="56">
        <v>21</v>
      </c>
      <c r="V4" s="56">
        <v>22</v>
      </c>
      <c r="W4" s="56">
        <v>23</v>
      </c>
      <c r="X4" s="56">
        <v>24</v>
      </c>
      <c r="Y4" s="56">
        <v>25</v>
      </c>
      <c r="Z4" s="56">
        <v>26</v>
      </c>
      <c r="AA4" s="56">
        <v>27</v>
      </c>
      <c r="AB4" s="56">
        <v>28</v>
      </c>
      <c r="AC4" s="56">
        <v>29</v>
      </c>
      <c r="AD4" s="56">
        <v>30</v>
      </c>
      <c r="AE4" s="56">
        <v>31</v>
      </c>
      <c r="AF4" s="56">
        <v>32</v>
      </c>
      <c r="AG4" s="56">
        <v>33</v>
      </c>
      <c r="AH4" s="56">
        <v>34</v>
      </c>
      <c r="AI4" s="56">
        <v>35</v>
      </c>
      <c r="AJ4" s="56">
        <v>36</v>
      </c>
      <c r="AK4" s="56">
        <v>37</v>
      </c>
      <c r="AL4" s="56">
        <v>38</v>
      </c>
      <c r="AM4" s="56">
        <v>39</v>
      </c>
      <c r="AN4" s="56">
        <v>40</v>
      </c>
      <c r="AO4" s="56">
        <v>41</v>
      </c>
      <c r="AP4" s="56">
        <v>42</v>
      </c>
      <c r="AQ4" s="56">
        <v>43</v>
      </c>
      <c r="AR4" s="56">
        <v>44</v>
      </c>
      <c r="AS4" s="56">
        <v>45</v>
      </c>
      <c r="AT4" s="56">
        <v>46</v>
      </c>
      <c r="AU4" s="56">
        <v>47</v>
      </c>
      <c r="AV4" s="56">
        <v>48</v>
      </c>
      <c r="AW4" s="56">
        <v>49</v>
      </c>
      <c r="AX4" s="56">
        <v>50</v>
      </c>
      <c r="AY4" s="56">
        <v>51</v>
      </c>
      <c r="AZ4" s="56">
        <v>52</v>
      </c>
      <c r="BA4" s="56">
        <v>53</v>
      </c>
      <c r="BB4" s="56">
        <v>54</v>
      </c>
      <c r="BC4" s="56">
        <v>55</v>
      </c>
      <c r="BD4" s="56">
        <v>56</v>
      </c>
      <c r="BE4" s="56">
        <v>57</v>
      </c>
      <c r="BF4" s="56">
        <v>58</v>
      </c>
      <c r="BG4" s="56">
        <v>59</v>
      </c>
      <c r="BH4" s="56">
        <v>60</v>
      </c>
      <c r="BI4" s="56">
        <v>61</v>
      </c>
      <c r="BJ4" s="56">
        <v>62</v>
      </c>
      <c r="BK4" s="56">
        <v>63</v>
      </c>
      <c r="BL4" s="56">
        <v>64</v>
      </c>
      <c r="BM4" s="56">
        <v>65</v>
      </c>
      <c r="BN4" s="56">
        <v>66</v>
      </c>
      <c r="BO4" s="56">
        <v>67</v>
      </c>
      <c r="BP4" s="56">
        <v>68</v>
      </c>
      <c r="BQ4" s="56">
        <v>69</v>
      </c>
      <c r="BR4" s="56">
        <v>70</v>
      </c>
      <c r="BS4" s="56">
        <v>71</v>
      </c>
      <c r="BT4" s="56">
        <v>72</v>
      </c>
      <c r="BU4" s="56">
        <v>73</v>
      </c>
      <c r="BV4" s="56">
        <v>74</v>
      </c>
      <c r="BW4" s="56">
        <v>75</v>
      </c>
      <c r="BX4" s="56">
        <v>76</v>
      </c>
    </row>
    <row r="5" spans="1:76" ht="20.149999999999999" customHeight="1">
      <c r="A5" s="430"/>
      <c r="B5" s="431"/>
      <c r="C5" s="432"/>
      <c r="D5" s="432"/>
      <c r="E5" s="432"/>
      <c r="F5" s="432"/>
      <c r="G5" s="432"/>
      <c r="H5" s="432"/>
      <c r="I5" s="432"/>
      <c r="J5" s="175" t="s">
        <v>302</v>
      </c>
      <c r="K5" s="175" t="s">
        <v>302</v>
      </c>
      <c r="L5" s="175" t="s">
        <v>302</v>
      </c>
      <c r="M5" s="175" t="s">
        <v>302</v>
      </c>
      <c r="N5" s="175" t="s">
        <v>302</v>
      </c>
      <c r="O5" s="175" t="s">
        <v>302</v>
      </c>
      <c r="P5" s="175" t="s">
        <v>302</v>
      </c>
      <c r="Q5" s="175" t="s">
        <v>302</v>
      </c>
      <c r="R5" s="175" t="s">
        <v>302</v>
      </c>
      <c r="S5" s="175" t="s">
        <v>302</v>
      </c>
      <c r="T5" s="175" t="s">
        <v>302</v>
      </c>
      <c r="U5" s="175" t="s">
        <v>302</v>
      </c>
      <c r="V5" s="175" t="s">
        <v>302</v>
      </c>
      <c r="W5" s="175" t="s">
        <v>302</v>
      </c>
      <c r="X5" s="175" t="s">
        <v>302</v>
      </c>
      <c r="Y5" s="175" t="s">
        <v>302</v>
      </c>
      <c r="Z5" s="175" t="s">
        <v>302</v>
      </c>
      <c r="AA5" s="175" t="s">
        <v>302</v>
      </c>
      <c r="AB5" s="175" t="s">
        <v>302</v>
      </c>
      <c r="AC5" s="175" t="s">
        <v>302</v>
      </c>
      <c r="AD5" s="175" t="s">
        <v>302</v>
      </c>
      <c r="AE5" s="175" t="s">
        <v>302</v>
      </c>
      <c r="AF5" s="175" t="s">
        <v>302</v>
      </c>
      <c r="AG5" s="175" t="s">
        <v>302</v>
      </c>
      <c r="AH5" s="175" t="s">
        <v>302</v>
      </c>
      <c r="AI5" s="175" t="s">
        <v>303</v>
      </c>
      <c r="AJ5" s="175" t="s">
        <v>303</v>
      </c>
      <c r="AK5" s="175" t="s">
        <v>303</v>
      </c>
      <c r="AL5" s="175" t="s">
        <v>303</v>
      </c>
      <c r="AM5" s="175" t="s">
        <v>303</v>
      </c>
      <c r="AN5" s="175" t="s">
        <v>303</v>
      </c>
      <c r="AO5" s="175" t="s">
        <v>303</v>
      </c>
      <c r="AP5" s="175" t="s">
        <v>303</v>
      </c>
      <c r="AQ5" s="175" t="s">
        <v>303</v>
      </c>
      <c r="AR5" s="175" t="s">
        <v>303</v>
      </c>
      <c r="AS5" s="175" t="s">
        <v>303</v>
      </c>
      <c r="AT5" s="175" t="s">
        <v>303</v>
      </c>
      <c r="AU5" s="175" t="s">
        <v>303</v>
      </c>
      <c r="AV5" s="175" t="s">
        <v>303</v>
      </c>
      <c r="AW5" s="175" t="s">
        <v>303</v>
      </c>
      <c r="AX5" s="175" t="s">
        <v>303</v>
      </c>
      <c r="AY5" s="175" t="s">
        <v>303</v>
      </c>
      <c r="AZ5" s="175" t="s">
        <v>303</v>
      </c>
      <c r="BA5" s="175" t="s">
        <v>303</v>
      </c>
      <c r="BB5" s="175" t="s">
        <v>303</v>
      </c>
      <c r="BC5" s="175" t="s">
        <v>302</v>
      </c>
      <c r="BD5" s="175" t="s">
        <v>304</v>
      </c>
      <c r="BE5" s="175" t="s">
        <v>304</v>
      </c>
      <c r="BF5" s="175" t="s">
        <v>304</v>
      </c>
      <c r="BG5" s="175" t="s">
        <v>304</v>
      </c>
      <c r="BH5" s="175" t="s">
        <v>304</v>
      </c>
      <c r="BI5" s="175" t="s">
        <v>304</v>
      </c>
      <c r="BJ5" s="175" t="s">
        <v>304</v>
      </c>
      <c r="BK5" s="175" t="s">
        <v>304</v>
      </c>
      <c r="BL5" s="175" t="s">
        <v>303</v>
      </c>
      <c r="BM5" s="175" t="s">
        <v>303</v>
      </c>
      <c r="BN5" s="175" t="s">
        <v>303</v>
      </c>
      <c r="BO5" s="175" t="s">
        <v>303</v>
      </c>
      <c r="BP5" s="175" t="s">
        <v>303</v>
      </c>
      <c r="BQ5" s="175" t="s">
        <v>303</v>
      </c>
      <c r="BR5" s="175" t="s">
        <v>303</v>
      </c>
      <c r="BS5" s="175" t="s">
        <v>303</v>
      </c>
      <c r="BT5" s="175" t="s">
        <v>303</v>
      </c>
      <c r="BU5" s="175" t="s">
        <v>303</v>
      </c>
      <c r="BV5" s="175" t="s">
        <v>303</v>
      </c>
      <c r="BW5" s="175" t="s">
        <v>303</v>
      </c>
      <c r="BX5" s="47"/>
    </row>
    <row r="6" spans="1:76" ht="83.25" customHeight="1">
      <c r="A6" s="585" t="s">
        <v>8</v>
      </c>
      <c r="B6" s="585" t="s">
        <v>9</v>
      </c>
      <c r="C6" s="219" t="s">
        <v>10</v>
      </c>
      <c r="D6" s="219" t="s">
        <v>294</v>
      </c>
      <c r="E6" s="219" t="s">
        <v>220</v>
      </c>
      <c r="F6" s="219" t="s">
        <v>221</v>
      </c>
      <c r="G6" s="219" t="s">
        <v>305</v>
      </c>
      <c r="H6" s="219" t="s">
        <v>223</v>
      </c>
      <c r="I6" s="219" t="s">
        <v>306</v>
      </c>
      <c r="J6" s="219" t="s">
        <v>307</v>
      </c>
      <c r="K6" s="219" t="s">
        <v>308</v>
      </c>
      <c r="L6" s="586" t="s">
        <v>309</v>
      </c>
      <c r="M6" s="1957" t="s">
        <v>310</v>
      </c>
      <c r="N6" s="1958"/>
      <c r="O6" s="219" t="s">
        <v>311</v>
      </c>
      <c r="P6" s="1959" t="s">
        <v>312</v>
      </c>
      <c r="Q6" s="1960"/>
      <c r="R6" s="219" t="s">
        <v>231</v>
      </c>
      <c r="S6" s="219" t="s">
        <v>232</v>
      </c>
      <c r="T6" s="219" t="s">
        <v>313</v>
      </c>
      <c r="U6" s="219" t="s">
        <v>314</v>
      </c>
      <c r="V6" s="219" t="s">
        <v>315</v>
      </c>
      <c r="W6" s="219" t="s">
        <v>236</v>
      </c>
      <c r="X6" s="219" t="s">
        <v>237</v>
      </c>
      <c r="Y6" s="219" t="s">
        <v>238</v>
      </c>
      <c r="Z6" s="219" t="s">
        <v>316</v>
      </c>
      <c r="AA6" s="219" t="s">
        <v>240</v>
      </c>
      <c r="AB6" s="219" t="s">
        <v>317</v>
      </c>
      <c r="AC6" s="219" t="s">
        <v>242</v>
      </c>
      <c r="AD6" s="586" t="s">
        <v>318</v>
      </c>
      <c r="AE6" s="219" t="s">
        <v>296</v>
      </c>
      <c r="AF6" s="219" t="s">
        <v>249</v>
      </c>
      <c r="AG6" s="586" t="s">
        <v>250</v>
      </c>
      <c r="AH6" s="219" t="s">
        <v>319</v>
      </c>
      <c r="AI6" s="219" t="s">
        <v>307</v>
      </c>
      <c r="AJ6" s="219" t="s">
        <v>308</v>
      </c>
      <c r="AK6" s="219" t="s">
        <v>320</v>
      </c>
      <c r="AL6" s="1963" t="s">
        <v>321</v>
      </c>
      <c r="AM6" s="1964"/>
      <c r="AN6" s="1886" t="s">
        <v>322</v>
      </c>
      <c r="AO6" s="1961" t="s">
        <v>323</v>
      </c>
      <c r="AP6" s="1962"/>
      <c r="AQ6" s="1886" t="s">
        <v>324</v>
      </c>
      <c r="AR6" s="1886" t="s">
        <v>325</v>
      </c>
      <c r="AS6" s="1886" t="s">
        <v>233</v>
      </c>
      <c r="AT6" s="1886" t="s">
        <v>314</v>
      </c>
      <c r="AU6" s="1886" t="s">
        <v>235</v>
      </c>
      <c r="AV6" s="1886" t="s">
        <v>236</v>
      </c>
      <c r="AW6" s="1886" t="s">
        <v>326</v>
      </c>
      <c r="AX6" s="1886" t="s">
        <v>238</v>
      </c>
      <c r="AY6" s="1886" t="s">
        <v>327</v>
      </c>
      <c r="AZ6" s="1886" t="s">
        <v>240</v>
      </c>
      <c r="BA6" s="1886" t="s">
        <v>328</v>
      </c>
      <c r="BB6" s="1886" t="s">
        <v>242</v>
      </c>
      <c r="BC6" s="1886" t="s">
        <v>242</v>
      </c>
      <c r="BD6" s="1886" t="s">
        <v>329</v>
      </c>
      <c r="BE6" s="1886" t="s">
        <v>330</v>
      </c>
      <c r="BF6" s="1886" t="s">
        <v>331</v>
      </c>
      <c r="BG6" s="1886" t="s">
        <v>332</v>
      </c>
      <c r="BH6" s="1886" t="s">
        <v>333</v>
      </c>
      <c r="BI6" s="1886" t="s">
        <v>334</v>
      </c>
      <c r="BJ6" s="1886" t="s">
        <v>335</v>
      </c>
      <c r="BK6" s="1886" t="s">
        <v>336</v>
      </c>
      <c r="BL6" s="1886" t="s">
        <v>337</v>
      </c>
      <c r="BM6" s="586" t="s">
        <v>318</v>
      </c>
      <c r="BN6" s="1886" t="s">
        <v>296</v>
      </c>
      <c r="BO6" s="1886" t="s">
        <v>338</v>
      </c>
      <c r="BP6" s="586" t="s">
        <v>250</v>
      </c>
      <c r="BQ6" s="1886" t="s">
        <v>339</v>
      </c>
      <c r="BR6" s="1886" t="s">
        <v>244</v>
      </c>
      <c r="BS6" s="1886" t="s">
        <v>340</v>
      </c>
      <c r="BT6" s="1886" t="s">
        <v>341</v>
      </c>
      <c r="BU6" s="1886" t="s">
        <v>342</v>
      </c>
      <c r="BV6" s="1886" t="s">
        <v>343</v>
      </c>
      <c r="BW6" s="1886" t="s">
        <v>344</v>
      </c>
      <c r="BX6" s="1886" t="s">
        <v>345</v>
      </c>
    </row>
    <row r="7" spans="1:76" ht="29.25" customHeight="1">
      <c r="A7" s="1412"/>
      <c r="B7" s="1413"/>
      <c r="C7" s="1376"/>
      <c r="D7" s="175" t="s">
        <v>254</v>
      </c>
      <c r="E7" s="175" t="s">
        <v>254</v>
      </c>
      <c r="F7" s="175" t="s">
        <v>254</v>
      </c>
      <c r="G7" s="175" t="s">
        <v>346</v>
      </c>
      <c r="H7" s="175" t="s">
        <v>347</v>
      </c>
      <c r="I7" s="175" t="s">
        <v>348</v>
      </c>
      <c r="J7" s="175" t="s">
        <v>258</v>
      </c>
      <c r="K7" s="175" t="s">
        <v>349</v>
      </c>
      <c r="L7" s="175" t="s">
        <v>349</v>
      </c>
      <c r="M7" s="1414"/>
      <c r="N7" s="1414"/>
      <c r="O7" s="175" t="s">
        <v>350</v>
      </c>
      <c r="P7" s="175" t="s">
        <v>263</v>
      </c>
      <c r="Q7" s="175" t="s">
        <v>264</v>
      </c>
      <c r="R7" s="175" t="s">
        <v>265</v>
      </c>
      <c r="S7" s="252"/>
      <c r="T7" s="252" t="s">
        <v>266</v>
      </c>
      <c r="U7" s="175" t="s">
        <v>266</v>
      </c>
      <c r="V7" s="175" t="s">
        <v>266</v>
      </c>
      <c r="W7" s="175" t="s">
        <v>266</v>
      </c>
      <c r="X7" s="175" t="s">
        <v>266</v>
      </c>
      <c r="Y7" s="175" t="s">
        <v>267</v>
      </c>
      <c r="Z7" s="175" t="s">
        <v>267</v>
      </c>
      <c r="AA7" s="175" t="s">
        <v>268</v>
      </c>
      <c r="AB7" s="175" t="s">
        <v>266</v>
      </c>
      <c r="AC7" s="175" t="s">
        <v>266</v>
      </c>
      <c r="AD7" s="175" t="s">
        <v>266</v>
      </c>
      <c r="AE7" s="175" t="s">
        <v>266</v>
      </c>
      <c r="AF7" s="175" t="s">
        <v>266</v>
      </c>
      <c r="AG7" s="586" t="s">
        <v>266</v>
      </c>
      <c r="AH7" s="175" t="s">
        <v>266</v>
      </c>
      <c r="AI7" s="175" t="s">
        <v>258</v>
      </c>
      <c r="AJ7" s="175" t="s">
        <v>271</v>
      </c>
      <c r="AK7" s="175" t="s">
        <v>271</v>
      </c>
      <c r="AL7" s="175" t="s">
        <v>351</v>
      </c>
      <c r="AM7" s="175" t="s">
        <v>351</v>
      </c>
      <c r="AN7" s="175" t="s">
        <v>262</v>
      </c>
      <c r="AO7" s="175" t="s">
        <v>263</v>
      </c>
      <c r="AP7" s="175" t="s">
        <v>264</v>
      </c>
      <c r="AQ7" s="175" t="s">
        <v>352</v>
      </c>
      <c r="AR7" s="252"/>
      <c r="AS7" s="252" t="s">
        <v>353</v>
      </c>
      <c r="AT7" s="175" t="s">
        <v>353</v>
      </c>
      <c r="AU7" s="175" t="s">
        <v>353</v>
      </c>
      <c r="AV7" s="175" t="s">
        <v>353</v>
      </c>
      <c r="AW7" s="175" t="s">
        <v>353</v>
      </c>
      <c r="AX7" s="175" t="s">
        <v>265</v>
      </c>
      <c r="AY7" s="175" t="s">
        <v>265</v>
      </c>
      <c r="AZ7" s="175" t="s">
        <v>268</v>
      </c>
      <c r="BA7" s="175" t="s">
        <v>353</v>
      </c>
      <c r="BB7" s="175" t="s">
        <v>353</v>
      </c>
      <c r="BC7" s="175" t="s">
        <v>353</v>
      </c>
      <c r="BD7" s="175" t="s">
        <v>353</v>
      </c>
      <c r="BE7" s="175" t="s">
        <v>353</v>
      </c>
      <c r="BF7" s="175" t="s">
        <v>353</v>
      </c>
      <c r="BG7" s="175" t="s">
        <v>353</v>
      </c>
      <c r="BH7" s="175" t="s">
        <v>353</v>
      </c>
      <c r="BI7" s="175" t="s">
        <v>353</v>
      </c>
      <c r="BJ7" s="175" t="s">
        <v>271</v>
      </c>
      <c r="BK7" s="175" t="s">
        <v>269</v>
      </c>
      <c r="BL7" s="175" t="s">
        <v>269</v>
      </c>
      <c r="BM7" s="175" t="s">
        <v>353</v>
      </c>
      <c r="BN7" s="175" t="s">
        <v>353</v>
      </c>
      <c r="BO7" s="175" t="s">
        <v>353</v>
      </c>
      <c r="BP7" s="175" t="s">
        <v>353</v>
      </c>
      <c r="BQ7" s="175" t="s">
        <v>353</v>
      </c>
      <c r="BR7" s="175" t="s">
        <v>270</v>
      </c>
      <c r="BS7" s="175" t="s">
        <v>267</v>
      </c>
      <c r="BT7" s="175" t="s">
        <v>353</v>
      </c>
      <c r="BU7" s="175" t="s">
        <v>353</v>
      </c>
      <c r="BV7" s="175" t="s">
        <v>353</v>
      </c>
      <c r="BW7" s="175" t="s">
        <v>271</v>
      </c>
      <c r="BX7" s="1414"/>
    </row>
    <row r="8" spans="1:76" ht="16" customHeight="1">
      <c r="A8" s="1412"/>
      <c r="B8" s="1413" t="s">
        <v>165</v>
      </c>
      <c r="C8" s="1376"/>
      <c r="D8" s="1415"/>
      <c r="E8" s="1415"/>
      <c r="F8" s="1415"/>
      <c r="G8" s="1416"/>
      <c r="H8" s="1414"/>
      <c r="I8" s="1414"/>
      <c r="J8" s="1417"/>
      <c r="K8" s="1417"/>
      <c r="L8" s="1417"/>
      <c r="M8" s="1414"/>
      <c r="N8" s="1414"/>
      <c r="O8" s="1414"/>
      <c r="P8" s="1414"/>
      <c r="Q8" s="1414"/>
      <c r="R8" s="1418"/>
      <c r="S8" s="1419"/>
      <c r="T8" s="1419"/>
      <c r="U8" s="1414"/>
      <c r="V8" s="1414"/>
      <c r="W8" s="1414"/>
      <c r="X8" s="1414"/>
      <c r="Y8" s="1414"/>
      <c r="Z8" s="1414"/>
      <c r="AA8" s="1414"/>
      <c r="AB8" s="1414"/>
      <c r="AC8" s="1414"/>
      <c r="AD8" s="1414"/>
      <c r="AE8" s="1414"/>
      <c r="AF8" s="1414"/>
      <c r="AG8" s="1373"/>
      <c r="AH8" s="1414"/>
      <c r="AI8" s="1414"/>
      <c r="AJ8" s="1414"/>
      <c r="AK8" s="1376"/>
      <c r="AL8" s="1414"/>
      <c r="AM8" s="1414"/>
      <c r="AN8" s="1414"/>
      <c r="AO8" s="1414"/>
      <c r="AP8" s="1414"/>
      <c r="AQ8" s="1418"/>
      <c r="AR8" s="1419"/>
      <c r="AS8" s="1419"/>
      <c r="AT8" s="1414"/>
      <c r="AU8" s="1414"/>
      <c r="AV8" s="1414"/>
      <c r="AW8" s="1414"/>
      <c r="AX8" s="1414"/>
      <c r="AY8" s="1414"/>
      <c r="AZ8" s="1414"/>
      <c r="BA8" s="1414"/>
      <c r="BB8" s="1414"/>
      <c r="BC8" s="1414"/>
      <c r="BD8" s="1414"/>
      <c r="BE8" s="1414"/>
      <c r="BF8" s="1414"/>
      <c r="BG8" s="1414"/>
      <c r="BH8" s="1414"/>
      <c r="BI8" s="1414"/>
      <c r="BJ8" s="1414"/>
      <c r="BK8" s="1414"/>
      <c r="BL8" s="1414"/>
      <c r="BM8" s="1414"/>
      <c r="BN8" s="1414"/>
      <c r="BO8" s="1414"/>
      <c r="BP8" s="1414"/>
      <c r="BQ8" s="1414"/>
      <c r="BR8" s="1414"/>
      <c r="BS8" s="1414"/>
      <c r="BT8" s="1414"/>
      <c r="BU8" s="1414"/>
      <c r="BV8" s="1414"/>
      <c r="BW8" s="1414"/>
      <c r="BX8" s="1414"/>
    </row>
    <row r="9" spans="1:76" ht="16" customHeight="1">
      <c r="A9" s="1420">
        <v>1</v>
      </c>
      <c r="B9" s="1375" t="s">
        <v>43</v>
      </c>
      <c r="C9" s="1376" t="s">
        <v>44</v>
      </c>
      <c r="D9" s="1421"/>
      <c r="E9" s="1421"/>
      <c r="F9" s="1421"/>
      <c r="G9" s="1422">
        <f>'T-1'!P12</f>
        <v>1774138</v>
      </c>
      <c r="H9" s="1422">
        <f>'T-1'!Q12</f>
        <v>1989317.2620000001</v>
      </c>
      <c r="I9" s="1377">
        <f>(141422+194070)+(66946+58557)*2+(22565+6782)*3+(17386+5538)*4</f>
        <v>766235</v>
      </c>
      <c r="J9" s="1417"/>
      <c r="K9" s="1376"/>
      <c r="L9" s="1376"/>
      <c r="M9" s="1377">
        <v>20</v>
      </c>
      <c r="N9" s="1377">
        <v>20</v>
      </c>
      <c r="O9" s="1414"/>
      <c r="P9" s="1414"/>
      <c r="Q9" s="1414"/>
      <c r="R9" s="1418"/>
      <c r="S9" s="1419"/>
      <c r="T9" s="1274"/>
      <c r="U9" s="1414"/>
      <c r="V9" s="1381">
        <f>((H9-I9)*M9+I9*N9)*12/100000</f>
        <v>4774.3614287999999</v>
      </c>
      <c r="W9" s="1414"/>
      <c r="X9" s="1399">
        <f>SUM(T9:W9)</f>
        <v>4774.3614287999999</v>
      </c>
      <c r="Y9" s="1399">
        <v>0.1</v>
      </c>
      <c r="Z9" s="1378"/>
      <c r="AA9" s="1382">
        <f>(367528512)/1000000*2</f>
        <v>735.05702399999996</v>
      </c>
      <c r="AB9" s="721">
        <f>AA9*Y9*10</f>
        <v>735.05702400000007</v>
      </c>
      <c r="AC9" s="1423">
        <f>X9-AB9</f>
        <v>4039.3044047999997</v>
      </c>
      <c r="AD9" s="1399"/>
      <c r="AE9" s="1414"/>
      <c r="AF9" s="1414"/>
      <c r="AG9" s="1373"/>
      <c r="AH9" s="1424">
        <f>AC9-AD9+AE9+AF9-AG9</f>
        <v>4039.3044047999997</v>
      </c>
      <c r="AI9" s="1417"/>
      <c r="AJ9" s="1376"/>
      <c r="AK9" s="1376"/>
      <c r="AL9" s="1377">
        <v>20</v>
      </c>
      <c r="AM9" s="1377">
        <v>20</v>
      </c>
      <c r="AN9" s="1414"/>
      <c r="AO9" s="1414"/>
      <c r="AP9" s="1414"/>
      <c r="AQ9" s="1418"/>
      <c r="AR9" s="1419"/>
      <c r="AS9" s="1274"/>
      <c r="AT9" s="1414"/>
      <c r="AU9" s="1399">
        <f>((H9-I9)*AL9+I9*AM9)*12/100000</f>
        <v>4774.3614287999999</v>
      </c>
      <c r="AV9" s="1414"/>
      <c r="AW9" s="1399">
        <f>SUM(AS9:AV9)</f>
        <v>4774.3614287999999</v>
      </c>
      <c r="AX9" s="721">
        <v>0.1</v>
      </c>
      <c r="AY9" s="1414"/>
      <c r="AZ9" s="1421">
        <f>AA9</f>
        <v>735.05702399999996</v>
      </c>
      <c r="BA9" s="1399">
        <f>AZ9*AX9*10</f>
        <v>735.05702400000007</v>
      </c>
      <c r="BB9" s="1399">
        <f>AW9-BA9</f>
        <v>4039.3044047999997</v>
      </c>
      <c r="BC9" s="1399">
        <f>AC9</f>
        <v>4039.3044047999997</v>
      </c>
      <c r="BD9" s="1399">
        <f>BB9-BC9</f>
        <v>0</v>
      </c>
      <c r="BE9" s="1399"/>
      <c r="BF9" s="1399"/>
      <c r="BG9" s="1399">
        <f>AU9-V9</f>
        <v>0</v>
      </c>
      <c r="BH9" s="1399"/>
      <c r="BI9" s="1399">
        <f>AW9-X9</f>
        <v>0</v>
      </c>
      <c r="BJ9" s="1399"/>
      <c r="BK9" s="1399"/>
      <c r="BL9" s="1414"/>
      <c r="BM9" s="1421"/>
      <c r="BN9" s="1414"/>
      <c r="BO9" s="1414"/>
      <c r="BP9" s="1414"/>
      <c r="BQ9" s="1424">
        <f>BB9-BM9+BN9+BO9-BP9</f>
        <v>4039.3044047999997</v>
      </c>
      <c r="BR9" s="1414"/>
      <c r="BS9" s="1414"/>
      <c r="BT9" s="1414"/>
      <c r="BU9" s="1414"/>
      <c r="BV9" s="1424"/>
      <c r="BW9" s="1414"/>
      <c r="BX9" s="1414"/>
    </row>
    <row r="10" spans="1:76" ht="16" customHeight="1">
      <c r="A10" s="1420" t="s">
        <v>272</v>
      </c>
      <c r="B10" s="1375" t="s">
        <v>46</v>
      </c>
      <c r="C10" s="1378"/>
      <c r="D10" s="1387">
        <f>'T-1'!S13</f>
        <v>20</v>
      </c>
      <c r="E10" s="1387"/>
      <c r="F10" s="1387"/>
      <c r="G10" s="1422">
        <f>'T-1'!P13</f>
        <v>56309</v>
      </c>
      <c r="H10" s="1422">
        <f>'T-1'!Q13</f>
        <v>20741.810000000005</v>
      </c>
      <c r="I10" s="1422"/>
      <c r="J10" s="1399">
        <v>80</v>
      </c>
      <c r="K10" s="1376"/>
      <c r="L10" s="1376"/>
      <c r="M10" s="1377"/>
      <c r="N10" s="1377"/>
      <c r="O10" s="1414"/>
      <c r="P10" s="1414"/>
      <c r="Q10" s="1414"/>
      <c r="R10" s="1424"/>
      <c r="S10" s="1425"/>
      <c r="T10" s="1426">
        <f>((J10*G10)*12)/100000</f>
        <v>540.56640000000004</v>
      </c>
      <c r="U10" s="1379"/>
      <c r="V10" s="1399"/>
      <c r="W10" s="1424"/>
      <c r="X10" s="1399">
        <f>SUM(T10:W10)</f>
        <v>540.56640000000004</v>
      </c>
      <c r="Y10" s="1399"/>
      <c r="Z10" s="1388">
        <f>(AC10/D10)*10</f>
        <v>270.28320000000002</v>
      </c>
      <c r="AA10" s="1382"/>
      <c r="AB10" s="721"/>
      <c r="AC10" s="1423">
        <f>X10-AB10</f>
        <v>540.56640000000004</v>
      </c>
      <c r="AD10" s="1399"/>
      <c r="AE10" s="1424"/>
      <c r="AF10" s="1424"/>
      <c r="AG10" s="1373"/>
      <c r="AH10" s="1424">
        <f>AC10-AD10+AE10+AF10-AG10</f>
        <v>540.56640000000004</v>
      </c>
      <c r="AI10" s="1399">
        <v>80</v>
      </c>
      <c r="AJ10" s="1376"/>
      <c r="AK10" s="1376"/>
      <c r="AL10" s="1377"/>
      <c r="AM10" s="1377"/>
      <c r="AN10" s="1414"/>
      <c r="AO10" s="1424"/>
      <c r="AP10" s="1424"/>
      <c r="AQ10" s="1427"/>
      <c r="AR10" s="1428"/>
      <c r="AS10" s="1429">
        <f>(AI10*G10)*12/100000</f>
        <v>540.56640000000004</v>
      </c>
      <c r="AT10" s="1400"/>
      <c r="AU10" s="1399"/>
      <c r="AV10" s="1424"/>
      <c r="AW10" s="1399">
        <f>SUM(AS10:AV10)</f>
        <v>540.56640000000004</v>
      </c>
      <c r="AX10" s="721"/>
      <c r="AY10" s="1395">
        <f>(BB10/D10)*10</f>
        <v>270.28320000000002</v>
      </c>
      <c r="AZ10" s="1421"/>
      <c r="BA10" s="1399"/>
      <c r="BB10" s="1399">
        <f>AW10-BA10</f>
        <v>540.56640000000004</v>
      </c>
      <c r="BC10" s="1399">
        <f>AC10</f>
        <v>540.56640000000004</v>
      </c>
      <c r="BD10" s="1399">
        <f>BB10-BC10</f>
        <v>0</v>
      </c>
      <c r="BE10" s="1399"/>
      <c r="BF10" s="1399"/>
      <c r="BG10" s="1399"/>
      <c r="BH10" s="1399"/>
      <c r="BI10" s="1399">
        <f>AW10-X10</f>
        <v>0</v>
      </c>
      <c r="BJ10" s="1399"/>
      <c r="BK10" s="1399"/>
      <c r="BL10" s="1422">
        <f>AY10/$E$69*100</f>
        <v>40.772222260960447</v>
      </c>
      <c r="BM10" s="1421"/>
      <c r="BN10" s="1424"/>
      <c r="BO10" s="1424"/>
      <c r="BP10" s="1424"/>
      <c r="BQ10" s="1424">
        <f>BB10-BM10+BN10+BO10-BP10</f>
        <v>540.56640000000004</v>
      </c>
      <c r="BR10" s="1391">
        <v>0</v>
      </c>
      <c r="BS10" s="1430">
        <f>BR10+AY10</f>
        <v>270.28320000000002</v>
      </c>
      <c r="BT10" s="1399"/>
      <c r="BU10" s="1399">
        <f>D10*$E$69/10</f>
        <v>1325.8203012338486</v>
      </c>
      <c r="BV10" s="1399">
        <f>BU10-BQ10</f>
        <v>785.25390123384852</v>
      </c>
      <c r="BW10" s="1422">
        <f>BV10/D10*10</f>
        <v>392.62695061692426</v>
      </c>
      <c r="BX10" s="1424"/>
    </row>
    <row r="11" spans="1:76" ht="16" customHeight="1">
      <c r="A11" s="1420" t="s">
        <v>169</v>
      </c>
      <c r="B11" s="1375" t="s">
        <v>49</v>
      </c>
      <c r="C11" s="1378"/>
      <c r="D11" s="1387"/>
      <c r="E11" s="1387"/>
      <c r="F11" s="1387"/>
      <c r="G11" s="1422"/>
      <c r="H11" s="1422"/>
      <c r="I11" s="1422"/>
      <c r="J11" s="1399"/>
      <c r="K11" s="1376"/>
      <c r="L11" s="1376"/>
      <c r="M11" s="1377"/>
      <c r="N11" s="1377"/>
      <c r="O11" s="1414"/>
      <c r="P11" s="1414"/>
      <c r="Q11" s="1414"/>
      <c r="R11" s="1414"/>
      <c r="S11" s="1414"/>
      <c r="T11" s="1424"/>
      <c r="U11" s="1424"/>
      <c r="V11" s="1399"/>
      <c r="W11" s="1424"/>
      <c r="X11" s="1399"/>
      <c r="Y11" s="1399"/>
      <c r="Z11" s="1378"/>
      <c r="AA11" s="1382"/>
      <c r="AB11" s="721"/>
      <c r="AC11" s="1423"/>
      <c r="AD11" s="1399"/>
      <c r="AE11" s="1424"/>
      <c r="AF11" s="1424"/>
      <c r="AG11" s="1373"/>
      <c r="AH11" s="1424"/>
      <c r="AI11" s="1399"/>
      <c r="AJ11" s="1376"/>
      <c r="AK11" s="1376"/>
      <c r="AL11" s="1377"/>
      <c r="AM11" s="1377"/>
      <c r="AN11" s="1414"/>
      <c r="AO11" s="1424"/>
      <c r="AP11" s="1424"/>
      <c r="AQ11" s="1399"/>
      <c r="AR11" s="1399"/>
      <c r="AS11" s="1399"/>
      <c r="AT11" s="1399"/>
      <c r="AU11" s="1399"/>
      <c r="AV11" s="1424"/>
      <c r="AW11" s="1399"/>
      <c r="AX11" s="721"/>
      <c r="AY11" s="721"/>
      <c r="AZ11" s="1421"/>
      <c r="BA11" s="1399"/>
      <c r="BB11" s="1399"/>
      <c r="BC11" s="1399"/>
      <c r="BD11" s="1399"/>
      <c r="BE11" s="1399"/>
      <c r="BF11" s="1399"/>
      <c r="BG11" s="1399"/>
      <c r="BH11" s="1399"/>
      <c r="BI11" s="1399"/>
      <c r="BJ11" s="1399"/>
      <c r="BK11" s="1399"/>
      <c r="BL11" s="1422"/>
      <c r="BM11" s="1421"/>
      <c r="BN11" s="1424"/>
      <c r="BO11" s="1424"/>
      <c r="BP11" s="1424"/>
      <c r="BQ11" s="1424"/>
      <c r="BR11" s="1399"/>
      <c r="BS11" s="1430"/>
      <c r="BT11" s="1399"/>
      <c r="BU11" s="1399"/>
      <c r="BV11" s="1399"/>
      <c r="BW11" s="1399"/>
      <c r="BX11" s="1424"/>
    </row>
    <row r="12" spans="1:76" ht="16" customHeight="1">
      <c r="A12" s="1420"/>
      <c r="B12" s="1401" t="s">
        <v>170</v>
      </c>
      <c r="C12" s="1378"/>
      <c r="D12" s="1387">
        <f>'T-1'!S15</f>
        <v>726.55758269956834</v>
      </c>
      <c r="E12" s="1387"/>
      <c r="F12" s="1387"/>
      <c r="G12" s="1422"/>
      <c r="H12" s="1422"/>
      <c r="I12" s="1422"/>
      <c r="J12" s="1399"/>
      <c r="K12" s="1377">
        <f>250+20+30</f>
        <v>300</v>
      </c>
      <c r="L12" s="1376"/>
      <c r="M12" s="1377"/>
      <c r="N12" s="1377"/>
      <c r="O12" s="1414"/>
      <c r="P12" s="1414"/>
      <c r="Q12" s="1414"/>
      <c r="R12" s="1414"/>
      <c r="S12" s="1414"/>
      <c r="T12" s="1424"/>
      <c r="U12" s="1405">
        <f>D12*K12/10</f>
        <v>21796.727480987051</v>
      </c>
      <c r="V12" s="1399"/>
      <c r="W12" s="1424"/>
      <c r="X12" s="1399">
        <f>SUM(T12:W12)</f>
        <v>21796.727480987051</v>
      </c>
      <c r="Y12" s="1399"/>
      <c r="Z12" s="1378"/>
      <c r="AA12" s="1382"/>
      <c r="AB12" s="721"/>
      <c r="AC12" s="1423">
        <f>X12-AB12</f>
        <v>21796.727480987051</v>
      </c>
      <c r="AD12" s="1399"/>
      <c r="AE12" s="1424"/>
      <c r="AF12" s="1424"/>
      <c r="AG12" s="1373"/>
      <c r="AH12" s="1424">
        <f t="shared" ref="AH12:AH33" si="0">AC12-AD12+AE12+AF12-AG12</f>
        <v>21796.727480987051</v>
      </c>
      <c r="AI12" s="1399"/>
      <c r="AJ12" s="1377">
        <f>250+20+30</f>
        <v>300</v>
      </c>
      <c r="AK12" s="1376"/>
      <c r="AL12" s="1377"/>
      <c r="AM12" s="1377"/>
      <c r="AN12" s="1414"/>
      <c r="AO12" s="1424"/>
      <c r="AP12" s="1424"/>
      <c r="AQ12" s="1399"/>
      <c r="AR12" s="1399"/>
      <c r="AS12" s="1399"/>
      <c r="AT12" s="1399">
        <f>(AJ12*D12)/10</f>
        <v>21796.727480987051</v>
      </c>
      <c r="AU12" s="1399"/>
      <c r="AV12" s="1424"/>
      <c r="AW12" s="1399">
        <f t="shared" ref="AW12:AW33" si="1">SUM(AS12:AV12)</f>
        <v>21796.727480987051</v>
      </c>
      <c r="AX12" s="721"/>
      <c r="AY12" s="721"/>
      <c r="AZ12" s="1421"/>
      <c r="BA12" s="1399"/>
      <c r="BB12" s="1399">
        <f>AW12-BA12</f>
        <v>21796.727480987051</v>
      </c>
      <c r="BC12" s="1399">
        <f>AC12</f>
        <v>21796.727480987051</v>
      </c>
      <c r="BD12" s="1399">
        <f>BB12-BC12</f>
        <v>0</v>
      </c>
      <c r="BE12" s="1399"/>
      <c r="BF12" s="1399">
        <f>AT12-U12</f>
        <v>0</v>
      </c>
      <c r="BG12" s="1399"/>
      <c r="BH12" s="1399"/>
      <c r="BI12" s="1399">
        <f>AW12-X12</f>
        <v>0</v>
      </c>
      <c r="BJ12" s="1399"/>
      <c r="BK12" s="1399"/>
      <c r="BL12" s="1422"/>
      <c r="BM12" s="1421"/>
      <c r="BN12" s="1424"/>
      <c r="BO12" s="1424"/>
      <c r="BP12" s="1424"/>
      <c r="BQ12" s="1424">
        <f t="shared" ref="BQ12:BQ32" si="2">BB12-BM12+BN12+BO12-BP12</f>
        <v>21796.727480987051</v>
      </c>
      <c r="BR12" s="1399"/>
      <c r="BS12" s="1430"/>
      <c r="BT12" s="1399"/>
      <c r="BU12" s="1399"/>
      <c r="BV12" s="1399"/>
      <c r="BW12" s="1399"/>
      <c r="BX12" s="1424"/>
    </row>
    <row r="13" spans="1:76" ht="16" customHeight="1">
      <c r="A13" s="1420"/>
      <c r="B13" s="1401" t="s">
        <v>52</v>
      </c>
      <c r="C13" s="1378"/>
      <c r="D13" s="1387">
        <f>'T-1'!S16</f>
        <v>863.74173941998345</v>
      </c>
      <c r="E13" s="1387"/>
      <c r="F13" s="1387"/>
      <c r="G13" s="1422"/>
      <c r="H13" s="1422"/>
      <c r="I13" s="1422"/>
      <c r="J13" s="1399"/>
      <c r="K13" s="1377">
        <f>430+20+30</f>
        <v>480</v>
      </c>
      <c r="L13" s="1376"/>
      <c r="M13" s="1377"/>
      <c r="N13" s="1377"/>
      <c r="O13" s="1414"/>
      <c r="P13" s="1414"/>
      <c r="Q13" s="1414"/>
      <c r="R13" s="1414"/>
      <c r="S13" s="1414"/>
      <c r="T13" s="1424"/>
      <c r="U13" s="1405">
        <f>D13*K13/10</f>
        <v>41459.603492159207</v>
      </c>
      <c r="V13" s="1399"/>
      <c r="W13" s="1424"/>
      <c r="X13" s="1399">
        <f>SUM(T13:W13)</f>
        <v>41459.603492159207</v>
      </c>
      <c r="Y13" s="1399"/>
      <c r="Z13" s="1431"/>
      <c r="AA13" s="1382"/>
      <c r="AB13" s="721"/>
      <c r="AC13" s="1423">
        <f>X13-AB13</f>
        <v>41459.603492159207</v>
      </c>
      <c r="AD13" s="1399"/>
      <c r="AE13" s="1424"/>
      <c r="AF13" s="1424"/>
      <c r="AG13" s="1373"/>
      <c r="AH13" s="1424">
        <f t="shared" si="0"/>
        <v>41459.603492159207</v>
      </c>
      <c r="AI13" s="1399"/>
      <c r="AJ13" s="1377">
        <f>430+20+30</f>
        <v>480</v>
      </c>
      <c r="AK13" s="1376"/>
      <c r="AL13" s="1377"/>
      <c r="AM13" s="1377"/>
      <c r="AN13" s="1414"/>
      <c r="AO13" s="1424"/>
      <c r="AP13" s="1424"/>
      <c r="AQ13" s="1399"/>
      <c r="AR13" s="1399"/>
      <c r="AS13" s="1399"/>
      <c r="AT13" s="1399">
        <f>(AJ13*D13)/10</f>
        <v>41459.603492159207</v>
      </c>
      <c r="AU13" s="1399"/>
      <c r="AV13" s="1424"/>
      <c r="AW13" s="1399">
        <f t="shared" si="1"/>
        <v>41459.603492159207</v>
      </c>
      <c r="AX13" s="721"/>
      <c r="AY13" s="721"/>
      <c r="AZ13" s="1421"/>
      <c r="BA13" s="1399"/>
      <c r="BB13" s="1399">
        <f>AW13-BA13</f>
        <v>41459.603492159207</v>
      </c>
      <c r="BC13" s="1399">
        <f>AC13</f>
        <v>41459.603492159207</v>
      </c>
      <c r="BD13" s="1399">
        <f>BB13-BC13</f>
        <v>0</v>
      </c>
      <c r="BE13" s="1399"/>
      <c r="BF13" s="1399">
        <f>AT13-U13</f>
        <v>0</v>
      </c>
      <c r="BG13" s="1399"/>
      <c r="BH13" s="1399"/>
      <c r="BI13" s="1399">
        <f>AW13-X13</f>
        <v>0</v>
      </c>
      <c r="BJ13" s="1399"/>
      <c r="BK13" s="1399"/>
      <c r="BL13" s="1422"/>
      <c r="BM13" s="1421"/>
      <c r="BN13" s="1424"/>
      <c r="BO13" s="1424"/>
      <c r="BP13" s="1424"/>
      <c r="BQ13" s="1424">
        <f t="shared" si="2"/>
        <v>41459.603492159207</v>
      </c>
      <c r="BR13" s="1399"/>
      <c r="BS13" s="1430"/>
      <c r="BT13" s="1399"/>
      <c r="BU13" s="1399"/>
      <c r="BV13" s="1399"/>
      <c r="BW13" s="1399"/>
      <c r="BX13" s="1399"/>
    </row>
    <row r="14" spans="1:76" ht="16" customHeight="1">
      <c r="A14" s="1420"/>
      <c r="B14" s="1401" t="s">
        <v>53</v>
      </c>
      <c r="C14" s="1378"/>
      <c r="D14" s="1387">
        <f>'T-1'!S17</f>
        <v>336.70538200082734</v>
      </c>
      <c r="E14" s="1387"/>
      <c r="F14" s="1387"/>
      <c r="G14" s="1422"/>
      <c r="H14" s="1422"/>
      <c r="I14" s="1422"/>
      <c r="J14" s="1399"/>
      <c r="K14" s="1377">
        <f>530+20+30</f>
        <v>580</v>
      </c>
      <c r="L14" s="1376"/>
      <c r="M14" s="1377"/>
      <c r="N14" s="1377"/>
      <c r="O14" s="1414"/>
      <c r="P14" s="1414"/>
      <c r="Q14" s="1414"/>
      <c r="R14" s="1414"/>
      <c r="S14" s="1414"/>
      <c r="T14" s="1424"/>
      <c r="U14" s="1405">
        <f>D14*K14/10</f>
        <v>19528.912156047987</v>
      </c>
      <c r="V14" s="1399"/>
      <c r="W14" s="1424"/>
      <c r="X14" s="1399">
        <f>SUM(T14:W14)</f>
        <v>19528.912156047987</v>
      </c>
      <c r="Y14" s="1432"/>
      <c r="Z14" s="1274"/>
      <c r="AA14" s="1382"/>
      <c r="AB14" s="721"/>
      <c r="AC14" s="1423">
        <f>X14-AB14</f>
        <v>19528.912156047987</v>
      </c>
      <c r="AD14" s="1399"/>
      <c r="AE14" s="1424"/>
      <c r="AF14" s="1424"/>
      <c r="AG14" s="1373"/>
      <c r="AH14" s="1424">
        <f t="shared" si="0"/>
        <v>19528.912156047987</v>
      </c>
      <c r="AI14" s="1399"/>
      <c r="AJ14" s="1377">
        <f>530+20+30</f>
        <v>580</v>
      </c>
      <c r="AK14" s="1376"/>
      <c r="AL14" s="1377"/>
      <c r="AM14" s="1377"/>
      <c r="AN14" s="1414"/>
      <c r="AO14" s="1424"/>
      <c r="AP14" s="1424"/>
      <c r="AQ14" s="1399"/>
      <c r="AR14" s="1399"/>
      <c r="AS14" s="1399"/>
      <c r="AT14" s="1399">
        <f>(AJ14*D14)/10</f>
        <v>19528.912156047987</v>
      </c>
      <c r="AU14" s="1399"/>
      <c r="AV14" s="1424"/>
      <c r="AW14" s="1399">
        <f t="shared" si="1"/>
        <v>19528.912156047987</v>
      </c>
      <c r="AX14" s="721"/>
      <c r="AY14" s="721"/>
      <c r="AZ14" s="1421"/>
      <c r="BA14" s="1399"/>
      <c r="BB14" s="1399">
        <f>AW14-BA14</f>
        <v>19528.912156047987</v>
      </c>
      <c r="BC14" s="1399">
        <f>AC14</f>
        <v>19528.912156047987</v>
      </c>
      <c r="BD14" s="1399">
        <f>BB14-BC14</f>
        <v>0</v>
      </c>
      <c r="BE14" s="1399"/>
      <c r="BF14" s="1399">
        <f>AT14-U14</f>
        <v>0</v>
      </c>
      <c r="BG14" s="1399"/>
      <c r="BH14" s="1399"/>
      <c r="BI14" s="1399">
        <f>AW14-X14</f>
        <v>0</v>
      </c>
      <c r="BJ14" s="1399"/>
      <c r="BK14" s="1399"/>
      <c r="BL14" s="1422"/>
      <c r="BM14" s="1421"/>
      <c r="BN14" s="1424"/>
      <c r="BO14" s="1424"/>
      <c r="BP14" s="1424"/>
      <c r="BQ14" s="1424">
        <f t="shared" si="2"/>
        <v>19528.912156047987</v>
      </c>
      <c r="BR14" s="1399"/>
      <c r="BS14" s="1430"/>
      <c r="BT14" s="1399"/>
      <c r="BU14" s="1399"/>
      <c r="BV14" s="1399"/>
      <c r="BW14" s="1399"/>
      <c r="BX14" s="1399"/>
    </row>
    <row r="15" spans="1:76" ht="16" customHeight="1">
      <c r="A15" s="1420"/>
      <c r="B15" s="1401" t="s">
        <v>54</v>
      </c>
      <c r="C15" s="1378"/>
      <c r="D15" s="1387">
        <f>'T-1'!S18</f>
        <v>412.99529587962053</v>
      </c>
      <c r="E15" s="1387"/>
      <c r="F15" s="1387"/>
      <c r="G15" s="1422"/>
      <c r="H15" s="1422"/>
      <c r="I15" s="1422"/>
      <c r="J15" s="1399"/>
      <c r="K15" s="1377">
        <f>570+20+30</f>
        <v>620</v>
      </c>
      <c r="L15" s="1376"/>
      <c r="M15" s="1377"/>
      <c r="N15" s="1377"/>
      <c r="O15" s="1414"/>
      <c r="P15" s="1414"/>
      <c r="Q15" s="1414"/>
      <c r="R15" s="1424"/>
      <c r="S15" s="1424"/>
      <c r="T15" s="1424"/>
      <c r="U15" s="721">
        <f>(D15*K15/10)</f>
        <v>25605.708344536473</v>
      </c>
      <c r="V15" s="1399"/>
      <c r="W15" s="1424"/>
      <c r="X15" s="1399">
        <f>SUM(T15:W15)</f>
        <v>25605.708344536473</v>
      </c>
      <c r="Y15" s="1432"/>
      <c r="Z15" s="1274"/>
      <c r="AA15" s="1382"/>
      <c r="AB15" s="721"/>
      <c r="AC15" s="1423">
        <f>X15-AB15</f>
        <v>25605.708344536473</v>
      </c>
      <c r="AD15" s="1399"/>
      <c r="AE15" s="1424"/>
      <c r="AF15" s="1424"/>
      <c r="AG15" s="1373"/>
      <c r="AH15" s="1424">
        <f t="shared" si="0"/>
        <v>25605.708344536473</v>
      </c>
      <c r="AI15" s="1399"/>
      <c r="AJ15" s="1377">
        <f>570+20+30</f>
        <v>620</v>
      </c>
      <c r="AK15" s="1376"/>
      <c r="AL15" s="1377"/>
      <c r="AM15" s="1377"/>
      <c r="AN15" s="1414"/>
      <c r="AO15" s="1424"/>
      <c r="AP15" s="1424"/>
      <c r="AQ15" s="1399"/>
      <c r="AR15" s="1399"/>
      <c r="AS15" s="1399"/>
      <c r="AT15" s="1399">
        <f>(AJ15*D15)/10</f>
        <v>25605.708344536473</v>
      </c>
      <c r="AU15" s="1399"/>
      <c r="AV15" s="1424"/>
      <c r="AW15" s="1399">
        <f t="shared" si="1"/>
        <v>25605.708344536473</v>
      </c>
      <c r="AX15" s="721"/>
      <c r="AY15" s="721"/>
      <c r="AZ15" s="1421"/>
      <c r="BA15" s="1399"/>
      <c r="BB15" s="1399">
        <f>AW15-BA15</f>
        <v>25605.708344536473</v>
      </c>
      <c r="BC15" s="1399">
        <f>AC15</f>
        <v>25605.708344536473</v>
      </c>
      <c r="BD15" s="1399">
        <f>BB15-BC15</f>
        <v>0</v>
      </c>
      <c r="BE15" s="1399"/>
      <c r="BF15" s="1399">
        <f>AT15-U15</f>
        <v>0</v>
      </c>
      <c r="BG15" s="1399"/>
      <c r="BH15" s="1399"/>
      <c r="BI15" s="1399">
        <f>AW15-X15</f>
        <v>0</v>
      </c>
      <c r="BJ15" s="1399"/>
      <c r="BK15" s="1399"/>
      <c r="BL15" s="1422"/>
      <c r="BM15" s="1421"/>
      <c r="BN15" s="1424"/>
      <c r="BO15" s="1424"/>
      <c r="BP15" s="1424"/>
      <c r="BQ15" s="1424">
        <f t="shared" si="2"/>
        <v>25605.708344536473</v>
      </c>
      <c r="BR15" s="1391">
        <v>0.04</v>
      </c>
      <c r="BS15" s="1430"/>
      <c r="BT15" s="1399">
        <f>BR15*SUM(AT12:AT15)</f>
        <v>4335.6380589492292</v>
      </c>
      <c r="BU15" s="1399">
        <f>SUM(D12:D15)*$E$69/10</f>
        <v>155120.97524436025</v>
      </c>
      <c r="BV15" s="1399">
        <f>BU15-(SUM(BQ12:BQ15)+BQ9)</f>
        <v>42690.719365829529</v>
      </c>
      <c r="BW15" s="1399"/>
      <c r="BX15" s="1424"/>
    </row>
    <row r="16" spans="1:76" ht="16" customHeight="1">
      <c r="A16" s="1420"/>
      <c r="B16" s="1433" t="s">
        <v>55</v>
      </c>
      <c r="C16" s="1376"/>
      <c r="D16" s="1434">
        <f t="shared" ref="D16:I16" si="3">SUM(D9:D15)</f>
        <v>2359.9999999999995</v>
      </c>
      <c r="E16" s="1434"/>
      <c r="F16" s="1434">
        <f t="shared" si="3"/>
        <v>0</v>
      </c>
      <c r="G16" s="1435">
        <f t="shared" si="3"/>
        <v>1830447</v>
      </c>
      <c r="H16" s="1435">
        <f t="shared" si="3"/>
        <v>2010059.0720000002</v>
      </c>
      <c r="I16" s="1435">
        <f t="shared" si="3"/>
        <v>766235</v>
      </c>
      <c r="J16" s="1399"/>
      <c r="K16" s="721"/>
      <c r="L16" s="1376"/>
      <c r="M16" s="1377"/>
      <c r="N16" s="1377"/>
      <c r="O16" s="1414"/>
      <c r="P16" s="1414"/>
      <c r="Q16" s="1414"/>
      <c r="R16" s="1436">
        <f>X16/D16*10</f>
        <v>481.80457331580817</v>
      </c>
      <c r="S16" s="1437"/>
      <c r="T16" s="1438">
        <f t="shared" ref="T16:AB16" si="4">SUM(T9:T15)</f>
        <v>540.56640000000004</v>
      </c>
      <c r="U16" s="1438">
        <f t="shared" si="4"/>
        <v>108390.95147373072</v>
      </c>
      <c r="V16" s="1439">
        <f t="shared" si="4"/>
        <v>4774.3614287999999</v>
      </c>
      <c r="W16" s="1427">
        <f t="shared" si="4"/>
        <v>0</v>
      </c>
      <c r="X16" s="1427">
        <f t="shared" si="4"/>
        <v>113705.87930253071</v>
      </c>
      <c r="Y16" s="1399"/>
      <c r="Z16" s="1440">
        <f>(AC16/D16)*10</f>
        <v>478.68992490902855</v>
      </c>
      <c r="AA16" s="1415">
        <f>SUM(AA9:AA15)</f>
        <v>735.05702399999996</v>
      </c>
      <c r="AB16" s="1427">
        <f t="shared" si="4"/>
        <v>735.05702400000007</v>
      </c>
      <c r="AC16" s="1441">
        <f>SUM(AC9:AC15)</f>
        <v>112970.82227853072</v>
      </c>
      <c r="AD16" s="1655">
        <f>(X16)*1%</f>
        <v>1137.0587930253071</v>
      </c>
      <c r="AE16" s="1427">
        <f>SUM(AE9:AE15)</f>
        <v>0</v>
      </c>
      <c r="AF16" s="1427">
        <f>SUM(AF9:AF15)</f>
        <v>0</v>
      </c>
      <c r="AG16" s="722">
        <f>SUM(AG9:AG15)</f>
        <v>0</v>
      </c>
      <c r="AH16" s="1427">
        <f>SUM(AH9:AH15)</f>
        <v>112970.82227853072</v>
      </c>
      <c r="AI16" s="1399"/>
      <c r="AJ16" s="721"/>
      <c r="AK16" s="1376"/>
      <c r="AL16" s="1377"/>
      <c r="AM16" s="1377"/>
      <c r="AN16" s="1414"/>
      <c r="AO16" s="1414"/>
      <c r="AP16" s="1414"/>
      <c r="AQ16" s="1442">
        <f>(AW16/D16)*10</f>
        <v>481.80457331580817</v>
      </c>
      <c r="AR16" s="1443"/>
      <c r="AS16" s="1443">
        <f>SUM(AS9:AS15)</f>
        <v>540.56640000000004</v>
      </c>
      <c r="AT16" s="1443">
        <f>SUM(AT9:AT15)</f>
        <v>108390.95147373072</v>
      </c>
      <c r="AU16" s="1427">
        <f>SUM(AU9:AU15)</f>
        <v>4774.3614287999999</v>
      </c>
      <c r="AV16" s="1427">
        <f>SUM(AV9:AV15)</f>
        <v>0</v>
      </c>
      <c r="AW16" s="1427">
        <f>SUM(AW9:AW15)</f>
        <v>113705.87930253071</v>
      </c>
      <c r="AX16" s="721"/>
      <c r="AY16" s="1395">
        <f>(BB16/D16)*10</f>
        <v>478.68992490902855</v>
      </c>
      <c r="AZ16" s="1415">
        <f>SUM(AZ9:AZ15)</f>
        <v>735.05702399999996</v>
      </c>
      <c r="BA16" s="1427">
        <f>SUM(BA9:BA15)</f>
        <v>735.05702400000007</v>
      </c>
      <c r="BB16" s="1427">
        <f>SUM(BB9:BB15)</f>
        <v>112970.82227853072</v>
      </c>
      <c r="BC16" s="1427">
        <f>SUM(BC9:BC15)</f>
        <v>112970.82227853072</v>
      </c>
      <c r="BD16" s="1427">
        <f>SUM(BD9:BD15)</f>
        <v>0</v>
      </c>
      <c r="BE16" s="1399"/>
      <c r="BF16" s="1427">
        <f>SUM(BF9:BF15)</f>
        <v>0</v>
      </c>
      <c r="BG16" s="1427">
        <f>SUM(BG9:BG15)</f>
        <v>0</v>
      </c>
      <c r="BH16" s="1427">
        <f>SUM(BH9:BH15)</f>
        <v>0</v>
      </c>
      <c r="BI16" s="1427">
        <f>SUM(BI9:BI15)</f>
        <v>0</v>
      </c>
      <c r="BJ16" s="1422">
        <f>AY16-Z16</f>
        <v>0</v>
      </c>
      <c r="BK16" s="1422">
        <f>BJ16/Z16*100</f>
        <v>0</v>
      </c>
      <c r="BL16" s="1442">
        <f>AY16/$E$69*100</f>
        <v>72.210377901672672</v>
      </c>
      <c r="BM16" s="1423">
        <f>AD16/X16*AW16</f>
        <v>1137.0587930253071</v>
      </c>
      <c r="BN16" s="1427">
        <f>SUM(BN9:BN15)</f>
        <v>0</v>
      </c>
      <c r="BO16" s="1427">
        <f>SUM(BO9:BO15)</f>
        <v>0</v>
      </c>
      <c r="BP16" s="1427"/>
      <c r="BQ16" s="1441">
        <f>SUM(BQ9:BQ15)</f>
        <v>112970.82227853072</v>
      </c>
      <c r="BR16" s="1399"/>
      <c r="BS16" s="1436">
        <f>BT16/SUM(D12:D15)+AY16</f>
        <v>480.54276168635727</v>
      </c>
      <c r="BT16" s="1427">
        <f>SUM(BT9:BT15)</f>
        <v>4335.6380589492292</v>
      </c>
      <c r="BU16" s="1427">
        <f>SUM(BU9:BU15)</f>
        <v>156446.7955455941</v>
      </c>
      <c r="BV16" s="1427">
        <f>SUM(BV9:BV15)</f>
        <v>43475.973267063375</v>
      </c>
      <c r="BW16" s="1442">
        <f>BV16/D16*10</f>
        <v>184.22022570789568</v>
      </c>
      <c r="BX16" s="1414"/>
    </row>
    <row r="17" spans="1:76" ht="16" customHeight="1">
      <c r="A17" s="1420">
        <v>2</v>
      </c>
      <c r="B17" s="1375" t="s">
        <v>354</v>
      </c>
      <c r="C17" s="1376" t="s">
        <v>44</v>
      </c>
      <c r="D17" s="1434"/>
      <c r="E17" s="1434"/>
      <c r="F17" s="1421"/>
      <c r="G17" s="1422">
        <f>'T-1'!P25</f>
        <v>104159</v>
      </c>
      <c r="H17" s="1422">
        <f>'T-1'!Q25</f>
        <v>356179.57635999995</v>
      </c>
      <c r="I17" s="1377">
        <f>(10199+8966)+(5281+3712)*2+(2046+1308)*3+(8231+9417)*4</f>
        <v>117805</v>
      </c>
      <c r="J17" s="1399"/>
      <c r="K17" s="721"/>
      <c r="L17" s="1376"/>
      <c r="M17" s="1377">
        <v>30</v>
      </c>
      <c r="N17" s="1377">
        <v>30</v>
      </c>
      <c r="O17" s="1414"/>
      <c r="P17" s="1414"/>
      <c r="Q17" s="1414"/>
      <c r="R17" s="1444"/>
      <c r="S17" s="1445"/>
      <c r="T17" s="1274"/>
      <c r="U17" s="1446"/>
      <c r="V17" s="1381">
        <f>((H17-I17)*M17+I17*N17)*12/100000</f>
        <v>1282.2464748959997</v>
      </c>
      <c r="W17" s="1414"/>
      <c r="X17" s="1399">
        <f>SUM(T17:W17)</f>
        <v>1282.2464748959997</v>
      </c>
      <c r="Y17" s="1399">
        <v>0.1</v>
      </c>
      <c r="Z17" s="1399"/>
      <c r="AA17" s="1382">
        <f>(72486325)/1000000*2</f>
        <v>144.97264999999999</v>
      </c>
      <c r="AB17" s="721">
        <f>AA17*Y17*10</f>
        <v>144.97264999999999</v>
      </c>
      <c r="AC17" s="1423">
        <f>X17-AB17</f>
        <v>1137.2738248959997</v>
      </c>
      <c r="AD17" s="1399"/>
      <c r="AE17" s="1414"/>
      <c r="AF17" s="1414"/>
      <c r="AG17" s="1655"/>
      <c r="AH17" s="1424">
        <f t="shared" si="0"/>
        <v>1137.2738248959997</v>
      </c>
      <c r="AI17" s="1399"/>
      <c r="AJ17" s="721"/>
      <c r="AK17" s="1376"/>
      <c r="AL17" s="1377">
        <v>30</v>
      </c>
      <c r="AM17" s="1377">
        <v>30</v>
      </c>
      <c r="AN17" s="1414"/>
      <c r="AO17" s="1414"/>
      <c r="AP17" s="1414"/>
      <c r="AQ17" s="1432"/>
      <c r="AR17" s="1447"/>
      <c r="AS17" s="1448"/>
      <c r="AT17" s="1447"/>
      <c r="AU17" s="1399">
        <f>((H17-I17)*AL17+I17*AM17)*12/100000</f>
        <v>1282.2464748959997</v>
      </c>
      <c r="AV17" s="1414"/>
      <c r="AW17" s="1399">
        <f t="shared" si="1"/>
        <v>1282.2464748959997</v>
      </c>
      <c r="AX17" s="721">
        <v>0.1</v>
      </c>
      <c r="AY17" s="1399"/>
      <c r="AZ17" s="1421">
        <f>AA17</f>
        <v>144.97264999999999</v>
      </c>
      <c r="BA17" s="1399">
        <f>AZ17*AX17*10</f>
        <v>144.97264999999999</v>
      </c>
      <c r="BB17" s="1399">
        <f>AW17-BA17</f>
        <v>1137.2738248959997</v>
      </c>
      <c r="BC17" s="1399">
        <f>AC17</f>
        <v>1137.2738248959997</v>
      </c>
      <c r="BD17" s="1399">
        <f>BB17-BC17</f>
        <v>0</v>
      </c>
      <c r="BE17" s="1399"/>
      <c r="BF17" s="1399"/>
      <c r="BG17" s="1399">
        <f>AU17-V17</f>
        <v>0</v>
      </c>
      <c r="BH17" s="1399"/>
      <c r="BI17" s="1399">
        <f>AW17-X17</f>
        <v>0</v>
      </c>
      <c r="BJ17" s="1422"/>
      <c r="BK17" s="1422"/>
      <c r="BL17" s="1399"/>
      <c r="BM17" s="1421"/>
      <c r="BN17" s="1399"/>
      <c r="BO17" s="1399"/>
      <c r="BP17" s="1399"/>
      <c r="BQ17" s="1424">
        <f t="shared" si="2"/>
        <v>1137.2738248959997</v>
      </c>
      <c r="BR17" s="1399"/>
      <c r="BS17" s="1430"/>
      <c r="BT17" s="1399"/>
      <c r="BU17" s="1399"/>
      <c r="BV17" s="1399"/>
      <c r="BW17" s="1399"/>
      <c r="BX17" s="1414"/>
    </row>
    <row r="18" spans="1:76" ht="16" customHeight="1">
      <c r="A18" s="1420"/>
      <c r="B18" s="1375" t="s">
        <v>57</v>
      </c>
      <c r="C18" s="1376"/>
      <c r="D18" s="1449"/>
      <c r="E18" s="1449"/>
      <c r="F18" s="1421"/>
      <c r="G18" s="1422"/>
      <c r="H18" s="1422"/>
      <c r="I18" s="1422"/>
      <c r="J18" s="1399"/>
      <c r="K18" s="721"/>
      <c r="L18" s="1376"/>
      <c r="M18" s="1377"/>
      <c r="N18" s="1377"/>
      <c r="O18" s="1414"/>
      <c r="P18" s="1414"/>
      <c r="Q18" s="1414"/>
      <c r="R18" s="1430"/>
      <c r="S18" s="1450"/>
      <c r="T18" s="1425"/>
      <c r="U18" s="1425"/>
      <c r="V18" s="1399"/>
      <c r="W18" s="1424"/>
      <c r="X18" s="1399"/>
      <c r="Y18" s="1399"/>
      <c r="Z18" s="1399"/>
      <c r="AA18" s="1421"/>
      <c r="AB18" s="1399"/>
      <c r="AC18" s="1423"/>
      <c r="AD18" s="1399"/>
      <c r="AE18" s="1424"/>
      <c r="AF18" s="1424"/>
      <c r="AG18" s="1655"/>
      <c r="AH18" s="1424"/>
      <c r="AI18" s="1399"/>
      <c r="AJ18" s="721"/>
      <c r="AK18" s="1376"/>
      <c r="AL18" s="1377"/>
      <c r="AM18" s="1377"/>
      <c r="AN18" s="1414"/>
      <c r="AO18" s="1424"/>
      <c r="AP18" s="1424"/>
      <c r="AQ18" s="1399"/>
      <c r="AR18" s="1429"/>
      <c r="AS18" s="1429"/>
      <c r="AT18" s="1429"/>
      <c r="AU18" s="1399"/>
      <c r="AV18" s="1424"/>
      <c r="AW18" s="1399"/>
      <c r="AX18" s="721"/>
      <c r="AY18" s="1399"/>
      <c r="AZ18" s="1421"/>
      <c r="BA18" s="1399"/>
      <c r="BB18" s="1399"/>
      <c r="BC18" s="1399"/>
      <c r="BD18" s="1399"/>
      <c r="BE18" s="1399"/>
      <c r="BF18" s="1399"/>
      <c r="BG18" s="1399"/>
      <c r="BH18" s="1399"/>
      <c r="BI18" s="1399"/>
      <c r="BJ18" s="1422"/>
      <c r="BK18" s="1422"/>
      <c r="BL18" s="1399"/>
      <c r="BM18" s="1421"/>
      <c r="BN18" s="1399"/>
      <c r="BO18" s="1399"/>
      <c r="BP18" s="1399"/>
      <c r="BQ18" s="1424"/>
      <c r="BR18" s="1399"/>
      <c r="BS18" s="1430"/>
      <c r="BT18" s="1399"/>
      <c r="BU18" s="1399"/>
      <c r="BV18" s="1399"/>
      <c r="BW18" s="1399"/>
      <c r="BX18" s="1424"/>
    </row>
    <row r="19" spans="1:76" ht="16" customHeight="1">
      <c r="A19" s="1420"/>
      <c r="B19" s="1375" t="s">
        <v>58</v>
      </c>
      <c r="C19" s="1376"/>
      <c r="D19" s="1449">
        <f>'T-1'!S22</f>
        <v>56.213481193809677</v>
      </c>
      <c r="E19" s="1449"/>
      <c r="F19" s="1421"/>
      <c r="G19" s="1422"/>
      <c r="H19" s="1422"/>
      <c r="I19" s="1422"/>
      <c r="J19" s="1399"/>
      <c r="K19" s="1377">
        <f>540+20+30</f>
        <v>590</v>
      </c>
      <c r="L19" s="1376"/>
      <c r="M19" s="1377"/>
      <c r="N19" s="1377"/>
      <c r="O19" s="1414"/>
      <c r="P19" s="1414"/>
      <c r="Q19" s="1414"/>
      <c r="R19" s="1430"/>
      <c r="S19" s="1430"/>
      <c r="T19" s="1424"/>
      <c r="U19" s="1405">
        <f>D19*K19/10</f>
        <v>3316.5953904347712</v>
      </c>
      <c r="V19" s="1399"/>
      <c r="W19" s="1424"/>
      <c r="X19" s="1399">
        <f>SUM(T19:W19)</f>
        <v>3316.5953904347712</v>
      </c>
      <c r="Y19" s="1399"/>
      <c r="Z19" s="1399"/>
      <c r="AA19" s="1421"/>
      <c r="AB19" s="1399"/>
      <c r="AC19" s="1423">
        <f>X19-AB19</f>
        <v>3316.5953904347712</v>
      </c>
      <c r="AD19" s="1399"/>
      <c r="AE19" s="1424"/>
      <c r="AF19" s="1424"/>
      <c r="AG19" s="1655"/>
      <c r="AH19" s="1424">
        <f t="shared" si="0"/>
        <v>3316.5953904347712</v>
      </c>
      <c r="AI19" s="1399"/>
      <c r="AJ19" s="1377">
        <f>540+20+30</f>
        <v>590</v>
      </c>
      <c r="AK19" s="1376"/>
      <c r="AL19" s="1377"/>
      <c r="AM19" s="1377"/>
      <c r="AN19" s="1414"/>
      <c r="AO19" s="1424"/>
      <c r="AP19" s="1424"/>
      <c r="AQ19" s="1399"/>
      <c r="AR19" s="1399"/>
      <c r="AS19" s="1399"/>
      <c r="AT19" s="1399">
        <f>(AJ19*D19)/10</f>
        <v>3316.5953904347712</v>
      </c>
      <c r="AU19" s="1399"/>
      <c r="AV19" s="1424"/>
      <c r="AW19" s="1399">
        <f t="shared" si="1"/>
        <v>3316.5953904347712</v>
      </c>
      <c r="AX19" s="721"/>
      <c r="AY19" s="1399"/>
      <c r="AZ19" s="1421"/>
      <c r="BA19" s="1399"/>
      <c r="BB19" s="1399">
        <f>AW19-BA19</f>
        <v>3316.5953904347712</v>
      </c>
      <c r="BC19" s="1399">
        <f>AC19</f>
        <v>3316.5953904347712</v>
      </c>
      <c r="BD19" s="1399">
        <f>BB19-BC19</f>
        <v>0</v>
      </c>
      <c r="BE19" s="1399"/>
      <c r="BF19" s="1399">
        <f>AT19-U19</f>
        <v>0</v>
      </c>
      <c r="BG19" s="1399"/>
      <c r="BH19" s="1399"/>
      <c r="BI19" s="1399">
        <f>AW19-X19</f>
        <v>0</v>
      </c>
      <c r="BJ19" s="1422"/>
      <c r="BK19" s="1422"/>
      <c r="BL19" s="1399"/>
      <c r="BM19" s="1421"/>
      <c r="BN19" s="1399"/>
      <c r="BO19" s="1399"/>
      <c r="BP19" s="1399"/>
      <c r="BQ19" s="1424">
        <f t="shared" si="2"/>
        <v>3316.5953904347712</v>
      </c>
      <c r="BR19" s="1399"/>
      <c r="BS19" s="1430"/>
      <c r="BT19" s="1399"/>
      <c r="BU19" s="1399"/>
      <c r="BV19" s="1399"/>
      <c r="BW19" s="1399"/>
      <c r="BX19" s="1424"/>
    </row>
    <row r="20" spans="1:76" ht="16" customHeight="1">
      <c r="A20" s="1420"/>
      <c r="B20" s="1375" t="s">
        <v>59</v>
      </c>
      <c r="C20" s="1378"/>
      <c r="D20" s="1449">
        <f>'T-1'!S23</f>
        <v>65.941206906710462</v>
      </c>
      <c r="E20" s="1449"/>
      <c r="F20" s="1387"/>
      <c r="G20" s="1422"/>
      <c r="H20" s="1422"/>
      <c r="I20" s="1422"/>
      <c r="J20" s="1399"/>
      <c r="K20" s="1377">
        <f>650+20+30</f>
        <v>700</v>
      </c>
      <c r="L20" s="1376"/>
      <c r="M20" s="1377"/>
      <c r="N20" s="1377"/>
      <c r="O20" s="1414"/>
      <c r="P20" s="1414"/>
      <c r="Q20" s="1414"/>
      <c r="R20" s="1430"/>
      <c r="S20" s="1430"/>
      <c r="T20" s="1424"/>
      <c r="U20" s="1405">
        <f>D20*K20/10</f>
        <v>4615.884483469732</v>
      </c>
      <c r="V20" s="1399"/>
      <c r="W20" s="1424"/>
      <c r="X20" s="1399">
        <f>SUM(T20:W20)</f>
        <v>4615.884483469732</v>
      </c>
      <c r="Y20" s="1399"/>
      <c r="Z20" s="1399"/>
      <c r="AA20" s="1421"/>
      <c r="AB20" s="1399"/>
      <c r="AC20" s="1423">
        <f>X20-AB20</f>
        <v>4615.884483469732</v>
      </c>
      <c r="AD20" s="1399"/>
      <c r="AE20" s="1424"/>
      <c r="AF20" s="1424"/>
      <c r="AG20" s="1655"/>
      <c r="AH20" s="1424">
        <f t="shared" si="0"/>
        <v>4615.884483469732</v>
      </c>
      <c r="AI20" s="1399"/>
      <c r="AJ20" s="1377">
        <f>650+20+30</f>
        <v>700</v>
      </c>
      <c r="AK20" s="1376"/>
      <c r="AL20" s="1377"/>
      <c r="AM20" s="1377"/>
      <c r="AN20" s="1414"/>
      <c r="AO20" s="1424"/>
      <c r="AP20" s="1424"/>
      <c r="AQ20" s="1399"/>
      <c r="AR20" s="1399"/>
      <c r="AS20" s="1399"/>
      <c r="AT20" s="1399">
        <f>(AJ20*D20)/10</f>
        <v>4615.884483469732</v>
      </c>
      <c r="AU20" s="1399"/>
      <c r="AV20" s="1424"/>
      <c r="AW20" s="1399">
        <f t="shared" si="1"/>
        <v>4615.884483469732</v>
      </c>
      <c r="AX20" s="721"/>
      <c r="AY20" s="1399"/>
      <c r="AZ20" s="1421"/>
      <c r="BA20" s="1399"/>
      <c r="BB20" s="1399">
        <f>AW20-BA20</f>
        <v>4615.884483469732</v>
      </c>
      <c r="BC20" s="1399">
        <f>AC20</f>
        <v>4615.884483469732</v>
      </c>
      <c r="BD20" s="1399">
        <f>BB20-BC20</f>
        <v>0</v>
      </c>
      <c r="BE20" s="1399"/>
      <c r="BF20" s="1399">
        <f>AT20-U20</f>
        <v>0</v>
      </c>
      <c r="BG20" s="1399"/>
      <c r="BH20" s="1399"/>
      <c r="BI20" s="1399">
        <f>AW20-X20</f>
        <v>0</v>
      </c>
      <c r="BJ20" s="1422"/>
      <c r="BK20" s="1422"/>
      <c r="BL20" s="1399"/>
      <c r="BM20" s="1421"/>
      <c r="BN20" s="1399"/>
      <c r="BO20" s="1399"/>
      <c r="BP20" s="1399"/>
      <c r="BQ20" s="1424">
        <f t="shared" si="2"/>
        <v>4615.884483469732</v>
      </c>
      <c r="BR20" s="1399"/>
      <c r="BS20" s="1430"/>
      <c r="BT20" s="1399"/>
      <c r="BU20" s="1399"/>
      <c r="BV20" s="1399"/>
      <c r="BW20" s="1399"/>
      <c r="BX20" s="1399"/>
    </row>
    <row r="21" spans="1:76" ht="16" customHeight="1">
      <c r="A21" s="1420"/>
      <c r="B21" s="1401" t="s">
        <v>60</v>
      </c>
      <c r="C21" s="1376"/>
      <c r="D21" s="1449">
        <f>'T-1'!S24</f>
        <v>427.84531189947984</v>
      </c>
      <c r="E21" s="1449"/>
      <c r="F21" s="1421"/>
      <c r="G21" s="1422"/>
      <c r="H21" s="1422"/>
      <c r="I21" s="1422"/>
      <c r="J21" s="1399"/>
      <c r="K21" s="1377">
        <f>710+20+30</f>
        <v>760</v>
      </c>
      <c r="L21" s="1376"/>
      <c r="M21" s="1377"/>
      <c r="N21" s="1377"/>
      <c r="O21" s="1414"/>
      <c r="P21" s="1414"/>
      <c r="Q21" s="1414"/>
      <c r="R21" s="1430"/>
      <c r="S21" s="1430"/>
      <c r="T21" s="1424"/>
      <c r="U21" s="721">
        <f>(D21*K21/10)</f>
        <v>32516.243704360466</v>
      </c>
      <c r="V21" s="1399"/>
      <c r="W21" s="1424"/>
      <c r="X21" s="1399">
        <f>SUM(T21:W21)</f>
        <v>32516.243704360466</v>
      </c>
      <c r="Y21" s="1399"/>
      <c r="Z21" s="1399"/>
      <c r="AA21" s="1421"/>
      <c r="AB21" s="1399"/>
      <c r="AC21" s="1423">
        <f>X21-AB21</f>
        <v>32516.243704360466</v>
      </c>
      <c r="AD21" s="1399"/>
      <c r="AE21" s="1424"/>
      <c r="AF21" s="1424"/>
      <c r="AG21" s="1655"/>
      <c r="AH21" s="1424">
        <f t="shared" si="0"/>
        <v>32516.243704360466</v>
      </c>
      <c r="AI21" s="1399"/>
      <c r="AJ21" s="1377">
        <f>710+20+30</f>
        <v>760</v>
      </c>
      <c r="AK21" s="1376"/>
      <c r="AL21" s="1377"/>
      <c r="AM21" s="1377"/>
      <c r="AN21" s="1414"/>
      <c r="AO21" s="1424"/>
      <c r="AP21" s="1424"/>
      <c r="AQ21" s="1399"/>
      <c r="AR21" s="1399"/>
      <c r="AS21" s="1399"/>
      <c r="AT21" s="1399">
        <f>(AJ21*D21)/10</f>
        <v>32516.243704360466</v>
      </c>
      <c r="AU21" s="1399"/>
      <c r="AV21" s="1424"/>
      <c r="AW21" s="1399">
        <f t="shared" si="1"/>
        <v>32516.243704360466</v>
      </c>
      <c r="AX21" s="721"/>
      <c r="AY21" s="1399"/>
      <c r="AZ21" s="1421"/>
      <c r="BA21" s="1399"/>
      <c r="BB21" s="1399">
        <f>AW21-BA21</f>
        <v>32516.243704360466</v>
      </c>
      <c r="BC21" s="1399">
        <f>AC21</f>
        <v>32516.243704360466</v>
      </c>
      <c r="BD21" s="1399">
        <f>BB21-BC21</f>
        <v>0</v>
      </c>
      <c r="BE21" s="1399"/>
      <c r="BF21" s="1399">
        <f>AT21-U21</f>
        <v>0</v>
      </c>
      <c r="BG21" s="1399"/>
      <c r="BH21" s="1399"/>
      <c r="BI21" s="1399">
        <f>AW21-X21</f>
        <v>0</v>
      </c>
      <c r="BJ21" s="1422"/>
      <c r="BK21" s="1422"/>
      <c r="BL21" s="1399"/>
      <c r="BM21" s="1421"/>
      <c r="BN21" s="1399"/>
      <c r="BO21" s="1399"/>
      <c r="BP21" s="1399"/>
      <c r="BQ21" s="1424">
        <f t="shared" si="2"/>
        <v>32516.243704360466</v>
      </c>
      <c r="BR21" s="1399"/>
      <c r="BS21" s="1430"/>
      <c r="BT21" s="1399"/>
      <c r="BU21" s="1399"/>
      <c r="BV21" s="1399"/>
      <c r="BW21" s="1399"/>
      <c r="BX21" s="1424"/>
    </row>
    <row r="22" spans="1:76" ht="16" customHeight="1">
      <c r="A22" s="1420"/>
      <c r="B22" s="1433" t="s">
        <v>355</v>
      </c>
      <c r="C22" s="1378"/>
      <c r="D22" s="1434">
        <f t="shared" ref="D22:I22" si="5">SUM(D17:D21)</f>
        <v>550</v>
      </c>
      <c r="E22" s="1434"/>
      <c r="F22" s="1434">
        <f t="shared" si="5"/>
        <v>0</v>
      </c>
      <c r="G22" s="1435">
        <f t="shared" si="5"/>
        <v>104159</v>
      </c>
      <c r="H22" s="1435">
        <f t="shared" si="5"/>
        <v>356179.57635999995</v>
      </c>
      <c r="I22" s="1435">
        <f t="shared" si="5"/>
        <v>117805</v>
      </c>
      <c r="J22" s="1399"/>
      <c r="K22" s="721"/>
      <c r="L22" s="1376"/>
      <c r="M22" s="1377"/>
      <c r="N22" s="1377"/>
      <c r="O22" s="1414"/>
      <c r="P22" s="1414"/>
      <c r="Q22" s="1414"/>
      <c r="R22" s="1436">
        <f t="shared" ref="R22:R34" si="6">X22/D22*10</f>
        <v>758.74491005747223</v>
      </c>
      <c r="S22" s="1436"/>
      <c r="T22" s="722">
        <f>SUM(T17:T21)</f>
        <v>0</v>
      </c>
      <c r="U22" s="1439">
        <f t="shared" ref="U22:AB22" si="7">SUM(U17:U21)</f>
        <v>40448.723578264966</v>
      </c>
      <c r="V22" s="1427">
        <f t="shared" si="7"/>
        <v>1282.2464748959997</v>
      </c>
      <c r="W22" s="1427">
        <f t="shared" si="7"/>
        <v>0</v>
      </c>
      <c r="X22" s="1427">
        <f t="shared" si="7"/>
        <v>41730.970053160971</v>
      </c>
      <c r="Y22" s="1399"/>
      <c r="Z22" s="1397">
        <f t="shared" ref="Z22:Z33" si="8">(AC22/D22)*10</f>
        <v>756.1090436938357</v>
      </c>
      <c r="AA22" s="1415">
        <f>SUM(AA17:AA21)</f>
        <v>144.97264999999999</v>
      </c>
      <c r="AB22" s="1427">
        <f t="shared" si="7"/>
        <v>144.97264999999999</v>
      </c>
      <c r="AC22" s="1441">
        <f>SUM(AC17:AC21)</f>
        <v>41585.997403160967</v>
      </c>
      <c r="AD22" s="1427"/>
      <c r="AE22" s="1427">
        <f>SUM(AE17:AE21)</f>
        <v>0</v>
      </c>
      <c r="AF22" s="1427">
        <f>SUM(AF17:AF21)</f>
        <v>0</v>
      </c>
      <c r="AG22" s="722">
        <f>SUM(AG17:AG21)</f>
        <v>0</v>
      </c>
      <c r="AH22" s="1427">
        <f>SUM(AH17:AH21)</f>
        <v>41585.997403160967</v>
      </c>
      <c r="AI22" s="1399"/>
      <c r="AJ22" s="721"/>
      <c r="AK22" s="1376"/>
      <c r="AL22" s="1377"/>
      <c r="AM22" s="1377"/>
      <c r="AN22" s="1414"/>
      <c r="AO22" s="1424"/>
      <c r="AP22" s="1424"/>
      <c r="AQ22" s="1422">
        <f t="shared" ref="AQ22:AQ34" si="9">(AW22/D22)*10</f>
        <v>758.74491005747223</v>
      </c>
      <c r="AR22" s="1451"/>
      <c r="AS22" s="1443">
        <f>SUM(AS17:AS21)</f>
        <v>0</v>
      </c>
      <c r="AT22" s="1427">
        <f>SUM(AT17:AT21)</f>
        <v>40448.723578264966</v>
      </c>
      <c r="AU22" s="1427">
        <f>SUM(AU17:AU21)</f>
        <v>1282.2464748959997</v>
      </c>
      <c r="AV22" s="1427">
        <f>SUM(AV17:AV21)</f>
        <v>0</v>
      </c>
      <c r="AW22" s="1427">
        <f>SUM(AW17:AW21)</f>
        <v>41730.970053160971</v>
      </c>
      <c r="AX22" s="721"/>
      <c r="AY22" s="1422">
        <f t="shared" ref="AY22:AY34" si="10">(BB22/D22)*10</f>
        <v>756.1090436938357</v>
      </c>
      <c r="AZ22" s="1415">
        <f>SUM(AZ17:AZ21)</f>
        <v>144.97264999999999</v>
      </c>
      <c r="BA22" s="1427">
        <f>SUM(BA17:BA21)</f>
        <v>144.97264999999999</v>
      </c>
      <c r="BB22" s="1427">
        <f>SUM(BB17:BB21)</f>
        <v>41585.997403160967</v>
      </c>
      <c r="BC22" s="1427">
        <f>SUM(BC17:BC21)</f>
        <v>41585.997403160967</v>
      </c>
      <c r="BD22" s="1427">
        <f>SUM(BD17:BD21)</f>
        <v>0</v>
      </c>
      <c r="BE22" s="1399"/>
      <c r="BF22" s="1427">
        <f>SUM(BF17:BF21)</f>
        <v>0</v>
      </c>
      <c r="BG22" s="1427">
        <f>SUM(BG17:BG21)</f>
        <v>0</v>
      </c>
      <c r="BH22" s="1427">
        <f>SUM(BH17:BH21)</f>
        <v>0</v>
      </c>
      <c r="BI22" s="1427">
        <f>SUM(BI17:BI21)</f>
        <v>0</v>
      </c>
      <c r="BJ22" s="1422">
        <f t="shared" ref="BJ22:BJ34" si="11">AY22-Z22</f>
        <v>0</v>
      </c>
      <c r="BK22" s="1422">
        <f t="shared" ref="BK22:BK34" si="12">BJ22/Z22*100</f>
        <v>0</v>
      </c>
      <c r="BL22" s="1422">
        <f t="shared" ref="BL22:BL34" si="13">AY22/$E$69*100</f>
        <v>114.05905355200517</v>
      </c>
      <c r="BM22" s="1399"/>
      <c r="BN22" s="1427">
        <f>SUM(BN17:BN21)</f>
        <v>0</v>
      </c>
      <c r="BO22" s="1427">
        <f>SUM(BO17:BO21)</f>
        <v>0</v>
      </c>
      <c r="BP22" s="1427"/>
      <c r="BQ22" s="1441">
        <f>SUM(BQ17:BQ21)</f>
        <v>41585.997403160967</v>
      </c>
      <c r="BR22" s="1391">
        <v>0.04</v>
      </c>
      <c r="BS22" s="1430">
        <f t="shared" ref="BS22:BS34" si="14">BT22/D22+AY22</f>
        <v>759.05076904498219</v>
      </c>
      <c r="BT22" s="1427">
        <f t="shared" ref="BT22:BT33" si="15">BR22*AT22</f>
        <v>1617.9489431305988</v>
      </c>
      <c r="BU22" s="1427">
        <f>(D19+D20+D21)*$E$69/10</f>
        <v>36460.058283930834</v>
      </c>
      <c r="BV22" s="1399">
        <f t="shared" ref="BV22:BV27" si="16">BU22-BQ22</f>
        <v>-5125.9391192301337</v>
      </c>
      <c r="BW22" s="1422">
        <f t="shared" ref="BW22:BW34" si="17">BV22/D22*10</f>
        <v>-93.198893076911531</v>
      </c>
      <c r="BX22" s="1424"/>
    </row>
    <row r="23" spans="1:76" ht="16" customHeight="1">
      <c r="A23" s="1420">
        <v>3</v>
      </c>
      <c r="B23" s="1373" t="s">
        <v>62</v>
      </c>
      <c r="C23" s="1376" t="s">
        <v>44</v>
      </c>
      <c r="D23" s="1387">
        <f>'T-1'!S26</f>
        <v>360</v>
      </c>
      <c r="E23" s="1387"/>
      <c r="F23" s="1387"/>
      <c r="G23" s="1422">
        <f>'T-1'!P26</f>
        <v>87615</v>
      </c>
      <c r="H23" s="1422">
        <f>'T-1'!Q26</f>
        <v>277842.91380000039</v>
      </c>
      <c r="I23" s="1377">
        <f>7402+60052*2+8445*3+419*4+474*5+51*6+7045*7</f>
        <v>206508</v>
      </c>
      <c r="J23" s="1399"/>
      <c r="K23" s="1377">
        <v>150</v>
      </c>
      <c r="L23" s="1376"/>
      <c r="M23" s="1377">
        <v>20</v>
      </c>
      <c r="N23" s="1377">
        <v>10</v>
      </c>
      <c r="O23" s="1414"/>
      <c r="P23" s="1414"/>
      <c r="Q23" s="1414"/>
      <c r="R23" s="1430">
        <f t="shared" si="6"/>
        <v>161.63926092</v>
      </c>
      <c r="S23" s="1436"/>
      <c r="T23" s="1436"/>
      <c r="U23" s="721">
        <f t="shared" ref="U23:U28" si="18">(D23*K23/10)</f>
        <v>5400</v>
      </c>
      <c r="V23" s="1381">
        <f>((H23-I23)*M23+I23*N23)*12/100000</f>
        <v>419.01339312000096</v>
      </c>
      <c r="W23" s="1424"/>
      <c r="X23" s="1399">
        <f t="shared" ref="X23:X29" si="19">SUM(T23:W23)</f>
        <v>5819.0133931200007</v>
      </c>
      <c r="Y23" s="1399">
        <v>0.1</v>
      </c>
      <c r="Z23" s="1388">
        <f t="shared" si="8"/>
        <v>161.42583036444447</v>
      </c>
      <c r="AA23" s="1382">
        <f>(3841750)/1000000*2</f>
        <v>7.6835000000000004</v>
      </c>
      <c r="AB23" s="1399">
        <f>AA23*Y23*10</f>
        <v>7.6835000000000004</v>
      </c>
      <c r="AC23" s="1423">
        <f t="shared" ref="AC23:AC29" si="20">X23-AB23</f>
        <v>5811.3298931200006</v>
      </c>
      <c r="AD23" s="1399"/>
      <c r="AE23" s="1424"/>
      <c r="AF23" s="1424"/>
      <c r="AG23" s="1655"/>
      <c r="AH23" s="1424">
        <f t="shared" si="0"/>
        <v>5811.3298931200006</v>
      </c>
      <c r="AI23" s="1399"/>
      <c r="AJ23" s="1377">
        <v>150</v>
      </c>
      <c r="AK23" s="1376"/>
      <c r="AL23" s="1377">
        <v>20</v>
      </c>
      <c r="AM23" s="1377">
        <v>10</v>
      </c>
      <c r="AN23" s="1414"/>
      <c r="AO23" s="1424"/>
      <c r="AP23" s="1424"/>
      <c r="AQ23" s="1452">
        <f t="shared" si="9"/>
        <v>161.63926092</v>
      </c>
      <c r="AR23" s="1447"/>
      <c r="AS23" s="1448"/>
      <c r="AT23" s="1399">
        <f t="shared" ref="AT23:AT28" si="21">(D23*AJ23/10)</f>
        <v>5400</v>
      </c>
      <c r="AU23" s="1399">
        <f>((H23-I23)*AL23+I23*AM23)*12/100000</f>
        <v>419.01339312000096</v>
      </c>
      <c r="AV23" s="1399">
        <f>(AN23*G23*12)/100000</f>
        <v>0</v>
      </c>
      <c r="AW23" s="1399">
        <f t="shared" si="1"/>
        <v>5819.0133931200007</v>
      </c>
      <c r="AX23" s="721">
        <v>0.1</v>
      </c>
      <c r="AY23" s="1422">
        <f t="shared" si="10"/>
        <v>161.42583036444447</v>
      </c>
      <c r="AZ23" s="1421">
        <f>AA23</f>
        <v>7.6835000000000004</v>
      </c>
      <c r="BA23" s="1399">
        <f>AZ23*AX23*10</f>
        <v>7.6835000000000004</v>
      </c>
      <c r="BB23" s="1399">
        <f t="shared" ref="BB23:BB29" si="22">AW23-BA23</f>
        <v>5811.3298931200006</v>
      </c>
      <c r="BC23" s="1399">
        <f t="shared" ref="BC23:BC29" si="23">AC23</f>
        <v>5811.3298931200006</v>
      </c>
      <c r="BD23" s="1399">
        <f t="shared" ref="BD23:BD29" si="24">BB23-BC23</f>
        <v>0</v>
      </c>
      <c r="BE23" s="1399"/>
      <c r="BF23" s="1399">
        <f t="shared" ref="BF23:BI30" si="25">AT23-U23</f>
        <v>0</v>
      </c>
      <c r="BG23" s="1399">
        <f t="shared" si="25"/>
        <v>0</v>
      </c>
      <c r="BH23" s="1399">
        <f t="shared" si="25"/>
        <v>0</v>
      </c>
      <c r="BI23" s="1399">
        <f t="shared" si="25"/>
        <v>0</v>
      </c>
      <c r="BJ23" s="1422">
        <f t="shared" si="11"/>
        <v>0</v>
      </c>
      <c r="BK23" s="1422">
        <f t="shared" si="12"/>
        <v>0</v>
      </c>
      <c r="BL23" s="1422">
        <f t="shared" si="13"/>
        <v>24.351087430810452</v>
      </c>
      <c r="BM23" s="1399"/>
      <c r="BN23" s="1399"/>
      <c r="BO23" s="1399"/>
      <c r="BP23" s="1399"/>
      <c r="BQ23" s="1424">
        <f t="shared" si="2"/>
        <v>5811.3298931200006</v>
      </c>
      <c r="BR23" s="1391">
        <v>0.02</v>
      </c>
      <c r="BS23" s="1430">
        <f t="shared" si="14"/>
        <v>161.72583036444448</v>
      </c>
      <c r="BT23" s="1399">
        <f t="shared" si="15"/>
        <v>108</v>
      </c>
      <c r="BU23" s="1399">
        <f t="shared" ref="BU23:BU33" si="26">D23*$E$69/10</f>
        <v>23864.765422209275</v>
      </c>
      <c r="BV23" s="1399">
        <f t="shared" si="16"/>
        <v>18053.435529089274</v>
      </c>
      <c r="BW23" s="1422">
        <f t="shared" si="17"/>
        <v>501.48432025247985</v>
      </c>
      <c r="BX23" s="1399"/>
    </row>
    <row r="24" spans="1:76" ht="16" customHeight="1">
      <c r="A24" s="1420">
        <v>4</v>
      </c>
      <c r="B24" s="1373" t="s">
        <v>63</v>
      </c>
      <c r="C24" s="1376" t="s">
        <v>44</v>
      </c>
      <c r="D24" s="1387">
        <f>'T-1'!S27</f>
        <v>11</v>
      </c>
      <c r="E24" s="1387"/>
      <c r="F24" s="1387"/>
      <c r="G24" s="1422">
        <f>'T-1'!P27</f>
        <v>852</v>
      </c>
      <c r="H24" s="1422">
        <f>'T-1'!Q27</f>
        <v>6883.0060000000012</v>
      </c>
      <c r="I24" s="1422">
        <f t="shared" ref="I24:I30" si="27">H24-G24</f>
        <v>6031.0060000000012</v>
      </c>
      <c r="J24" s="1399"/>
      <c r="K24" s="1377">
        <v>160</v>
      </c>
      <c r="L24" s="1376"/>
      <c r="M24" s="1377">
        <v>20</v>
      </c>
      <c r="N24" s="1377">
        <v>10</v>
      </c>
      <c r="O24" s="1414"/>
      <c r="P24" s="1414"/>
      <c r="Q24" s="1414"/>
      <c r="R24" s="1430">
        <f t="shared" si="6"/>
        <v>168.43818836363639</v>
      </c>
      <c r="S24" s="1436"/>
      <c r="T24" s="1436"/>
      <c r="U24" s="721">
        <f t="shared" si="18"/>
        <v>176</v>
      </c>
      <c r="V24" s="1381">
        <f t="shared" ref="V24:V30" si="28">((H24-I24)*M24+I24*N24)*12/100000</f>
        <v>9.2820072000000025</v>
      </c>
      <c r="W24" s="1424"/>
      <c r="X24" s="1399">
        <f t="shared" si="19"/>
        <v>185.28200720000001</v>
      </c>
      <c r="Y24" s="1399">
        <v>0.1</v>
      </c>
      <c r="Z24" s="1388">
        <f t="shared" si="8"/>
        <v>167.82635563636364</v>
      </c>
      <c r="AA24" s="1382">
        <f>(336508/1000000)*2</f>
        <v>0.67301599999999995</v>
      </c>
      <c r="AB24" s="1399">
        <f>AA24*Y24*10</f>
        <v>0.67301600000000006</v>
      </c>
      <c r="AC24" s="1423">
        <f t="shared" si="20"/>
        <v>184.60899120000002</v>
      </c>
      <c r="AD24" s="1399"/>
      <c r="AE24" s="1424"/>
      <c r="AF24" s="1424"/>
      <c r="AG24" s="1655"/>
      <c r="AH24" s="1424">
        <f t="shared" si="0"/>
        <v>184.60899120000002</v>
      </c>
      <c r="AI24" s="1399"/>
      <c r="AJ24" s="1377">
        <v>160</v>
      </c>
      <c r="AK24" s="1376"/>
      <c r="AL24" s="1377">
        <v>20</v>
      </c>
      <c r="AM24" s="1377">
        <v>10</v>
      </c>
      <c r="AN24" s="1414"/>
      <c r="AO24" s="1424"/>
      <c r="AP24" s="1424"/>
      <c r="AQ24" s="1452">
        <f t="shared" si="9"/>
        <v>168.43818836363639</v>
      </c>
      <c r="AR24" s="1447"/>
      <c r="AS24" s="1448"/>
      <c r="AT24" s="1399">
        <f t="shared" si="21"/>
        <v>176</v>
      </c>
      <c r="AU24" s="1399">
        <f t="shared" ref="AU24:AU30" si="29">((H24-I24)*AL24+I24*AM24)*12/100000</f>
        <v>9.2820072000000025</v>
      </c>
      <c r="AV24" s="1399">
        <f>(AN24*G24*12)/100000</f>
        <v>0</v>
      </c>
      <c r="AW24" s="1399">
        <f>SUM(AS24:AV24)</f>
        <v>185.28200720000001</v>
      </c>
      <c r="AX24" s="721">
        <v>0.1</v>
      </c>
      <c r="AY24" s="1422">
        <f t="shared" si="10"/>
        <v>167.82635563636364</v>
      </c>
      <c r="AZ24" s="1421">
        <f>AA24</f>
        <v>0.67301599999999995</v>
      </c>
      <c r="BA24" s="1399">
        <f>AZ24*AX24*10</f>
        <v>0.67301600000000006</v>
      </c>
      <c r="BB24" s="1399">
        <f t="shared" si="22"/>
        <v>184.60899120000002</v>
      </c>
      <c r="BC24" s="1399">
        <f t="shared" si="23"/>
        <v>184.60899120000002</v>
      </c>
      <c r="BD24" s="1399">
        <f t="shared" si="24"/>
        <v>0</v>
      </c>
      <c r="BE24" s="1399"/>
      <c r="BF24" s="1399">
        <f t="shared" si="25"/>
        <v>0</v>
      </c>
      <c r="BG24" s="1399">
        <f t="shared" si="25"/>
        <v>0</v>
      </c>
      <c r="BH24" s="1399">
        <f t="shared" si="25"/>
        <v>0</v>
      </c>
      <c r="BI24" s="1399">
        <f t="shared" si="25"/>
        <v>0</v>
      </c>
      <c r="BJ24" s="1422">
        <f t="shared" si="11"/>
        <v>0</v>
      </c>
      <c r="BK24" s="1422">
        <f t="shared" si="12"/>
        <v>0</v>
      </c>
      <c r="BL24" s="1422">
        <f t="shared" si="13"/>
        <v>25.316606704570649</v>
      </c>
      <c r="BM24" s="1399"/>
      <c r="BN24" s="1399"/>
      <c r="BO24" s="1399"/>
      <c r="BP24" s="1399"/>
      <c r="BQ24" s="1424">
        <f t="shared" si="2"/>
        <v>184.60899120000002</v>
      </c>
      <c r="BR24" s="1391">
        <v>0.02</v>
      </c>
      <c r="BS24" s="1430">
        <f t="shared" si="14"/>
        <v>168.14635563636364</v>
      </c>
      <c r="BT24" s="1399">
        <f t="shared" si="15"/>
        <v>3.52</v>
      </c>
      <c r="BU24" s="1399">
        <f t="shared" si="26"/>
        <v>729.20116567861669</v>
      </c>
      <c r="BV24" s="1399">
        <f t="shared" si="16"/>
        <v>544.5921744786167</v>
      </c>
      <c r="BW24" s="1422">
        <f t="shared" si="17"/>
        <v>495.08379498056064</v>
      </c>
      <c r="BX24" s="1399"/>
    </row>
    <row r="25" spans="1:76" ht="16" customHeight="1">
      <c r="A25" s="1420">
        <v>5</v>
      </c>
      <c r="B25" s="1373" t="s">
        <v>64</v>
      </c>
      <c r="C25" s="1376" t="s">
        <v>44</v>
      </c>
      <c r="D25" s="1387">
        <f>'T-1'!S28</f>
        <v>3</v>
      </c>
      <c r="E25" s="1387"/>
      <c r="F25" s="1387"/>
      <c r="G25" s="1422">
        <f>'T-1'!P28</f>
        <v>118</v>
      </c>
      <c r="H25" s="1422">
        <f>'T-1'!Q28</f>
        <v>2161.288</v>
      </c>
      <c r="I25" s="1422">
        <f t="shared" si="27"/>
        <v>2043.288</v>
      </c>
      <c r="J25" s="1399"/>
      <c r="K25" s="1377">
        <v>310</v>
      </c>
      <c r="L25" s="1376"/>
      <c r="M25" s="1377">
        <v>80</v>
      </c>
      <c r="N25" s="1377">
        <v>50</v>
      </c>
      <c r="O25" s="1414"/>
      <c r="P25" s="1414"/>
      <c r="Q25" s="1414"/>
      <c r="R25" s="1430">
        <f t="shared" si="6"/>
        <v>354.64176000000003</v>
      </c>
      <c r="S25" s="1436"/>
      <c r="T25" s="1436"/>
      <c r="U25" s="721">
        <f t="shared" si="18"/>
        <v>93</v>
      </c>
      <c r="V25" s="1381">
        <f t="shared" si="28"/>
        <v>13.392527999999999</v>
      </c>
      <c r="W25" s="1424"/>
      <c r="X25" s="1399">
        <f t="shared" si="19"/>
        <v>106.392528</v>
      </c>
      <c r="Y25" s="1399">
        <v>0.1</v>
      </c>
      <c r="Z25" s="1388">
        <f t="shared" si="8"/>
        <v>345.94106000000005</v>
      </c>
      <c r="AA25" s="1382">
        <f>(1305105/1000000)*2</f>
        <v>2.6102099999999999</v>
      </c>
      <c r="AB25" s="1399">
        <f>AA25*Y25*10</f>
        <v>2.6102099999999999</v>
      </c>
      <c r="AC25" s="1423">
        <f t="shared" si="20"/>
        <v>103.782318</v>
      </c>
      <c r="AD25" s="1655">
        <f>(X25)*1%</f>
        <v>1.0639252800000001</v>
      </c>
      <c r="AE25" s="1424"/>
      <c r="AF25" s="1424"/>
      <c r="AG25" s="1655"/>
      <c r="AH25" s="1424">
        <f t="shared" si="0"/>
        <v>102.71839272</v>
      </c>
      <c r="AI25" s="1399"/>
      <c r="AJ25" s="1377">
        <v>310</v>
      </c>
      <c r="AK25" s="1376"/>
      <c r="AL25" s="1377">
        <v>80</v>
      </c>
      <c r="AM25" s="1377">
        <v>50</v>
      </c>
      <c r="AN25" s="1414"/>
      <c r="AO25" s="1424"/>
      <c r="AP25" s="1424"/>
      <c r="AQ25" s="1452">
        <f t="shared" si="9"/>
        <v>354.64176000000003</v>
      </c>
      <c r="AR25" s="1447"/>
      <c r="AS25" s="1448"/>
      <c r="AT25" s="1399">
        <f t="shared" si="21"/>
        <v>93</v>
      </c>
      <c r="AU25" s="1399">
        <f t="shared" si="29"/>
        <v>13.392527999999999</v>
      </c>
      <c r="AV25" s="1399"/>
      <c r="AW25" s="1399">
        <f>SUM(AS25:AV25)</f>
        <v>106.392528</v>
      </c>
      <c r="AX25" s="721">
        <v>0.1</v>
      </c>
      <c r="AY25" s="1422">
        <f t="shared" si="10"/>
        <v>345.94106000000005</v>
      </c>
      <c r="AZ25" s="1421">
        <f>AA25</f>
        <v>2.6102099999999999</v>
      </c>
      <c r="BA25" s="1399">
        <f>AZ25*AX25*10</f>
        <v>2.6102099999999999</v>
      </c>
      <c r="BB25" s="1399">
        <f t="shared" si="22"/>
        <v>103.782318</v>
      </c>
      <c r="BC25" s="1399">
        <f t="shared" si="23"/>
        <v>103.782318</v>
      </c>
      <c r="BD25" s="1399">
        <f t="shared" si="24"/>
        <v>0</v>
      </c>
      <c r="BE25" s="1399"/>
      <c r="BF25" s="1399">
        <f t="shared" si="25"/>
        <v>0</v>
      </c>
      <c r="BG25" s="1399">
        <f t="shared" si="25"/>
        <v>0</v>
      </c>
      <c r="BH25" s="1399">
        <f t="shared" si="25"/>
        <v>0</v>
      </c>
      <c r="BI25" s="1399">
        <f t="shared" si="25"/>
        <v>0</v>
      </c>
      <c r="BJ25" s="1422">
        <f t="shared" si="11"/>
        <v>0</v>
      </c>
      <c r="BK25" s="1422">
        <f t="shared" si="12"/>
        <v>0</v>
      </c>
      <c r="BL25" s="1422">
        <f t="shared" si="13"/>
        <v>52.185210873307163</v>
      </c>
      <c r="BM25" s="1423">
        <f>AD25/X25*AW25</f>
        <v>1.0639252800000001</v>
      </c>
      <c r="BN25" s="1399"/>
      <c r="BO25" s="1399"/>
      <c r="BP25" s="1399"/>
      <c r="BQ25" s="1424">
        <f t="shared" si="2"/>
        <v>102.71839272</v>
      </c>
      <c r="BR25" s="1391">
        <v>0.02</v>
      </c>
      <c r="BS25" s="1430">
        <f t="shared" si="14"/>
        <v>346.56106000000005</v>
      </c>
      <c r="BT25" s="1399">
        <f t="shared" si="15"/>
        <v>1.86</v>
      </c>
      <c r="BU25" s="1399">
        <f t="shared" si="26"/>
        <v>198.87304518507727</v>
      </c>
      <c r="BV25" s="1399">
        <f t="shared" si="16"/>
        <v>96.154652465077277</v>
      </c>
      <c r="BW25" s="1422">
        <f t="shared" si="17"/>
        <v>320.51550821692422</v>
      </c>
      <c r="BX25" s="1399"/>
    </row>
    <row r="26" spans="1:76" ht="16" customHeight="1">
      <c r="A26" s="1420">
        <v>6</v>
      </c>
      <c r="B26" s="1375" t="s">
        <v>65</v>
      </c>
      <c r="C26" s="1376" t="s">
        <v>44</v>
      </c>
      <c r="D26" s="1387">
        <f>'T-1'!S29</f>
        <v>52</v>
      </c>
      <c r="E26" s="1387"/>
      <c r="F26" s="1421"/>
      <c r="G26" s="1422">
        <f>'T-1'!P29</f>
        <v>4526</v>
      </c>
      <c r="H26" s="1422">
        <f>'T-1'!Q29</f>
        <v>14534.020000000006</v>
      </c>
      <c r="I26" s="1422">
        <f t="shared" si="27"/>
        <v>10008.020000000006</v>
      </c>
      <c r="J26" s="1399"/>
      <c r="K26" s="1377">
        <f t="shared" ref="K26:K33" si="30">570+20+30</f>
        <v>620</v>
      </c>
      <c r="L26" s="1376"/>
      <c r="M26" s="1377">
        <v>20</v>
      </c>
      <c r="N26" s="1377">
        <v>15</v>
      </c>
      <c r="O26" s="1414"/>
      <c r="P26" s="1414"/>
      <c r="Q26" s="1414"/>
      <c r="R26" s="1430">
        <f t="shared" si="6"/>
        <v>625.55323769230768</v>
      </c>
      <c r="S26" s="1436"/>
      <c r="T26" s="1436"/>
      <c r="U26" s="721">
        <f t="shared" si="18"/>
        <v>3224</v>
      </c>
      <c r="V26" s="1381">
        <f t="shared" si="28"/>
        <v>28.876836000000011</v>
      </c>
      <c r="W26" s="1424"/>
      <c r="X26" s="1399">
        <f t="shared" si="19"/>
        <v>3252.8768359999999</v>
      </c>
      <c r="Y26" s="1399"/>
      <c r="Z26" s="1388">
        <f t="shared" si="8"/>
        <v>625.55323769230768</v>
      </c>
      <c r="AA26" s="1382"/>
      <c r="AB26" s="1399"/>
      <c r="AC26" s="1423">
        <f t="shared" si="20"/>
        <v>3252.8768359999999</v>
      </c>
      <c r="AD26" s="1399"/>
      <c r="AE26" s="1424"/>
      <c r="AF26" s="1424"/>
      <c r="AG26" s="1655"/>
      <c r="AH26" s="1424">
        <f t="shared" si="0"/>
        <v>3252.8768359999999</v>
      </c>
      <c r="AI26" s="1399"/>
      <c r="AJ26" s="1377">
        <f t="shared" ref="AJ26:AJ33" si="31">570+20+30</f>
        <v>620</v>
      </c>
      <c r="AK26" s="1376"/>
      <c r="AL26" s="1377">
        <v>20</v>
      </c>
      <c r="AM26" s="1377">
        <v>15</v>
      </c>
      <c r="AN26" s="1414"/>
      <c r="AO26" s="1424"/>
      <c r="AP26" s="1424"/>
      <c r="AQ26" s="1452">
        <f t="shared" si="9"/>
        <v>625.55323769230768</v>
      </c>
      <c r="AR26" s="1447"/>
      <c r="AS26" s="1448"/>
      <c r="AT26" s="1399">
        <f t="shared" si="21"/>
        <v>3224</v>
      </c>
      <c r="AU26" s="1399">
        <f t="shared" si="29"/>
        <v>28.876836000000011</v>
      </c>
      <c r="AV26" s="1399">
        <f t="shared" ref="AV26:AV33" si="32">(AN26*G26*12)/100000</f>
        <v>0</v>
      </c>
      <c r="AW26" s="1399">
        <f t="shared" si="1"/>
        <v>3252.8768359999999</v>
      </c>
      <c r="AX26" s="721"/>
      <c r="AY26" s="1422">
        <f t="shared" si="10"/>
        <v>625.55323769230768</v>
      </c>
      <c r="AZ26" s="1421"/>
      <c r="BA26" s="1399"/>
      <c r="BB26" s="1399">
        <f t="shared" si="22"/>
        <v>3252.8768359999999</v>
      </c>
      <c r="BC26" s="1399">
        <f t="shared" si="23"/>
        <v>3252.8768359999999</v>
      </c>
      <c r="BD26" s="1399">
        <f t="shared" si="24"/>
        <v>0</v>
      </c>
      <c r="BE26" s="1399"/>
      <c r="BF26" s="1399">
        <f t="shared" si="25"/>
        <v>0</v>
      </c>
      <c r="BG26" s="1399">
        <f t="shared" si="25"/>
        <v>0</v>
      </c>
      <c r="BH26" s="1399">
        <f t="shared" si="25"/>
        <v>0</v>
      </c>
      <c r="BI26" s="1399">
        <f t="shared" si="25"/>
        <v>0</v>
      </c>
      <c r="BJ26" s="1422">
        <f t="shared" si="11"/>
        <v>0</v>
      </c>
      <c r="BK26" s="1422">
        <f t="shared" si="12"/>
        <v>0</v>
      </c>
      <c r="BL26" s="1422">
        <f t="shared" si="13"/>
        <v>94.364709472339342</v>
      </c>
      <c r="BM26" s="1399"/>
      <c r="BN26" s="1399"/>
      <c r="BO26" s="1399"/>
      <c r="BP26" s="1399"/>
      <c r="BQ26" s="1424">
        <f t="shared" si="2"/>
        <v>3252.8768359999999</v>
      </c>
      <c r="BR26" s="1391">
        <v>0.04</v>
      </c>
      <c r="BS26" s="1430">
        <f t="shared" si="14"/>
        <v>628.03323769230769</v>
      </c>
      <c r="BT26" s="1399">
        <f t="shared" si="15"/>
        <v>128.96</v>
      </c>
      <c r="BU26" s="1399">
        <f t="shared" si="26"/>
        <v>3447.132783208006</v>
      </c>
      <c r="BV26" s="1399">
        <f t="shared" si="16"/>
        <v>194.25594720800609</v>
      </c>
      <c r="BW26" s="1422">
        <f t="shared" si="17"/>
        <v>37.356912924616552</v>
      </c>
      <c r="BX26" s="1424"/>
    </row>
    <row r="27" spans="1:76" ht="16" customHeight="1">
      <c r="A27" s="1420">
        <v>7</v>
      </c>
      <c r="B27" s="1375" t="s">
        <v>174</v>
      </c>
      <c r="C27" s="1376" t="s">
        <v>44</v>
      </c>
      <c r="D27" s="1387">
        <f>'T-1'!S30</f>
        <v>21</v>
      </c>
      <c r="E27" s="1387"/>
      <c r="F27" s="1387"/>
      <c r="G27" s="1422">
        <f>'T-1'!P30</f>
        <v>3713</v>
      </c>
      <c r="H27" s="1422">
        <f>'T-1'!Q30</f>
        <v>37091.669819999981</v>
      </c>
      <c r="I27" s="1422">
        <f t="shared" si="27"/>
        <v>33378.669819999981</v>
      </c>
      <c r="J27" s="1399"/>
      <c r="K27" s="1377">
        <f t="shared" si="30"/>
        <v>620</v>
      </c>
      <c r="L27" s="1376"/>
      <c r="M27" s="1377">
        <v>80</v>
      </c>
      <c r="N27" s="1377">
        <v>35</v>
      </c>
      <c r="O27" s="1414"/>
      <c r="P27" s="1414"/>
      <c r="Q27" s="1414"/>
      <c r="R27" s="1430">
        <f t="shared" si="6"/>
        <v>703.73105392571438</v>
      </c>
      <c r="S27" s="1436"/>
      <c r="T27" s="1436"/>
      <c r="U27" s="721">
        <f t="shared" si="18"/>
        <v>1302</v>
      </c>
      <c r="V27" s="1381">
        <f t="shared" si="28"/>
        <v>175.83521324399993</v>
      </c>
      <c r="W27" s="1414"/>
      <c r="X27" s="1399">
        <f t="shared" si="19"/>
        <v>1477.835213244</v>
      </c>
      <c r="Y27" s="1399">
        <v>0.1</v>
      </c>
      <c r="Z27" s="1388">
        <f t="shared" si="8"/>
        <v>699.57289583047611</v>
      </c>
      <c r="AA27" s="1382">
        <f>(4366066/1000000)*2</f>
        <v>8.732132</v>
      </c>
      <c r="AB27" s="1399">
        <f>AA27*Y27*10</f>
        <v>8.732132</v>
      </c>
      <c r="AC27" s="1423">
        <f t="shared" si="20"/>
        <v>1469.1030812439999</v>
      </c>
      <c r="AD27" s="1399"/>
      <c r="AE27" s="1414"/>
      <c r="AF27" s="1414"/>
      <c r="AG27" s="1655"/>
      <c r="AH27" s="1424">
        <f t="shared" si="0"/>
        <v>1469.1030812439999</v>
      </c>
      <c r="AI27" s="1399"/>
      <c r="AJ27" s="1377">
        <f t="shared" si="31"/>
        <v>620</v>
      </c>
      <c r="AK27" s="1376"/>
      <c r="AL27" s="1377">
        <v>80</v>
      </c>
      <c r="AM27" s="1377">
        <v>35</v>
      </c>
      <c r="AN27" s="1414"/>
      <c r="AO27" s="1414"/>
      <c r="AP27" s="1414"/>
      <c r="AQ27" s="1452">
        <f t="shared" si="9"/>
        <v>703.73105392571438</v>
      </c>
      <c r="AR27" s="1447"/>
      <c r="AS27" s="1448"/>
      <c r="AT27" s="1399">
        <f t="shared" si="21"/>
        <v>1302</v>
      </c>
      <c r="AU27" s="1399">
        <f t="shared" si="29"/>
        <v>175.83521324399993</v>
      </c>
      <c r="AV27" s="1399">
        <f t="shared" si="32"/>
        <v>0</v>
      </c>
      <c r="AW27" s="1399">
        <f t="shared" si="1"/>
        <v>1477.835213244</v>
      </c>
      <c r="AX27" s="721">
        <v>0.1</v>
      </c>
      <c r="AY27" s="1422">
        <f t="shared" si="10"/>
        <v>699.57289583047611</v>
      </c>
      <c r="AZ27" s="1421">
        <f>AA27</f>
        <v>8.732132</v>
      </c>
      <c r="BA27" s="1399">
        <f>AZ27*AX27*10</f>
        <v>8.732132</v>
      </c>
      <c r="BB27" s="1399">
        <f t="shared" si="22"/>
        <v>1469.1030812439999</v>
      </c>
      <c r="BC27" s="1399">
        <f t="shared" si="23"/>
        <v>1469.1030812439999</v>
      </c>
      <c r="BD27" s="1399">
        <f t="shared" si="24"/>
        <v>0</v>
      </c>
      <c r="BE27" s="1399"/>
      <c r="BF27" s="1399">
        <f t="shared" si="25"/>
        <v>0</v>
      </c>
      <c r="BG27" s="1399">
        <f t="shared" si="25"/>
        <v>0</v>
      </c>
      <c r="BH27" s="1399">
        <f t="shared" si="25"/>
        <v>0</v>
      </c>
      <c r="BI27" s="1399">
        <f t="shared" si="25"/>
        <v>0</v>
      </c>
      <c r="BJ27" s="1422">
        <f t="shared" si="11"/>
        <v>0</v>
      </c>
      <c r="BK27" s="1422">
        <f t="shared" si="12"/>
        <v>0</v>
      </c>
      <c r="BL27" s="1422">
        <f t="shared" si="13"/>
        <v>105.53057532448891</v>
      </c>
      <c r="BM27" s="1399"/>
      <c r="BN27" s="1399"/>
      <c r="BO27" s="1399"/>
      <c r="BP27" s="1399"/>
      <c r="BQ27" s="1424">
        <f t="shared" si="2"/>
        <v>1469.1030812439999</v>
      </c>
      <c r="BR27" s="1391">
        <v>0.05</v>
      </c>
      <c r="BS27" s="1430">
        <f t="shared" si="14"/>
        <v>702.67289583047614</v>
      </c>
      <c r="BT27" s="1399">
        <f t="shared" si="15"/>
        <v>65.100000000000009</v>
      </c>
      <c r="BU27" s="1399">
        <f t="shared" si="26"/>
        <v>1392.111316295541</v>
      </c>
      <c r="BV27" s="1399">
        <f t="shared" si="16"/>
        <v>-76.991764948458922</v>
      </c>
      <c r="BW27" s="1422">
        <f t="shared" si="17"/>
        <v>-36.662745213551865</v>
      </c>
      <c r="BX27" s="1417"/>
    </row>
    <row r="28" spans="1:76" ht="16" customHeight="1">
      <c r="A28" s="1453">
        <v>8</v>
      </c>
      <c r="B28" s="1375" t="s">
        <v>175</v>
      </c>
      <c r="C28" s="1376" t="s">
        <v>44</v>
      </c>
      <c r="D28" s="1387">
        <f>'T-1'!S31</f>
        <v>63</v>
      </c>
      <c r="E28" s="1387"/>
      <c r="F28" s="1421"/>
      <c r="G28" s="1422">
        <f>'T-1'!P31</f>
        <v>1444</v>
      </c>
      <c r="H28" s="1422">
        <f>'T-1'!Q31</f>
        <v>67991.091</v>
      </c>
      <c r="I28" s="1422">
        <f t="shared" si="27"/>
        <v>66547.091</v>
      </c>
      <c r="J28" s="1399"/>
      <c r="K28" s="1377">
        <f t="shared" si="30"/>
        <v>620</v>
      </c>
      <c r="L28" s="1376"/>
      <c r="M28" s="1377">
        <v>100</v>
      </c>
      <c r="N28" s="1377">
        <v>80</v>
      </c>
      <c r="O28" s="1414"/>
      <c r="P28" s="1414"/>
      <c r="Q28" s="1414"/>
      <c r="R28" s="1430">
        <f t="shared" si="6"/>
        <v>724.15556723809527</v>
      </c>
      <c r="S28" s="1436"/>
      <c r="T28" s="1436"/>
      <c r="U28" s="721">
        <f t="shared" si="18"/>
        <v>3906</v>
      </c>
      <c r="V28" s="1381">
        <f t="shared" si="28"/>
        <v>656.18007360000001</v>
      </c>
      <c r="W28" s="1414"/>
      <c r="X28" s="1399">
        <f t="shared" si="19"/>
        <v>4562.1800736000005</v>
      </c>
      <c r="Y28" s="1414"/>
      <c r="Z28" s="1388">
        <f t="shared" si="8"/>
        <v>724.15556723809527</v>
      </c>
      <c r="AA28" s="1382"/>
      <c r="AB28" s="1655"/>
      <c r="AC28" s="1423">
        <f t="shared" si="20"/>
        <v>4562.1800736000005</v>
      </c>
      <c r="AD28" s="1655">
        <f>(X28)*1%</f>
        <v>45.621800736000004</v>
      </c>
      <c r="AE28" s="1414"/>
      <c r="AF28" s="1414"/>
      <c r="AG28" s="1655"/>
      <c r="AH28" s="1424">
        <f t="shared" si="0"/>
        <v>4516.5582728640002</v>
      </c>
      <c r="AI28" s="1399"/>
      <c r="AJ28" s="1377">
        <f t="shared" si="31"/>
        <v>620</v>
      </c>
      <c r="AK28" s="1376"/>
      <c r="AL28" s="1377">
        <v>100</v>
      </c>
      <c r="AM28" s="1377">
        <v>80</v>
      </c>
      <c r="AN28" s="1414"/>
      <c r="AO28" s="1414"/>
      <c r="AP28" s="1414"/>
      <c r="AQ28" s="1452">
        <f t="shared" si="9"/>
        <v>724.15556723809527</v>
      </c>
      <c r="AR28" s="1447"/>
      <c r="AS28" s="1448"/>
      <c r="AT28" s="1399">
        <f t="shared" si="21"/>
        <v>3906</v>
      </c>
      <c r="AU28" s="1399">
        <f t="shared" si="29"/>
        <v>656.18007360000001</v>
      </c>
      <c r="AV28" s="1399">
        <f t="shared" si="32"/>
        <v>0</v>
      </c>
      <c r="AW28" s="1399">
        <f t="shared" si="1"/>
        <v>4562.1800736000005</v>
      </c>
      <c r="AX28" s="721"/>
      <c r="AY28" s="1422">
        <f t="shared" si="10"/>
        <v>724.15556723809527</v>
      </c>
      <c r="AZ28" s="1421"/>
      <c r="BA28" s="1399"/>
      <c r="BB28" s="1399">
        <f t="shared" si="22"/>
        <v>4562.1800736000005</v>
      </c>
      <c r="BC28" s="1399">
        <f t="shared" si="23"/>
        <v>4562.1800736000005</v>
      </c>
      <c r="BD28" s="1399">
        <f t="shared" si="24"/>
        <v>0</v>
      </c>
      <c r="BE28" s="1399"/>
      <c r="BF28" s="1399">
        <f t="shared" si="25"/>
        <v>0</v>
      </c>
      <c r="BG28" s="1399">
        <f t="shared" si="25"/>
        <v>0</v>
      </c>
      <c r="BH28" s="1399">
        <f t="shared" si="25"/>
        <v>0</v>
      </c>
      <c r="BI28" s="1399">
        <f t="shared" si="25"/>
        <v>0</v>
      </c>
      <c r="BJ28" s="1422">
        <f t="shared" si="11"/>
        <v>0</v>
      </c>
      <c r="BK28" s="1422">
        <f t="shared" si="12"/>
        <v>0</v>
      </c>
      <c r="BL28" s="1422">
        <f t="shared" si="13"/>
        <v>109.23887144648097</v>
      </c>
      <c r="BM28" s="1423">
        <f>AD28/X28*AW28</f>
        <v>45.621800736000004</v>
      </c>
      <c r="BN28" s="1399">
        <f>AE28/(T28+U28+W28)*(AS28+AT28+AV28)</f>
        <v>0</v>
      </c>
      <c r="BO28" s="1399">
        <f>AF28/(T28+U28+W28)*(AS28+AT28+AV28)</f>
        <v>0</v>
      </c>
      <c r="BP28" s="1399"/>
      <c r="BQ28" s="1424">
        <f t="shared" si="2"/>
        <v>4516.5582728640002</v>
      </c>
      <c r="BR28" s="1391">
        <v>0.08</v>
      </c>
      <c r="BS28" s="1430">
        <f t="shared" si="14"/>
        <v>729.11556723809531</v>
      </c>
      <c r="BT28" s="1399">
        <f t="shared" si="15"/>
        <v>312.48</v>
      </c>
      <c r="BU28" s="1399">
        <f t="shared" si="26"/>
        <v>4176.3339488866231</v>
      </c>
      <c r="BV28" s="1399">
        <f t="shared" ref="BV28:BV33" si="33">BU28-BQ28</f>
        <v>-340.22432397737703</v>
      </c>
      <c r="BW28" s="1422">
        <f t="shared" si="17"/>
        <v>-54.003860948790006</v>
      </c>
      <c r="BX28" s="1417"/>
    </row>
    <row r="29" spans="1:76" ht="16" customHeight="1">
      <c r="A29" s="1453">
        <v>9</v>
      </c>
      <c r="B29" s="1375" t="s">
        <v>276</v>
      </c>
      <c r="C29" s="1376" t="s">
        <v>44</v>
      </c>
      <c r="D29" s="1387">
        <f>'T-1'!S32</f>
        <v>64</v>
      </c>
      <c r="E29" s="1387"/>
      <c r="F29" s="1421"/>
      <c r="G29" s="1422">
        <f>'T-1'!P32</f>
        <v>19590</v>
      </c>
      <c r="H29" s="1422">
        <f>'T-1'!Q32</f>
        <v>45781.301999999974</v>
      </c>
      <c r="I29" s="1422">
        <f t="shared" si="27"/>
        <v>26191.301999999974</v>
      </c>
      <c r="J29" s="1399"/>
      <c r="K29" s="1377">
        <f t="shared" si="30"/>
        <v>620</v>
      </c>
      <c r="L29" s="1376"/>
      <c r="M29" s="1377">
        <v>50</v>
      </c>
      <c r="N29" s="1377">
        <v>50</v>
      </c>
      <c r="O29" s="1414"/>
      <c r="P29" s="1414"/>
      <c r="Q29" s="1414"/>
      <c r="R29" s="1430">
        <f t="shared" si="6"/>
        <v>662.84580812499996</v>
      </c>
      <c r="S29" s="1436"/>
      <c r="T29" s="1436"/>
      <c r="U29" s="721">
        <f>(D29*K29/10)-((0.11866)*2*20)/10</f>
        <v>3967.5253600000001</v>
      </c>
      <c r="V29" s="1381">
        <f t="shared" si="28"/>
        <v>274.68781199999984</v>
      </c>
      <c r="W29" s="1414"/>
      <c r="X29" s="1399">
        <f t="shared" si="19"/>
        <v>4242.2131719999998</v>
      </c>
      <c r="Y29" s="1414"/>
      <c r="Z29" s="1388">
        <f t="shared" si="8"/>
        <v>662.84580812499996</v>
      </c>
      <c r="AA29" s="1639"/>
      <c r="AB29" s="1655"/>
      <c r="AC29" s="1423">
        <f t="shared" si="20"/>
        <v>4242.2131719999998</v>
      </c>
      <c r="AD29" s="1655">
        <f>(X29)*1%</f>
        <v>42.422131719999996</v>
      </c>
      <c r="AE29" s="1655">
        <f>(T29+U29)*0%</f>
        <v>0</v>
      </c>
      <c r="AF29" s="1655">
        <f>(T29+U29)*0%</f>
        <v>0</v>
      </c>
      <c r="AG29" s="1655">
        <f>(T29+U29)*0%</f>
        <v>0</v>
      </c>
      <c r="AH29" s="1424">
        <f t="shared" si="0"/>
        <v>4199.7910402799998</v>
      </c>
      <c r="AI29" s="1399"/>
      <c r="AJ29" s="1377">
        <f t="shared" si="31"/>
        <v>620</v>
      </c>
      <c r="AK29" s="1376"/>
      <c r="AL29" s="1377">
        <v>50</v>
      </c>
      <c r="AM29" s="1377">
        <v>50</v>
      </c>
      <c r="AN29" s="1414"/>
      <c r="AO29" s="1414"/>
      <c r="AP29" s="1414"/>
      <c r="AQ29" s="1452">
        <f t="shared" si="9"/>
        <v>662.84580812499996</v>
      </c>
      <c r="AR29" s="1447"/>
      <c r="AS29" s="1448"/>
      <c r="AT29" s="1399">
        <f>(D29*AJ29/10)-((0.11866)*2*20)/10</f>
        <v>3967.5253600000001</v>
      </c>
      <c r="AU29" s="1399">
        <f t="shared" si="29"/>
        <v>274.68781199999984</v>
      </c>
      <c r="AV29" s="1399">
        <f t="shared" si="32"/>
        <v>0</v>
      </c>
      <c r="AW29" s="1399">
        <f t="shared" si="1"/>
        <v>4242.2131719999998</v>
      </c>
      <c r="AX29" s="934" t="s">
        <v>29</v>
      </c>
      <c r="AY29" s="1422">
        <f t="shared" si="10"/>
        <v>662.84580812499996</v>
      </c>
      <c r="AZ29" s="1421"/>
      <c r="BA29" s="1399"/>
      <c r="BB29" s="1399">
        <f t="shared" si="22"/>
        <v>4242.2131719999998</v>
      </c>
      <c r="BC29" s="1399">
        <f t="shared" si="23"/>
        <v>4242.2131719999998</v>
      </c>
      <c r="BD29" s="1399">
        <f t="shared" si="24"/>
        <v>0</v>
      </c>
      <c r="BE29" s="1399"/>
      <c r="BF29" s="1399">
        <f t="shared" si="25"/>
        <v>0</v>
      </c>
      <c r="BG29" s="1399">
        <f t="shared" si="25"/>
        <v>0</v>
      </c>
      <c r="BH29" s="1399">
        <f t="shared" si="25"/>
        <v>0</v>
      </c>
      <c r="BI29" s="1399">
        <f t="shared" si="25"/>
        <v>0</v>
      </c>
      <c r="BJ29" s="1422">
        <f t="shared" si="11"/>
        <v>0</v>
      </c>
      <c r="BK29" s="1422">
        <f t="shared" si="12"/>
        <v>0</v>
      </c>
      <c r="BL29" s="1422">
        <f t="shared" si="13"/>
        <v>99.990293934726381</v>
      </c>
      <c r="BM29" s="1423">
        <f>AD29/X29*AW29</f>
        <v>42.422131719999996</v>
      </c>
      <c r="BN29" s="1399">
        <f>AE29/(T29+U29+W29)*(AS29+AT29+AV29)</f>
        <v>0</v>
      </c>
      <c r="BO29" s="1399">
        <f>AF29/(T29+U29+W29)*(AS29+AT29+AV29)</f>
        <v>0</v>
      </c>
      <c r="BP29" s="1399">
        <f>AG29/(T29+U29+W29)*(AS29+AT29+AV29)</f>
        <v>0</v>
      </c>
      <c r="BQ29" s="1424">
        <f t="shared" si="2"/>
        <v>4199.7910402799998</v>
      </c>
      <c r="BR29" s="1391">
        <v>0.04</v>
      </c>
      <c r="BS29" s="1430">
        <f t="shared" si="14"/>
        <v>665.32551147499998</v>
      </c>
      <c r="BT29" s="1399">
        <f t="shared" si="15"/>
        <v>158.70101440000002</v>
      </c>
      <c r="BU29" s="1399">
        <f t="shared" si="26"/>
        <v>4242.6249639483158</v>
      </c>
      <c r="BV29" s="1399">
        <f t="shared" si="33"/>
        <v>42.833923668315947</v>
      </c>
      <c r="BW29" s="1422">
        <f t="shared" si="17"/>
        <v>6.6928005731743667</v>
      </c>
      <c r="BX29" s="1414"/>
    </row>
    <row r="30" spans="1:76" ht="16" customHeight="1">
      <c r="A30" s="1420">
        <v>10</v>
      </c>
      <c r="B30" s="1454" t="s">
        <v>277</v>
      </c>
      <c r="C30" s="1376" t="s">
        <v>44</v>
      </c>
      <c r="D30" s="1387">
        <f>'T-1'!S33</f>
        <v>60</v>
      </c>
      <c r="E30" s="1387"/>
      <c r="F30" s="1421"/>
      <c r="G30" s="1422">
        <f>'T-1'!P33</f>
        <v>5022</v>
      </c>
      <c r="H30" s="1422">
        <f>'T-1'!Q33</f>
        <v>37063.799299999955</v>
      </c>
      <c r="I30" s="1422">
        <f t="shared" si="27"/>
        <v>32041.799299999955</v>
      </c>
      <c r="J30" s="1399"/>
      <c r="K30" s="1377">
        <f t="shared" si="30"/>
        <v>620</v>
      </c>
      <c r="L30" s="1376"/>
      <c r="M30" s="1377">
        <v>50</v>
      </c>
      <c r="N30" s="1377">
        <v>50</v>
      </c>
      <c r="O30" s="1414"/>
      <c r="P30" s="1414"/>
      <c r="Q30" s="1414"/>
      <c r="R30" s="1430">
        <f t="shared" si="6"/>
        <v>657.06379930000003</v>
      </c>
      <c r="S30" s="1424"/>
      <c r="T30" s="1424"/>
      <c r="U30" s="721">
        <f>(D30*K30/10)</f>
        <v>3720</v>
      </c>
      <c r="V30" s="1381">
        <f t="shared" si="28"/>
        <v>222.38279579999971</v>
      </c>
      <c r="W30" s="1655">
        <f>(O30*G30*12)/100000</f>
        <v>0</v>
      </c>
      <c r="X30" s="1399">
        <f>SUM(T30:W30)</f>
        <v>3942.3827957999997</v>
      </c>
      <c r="Y30" s="1399">
        <v>0.1</v>
      </c>
      <c r="Z30" s="1388">
        <f t="shared" si="8"/>
        <v>656.28547963333335</v>
      </c>
      <c r="AA30" s="1382">
        <f>(2334959/1000000)*2</f>
        <v>4.669918</v>
      </c>
      <c r="AB30" s="1399">
        <f>AA30*Y30*10</f>
        <v>4.669918</v>
      </c>
      <c r="AC30" s="1423">
        <f>X30-AB30</f>
        <v>3937.7128777999997</v>
      </c>
      <c r="AD30" s="1399"/>
      <c r="AE30" s="1399"/>
      <c r="AF30" s="1655"/>
      <c r="AG30" s="1655"/>
      <c r="AH30" s="1424">
        <f t="shared" si="0"/>
        <v>3937.7128777999997</v>
      </c>
      <c r="AI30" s="1399"/>
      <c r="AJ30" s="1377">
        <f t="shared" si="31"/>
        <v>620</v>
      </c>
      <c r="AK30" s="1376"/>
      <c r="AL30" s="1377">
        <v>50</v>
      </c>
      <c r="AM30" s="1377">
        <v>50</v>
      </c>
      <c r="AN30" s="1414"/>
      <c r="AO30" s="1414"/>
      <c r="AP30" s="1414"/>
      <c r="AQ30" s="1452">
        <f t="shared" si="9"/>
        <v>657.06379930000003</v>
      </c>
      <c r="AR30" s="1447"/>
      <c r="AS30" s="1448"/>
      <c r="AT30" s="1399">
        <f>(D30*AJ30/10)</f>
        <v>3720</v>
      </c>
      <c r="AU30" s="1399">
        <f t="shared" si="29"/>
        <v>222.38279579999971</v>
      </c>
      <c r="AV30" s="1399">
        <f t="shared" si="32"/>
        <v>0</v>
      </c>
      <c r="AW30" s="1399">
        <f t="shared" si="1"/>
        <v>3942.3827957999997</v>
      </c>
      <c r="AX30" s="721">
        <v>0.1</v>
      </c>
      <c r="AY30" s="1422">
        <f t="shared" si="10"/>
        <v>656.28547963333335</v>
      </c>
      <c r="AZ30" s="1421">
        <f>AA30</f>
        <v>4.669918</v>
      </c>
      <c r="BA30" s="1399">
        <f>AZ30*AX30*10</f>
        <v>4.669918</v>
      </c>
      <c r="BB30" s="1399">
        <f>AW30-BA30</f>
        <v>3937.7128777999997</v>
      </c>
      <c r="BC30" s="1399">
        <f>AC30</f>
        <v>3937.7128777999997</v>
      </c>
      <c r="BD30" s="1399">
        <f>BB30-BC30</f>
        <v>0</v>
      </c>
      <c r="BE30" s="1399"/>
      <c r="BF30" s="1399">
        <f t="shared" si="25"/>
        <v>0</v>
      </c>
      <c r="BG30" s="1399">
        <f t="shared" si="25"/>
        <v>0</v>
      </c>
      <c r="BH30" s="1399">
        <f t="shared" si="25"/>
        <v>0</v>
      </c>
      <c r="BI30" s="1399">
        <f t="shared" si="25"/>
        <v>0</v>
      </c>
      <c r="BJ30" s="1422">
        <f t="shared" si="11"/>
        <v>0</v>
      </c>
      <c r="BK30" s="1422">
        <f t="shared" si="12"/>
        <v>0</v>
      </c>
      <c r="BL30" s="1422">
        <f t="shared" si="13"/>
        <v>99.0006683443562</v>
      </c>
      <c r="BM30" s="1423">
        <f>AD30/X30*AW30</f>
        <v>0</v>
      </c>
      <c r="BN30" s="1399"/>
      <c r="BO30" s="1399"/>
      <c r="BP30" s="1399">
        <f>AG30/(T30+U30+W30)*(AS30+AT30+AV30)</f>
        <v>0</v>
      </c>
      <c r="BQ30" s="1424">
        <f t="shared" si="2"/>
        <v>3937.7128777999997</v>
      </c>
      <c r="BR30" s="1391">
        <v>0</v>
      </c>
      <c r="BS30" s="1430">
        <f t="shared" si="14"/>
        <v>656.28547963333335</v>
      </c>
      <c r="BT30" s="1399">
        <f t="shared" si="15"/>
        <v>0</v>
      </c>
      <c r="BU30" s="1399">
        <f t="shared" si="26"/>
        <v>3977.4609037015457</v>
      </c>
      <c r="BV30" s="1399">
        <f t="shared" si="33"/>
        <v>39.748025901546043</v>
      </c>
      <c r="BW30" s="1422">
        <f t="shared" si="17"/>
        <v>6.6246709835910069</v>
      </c>
      <c r="BX30" s="1417"/>
    </row>
    <row r="31" spans="1:76" ht="16" customHeight="1">
      <c r="A31" s="1420">
        <v>11</v>
      </c>
      <c r="B31" s="1454" t="s">
        <v>278</v>
      </c>
      <c r="C31" s="1376" t="s">
        <v>44</v>
      </c>
      <c r="D31" s="1387">
        <f>'T-1'!S34</f>
        <v>0.1</v>
      </c>
      <c r="E31" s="1387"/>
      <c r="F31" s="1421"/>
      <c r="G31" s="1422">
        <f>'T-1'!P34</f>
        <v>19</v>
      </c>
      <c r="H31" s="1422">
        <f>'T-1'!Q34</f>
        <v>1938</v>
      </c>
      <c r="I31" s="1422"/>
      <c r="J31" s="1399">
        <v>200</v>
      </c>
      <c r="K31" s="1377">
        <f t="shared" si="30"/>
        <v>620</v>
      </c>
      <c r="L31" s="1373"/>
      <c r="M31" s="1640"/>
      <c r="N31" s="1640"/>
      <c r="O31" s="1430">
        <v>30</v>
      </c>
      <c r="P31" s="1414"/>
      <c r="Q31" s="1414"/>
      <c r="R31" s="1430">
        <f t="shared" si="6"/>
        <v>4107.24</v>
      </c>
      <c r="S31" s="1424">
        <v>0.8</v>
      </c>
      <c r="T31" s="1424">
        <f>(H31*J31*S31*12)/100000</f>
        <v>37.209600000000002</v>
      </c>
      <c r="U31" s="721">
        <f>(D31*K31/10)-(0.6014*2*20)/10</f>
        <v>3.7944</v>
      </c>
      <c r="V31" s="1399"/>
      <c r="W31" s="1655">
        <f>(O31*G31*12)/100000</f>
        <v>6.8400000000000002E-2</v>
      </c>
      <c r="X31" s="1399">
        <f>SUM(T31:W31)</f>
        <v>41.072400000000002</v>
      </c>
      <c r="Y31" s="1399">
        <v>0.1</v>
      </c>
      <c r="Z31" s="1388">
        <f t="shared" si="8"/>
        <v>4007.2279999999996</v>
      </c>
      <c r="AA31" s="1382">
        <f>(500060/1000000)*2</f>
        <v>1.0001199999999999</v>
      </c>
      <c r="AB31" s="1399">
        <f>AA31*Y31*10</f>
        <v>1.0001199999999999</v>
      </c>
      <c r="AC31" s="1423">
        <f>X31-AB31</f>
        <v>40.072279999999999</v>
      </c>
      <c r="AD31" s="1655">
        <f>X31*1%</f>
        <v>0.41072400000000003</v>
      </c>
      <c r="AE31" s="1655">
        <f>(T31+U31)*0%</f>
        <v>0</v>
      </c>
      <c r="AF31" s="1655">
        <f>(T31+U31)*0%</f>
        <v>0</v>
      </c>
      <c r="AG31" s="1655">
        <f>(T31+U31)*0%</f>
        <v>0</v>
      </c>
      <c r="AH31" s="1424">
        <f t="shared" si="0"/>
        <v>39.661555999999997</v>
      </c>
      <c r="AI31" s="1399">
        <v>200</v>
      </c>
      <c r="AJ31" s="1377">
        <f t="shared" si="31"/>
        <v>620</v>
      </c>
      <c r="AK31" s="1373"/>
      <c r="AL31" s="1640"/>
      <c r="AM31" s="1640"/>
      <c r="AN31" s="1430">
        <v>30</v>
      </c>
      <c r="AO31" s="1399"/>
      <c r="AP31" s="1399"/>
      <c r="AQ31" s="1422">
        <f t="shared" si="9"/>
        <v>4107.24</v>
      </c>
      <c r="AR31" s="1429">
        <v>0.8</v>
      </c>
      <c r="AS31" s="1429">
        <f>(H31*AI31*AR31*12)/100000</f>
        <v>37.209600000000002</v>
      </c>
      <c r="AT31" s="1399">
        <f>(D31*AJ31/10)-(0.6014*2*20)/10</f>
        <v>3.7944</v>
      </c>
      <c r="AU31" s="1399"/>
      <c r="AV31" s="1399">
        <f t="shared" si="32"/>
        <v>6.8400000000000002E-2</v>
      </c>
      <c r="AW31" s="1399">
        <f t="shared" si="1"/>
        <v>41.072400000000002</v>
      </c>
      <c r="AX31" s="721">
        <v>0.1</v>
      </c>
      <c r="AY31" s="1422">
        <f t="shared" si="10"/>
        <v>4007.2279999999996</v>
      </c>
      <c r="AZ31" s="1421">
        <f>AA31</f>
        <v>1.0001199999999999</v>
      </c>
      <c r="BA31" s="1399">
        <f>AZ31*AX31*10</f>
        <v>1.0001199999999999</v>
      </c>
      <c r="BB31" s="1399">
        <f>AW31-BA31</f>
        <v>40.072279999999999</v>
      </c>
      <c r="BC31" s="1399">
        <f>AC31</f>
        <v>40.072279999999999</v>
      </c>
      <c r="BD31" s="1399">
        <f>BB31-BC31</f>
        <v>0</v>
      </c>
      <c r="BE31" s="1399">
        <f t="shared" ref="BE31:BF33" si="34">AS31-T31</f>
        <v>0</v>
      </c>
      <c r="BF31" s="1399">
        <f t="shared" si="34"/>
        <v>0</v>
      </c>
      <c r="BG31" s="1399"/>
      <c r="BH31" s="1399">
        <f t="shared" ref="BH31:BI33" si="35">AV31-W31</f>
        <v>0</v>
      </c>
      <c r="BI31" s="1399">
        <f t="shared" si="35"/>
        <v>0</v>
      </c>
      <c r="BJ31" s="1422">
        <f t="shared" si="11"/>
        <v>0</v>
      </c>
      <c r="BK31" s="1422">
        <f t="shared" si="12"/>
        <v>0</v>
      </c>
      <c r="BL31" s="1422">
        <f t="shared" si="13"/>
        <v>604.49036664633229</v>
      </c>
      <c r="BM31" s="1423">
        <f>AD31/X31*AW31</f>
        <v>0.41072400000000003</v>
      </c>
      <c r="BN31" s="1399">
        <f>AE31/(T31+U31+W31)*(AS31+AT31+AV31)</f>
        <v>0</v>
      </c>
      <c r="BO31" s="1399">
        <f>AF31/(T31+U31+W31)*(AS31+AT31+AV31)</f>
        <v>0</v>
      </c>
      <c r="BP31" s="1399">
        <f>AG31/(T31+U31+W31)*(AS31+AT31+AV31)</f>
        <v>0</v>
      </c>
      <c r="BQ31" s="1424">
        <f t="shared" si="2"/>
        <v>39.661555999999997</v>
      </c>
      <c r="BR31" s="1391">
        <v>0</v>
      </c>
      <c r="BS31" s="1430">
        <f t="shared" si="14"/>
        <v>4007.2279999999996</v>
      </c>
      <c r="BT31" s="1399">
        <f t="shared" si="15"/>
        <v>0</v>
      </c>
      <c r="BU31" s="1399">
        <f t="shared" si="26"/>
        <v>6.6291015061692438</v>
      </c>
      <c r="BV31" s="1399">
        <f t="shared" si="33"/>
        <v>-33.032454493830755</v>
      </c>
      <c r="BW31" s="1422">
        <f t="shared" si="17"/>
        <v>-3303.2454493830755</v>
      </c>
      <c r="BX31" s="1417"/>
    </row>
    <row r="32" spans="1:76" ht="16" customHeight="1">
      <c r="A32" s="1420">
        <v>12</v>
      </c>
      <c r="B32" s="1373" t="s">
        <v>182</v>
      </c>
      <c r="C32" s="1376" t="s">
        <v>44</v>
      </c>
      <c r="D32" s="1387">
        <f>'T-1'!S35</f>
        <v>0</v>
      </c>
      <c r="E32" s="1387"/>
      <c r="F32" s="1421"/>
      <c r="G32" s="1422">
        <f>'T-1'!P35</f>
        <v>2</v>
      </c>
      <c r="H32" s="1422">
        <f>'T-1'!Q35</f>
        <v>322</v>
      </c>
      <c r="I32" s="1422"/>
      <c r="J32" s="1399">
        <v>200</v>
      </c>
      <c r="K32" s="1377">
        <f t="shared" si="30"/>
        <v>620</v>
      </c>
      <c r="L32" s="1373"/>
      <c r="M32" s="1640"/>
      <c r="N32" s="1640"/>
      <c r="O32" s="1430">
        <v>30</v>
      </c>
      <c r="P32" s="1414"/>
      <c r="Q32" s="1414"/>
      <c r="R32" s="1430" t="e">
        <f t="shared" si="6"/>
        <v>#DIV/0!</v>
      </c>
      <c r="S32" s="1424">
        <v>0.8</v>
      </c>
      <c r="T32" s="1424">
        <f>(H32*J32*S32*12)/100000</f>
        <v>6.1824000000000003</v>
      </c>
      <c r="U32" s="721">
        <f>(D32*K32/10)-(0.022718*2*20)/10</f>
        <v>-9.0871999999999994E-2</v>
      </c>
      <c r="V32" s="1399"/>
      <c r="W32" s="1655">
        <f>(O32*G32*12)/100000</f>
        <v>7.1999999999999998E-3</v>
      </c>
      <c r="X32" s="1399">
        <f>SUM(T32:W32)</f>
        <v>6.0987280000000004</v>
      </c>
      <c r="Y32" s="1424"/>
      <c r="Z32" s="1388" t="e">
        <f t="shared" si="8"/>
        <v>#DIV/0!</v>
      </c>
      <c r="AA32" s="1639"/>
      <c r="AB32" s="1655"/>
      <c r="AC32" s="1423">
        <f>X32-AB32</f>
        <v>6.0987280000000004</v>
      </c>
      <c r="AD32" s="1655">
        <f>X32*1%</f>
        <v>6.0987280000000005E-2</v>
      </c>
      <c r="AE32" s="1655">
        <f>(T32+U32)*0%</f>
        <v>0</v>
      </c>
      <c r="AF32" s="1655">
        <f>(T32+U32)*0%</f>
        <v>0</v>
      </c>
      <c r="AG32" s="1655">
        <f>(T32+U32)*0%</f>
        <v>0</v>
      </c>
      <c r="AH32" s="1424">
        <f t="shared" si="0"/>
        <v>6.0377407200000004</v>
      </c>
      <c r="AI32" s="1399">
        <v>200</v>
      </c>
      <c r="AJ32" s="1377">
        <f t="shared" si="31"/>
        <v>620</v>
      </c>
      <c r="AK32" s="1373"/>
      <c r="AL32" s="1640"/>
      <c r="AM32" s="1640"/>
      <c r="AN32" s="1430">
        <v>30</v>
      </c>
      <c r="AO32" s="1399"/>
      <c r="AP32" s="1399"/>
      <c r="AQ32" s="1422" t="e">
        <f t="shared" si="9"/>
        <v>#DIV/0!</v>
      </c>
      <c r="AR32" s="1399">
        <v>0.8</v>
      </c>
      <c r="AS32" s="1399">
        <f>(H32*AI32*AR32*12)/100000</f>
        <v>6.1824000000000003</v>
      </c>
      <c r="AT32" s="1399">
        <f>(D32*AJ32/10)-(0.022718*2*20)/10</f>
        <v>-9.0871999999999994E-2</v>
      </c>
      <c r="AU32" s="1399"/>
      <c r="AV32" s="1399">
        <f t="shared" si="32"/>
        <v>7.1999999999999998E-3</v>
      </c>
      <c r="AW32" s="1399">
        <f t="shared" si="1"/>
        <v>6.0987280000000004</v>
      </c>
      <c r="AX32" s="934"/>
      <c r="AY32" s="1422" t="e">
        <f t="shared" si="10"/>
        <v>#DIV/0!</v>
      </c>
      <c r="AZ32" s="1421"/>
      <c r="BA32" s="1399"/>
      <c r="BB32" s="1399">
        <f>AW32-BA32</f>
        <v>6.0987280000000004</v>
      </c>
      <c r="BC32" s="1399">
        <f>AC32</f>
        <v>6.0987280000000004</v>
      </c>
      <c r="BD32" s="1399">
        <f>BB32-BC32</f>
        <v>0</v>
      </c>
      <c r="BE32" s="1399">
        <f t="shared" si="34"/>
        <v>0</v>
      </c>
      <c r="BF32" s="1399">
        <f t="shared" si="34"/>
        <v>0</v>
      </c>
      <c r="BG32" s="1399"/>
      <c r="BH32" s="1399">
        <f t="shared" si="35"/>
        <v>0</v>
      </c>
      <c r="BI32" s="1399">
        <f t="shared" si="35"/>
        <v>0</v>
      </c>
      <c r="BJ32" s="1422" t="e">
        <f t="shared" si="11"/>
        <v>#DIV/0!</v>
      </c>
      <c r="BK32" s="1422" t="e">
        <f t="shared" si="12"/>
        <v>#DIV/0!</v>
      </c>
      <c r="BL32" s="1422" t="e">
        <f t="shared" si="13"/>
        <v>#DIV/0!</v>
      </c>
      <c r="BM32" s="1423">
        <f>AD32/X32*AW32</f>
        <v>6.0987280000000005E-2</v>
      </c>
      <c r="BN32" s="1399">
        <f>AE32/(T32+U32+W32)*(AS32+AT32+AV32)</f>
        <v>0</v>
      </c>
      <c r="BO32" s="1399">
        <f>AF32/(T32+U32+W32)*(AS32+AT32+AV32)</f>
        <v>0</v>
      </c>
      <c r="BP32" s="1399">
        <f>AG32/(T32+U32+W32)*(AS32+AT32+AV32)</f>
        <v>0</v>
      </c>
      <c r="BQ32" s="1424">
        <f t="shared" si="2"/>
        <v>6.0377407200000004</v>
      </c>
      <c r="BR32" s="1391">
        <v>0.04</v>
      </c>
      <c r="BS32" s="1430" t="e">
        <f t="shared" si="14"/>
        <v>#DIV/0!</v>
      </c>
      <c r="BT32" s="1399">
        <f t="shared" si="15"/>
        <v>-3.6348800000000001E-3</v>
      </c>
      <c r="BU32" s="1399">
        <f t="shared" si="26"/>
        <v>0</v>
      </c>
      <c r="BV32" s="1399">
        <f t="shared" si="33"/>
        <v>-6.0377407200000004</v>
      </c>
      <c r="BW32" s="1422" t="e">
        <f t="shared" si="17"/>
        <v>#DIV/0!</v>
      </c>
      <c r="BX32" s="1399"/>
    </row>
    <row r="33" spans="1:76" ht="16" customHeight="1">
      <c r="A33" s="1420">
        <v>13</v>
      </c>
      <c r="B33" s="1455" t="s">
        <v>72</v>
      </c>
      <c r="C33" s="1376" t="s">
        <v>44</v>
      </c>
      <c r="D33" s="1387">
        <f>'T-1'!S36</f>
        <v>0</v>
      </c>
      <c r="E33" s="1387"/>
      <c r="F33" s="1456"/>
      <c r="G33" s="1422">
        <f>'T-1'!P36</f>
        <v>0</v>
      </c>
      <c r="H33" s="1422">
        <f>'T-1'!Q36</f>
        <v>0</v>
      </c>
      <c r="I33" s="1422"/>
      <c r="J33" s="1399">
        <v>200</v>
      </c>
      <c r="K33" s="1377">
        <f t="shared" si="30"/>
        <v>620</v>
      </c>
      <c r="L33" s="1373"/>
      <c r="M33" s="1640"/>
      <c r="N33" s="1640"/>
      <c r="O33" s="1430">
        <v>30</v>
      </c>
      <c r="P33" s="1457"/>
      <c r="Q33" s="1458"/>
      <c r="R33" s="1430" t="e">
        <f t="shared" si="6"/>
        <v>#DIV/0!</v>
      </c>
      <c r="S33" s="1424">
        <v>0.8</v>
      </c>
      <c r="T33" s="1887">
        <f>(H33*J33*S33*12)/100000</f>
        <v>0</v>
      </c>
      <c r="U33" s="721">
        <f>(D33*K33/10)</f>
        <v>0</v>
      </c>
      <c r="V33" s="1459"/>
      <c r="W33" s="1655">
        <f>(O33*G33*12)/100000</f>
        <v>0</v>
      </c>
      <c r="X33" s="1399">
        <f>SUM(T33:W33)</f>
        <v>0</v>
      </c>
      <c r="Y33" s="1460"/>
      <c r="Z33" s="1388" t="e">
        <f t="shared" si="8"/>
        <v>#DIV/0!</v>
      </c>
      <c r="AA33" s="1639"/>
      <c r="AB33" s="1655"/>
      <c r="AC33" s="1423">
        <f>X33-AB33</f>
        <v>0</v>
      </c>
      <c r="AD33" s="1657">
        <f>X33*0%</f>
        <v>0</v>
      </c>
      <c r="AE33" s="1655"/>
      <c r="AF33" s="1655">
        <f>(T33+U33)*0%</f>
        <v>0</v>
      </c>
      <c r="AG33" s="1655">
        <f t="shared" ref="AG33" si="36">(T33+U33)*1.5%</f>
        <v>0</v>
      </c>
      <c r="AH33" s="1424">
        <f t="shared" si="0"/>
        <v>0</v>
      </c>
      <c r="AI33" s="1399">
        <v>200</v>
      </c>
      <c r="AJ33" s="1377">
        <f t="shared" si="31"/>
        <v>620</v>
      </c>
      <c r="AK33" s="1373"/>
      <c r="AL33" s="1640"/>
      <c r="AM33" s="1640"/>
      <c r="AN33" s="1430">
        <v>30</v>
      </c>
      <c r="AO33" s="1459"/>
      <c r="AP33" s="1459"/>
      <c r="AQ33" s="1422" t="e">
        <f t="shared" si="9"/>
        <v>#DIV/0!</v>
      </c>
      <c r="AR33" s="1399">
        <v>0.8</v>
      </c>
      <c r="AS33" s="1399">
        <f>(H33*AI33*AR33*12)/100000</f>
        <v>0</v>
      </c>
      <c r="AT33" s="1399">
        <f>(D33*AJ33/10)</f>
        <v>0</v>
      </c>
      <c r="AU33" s="1459"/>
      <c r="AV33" s="1399">
        <f t="shared" si="32"/>
        <v>0</v>
      </c>
      <c r="AW33" s="1399">
        <f t="shared" si="1"/>
        <v>0</v>
      </c>
      <c r="AX33" s="934"/>
      <c r="AY33" s="1422" t="e">
        <f t="shared" si="10"/>
        <v>#DIV/0!</v>
      </c>
      <c r="AZ33" s="1421"/>
      <c r="BA33" s="1399"/>
      <c r="BB33" s="1399">
        <f>AW33-BA33</f>
        <v>0</v>
      </c>
      <c r="BC33" s="1399">
        <f>AC33</f>
        <v>0</v>
      </c>
      <c r="BD33" s="1399">
        <f>BB33-BC33</f>
        <v>0</v>
      </c>
      <c r="BE33" s="1399">
        <f t="shared" si="34"/>
        <v>0</v>
      </c>
      <c r="BF33" s="1399">
        <f t="shared" si="34"/>
        <v>0</v>
      </c>
      <c r="BG33" s="1399"/>
      <c r="BH33" s="1399">
        <f t="shared" si="35"/>
        <v>0</v>
      </c>
      <c r="BI33" s="1399">
        <f t="shared" si="35"/>
        <v>0</v>
      </c>
      <c r="BJ33" s="1422" t="e">
        <f t="shared" si="11"/>
        <v>#DIV/0!</v>
      </c>
      <c r="BK33" s="1422" t="e">
        <f t="shared" si="12"/>
        <v>#DIV/0!</v>
      </c>
      <c r="BL33" s="1422" t="e">
        <f t="shared" si="13"/>
        <v>#DIV/0!</v>
      </c>
      <c r="BM33" s="1423"/>
      <c r="BN33" s="1399"/>
      <c r="BO33" s="1399"/>
      <c r="BP33" s="1399"/>
      <c r="BQ33" s="1424"/>
      <c r="BR33" s="1391">
        <v>0.08</v>
      </c>
      <c r="BS33" s="1430"/>
      <c r="BT33" s="1399">
        <f t="shared" si="15"/>
        <v>0</v>
      </c>
      <c r="BU33" s="1399">
        <f t="shared" si="26"/>
        <v>0</v>
      </c>
      <c r="BV33" s="1399">
        <f t="shared" si="33"/>
        <v>0</v>
      </c>
      <c r="BW33" s="1422" t="e">
        <f t="shared" si="17"/>
        <v>#DIV/0!</v>
      </c>
      <c r="BX33" s="1459"/>
    </row>
    <row r="34" spans="1:76" ht="16" customHeight="1">
      <c r="A34" s="1420"/>
      <c r="B34" s="1461" t="s">
        <v>356</v>
      </c>
      <c r="C34" s="1376"/>
      <c r="D34" s="1462">
        <f t="shared" ref="D34:I34" si="37">SUM(D23:D33)+D22+D16</f>
        <v>3544.0999999999995</v>
      </c>
      <c r="E34" s="1462">
        <f t="shared" si="37"/>
        <v>0</v>
      </c>
      <c r="F34" s="1462">
        <f t="shared" si="37"/>
        <v>0</v>
      </c>
      <c r="G34" s="1463">
        <f t="shared" si="37"/>
        <v>2057507</v>
      </c>
      <c r="H34" s="1463">
        <f t="shared" si="37"/>
        <v>2857847.7382800002</v>
      </c>
      <c r="I34" s="1463">
        <f t="shared" si="37"/>
        <v>1266789.17612</v>
      </c>
      <c r="J34" s="1464"/>
      <c r="K34" s="952"/>
      <c r="L34" s="1662"/>
      <c r="M34" s="1661"/>
      <c r="N34" s="1661"/>
      <c r="O34" s="1430"/>
      <c r="P34" s="1465"/>
      <c r="Q34" s="1414"/>
      <c r="R34" s="1436">
        <f t="shared" si="6"/>
        <v>505.26846449777292</v>
      </c>
      <c r="S34" s="1436"/>
      <c r="T34" s="1466">
        <f>SUM(T23:T33)+T22+T16</f>
        <v>583.9584000000001</v>
      </c>
      <c r="U34" s="1466">
        <f>SUM(U23:U33)+U22+U16</f>
        <v>170631.90393999568</v>
      </c>
      <c r="V34" s="1466">
        <f>SUM(V23:V33)+V22+V16</f>
        <v>7856.2585626600003</v>
      </c>
      <c r="W34" s="1466">
        <f>SUM(W23:W33)+W22+W16</f>
        <v>7.5600000000000001E-2</v>
      </c>
      <c r="X34" s="1466">
        <f>SUM(X23:X33)+X22+X16</f>
        <v>179072.19650265569</v>
      </c>
      <c r="Y34" s="1467"/>
      <c r="Z34" s="1468">
        <f>(AC34-AD34-AE34+AF34-AG34)/D34*10</f>
        <v>499.25272867756098</v>
      </c>
      <c r="AA34" s="1462">
        <f t="shared" ref="AA34:AH34" si="38">SUM(AA23:AA33)+AA22+AA16</f>
        <v>905.39856999999995</v>
      </c>
      <c r="AB34" s="1466">
        <f t="shared" si="38"/>
        <v>905.39857000000006</v>
      </c>
      <c r="AC34" s="1466">
        <f t="shared" si="38"/>
        <v>178166.79793265567</v>
      </c>
      <c r="AD34" s="1466">
        <f>SUM(AD23:AD33)+AD22+AD16</f>
        <v>1226.6383620413071</v>
      </c>
      <c r="AE34" s="1466">
        <f t="shared" si="38"/>
        <v>0</v>
      </c>
      <c r="AF34" s="1466">
        <f t="shared" si="38"/>
        <v>0</v>
      </c>
      <c r="AG34" s="952">
        <f>SUM(AG23:AG33)+AG22+AG16</f>
        <v>0</v>
      </c>
      <c r="AH34" s="1466">
        <f t="shared" si="38"/>
        <v>178077.21836363967</v>
      </c>
      <c r="AI34" s="1464"/>
      <c r="AJ34" s="952"/>
      <c r="AK34" s="1662"/>
      <c r="AL34" s="1661"/>
      <c r="AM34" s="1661"/>
      <c r="AN34" s="1430"/>
      <c r="AO34" s="1464"/>
      <c r="AP34" s="1464"/>
      <c r="AQ34" s="1442">
        <f t="shared" si="9"/>
        <v>505.26846449777292</v>
      </c>
      <c r="AR34" s="1427"/>
      <c r="AS34" s="1466">
        <f>SUM(AS23:AS33)+AS22+AS16</f>
        <v>583.9584000000001</v>
      </c>
      <c r="AT34" s="1466">
        <f>SUM(AT23:AT33)+AT22+AT16</f>
        <v>170631.90393999568</v>
      </c>
      <c r="AU34" s="1466">
        <f>SUM(AU23:AU33)+AU22+AU16</f>
        <v>7856.2585626600003</v>
      </c>
      <c r="AV34" s="1466">
        <f>SUM(AV23:AV33)+AV22+AV16</f>
        <v>7.5600000000000001E-2</v>
      </c>
      <c r="AW34" s="1466">
        <f>SUM(AW23:AW33)+AW22+AW16</f>
        <v>179072.19650265569</v>
      </c>
      <c r="AX34" s="934"/>
      <c r="AY34" s="1442">
        <f t="shared" si="10"/>
        <v>502.71380021064778</v>
      </c>
      <c r="AZ34" s="1462">
        <f t="shared" ref="AZ34:BI34" si="39">SUM(AZ23:AZ33)+AZ22+AZ16</f>
        <v>905.39856999999995</v>
      </c>
      <c r="BA34" s="1466">
        <f t="shared" si="39"/>
        <v>905.39857000000006</v>
      </c>
      <c r="BB34" s="1466">
        <f t="shared" si="39"/>
        <v>178166.79793265567</v>
      </c>
      <c r="BC34" s="1466">
        <f t="shared" si="39"/>
        <v>178166.79793265567</v>
      </c>
      <c r="BD34" s="1466">
        <f t="shared" si="39"/>
        <v>0</v>
      </c>
      <c r="BE34" s="1466">
        <f t="shared" si="39"/>
        <v>0</v>
      </c>
      <c r="BF34" s="1466">
        <f t="shared" si="39"/>
        <v>0</v>
      </c>
      <c r="BG34" s="1466">
        <f t="shared" si="39"/>
        <v>0</v>
      </c>
      <c r="BH34" s="1466">
        <f t="shared" si="39"/>
        <v>0</v>
      </c>
      <c r="BI34" s="1466">
        <f t="shared" si="39"/>
        <v>0</v>
      </c>
      <c r="BJ34" s="1442">
        <f t="shared" si="11"/>
        <v>3.4610715330867947</v>
      </c>
      <c r="BK34" s="1442">
        <f t="shared" si="12"/>
        <v>0.69325039890209683</v>
      </c>
      <c r="BL34" s="1442">
        <f t="shared" si="13"/>
        <v>75.834379627888794</v>
      </c>
      <c r="BM34" s="1466">
        <f>SUM(BM23:BM33)+BM22+BM16</f>
        <v>1226.6383620413071</v>
      </c>
      <c r="BN34" s="1466">
        <f>SUM(BN23:BN33)+BN22+BN16</f>
        <v>0</v>
      </c>
      <c r="BO34" s="1466">
        <f>SUM(BO23:BO33)+BO22+BO16</f>
        <v>0</v>
      </c>
      <c r="BP34" s="1466">
        <f>SUM(BP23:BP33)+BP22+BP16</f>
        <v>0</v>
      </c>
      <c r="BQ34" s="1466">
        <f>SUM(BQ23:BQ33)+BQ22+BQ16</f>
        <v>178077.21836363967</v>
      </c>
      <c r="BR34" s="1464"/>
      <c r="BS34" s="1436">
        <f t="shared" si="14"/>
        <v>504.61335281401671</v>
      </c>
      <c r="BT34" s="1466">
        <f>SUM(BT23:BT33)+BT22+BT16</f>
        <v>6732.2043815998277</v>
      </c>
      <c r="BU34" s="1466">
        <f>SUM(BU23:BU33)+BU22+BU16</f>
        <v>234941.98648014411</v>
      </c>
      <c r="BV34" s="1466">
        <f>SUM(BV23:BV33)+BV22+BV16</f>
        <v>56864.768116504412</v>
      </c>
      <c r="BW34" s="1442">
        <f t="shared" si="17"/>
        <v>160.44910729523551</v>
      </c>
      <c r="BX34" s="1467"/>
    </row>
    <row r="35" spans="1:76" ht="16" customHeight="1">
      <c r="A35" s="1412"/>
      <c r="B35" s="1469" t="s">
        <v>74</v>
      </c>
      <c r="C35" s="1376"/>
      <c r="D35" s="1470"/>
      <c r="E35" s="1470"/>
      <c r="F35" s="1471"/>
      <c r="G35" s="1472"/>
      <c r="H35" s="1472"/>
      <c r="I35" s="1472"/>
      <c r="J35" s="1464"/>
      <c r="K35" s="1655"/>
      <c r="L35" s="1665"/>
      <c r="M35" s="1640"/>
      <c r="N35" s="1640"/>
      <c r="O35" s="1473"/>
      <c r="P35" s="1465"/>
      <c r="Q35" s="1465"/>
      <c r="R35" s="1473"/>
      <c r="S35" s="1473"/>
      <c r="T35" s="1465"/>
      <c r="U35" s="1465"/>
      <c r="V35" s="1464"/>
      <c r="W35" s="1464"/>
      <c r="X35" s="1464"/>
      <c r="Y35" s="1465"/>
      <c r="Z35" s="1464"/>
      <c r="AA35" s="1471"/>
      <c r="AB35" s="1464"/>
      <c r="AC35" s="1474"/>
      <c r="AD35" s="1464"/>
      <c r="AE35" s="1464"/>
      <c r="AF35" s="1655"/>
      <c r="AG35" s="1655"/>
      <c r="AH35" s="1464"/>
      <c r="AI35" s="1464"/>
      <c r="AJ35" s="1655"/>
      <c r="AK35" s="1665"/>
      <c r="AL35" s="1640"/>
      <c r="AM35" s="1640"/>
      <c r="AN35" s="1473"/>
      <c r="AO35" s="1464"/>
      <c r="AP35" s="1464"/>
      <c r="AQ35" s="1464"/>
      <c r="AR35" s="1464"/>
      <c r="AS35" s="1464"/>
      <c r="AT35" s="1464"/>
      <c r="AU35" s="1464"/>
      <c r="AV35" s="1464"/>
      <c r="AW35" s="1464"/>
      <c r="AX35" s="1655"/>
      <c r="AY35" s="1464"/>
      <c r="AZ35" s="1471"/>
      <c r="BA35" s="1464"/>
      <c r="BB35" s="1464"/>
      <c r="BC35" s="1464"/>
      <c r="BD35" s="1464"/>
      <c r="BE35" s="1464"/>
      <c r="BF35" s="1464"/>
      <c r="BG35" s="1464"/>
      <c r="BH35" s="1464"/>
      <c r="BI35" s="1464"/>
      <c r="BJ35" s="1464"/>
      <c r="BK35" s="1464"/>
      <c r="BL35" s="1464"/>
      <c r="BM35" s="1474"/>
      <c r="BN35" s="1464"/>
      <c r="BO35" s="1464"/>
      <c r="BP35" s="1464"/>
      <c r="BQ35" s="1464"/>
      <c r="BR35" s="1464"/>
      <c r="BS35" s="1473"/>
      <c r="BT35" s="1464"/>
      <c r="BU35" s="1464"/>
      <c r="BV35" s="1464"/>
      <c r="BW35" s="1464"/>
      <c r="BX35" s="1465"/>
    </row>
    <row r="36" spans="1:76" ht="16" customHeight="1">
      <c r="A36" s="1420">
        <v>14</v>
      </c>
      <c r="B36" s="1455" t="s">
        <v>75</v>
      </c>
      <c r="C36" s="1376" t="s">
        <v>76</v>
      </c>
      <c r="D36" s="1387">
        <f>'T-1'!R39</f>
        <v>23</v>
      </c>
      <c r="E36" s="1386">
        <f>D36</f>
        <v>23</v>
      </c>
      <c r="F36" s="1639">
        <f>D36*1.24%</f>
        <v>0.28520000000000001</v>
      </c>
      <c r="G36" s="1422">
        <f>'T-1'!P39</f>
        <v>31</v>
      </c>
      <c r="H36" s="1422">
        <f>'T-1'!Q39</f>
        <v>9990.4000000000015</v>
      </c>
      <c r="I36" s="1422">
        <f>H36-G36</f>
        <v>9959.4000000000015</v>
      </c>
      <c r="J36" s="1658">
        <v>20</v>
      </c>
      <c r="K36" s="1667">
        <f>440+20+30</f>
        <v>490</v>
      </c>
      <c r="L36" s="1655"/>
      <c r="M36" s="1658"/>
      <c r="N36" s="1640"/>
      <c r="O36" s="1473">
        <v>250</v>
      </c>
      <c r="P36" s="1467"/>
      <c r="Q36" s="1424"/>
      <c r="R36" s="1430">
        <f>X36/D36*10</f>
        <v>497.43954782608694</v>
      </c>
      <c r="S36" s="1473"/>
      <c r="T36" s="1887">
        <f>(H36*J36*12)/100000</f>
        <v>23.976960000000005</v>
      </c>
      <c r="U36" s="1887">
        <f>(D36*K36/10)-((1.949*2*20)/10)</f>
        <v>1119.204</v>
      </c>
      <c r="V36" s="1464"/>
      <c r="W36" s="1655">
        <f t="shared" ref="W36:W51" si="40">(O36*G36*12)/100000</f>
        <v>0.93</v>
      </c>
      <c r="X36" s="1399">
        <f>SUM(T36:W36)</f>
        <v>1144.11096</v>
      </c>
      <c r="Y36" s="1467">
        <v>0.1</v>
      </c>
      <c r="Z36" s="1388">
        <f>(AC36-AD36-AE36+AF36-AG36)/D36*10</f>
        <v>493.59369565217389</v>
      </c>
      <c r="AA36" s="1382">
        <f>4.42273*2</f>
        <v>8.8454599999999992</v>
      </c>
      <c r="AB36" s="1399">
        <f>AA36*Y36*10</f>
        <v>8.8454599999999992</v>
      </c>
      <c r="AC36" s="1423">
        <f t="shared" ref="AC36:AC50" si="41">X36-AB36</f>
        <v>1135.2655</v>
      </c>
      <c r="AD36" s="1655"/>
      <c r="AE36" s="1655">
        <f>(T36+U36)*0%</f>
        <v>0</v>
      </c>
      <c r="AF36" s="1655">
        <f t="shared" ref="AF36:AF50" si="42">(T36+U36)*0%</f>
        <v>0</v>
      </c>
      <c r="AG36" s="1655">
        <f t="shared" ref="AG36:AG37" si="43">(T36+U36)*0%</f>
        <v>0</v>
      </c>
      <c r="AH36" s="1424">
        <f t="shared" ref="AH36:AH51" si="44">AC36-AD36+AE36+AF36-AG36</f>
        <v>1135.2655</v>
      </c>
      <c r="AI36" s="1658">
        <v>20</v>
      </c>
      <c r="AJ36" s="1667">
        <f>440+20+30</f>
        <v>490</v>
      </c>
      <c r="AK36" s="1655"/>
      <c r="AL36" s="1640"/>
      <c r="AM36" s="1640"/>
      <c r="AN36" s="1473">
        <v>250</v>
      </c>
      <c r="AO36" s="1464"/>
      <c r="AP36" s="1464"/>
      <c r="AQ36" s="1422">
        <f>(AW36/D36)*10</f>
        <v>497.43954782608694</v>
      </c>
      <c r="AR36" s="1399"/>
      <c r="AS36" s="1399">
        <f>(H36*AI36*12)/100000</f>
        <v>23.976960000000005</v>
      </c>
      <c r="AT36" s="1655">
        <f>(D36*AJ36/10)-((1.949*2*20)/10)</f>
        <v>1119.204</v>
      </c>
      <c r="AU36" s="1464"/>
      <c r="AV36" s="1399">
        <f t="shared" ref="AV36:AV51" si="45">(AN36*G36*12)/100000</f>
        <v>0.93</v>
      </c>
      <c r="AW36" s="1399">
        <f t="shared" ref="AW36:AW51" si="46">SUM(AS36:AV36)</f>
        <v>1144.11096</v>
      </c>
      <c r="AX36" s="721">
        <v>0.1</v>
      </c>
      <c r="AY36" s="1422">
        <f t="shared" ref="AY36:AY50" si="47">(BB36-BM36-BN36+BO36-BP36)/D36*10</f>
        <v>493.59369565217389</v>
      </c>
      <c r="AZ36" s="1421">
        <f>AA36</f>
        <v>8.8454599999999992</v>
      </c>
      <c r="BA36" s="1399">
        <f>AZ36*AX36*10</f>
        <v>8.8454599999999992</v>
      </c>
      <c r="BB36" s="1399">
        <f t="shared" ref="BB36:BB49" si="48">AW36-BA36</f>
        <v>1135.2655</v>
      </c>
      <c r="BC36" s="1399">
        <f t="shared" ref="BC36:BC49" si="49">AC36</f>
        <v>1135.2655</v>
      </c>
      <c r="BD36" s="1399">
        <f t="shared" ref="BD36:BD51" si="50">BB36-BC36</f>
        <v>0</v>
      </c>
      <c r="BE36" s="1399">
        <f t="shared" ref="BE36:BE51" si="51">AS36-T36</f>
        <v>0</v>
      </c>
      <c r="BF36" s="1399">
        <f t="shared" ref="BF36:BF51" si="52">AT36-U36</f>
        <v>0</v>
      </c>
      <c r="BG36" s="1399"/>
      <c r="BH36" s="1399">
        <f t="shared" ref="BH36:BH52" si="53">AV36-W36</f>
        <v>0</v>
      </c>
      <c r="BI36" s="1399">
        <f t="shared" ref="BI36:BI52" si="54">AW36-X36</f>
        <v>0</v>
      </c>
      <c r="BJ36" s="1422">
        <f>AY36-Z36</f>
        <v>0</v>
      </c>
      <c r="BK36" s="1422">
        <f>BJ36/Z36*100</f>
        <v>0</v>
      </c>
      <c r="BL36" s="1422">
        <f t="shared" ref="BL36:BL53" si="55">AY36/$E$70*100</f>
        <v>89.710038285149182</v>
      </c>
      <c r="BM36" s="1423">
        <f>AD36/X36*AW36</f>
        <v>0</v>
      </c>
      <c r="BN36" s="1399">
        <f>AE36/(T36+U36+W36)*(AS36+AT36+AV36)</f>
        <v>0</v>
      </c>
      <c r="BO36" s="1399"/>
      <c r="BP36" s="1399">
        <f t="shared" ref="BP36:BP51" si="56">AG36/(T36+U36+W36)*(AS36+AT36+AV36)</f>
        <v>0</v>
      </c>
      <c r="BQ36" s="1424">
        <f t="shared" ref="BQ36:BQ52" si="57">BB36-BM36+BN36+BO36-BP36</f>
        <v>1135.2655</v>
      </c>
      <c r="BR36" s="1391">
        <v>0.08</v>
      </c>
      <c r="BS36" s="1430">
        <f>BT36/D36+AY36</f>
        <v>497.48657913043473</v>
      </c>
      <c r="BT36" s="1399">
        <f t="shared" ref="BT36:BT51" si="58">BR36*AT36</f>
        <v>89.536320000000003</v>
      </c>
      <c r="BU36" s="1399">
        <f t="shared" ref="BU36:BU51" si="59">D36*$E$70/10</f>
        <v>1265.4832410075278</v>
      </c>
      <c r="BV36" s="1399">
        <f t="shared" ref="BV36:BV51" si="60">BU36-BQ36</f>
        <v>130.21774100752782</v>
      </c>
      <c r="BW36" s="1422">
        <f t="shared" ref="BW36:BW53" si="61">BV36/D36*10</f>
        <v>56.616409133707748</v>
      </c>
      <c r="BX36" s="1464"/>
    </row>
    <row r="37" spans="1:76" ht="16" customHeight="1">
      <c r="A37" s="1475">
        <v>15</v>
      </c>
      <c r="B37" s="1373" t="s">
        <v>62</v>
      </c>
      <c r="C37" s="1376" t="s">
        <v>76</v>
      </c>
      <c r="D37" s="1387">
        <f>'T-1'!R40</f>
        <v>85</v>
      </c>
      <c r="E37" s="1386">
        <f t="shared" ref="E37:E38" si="62">D37</f>
        <v>85</v>
      </c>
      <c r="F37" s="1639">
        <f>D37*7.76%</f>
        <v>6.5960000000000001</v>
      </c>
      <c r="G37" s="1422">
        <f>'T-1'!P40</f>
        <v>45</v>
      </c>
      <c r="H37" s="1422">
        <f>'T-1'!Q40</f>
        <v>139523.29999999999</v>
      </c>
      <c r="I37" s="1422">
        <f>H37-G37</f>
        <v>139478.29999999999</v>
      </c>
      <c r="J37" s="1658">
        <v>30</v>
      </c>
      <c r="K37" s="1658">
        <v>140</v>
      </c>
      <c r="L37" s="1373"/>
      <c r="M37" s="1658"/>
      <c r="N37" s="1640"/>
      <c r="O37" s="1473">
        <v>250</v>
      </c>
      <c r="P37" s="1467"/>
      <c r="Q37" s="1424"/>
      <c r="R37" s="1430">
        <f t="shared" ref="R37:R38" si="63">X37/D37*10</f>
        <v>442.36445647058821</v>
      </c>
      <c r="S37" s="1473"/>
      <c r="T37" s="1887">
        <f>(H37*J37*12)/100000+(J37*28494*3*S37)/100000</f>
        <v>502.28387999999995</v>
      </c>
      <c r="U37" s="1887">
        <f>(D37*K37/10)-((4.009*2*20)/10)+(D37*(K41-200-K37)/10)</f>
        <v>3256.4639999999999</v>
      </c>
      <c r="V37" s="1464"/>
      <c r="W37" s="1655">
        <f t="shared" si="40"/>
        <v>1.35</v>
      </c>
      <c r="X37" s="1399">
        <f t="shared" ref="X37:X51" si="64">SUM(T37:W37)</f>
        <v>3760.0978799999998</v>
      </c>
      <c r="Y37" s="1467">
        <v>0.1</v>
      </c>
      <c r="Z37" s="1388">
        <f>(AC37-AD37-AE37+AF37-AG37)/D37*10</f>
        <v>440.76167058823523</v>
      </c>
      <c r="AA37" s="1382">
        <f>6.81184*2</f>
        <v>13.62368</v>
      </c>
      <c r="AB37" s="1399">
        <f>AA37*Y37*10</f>
        <v>13.62368</v>
      </c>
      <c r="AC37" s="1423">
        <f t="shared" si="41"/>
        <v>3746.4741999999997</v>
      </c>
      <c r="AD37" s="1655"/>
      <c r="AE37" s="1655">
        <f>(T37+U37)*0%</f>
        <v>0</v>
      </c>
      <c r="AF37" s="1655">
        <f t="shared" si="42"/>
        <v>0</v>
      </c>
      <c r="AG37" s="1655">
        <f t="shared" si="43"/>
        <v>0</v>
      </c>
      <c r="AH37" s="1424">
        <f t="shared" si="44"/>
        <v>3746.4741999999997</v>
      </c>
      <c r="AI37" s="1658">
        <v>30</v>
      </c>
      <c r="AJ37" s="1658">
        <v>140</v>
      </c>
      <c r="AK37" s="1373"/>
      <c r="AL37" s="1640"/>
      <c r="AM37" s="1640"/>
      <c r="AN37" s="1473">
        <v>250</v>
      </c>
      <c r="AO37" s="1464"/>
      <c r="AP37" s="1464"/>
      <c r="AQ37" s="1422">
        <f t="shared" ref="AQ37:AQ38" si="65">(AW37/D37)*10</f>
        <v>442.36445647058821</v>
      </c>
      <c r="AR37" s="1399"/>
      <c r="AS37" s="1399">
        <f>(H37*AI37*12)/100000+(AI37*28494*3*AR37)/100000</f>
        <v>502.28387999999995</v>
      </c>
      <c r="AT37" s="1655">
        <f>(D37*AJ37/10)-((4.009*2*20)/10)+(D37*(AJ41-200-AJ37)/10)</f>
        <v>3256.4639999999999</v>
      </c>
      <c r="AU37" s="1464"/>
      <c r="AV37" s="1399">
        <f t="shared" si="45"/>
        <v>1.35</v>
      </c>
      <c r="AW37" s="1399">
        <f t="shared" si="46"/>
        <v>3760.0978799999998</v>
      </c>
      <c r="AX37" s="1884">
        <v>0.1</v>
      </c>
      <c r="AY37" s="1422">
        <f t="shared" si="47"/>
        <v>440.76167058823523</v>
      </c>
      <c r="AZ37" s="1421">
        <f t="shared" ref="AZ37:AZ38" si="66">AA37</f>
        <v>13.62368</v>
      </c>
      <c r="BA37" s="1399">
        <f t="shared" ref="BA37:BA38" si="67">AZ37*AX37*10</f>
        <v>13.62368</v>
      </c>
      <c r="BB37" s="1399">
        <f t="shared" si="48"/>
        <v>3746.4741999999997</v>
      </c>
      <c r="BC37" s="1399">
        <f t="shared" si="49"/>
        <v>3746.4741999999997</v>
      </c>
      <c r="BD37" s="1399">
        <f t="shared" si="50"/>
        <v>0</v>
      </c>
      <c r="BE37" s="1399">
        <f t="shared" si="51"/>
        <v>0</v>
      </c>
      <c r="BF37" s="1399">
        <f t="shared" si="52"/>
        <v>0</v>
      </c>
      <c r="BG37" s="1399"/>
      <c r="BH37" s="1399">
        <f t="shared" si="53"/>
        <v>0</v>
      </c>
      <c r="BI37" s="1399">
        <f t="shared" si="54"/>
        <v>0</v>
      </c>
      <c r="BJ37" s="1422">
        <f>AY37-Z37</f>
        <v>0</v>
      </c>
      <c r="BK37" s="1422">
        <f>BJ37/Z37*100</f>
        <v>0</v>
      </c>
      <c r="BL37" s="1422">
        <f t="shared" si="55"/>
        <v>80.107883652874918</v>
      </c>
      <c r="BM37" s="1423"/>
      <c r="BN37" s="1399">
        <f>AE37/(T37+U37+W37)*(AS37+AT37+AV37)</f>
        <v>0</v>
      </c>
      <c r="BO37" s="1399"/>
      <c r="BP37" s="1399">
        <f t="shared" si="56"/>
        <v>0</v>
      </c>
      <c r="BQ37" s="1424">
        <f t="shared" si="57"/>
        <v>3746.4741999999997</v>
      </c>
      <c r="BR37" s="1391">
        <v>0.02</v>
      </c>
      <c r="BS37" s="1430">
        <f>BT37/D37+AY37</f>
        <v>441.52789741176463</v>
      </c>
      <c r="BT37" s="1399">
        <f t="shared" si="58"/>
        <v>65.129279999999994</v>
      </c>
      <c r="BU37" s="1399">
        <f t="shared" si="59"/>
        <v>4676.7858906799938</v>
      </c>
      <c r="BV37" s="1399">
        <f t="shared" si="60"/>
        <v>930.31169067999417</v>
      </c>
      <c r="BW37" s="1422">
        <f t="shared" si="61"/>
        <v>109.44843419764638</v>
      </c>
      <c r="BX37" s="1464"/>
    </row>
    <row r="38" spans="1:76" ht="16" customHeight="1">
      <c r="A38" s="1420">
        <v>16</v>
      </c>
      <c r="B38" s="1373" t="s">
        <v>63</v>
      </c>
      <c r="C38" s="1376" t="s">
        <v>76</v>
      </c>
      <c r="D38" s="1387">
        <f>'T-1'!R41</f>
        <v>5.6</v>
      </c>
      <c r="E38" s="1386">
        <f t="shared" si="62"/>
        <v>5.6</v>
      </c>
      <c r="F38" s="1639">
        <f>D38*1.57%</f>
        <v>8.7920000000000012E-2</v>
      </c>
      <c r="G38" s="1422">
        <f>'T-1'!P41</f>
        <v>8</v>
      </c>
      <c r="H38" s="1422">
        <f>'T-1'!Q41</f>
        <v>1779.3000000000002</v>
      </c>
      <c r="I38" s="1422">
        <f>H38-G38</f>
        <v>1771.3000000000002</v>
      </c>
      <c r="J38" s="1658">
        <v>30</v>
      </c>
      <c r="K38" s="1658">
        <v>150</v>
      </c>
      <c r="L38" s="1373"/>
      <c r="M38" s="1658"/>
      <c r="N38" s="1640"/>
      <c r="O38" s="1473">
        <v>250</v>
      </c>
      <c r="P38" s="1467"/>
      <c r="Q38" s="1424"/>
      <c r="R38" s="1430">
        <f t="shared" si="63"/>
        <v>159.88835714285713</v>
      </c>
      <c r="S38" s="1473"/>
      <c r="T38" s="1887">
        <f>(H38*J38*12)/100000</f>
        <v>6.4054800000000007</v>
      </c>
      <c r="U38" s="1887">
        <f>(D38*K38/10)-((0.277*2*20)/10)</f>
        <v>82.891999999999996</v>
      </c>
      <c r="V38" s="1464"/>
      <c r="W38" s="1655">
        <f t="shared" si="40"/>
        <v>0.24</v>
      </c>
      <c r="X38" s="1399">
        <f>SUM(T38:W38)</f>
        <v>89.537479999999988</v>
      </c>
      <c r="Y38" s="1467">
        <v>0.1</v>
      </c>
      <c r="Z38" s="1388">
        <f t="shared" ref="Z38:Z51" si="68">(AC38-AD38-AE38+AF38-AG38)/D38*10</f>
        <v>154.50610714285713</v>
      </c>
      <c r="AA38" s="1382">
        <f>1.50703*2</f>
        <v>3.0140600000000002</v>
      </c>
      <c r="AB38" s="1399">
        <f>AA38*Y38*10</f>
        <v>3.0140600000000006</v>
      </c>
      <c r="AC38" s="1423">
        <f>X38-AB38</f>
        <v>86.523419999999987</v>
      </c>
      <c r="AD38" s="1655"/>
      <c r="AE38" s="1655"/>
      <c r="AF38" s="1655">
        <f t="shared" si="42"/>
        <v>0</v>
      </c>
      <c r="AG38" s="1655">
        <f>(T38+U38)*0%</f>
        <v>0</v>
      </c>
      <c r="AH38" s="1424">
        <f t="shared" si="44"/>
        <v>86.523419999999987</v>
      </c>
      <c r="AI38" s="1658">
        <v>30</v>
      </c>
      <c r="AJ38" s="1658">
        <v>150</v>
      </c>
      <c r="AK38" s="1373"/>
      <c r="AL38" s="1640"/>
      <c r="AM38" s="1640"/>
      <c r="AN38" s="1473">
        <v>250</v>
      </c>
      <c r="AO38" s="1464"/>
      <c r="AP38" s="1464"/>
      <c r="AQ38" s="1422">
        <f t="shared" si="65"/>
        <v>159.88835714285713</v>
      </c>
      <c r="AR38" s="1399"/>
      <c r="AS38" s="1399">
        <f>(H38*AI38*12)/100000</f>
        <v>6.4054800000000007</v>
      </c>
      <c r="AT38" s="1655">
        <f>(D38*AJ38/10)-((0.277*2*20)/10)</f>
        <v>82.891999999999996</v>
      </c>
      <c r="AU38" s="1464"/>
      <c r="AV38" s="1399">
        <f t="shared" si="45"/>
        <v>0.24</v>
      </c>
      <c r="AW38" s="1399">
        <f>SUM(AS38:AV38)</f>
        <v>89.537479999999988</v>
      </c>
      <c r="AX38" s="1884">
        <v>0.1</v>
      </c>
      <c r="AY38" s="1422">
        <f t="shared" si="47"/>
        <v>154.50610714285713</v>
      </c>
      <c r="AZ38" s="1421">
        <f t="shared" si="66"/>
        <v>3.0140600000000002</v>
      </c>
      <c r="BA38" s="1399">
        <f t="shared" si="67"/>
        <v>3.0140600000000006</v>
      </c>
      <c r="BB38" s="1399">
        <f>AW38-BA38</f>
        <v>86.523419999999987</v>
      </c>
      <c r="BC38" s="1399">
        <f>AC38</f>
        <v>86.523419999999987</v>
      </c>
      <c r="BD38" s="1399">
        <f>BB38-BC38</f>
        <v>0</v>
      </c>
      <c r="BE38" s="1399">
        <f t="shared" si="51"/>
        <v>0</v>
      </c>
      <c r="BF38" s="1399">
        <f t="shared" si="52"/>
        <v>0</v>
      </c>
      <c r="BG38" s="1399"/>
      <c r="BH38" s="1399">
        <f t="shared" si="53"/>
        <v>0</v>
      </c>
      <c r="BI38" s="1399">
        <f t="shared" si="54"/>
        <v>0</v>
      </c>
      <c r="BJ38" s="1422">
        <f>AY38-Z38</f>
        <v>0</v>
      </c>
      <c r="BK38" s="1422">
        <f>BJ38/Z38*100</f>
        <v>0</v>
      </c>
      <c r="BL38" s="1422">
        <f t="shared" si="55"/>
        <v>28.081292182553486</v>
      </c>
      <c r="BM38" s="1423"/>
      <c r="BN38" s="1399"/>
      <c r="BO38" s="1399">
        <f>AF38/(T38+U38+W38)*(AS38+AT38+AV38)</f>
        <v>0</v>
      </c>
      <c r="BP38" s="1399">
        <f t="shared" si="56"/>
        <v>0</v>
      </c>
      <c r="BQ38" s="1424">
        <f t="shared" si="57"/>
        <v>86.523419999999987</v>
      </c>
      <c r="BR38" s="1391">
        <v>0.02</v>
      </c>
      <c r="BS38" s="1430">
        <f>BT38/D38+AY38</f>
        <v>154.80214999999998</v>
      </c>
      <c r="BT38" s="1399">
        <f t="shared" si="58"/>
        <v>1.65784</v>
      </c>
      <c r="BU38" s="1399">
        <f t="shared" si="59"/>
        <v>308.11765868009371</v>
      </c>
      <c r="BV38" s="1399">
        <f>BU38-BQ38</f>
        <v>221.59423868009372</v>
      </c>
      <c r="BW38" s="1422">
        <f t="shared" si="61"/>
        <v>395.70399764302454</v>
      </c>
      <c r="BX38" s="1464"/>
    </row>
    <row r="39" spans="1:76" ht="16" customHeight="1">
      <c r="A39" s="1475">
        <v>17</v>
      </c>
      <c r="B39" s="1373" t="s">
        <v>64</v>
      </c>
      <c r="C39" s="1376" t="s">
        <v>76</v>
      </c>
      <c r="D39" s="1387">
        <f>'T-1'!R42</f>
        <v>8.1999999999999993</v>
      </c>
      <c r="E39" s="1386">
        <f>D39-F39</f>
        <v>8.1376799999999996</v>
      </c>
      <c r="F39" s="1639">
        <f>D39*0.76%</f>
        <v>6.2319999999999993E-2</v>
      </c>
      <c r="G39" s="1422">
        <f>'T-1'!P42</f>
        <v>15</v>
      </c>
      <c r="H39" s="1422">
        <f>'T-1'!Q42</f>
        <v>3286.7999999999997</v>
      </c>
      <c r="I39" s="1422">
        <f>H39-G39</f>
        <v>3271.7999999999997</v>
      </c>
      <c r="J39" s="1658">
        <v>50</v>
      </c>
      <c r="K39" s="1658">
        <v>300</v>
      </c>
      <c r="L39" s="1373"/>
      <c r="M39" s="1658"/>
      <c r="N39" s="1640"/>
      <c r="O39" s="1473">
        <v>250</v>
      </c>
      <c r="P39" s="1467"/>
      <c r="Q39" s="1424"/>
      <c r="R39" s="1430">
        <f>X39/D39*10</f>
        <v>321.61317073170733</v>
      </c>
      <c r="S39" s="1473"/>
      <c r="T39" s="1887">
        <f>(H39*J39*12)/100000</f>
        <v>19.720800000000001</v>
      </c>
      <c r="U39" s="1887">
        <f>(D39*K39/10)-((0.612*2*20)/10)</f>
        <v>243.55199999999999</v>
      </c>
      <c r="V39" s="1464"/>
      <c r="W39" s="1655">
        <f t="shared" si="40"/>
        <v>0.45</v>
      </c>
      <c r="X39" s="1399">
        <f t="shared" si="64"/>
        <v>263.72280000000001</v>
      </c>
      <c r="Y39" s="1467"/>
      <c r="Z39" s="1388">
        <f t="shared" si="68"/>
        <v>318.39703902439032</v>
      </c>
      <c r="AA39" s="1471"/>
      <c r="AB39" s="1399"/>
      <c r="AC39" s="1423">
        <f>X39-AB39</f>
        <v>263.72280000000001</v>
      </c>
      <c r="AD39" s="1655">
        <f>X39*1%</f>
        <v>2.6372279999999999</v>
      </c>
      <c r="AE39" s="1655"/>
      <c r="AF39" s="1655">
        <f t="shared" si="42"/>
        <v>0</v>
      </c>
      <c r="AG39" s="1655">
        <f>(T39+U39)*0%</f>
        <v>0</v>
      </c>
      <c r="AH39" s="1424">
        <f t="shared" si="44"/>
        <v>261.08557200000001</v>
      </c>
      <c r="AI39" s="1658">
        <v>50</v>
      </c>
      <c r="AJ39" s="1658">
        <v>300</v>
      </c>
      <c r="AK39" s="1373"/>
      <c r="AL39" s="1640"/>
      <c r="AM39" s="1640"/>
      <c r="AN39" s="1473">
        <v>250</v>
      </c>
      <c r="AO39" s="1464"/>
      <c r="AP39" s="1464"/>
      <c r="AQ39" s="1422">
        <f t="shared" ref="AQ39:AQ51" si="69">(AW39/D39)*10</f>
        <v>321.61317073170733</v>
      </c>
      <c r="AR39" s="1399"/>
      <c r="AS39" s="1399">
        <f>(H39*AI39*12)/100000</f>
        <v>19.720800000000001</v>
      </c>
      <c r="AT39" s="1655">
        <f>(D39*AJ39/10)-((0.612*2*20)/10)</f>
        <v>243.55199999999999</v>
      </c>
      <c r="AU39" s="1464"/>
      <c r="AV39" s="1399">
        <f t="shared" si="45"/>
        <v>0.45</v>
      </c>
      <c r="AW39" s="1399">
        <f>SUM(AS39:AV39)</f>
        <v>263.72280000000001</v>
      </c>
      <c r="AX39" s="1884"/>
      <c r="AY39" s="1422">
        <f t="shared" si="47"/>
        <v>318.39703902439032</v>
      </c>
      <c r="AZ39" s="1467"/>
      <c r="BA39" s="1399"/>
      <c r="BB39" s="1399">
        <f>AW39-BA39</f>
        <v>263.72280000000001</v>
      </c>
      <c r="BC39" s="1399">
        <f>AC39</f>
        <v>263.72280000000001</v>
      </c>
      <c r="BD39" s="1399">
        <f>BB39-BC39</f>
        <v>0</v>
      </c>
      <c r="BE39" s="1399">
        <f t="shared" si="51"/>
        <v>0</v>
      </c>
      <c r="BF39" s="1399">
        <f t="shared" si="52"/>
        <v>0</v>
      </c>
      <c r="BG39" s="1399"/>
      <c r="BH39" s="1399">
        <f t="shared" si="53"/>
        <v>0</v>
      </c>
      <c r="BI39" s="1399">
        <f t="shared" si="54"/>
        <v>0</v>
      </c>
      <c r="BJ39" s="1422">
        <f>AY39-Z39</f>
        <v>0</v>
      </c>
      <c r="BK39" s="1422">
        <f>BJ39/Z39*100</f>
        <v>0</v>
      </c>
      <c r="BL39" s="1422">
        <f t="shared" si="55"/>
        <v>57.868264551102143</v>
      </c>
      <c r="BM39" s="1423">
        <f>AD39/X39*AW39</f>
        <v>2.6372279999999999</v>
      </c>
      <c r="BN39" s="1399"/>
      <c r="BO39" s="1399">
        <f>AF39/(T39+U39+W39)*(AS39+AT39+AV39)</f>
        <v>0</v>
      </c>
      <c r="BP39" s="1399">
        <f t="shared" si="56"/>
        <v>0</v>
      </c>
      <c r="BQ39" s="1424">
        <f t="shared" si="57"/>
        <v>261.08557200000001</v>
      </c>
      <c r="BR39" s="1391">
        <v>0.02</v>
      </c>
      <c r="BS39" s="1430">
        <f>BT39/D39+AY39</f>
        <v>318.991068292683</v>
      </c>
      <c r="BT39" s="1399">
        <f t="shared" si="58"/>
        <v>4.8710399999999998</v>
      </c>
      <c r="BU39" s="1399">
        <f t="shared" si="59"/>
        <v>451.17228592442291</v>
      </c>
      <c r="BV39" s="1399">
        <f>BU39-BQ39</f>
        <v>190.0867139244229</v>
      </c>
      <c r="BW39" s="1422">
        <f t="shared" si="61"/>
        <v>231.81306576149137</v>
      </c>
      <c r="BX39" s="1464"/>
    </row>
    <row r="40" spans="1:76" ht="16" customHeight="1">
      <c r="A40" s="1420">
        <v>18</v>
      </c>
      <c r="B40" s="1373" t="s">
        <v>77</v>
      </c>
      <c r="C40" s="1376" t="s">
        <v>76</v>
      </c>
      <c r="D40" s="1387">
        <f>'T-1'!R43</f>
        <v>47</v>
      </c>
      <c r="E40" s="1386">
        <f>D40-F40</f>
        <v>46.628700000000002</v>
      </c>
      <c r="F40" s="1639">
        <f>D40*0.79%</f>
        <v>0.37130000000000002</v>
      </c>
      <c r="G40" s="1422">
        <f>'T-1'!P43</f>
        <v>80</v>
      </c>
      <c r="H40" s="1422">
        <f>'T-1'!Q43</f>
        <v>32558.199999999997</v>
      </c>
      <c r="I40" s="1472"/>
      <c r="J40" s="1658">
        <v>250</v>
      </c>
      <c r="K40" s="1658">
        <f t="shared" ref="K40:K49" si="70">535+20+30</f>
        <v>585</v>
      </c>
      <c r="L40" s="955">
        <f t="shared" ref="L40:L49" si="71">425+20+30</f>
        <v>475</v>
      </c>
      <c r="M40" s="1658"/>
      <c r="N40" s="1640"/>
      <c r="O40" s="1473">
        <v>250</v>
      </c>
      <c r="P40" s="1467"/>
      <c r="Q40" s="1424"/>
      <c r="R40" s="1430">
        <f>X40/D40*10</f>
        <v>755.55925531914909</v>
      </c>
      <c r="S40" s="1467">
        <v>0.8</v>
      </c>
      <c r="T40" s="1887">
        <f>(H40*J40*S40*12)/100000+(J40*5958*3*S40)/100000</f>
        <v>817.14480000000003</v>
      </c>
      <c r="U40" s="1887">
        <f>((E40*K40+F40*L40)/10)-((3.458*2*20)/10)</f>
        <v>2731.5837000000006</v>
      </c>
      <c r="V40" s="1464"/>
      <c r="W40" s="1655">
        <f t="shared" si="40"/>
        <v>2.4</v>
      </c>
      <c r="X40" s="1399">
        <f t="shared" si="64"/>
        <v>3551.1285000000007</v>
      </c>
      <c r="Y40" s="1467"/>
      <c r="Z40" s="1388">
        <f t="shared" si="68"/>
        <v>748.00366276595753</v>
      </c>
      <c r="AA40" s="1467"/>
      <c r="AB40" s="1655"/>
      <c r="AC40" s="1423">
        <f t="shared" si="41"/>
        <v>3551.1285000000007</v>
      </c>
      <c r="AD40" s="1655">
        <f>X40*1%</f>
        <v>35.511285000000008</v>
      </c>
      <c r="AE40" s="1655">
        <f>(T40+U40)*0%</f>
        <v>0</v>
      </c>
      <c r="AF40" s="1655">
        <f t="shared" si="42"/>
        <v>0</v>
      </c>
      <c r="AG40" s="1655">
        <f>(T40+U40)*0%</f>
        <v>0</v>
      </c>
      <c r="AH40" s="1424">
        <f t="shared" si="44"/>
        <v>3515.6172150000007</v>
      </c>
      <c r="AI40" s="1658">
        <v>250</v>
      </c>
      <c r="AJ40" s="1658">
        <f t="shared" ref="AJ40:AJ49" si="72">535+20+30</f>
        <v>585</v>
      </c>
      <c r="AK40" s="955">
        <f t="shared" ref="AK40:AK49" si="73">425+20+30</f>
        <v>475</v>
      </c>
      <c r="AL40" s="1640"/>
      <c r="AM40" s="1640"/>
      <c r="AN40" s="1473">
        <v>250</v>
      </c>
      <c r="AO40" s="1464"/>
      <c r="AP40" s="1464"/>
      <c r="AQ40" s="1422">
        <f t="shared" si="69"/>
        <v>755.55925531914909</v>
      </c>
      <c r="AR40" s="1399">
        <v>0.8</v>
      </c>
      <c r="AS40" s="1399">
        <f>(H40*AI40*AR40*12)/100000+(AI40*5958*3*AR40)/100000</f>
        <v>817.14480000000003</v>
      </c>
      <c r="AT40" s="1655">
        <f>((E40*AJ40+F40*AK40)/10)-((3.458*2*20)/10)</f>
        <v>2731.5837000000006</v>
      </c>
      <c r="AU40" s="1464"/>
      <c r="AV40" s="1399">
        <f t="shared" si="45"/>
        <v>2.4</v>
      </c>
      <c r="AW40" s="1399">
        <f t="shared" si="46"/>
        <v>3551.1285000000007</v>
      </c>
      <c r="AX40" s="1888"/>
      <c r="AY40" s="1422">
        <f t="shared" si="47"/>
        <v>748.00366276595753</v>
      </c>
      <c r="AZ40" s="1467"/>
      <c r="BA40" s="1399"/>
      <c r="BB40" s="1399">
        <f t="shared" si="48"/>
        <v>3551.1285000000007</v>
      </c>
      <c r="BC40" s="1399">
        <f t="shared" si="49"/>
        <v>3551.1285000000007</v>
      </c>
      <c r="BD40" s="1399">
        <f t="shared" si="50"/>
        <v>0</v>
      </c>
      <c r="BE40" s="1399">
        <f t="shared" si="51"/>
        <v>0</v>
      </c>
      <c r="BF40" s="1399">
        <f t="shared" si="52"/>
        <v>0</v>
      </c>
      <c r="BG40" s="1399"/>
      <c r="BH40" s="1399">
        <f t="shared" si="53"/>
        <v>0</v>
      </c>
      <c r="BI40" s="1399">
        <f t="shared" si="54"/>
        <v>0</v>
      </c>
      <c r="BJ40" s="1422">
        <f t="shared" ref="BJ40:BJ53" si="74">AY40-Z40</f>
        <v>0</v>
      </c>
      <c r="BK40" s="1422">
        <f t="shared" ref="BK40:BK53" si="75">BJ40/Z40*100</f>
        <v>0</v>
      </c>
      <c r="BL40" s="1422">
        <f t="shared" si="55"/>
        <v>135.9487323587139</v>
      </c>
      <c r="BM40" s="1423">
        <f>AD40/X40*AW40</f>
        <v>35.511285000000008</v>
      </c>
      <c r="BN40" s="1399">
        <f>AE40/(T40+U40+W40)*(AS40+AT40+AV40)</f>
        <v>0</v>
      </c>
      <c r="BO40" s="1399">
        <f>AF40/(T40+U40+W40)*(AS40+AT40+AV40)</f>
        <v>0</v>
      </c>
      <c r="BP40" s="1399">
        <f t="shared" si="56"/>
        <v>0</v>
      </c>
      <c r="BQ40" s="1424">
        <f t="shared" si="57"/>
        <v>3515.6172150000007</v>
      </c>
      <c r="BR40" s="1391">
        <v>0.08</v>
      </c>
      <c r="BS40" s="1430">
        <f t="shared" ref="BS40:BS51" si="76">BT40/D40+AY40</f>
        <v>752.65316693617035</v>
      </c>
      <c r="BT40" s="1399">
        <f t="shared" si="58"/>
        <v>218.52669600000004</v>
      </c>
      <c r="BU40" s="1399">
        <f t="shared" si="59"/>
        <v>2585.9874924936439</v>
      </c>
      <c r="BV40" s="1399">
        <f t="shared" si="60"/>
        <v>-929.62972250635676</v>
      </c>
      <c r="BW40" s="1422">
        <f t="shared" si="61"/>
        <v>-197.79355798007589</v>
      </c>
      <c r="BX40" s="1467"/>
    </row>
    <row r="41" spans="1:76" ht="16" customHeight="1">
      <c r="A41" s="1475">
        <v>19</v>
      </c>
      <c r="B41" s="1373" t="s">
        <v>357</v>
      </c>
      <c r="C41" s="1376" t="s">
        <v>76</v>
      </c>
      <c r="D41" s="1387">
        <f>'T-1'!R44</f>
        <v>0</v>
      </c>
      <c r="E41" s="1386">
        <f>D41-F41</f>
        <v>0</v>
      </c>
      <c r="F41" s="1639"/>
      <c r="G41" s="1422">
        <f>'T-1'!P44</f>
        <v>0</v>
      </c>
      <c r="H41" s="1422">
        <f>'T-1'!Q44</f>
        <v>0</v>
      </c>
      <c r="I41" s="1472"/>
      <c r="J41" s="1658">
        <v>250</v>
      </c>
      <c r="K41" s="1658">
        <f t="shared" si="70"/>
        <v>585</v>
      </c>
      <c r="L41" s="955">
        <f t="shared" si="71"/>
        <v>475</v>
      </c>
      <c r="M41" s="1658"/>
      <c r="N41" s="1640"/>
      <c r="O41" s="1473">
        <v>250</v>
      </c>
      <c r="P41" s="1467"/>
      <c r="Q41" s="1424"/>
      <c r="R41" s="1430"/>
      <c r="S41" s="1467">
        <v>0.8</v>
      </c>
      <c r="T41" s="1887">
        <f t="shared" ref="T41:T50" si="77">(H41*J41*S41*12)/100000</f>
        <v>0</v>
      </c>
      <c r="U41" s="1887">
        <f>((E41*K41+F41*L41)/10)-((0*2*20)/10)</f>
        <v>0</v>
      </c>
      <c r="V41" s="1464"/>
      <c r="W41" s="1655">
        <f t="shared" si="40"/>
        <v>0</v>
      </c>
      <c r="X41" s="1399">
        <f>SUM(T41:W41)</f>
        <v>0</v>
      </c>
      <c r="Y41" s="1467">
        <v>0.1</v>
      </c>
      <c r="Z41" s="1388" t="e">
        <f t="shared" si="68"/>
        <v>#DIV/0!</v>
      </c>
      <c r="AA41" s="1467"/>
      <c r="AB41" s="1399">
        <f>AA41*Y41*10</f>
        <v>0</v>
      </c>
      <c r="AC41" s="1423">
        <f t="shared" si="41"/>
        <v>0</v>
      </c>
      <c r="AD41" s="1655"/>
      <c r="AE41" s="1655"/>
      <c r="AF41" s="1655">
        <f t="shared" si="42"/>
        <v>0</v>
      </c>
      <c r="AG41" s="1655">
        <f>(T41+U41)*0%</f>
        <v>0</v>
      </c>
      <c r="AH41" s="1424">
        <f t="shared" si="44"/>
        <v>0</v>
      </c>
      <c r="AI41" s="1658">
        <v>250</v>
      </c>
      <c r="AJ41" s="1658">
        <f t="shared" si="72"/>
        <v>585</v>
      </c>
      <c r="AK41" s="955">
        <f t="shared" si="73"/>
        <v>475</v>
      </c>
      <c r="AL41" s="1640"/>
      <c r="AM41" s="1640"/>
      <c r="AN41" s="1473">
        <v>250</v>
      </c>
      <c r="AO41" s="1464"/>
      <c r="AP41" s="1464"/>
      <c r="AQ41" s="1422" t="e">
        <f t="shared" si="69"/>
        <v>#DIV/0!</v>
      </c>
      <c r="AR41" s="1399">
        <v>0.8</v>
      </c>
      <c r="AS41" s="1399">
        <f t="shared" ref="AS41:AS51" si="78">(H41*AI41*AR41*12)/100000</f>
        <v>0</v>
      </c>
      <c r="AT41" s="1655">
        <f>D41*AJ41/10</f>
        <v>0</v>
      </c>
      <c r="AU41" s="1464"/>
      <c r="AV41" s="1399">
        <f t="shared" si="45"/>
        <v>0</v>
      </c>
      <c r="AW41" s="1399">
        <f>SUM(AS41:AV41)</f>
        <v>0</v>
      </c>
      <c r="AX41" s="1888"/>
      <c r="AY41" s="1422" t="e">
        <f t="shared" si="47"/>
        <v>#DIV/0!</v>
      </c>
      <c r="AZ41" s="1467"/>
      <c r="BA41" s="1399"/>
      <c r="BB41" s="1399">
        <f>AW41-BA41</f>
        <v>0</v>
      </c>
      <c r="BC41" s="1399">
        <f t="shared" si="49"/>
        <v>0</v>
      </c>
      <c r="BD41" s="1399">
        <f>BB41-BC41</f>
        <v>0</v>
      </c>
      <c r="BE41" s="1399">
        <f t="shared" si="51"/>
        <v>0</v>
      </c>
      <c r="BF41" s="1399">
        <f t="shared" si="52"/>
        <v>0</v>
      </c>
      <c r="BG41" s="1399"/>
      <c r="BH41" s="1399">
        <f t="shared" si="53"/>
        <v>0</v>
      </c>
      <c r="BI41" s="1399">
        <f t="shared" si="54"/>
        <v>0</v>
      </c>
      <c r="BJ41" s="1422" t="e">
        <f t="shared" si="74"/>
        <v>#DIV/0!</v>
      </c>
      <c r="BK41" s="1422" t="e">
        <f t="shared" si="75"/>
        <v>#DIV/0!</v>
      </c>
      <c r="BL41" s="1422" t="e">
        <f t="shared" si="55"/>
        <v>#DIV/0!</v>
      </c>
      <c r="BM41" s="1423"/>
      <c r="BN41" s="1399"/>
      <c r="BO41" s="1399"/>
      <c r="BP41" s="1399"/>
      <c r="BQ41" s="1424">
        <f t="shared" si="57"/>
        <v>0</v>
      </c>
      <c r="BR41" s="1391">
        <v>0.08</v>
      </c>
      <c r="BS41" s="1430" t="e">
        <f t="shared" si="76"/>
        <v>#DIV/0!</v>
      </c>
      <c r="BT41" s="1399">
        <f t="shared" si="58"/>
        <v>0</v>
      </c>
      <c r="BU41" s="1399">
        <f t="shared" si="59"/>
        <v>0</v>
      </c>
      <c r="BV41" s="1399">
        <f t="shared" si="60"/>
        <v>0</v>
      </c>
      <c r="BW41" s="1422" t="e">
        <f t="shared" si="61"/>
        <v>#DIV/0!</v>
      </c>
      <c r="BX41" s="1467"/>
    </row>
    <row r="42" spans="1:76" ht="16" customHeight="1">
      <c r="A42" s="1420">
        <v>20</v>
      </c>
      <c r="B42" s="1373" t="s">
        <v>285</v>
      </c>
      <c r="C42" s="1376" t="s">
        <v>76</v>
      </c>
      <c r="D42" s="1387">
        <f>'T-1'!R46</f>
        <v>0</v>
      </c>
      <c r="E42" s="1387"/>
      <c r="F42" s="1639"/>
      <c r="G42" s="1422">
        <f>'T-1'!P46</f>
        <v>0</v>
      </c>
      <c r="H42" s="1422">
        <f>'T-1'!Q46</f>
        <v>0</v>
      </c>
      <c r="I42" s="1472"/>
      <c r="J42" s="1658">
        <v>150</v>
      </c>
      <c r="K42" s="1658">
        <f t="shared" si="70"/>
        <v>585</v>
      </c>
      <c r="L42" s="955">
        <f t="shared" si="71"/>
        <v>475</v>
      </c>
      <c r="M42" s="1658"/>
      <c r="N42" s="1640"/>
      <c r="O42" s="1473">
        <v>250</v>
      </c>
      <c r="P42" s="1467"/>
      <c r="Q42" s="1424"/>
      <c r="R42" s="1430" t="e">
        <f t="shared" ref="R42:R51" si="79">X42/D42*10</f>
        <v>#DIV/0!</v>
      </c>
      <c r="S42" s="1467">
        <v>0.8</v>
      </c>
      <c r="T42" s="1887">
        <f t="shared" si="77"/>
        <v>0</v>
      </c>
      <c r="U42" s="1887">
        <f>((E42*K42+F42*L42)/10)-((0*2*20)/10)</f>
        <v>0</v>
      </c>
      <c r="V42" s="1464"/>
      <c r="W42" s="1655">
        <f t="shared" si="40"/>
        <v>0</v>
      </c>
      <c r="X42" s="1399">
        <f t="shared" si="64"/>
        <v>0</v>
      </c>
      <c r="Y42" s="1467"/>
      <c r="Z42" s="1388" t="e">
        <f t="shared" si="68"/>
        <v>#DIV/0!</v>
      </c>
      <c r="AA42" s="1467"/>
      <c r="AB42" s="1655"/>
      <c r="AC42" s="1423">
        <f t="shared" si="41"/>
        <v>0</v>
      </c>
      <c r="AD42" s="1655"/>
      <c r="AE42" s="1655"/>
      <c r="AF42" s="1655">
        <f t="shared" si="42"/>
        <v>0</v>
      </c>
      <c r="AG42" s="1655">
        <f t="shared" ref="AG42" si="80">(T42+U42)*1.5%</f>
        <v>0</v>
      </c>
      <c r="AH42" s="1424">
        <f t="shared" si="44"/>
        <v>0</v>
      </c>
      <c r="AI42" s="1658">
        <v>150</v>
      </c>
      <c r="AJ42" s="1658">
        <f t="shared" si="72"/>
        <v>585</v>
      </c>
      <c r="AK42" s="955">
        <f t="shared" si="73"/>
        <v>475</v>
      </c>
      <c r="AL42" s="1640"/>
      <c r="AM42" s="1640"/>
      <c r="AN42" s="1473">
        <v>250</v>
      </c>
      <c r="AO42" s="1464"/>
      <c r="AP42" s="1464"/>
      <c r="AQ42" s="1422" t="e">
        <f t="shared" si="69"/>
        <v>#DIV/0!</v>
      </c>
      <c r="AR42" s="1399">
        <v>0.8</v>
      </c>
      <c r="AS42" s="1399">
        <f t="shared" si="78"/>
        <v>0</v>
      </c>
      <c r="AT42" s="1655">
        <f>(D42*AJ42/10)-(0*2*20)/10</f>
        <v>0</v>
      </c>
      <c r="AU42" s="1464"/>
      <c r="AV42" s="1399">
        <f t="shared" si="45"/>
        <v>0</v>
      </c>
      <c r="AW42" s="1399">
        <f t="shared" si="46"/>
        <v>0</v>
      </c>
      <c r="AX42" s="1888"/>
      <c r="AY42" s="1422" t="e">
        <f t="shared" si="47"/>
        <v>#DIV/0!</v>
      </c>
      <c r="AZ42" s="1467"/>
      <c r="BA42" s="1399"/>
      <c r="BB42" s="1399">
        <f t="shared" si="48"/>
        <v>0</v>
      </c>
      <c r="BC42" s="1399">
        <f t="shared" si="49"/>
        <v>0</v>
      </c>
      <c r="BD42" s="1399">
        <f t="shared" si="50"/>
        <v>0</v>
      </c>
      <c r="BE42" s="1399">
        <f t="shared" si="51"/>
        <v>0</v>
      </c>
      <c r="BF42" s="1399">
        <f t="shared" si="52"/>
        <v>0</v>
      </c>
      <c r="BG42" s="1399"/>
      <c r="BH42" s="1399">
        <f t="shared" si="53"/>
        <v>0</v>
      </c>
      <c r="BI42" s="1399">
        <f t="shared" si="54"/>
        <v>0</v>
      </c>
      <c r="BJ42" s="1422" t="e">
        <f t="shared" si="74"/>
        <v>#DIV/0!</v>
      </c>
      <c r="BK42" s="1422" t="e">
        <f t="shared" si="75"/>
        <v>#DIV/0!</v>
      </c>
      <c r="BL42" s="1422" t="e">
        <f t="shared" si="55"/>
        <v>#DIV/0!</v>
      </c>
      <c r="BM42" s="1423"/>
      <c r="BN42" s="1399">
        <v>0</v>
      </c>
      <c r="BO42" s="1399"/>
      <c r="BP42" s="1399"/>
      <c r="BQ42" s="1424">
        <f t="shared" si="57"/>
        <v>0</v>
      </c>
      <c r="BR42" s="1391">
        <v>0.08</v>
      </c>
      <c r="BS42" s="1430" t="e">
        <f t="shared" si="76"/>
        <v>#DIV/0!</v>
      </c>
      <c r="BT42" s="1399">
        <f t="shared" si="58"/>
        <v>0</v>
      </c>
      <c r="BU42" s="1399">
        <f t="shared" si="59"/>
        <v>0</v>
      </c>
      <c r="BV42" s="1399">
        <f t="shared" si="60"/>
        <v>0</v>
      </c>
      <c r="BW42" s="1422" t="e">
        <f t="shared" si="61"/>
        <v>#DIV/0!</v>
      </c>
      <c r="BX42" s="1467"/>
    </row>
    <row r="43" spans="1:76" ht="16" customHeight="1">
      <c r="A43" s="1475">
        <v>21</v>
      </c>
      <c r="B43" s="1476" t="s">
        <v>182</v>
      </c>
      <c r="C43" s="1376" t="s">
        <v>76</v>
      </c>
      <c r="D43" s="1387">
        <f>'T-1'!R45</f>
        <v>195</v>
      </c>
      <c r="E43" s="1386">
        <f t="shared" ref="E43:E51" si="81">D43-F43</f>
        <v>173.6865</v>
      </c>
      <c r="F43" s="1639">
        <f>D43*10.93%</f>
        <v>21.313499999999998</v>
      </c>
      <c r="G43" s="1422">
        <f>'T-1'!P45</f>
        <v>266</v>
      </c>
      <c r="H43" s="1422">
        <f>'T-1'!Q45</f>
        <v>79657.641999999993</v>
      </c>
      <c r="I43" s="1472"/>
      <c r="J43" s="1658">
        <v>250</v>
      </c>
      <c r="K43" s="1658">
        <f t="shared" si="70"/>
        <v>585</v>
      </c>
      <c r="L43" s="955">
        <f t="shared" si="71"/>
        <v>475</v>
      </c>
      <c r="M43" s="1658"/>
      <c r="N43" s="1640"/>
      <c r="O43" s="1473">
        <v>250</v>
      </c>
      <c r="P43" s="1467"/>
      <c r="Q43" s="1424"/>
      <c r="R43" s="1430">
        <f t="shared" si="79"/>
        <v>673.30332861538454</v>
      </c>
      <c r="S43" s="1467">
        <v>0.8</v>
      </c>
      <c r="T43" s="1887">
        <f>(H43*J43*S43*12)/100000+(J43*14000*3*S43)/100000</f>
        <v>1995.783408</v>
      </c>
      <c r="U43" s="1887">
        <f>((E43*K43+F43*L43)/10)-((11.85*2*20)/10)</f>
        <v>11125.651499999998</v>
      </c>
      <c r="V43" s="1464"/>
      <c r="W43" s="1655">
        <f t="shared" si="40"/>
        <v>7.98</v>
      </c>
      <c r="X43" s="1399">
        <f t="shared" si="64"/>
        <v>13129.414907999997</v>
      </c>
      <c r="Y43" s="1467"/>
      <c r="Z43" s="1388">
        <f t="shared" si="68"/>
        <v>666.57029532923059</v>
      </c>
      <c r="AA43" s="1467"/>
      <c r="AB43" s="1655"/>
      <c r="AC43" s="1477">
        <f t="shared" si="41"/>
        <v>13129.414907999997</v>
      </c>
      <c r="AD43" s="1655">
        <f t="shared" ref="AD43:AD51" si="82">X43*1%</f>
        <v>131.29414907999998</v>
      </c>
      <c r="AE43" s="1655">
        <f>(T43+U43)*0%</f>
        <v>0</v>
      </c>
      <c r="AF43" s="1655">
        <f t="shared" si="42"/>
        <v>0</v>
      </c>
      <c r="AG43" s="1655">
        <f t="shared" ref="AG43:AG51" si="83">(T43+U43)*0%</f>
        <v>0</v>
      </c>
      <c r="AH43" s="1424">
        <f t="shared" si="44"/>
        <v>12998.120758919997</v>
      </c>
      <c r="AI43" s="1658">
        <v>250</v>
      </c>
      <c r="AJ43" s="1658">
        <f t="shared" si="72"/>
        <v>585</v>
      </c>
      <c r="AK43" s="955">
        <f t="shared" si="73"/>
        <v>475</v>
      </c>
      <c r="AL43" s="1640"/>
      <c r="AM43" s="1640"/>
      <c r="AN43" s="1473">
        <v>250</v>
      </c>
      <c r="AO43" s="1464"/>
      <c r="AP43" s="1464"/>
      <c r="AQ43" s="1422">
        <f t="shared" si="69"/>
        <v>673.30332861538454</v>
      </c>
      <c r="AR43" s="1399">
        <v>0.8</v>
      </c>
      <c r="AS43" s="1399">
        <f>(H43*AI43*AR43*12)/100000+(AI43*14000*3*AR43)/100000</f>
        <v>1995.783408</v>
      </c>
      <c r="AT43" s="1655">
        <f>((E43*AJ43+F43*AK43)/10)-((11.85*2*20)/10)</f>
        <v>11125.651499999998</v>
      </c>
      <c r="AU43" s="1464"/>
      <c r="AV43" s="1399">
        <f t="shared" si="45"/>
        <v>7.98</v>
      </c>
      <c r="AW43" s="1399">
        <f t="shared" si="46"/>
        <v>13129.414907999997</v>
      </c>
      <c r="AX43" s="1888"/>
      <c r="AY43" s="1422">
        <f t="shared" si="47"/>
        <v>666.57029532923059</v>
      </c>
      <c r="AZ43" s="1467"/>
      <c r="BA43" s="1399"/>
      <c r="BB43" s="1399">
        <f t="shared" si="48"/>
        <v>13129.414907999997</v>
      </c>
      <c r="BC43" s="1399">
        <f t="shared" si="49"/>
        <v>13129.414907999997</v>
      </c>
      <c r="BD43" s="1399">
        <f t="shared" si="50"/>
        <v>0</v>
      </c>
      <c r="BE43" s="1399">
        <f t="shared" si="51"/>
        <v>0</v>
      </c>
      <c r="BF43" s="1399">
        <f t="shared" si="52"/>
        <v>0</v>
      </c>
      <c r="BG43" s="1399"/>
      <c r="BH43" s="1399">
        <f t="shared" si="53"/>
        <v>0</v>
      </c>
      <c r="BI43" s="1399">
        <f t="shared" si="54"/>
        <v>0</v>
      </c>
      <c r="BJ43" s="1422">
        <f t="shared" si="74"/>
        <v>0</v>
      </c>
      <c r="BK43" s="1422">
        <f t="shared" si="75"/>
        <v>0</v>
      </c>
      <c r="BL43" s="1422">
        <f t="shared" si="55"/>
        <v>121.14831943855908</v>
      </c>
      <c r="BM43" s="1423">
        <f t="shared" ref="BM43:BM51" si="84">AD43/X43*AW43</f>
        <v>131.29414907999998</v>
      </c>
      <c r="BN43" s="1399">
        <f t="shared" ref="BN43:BN49" si="85">AE43/(T43+U43+W43)*(AS43+AT43+AV43)</f>
        <v>0</v>
      </c>
      <c r="BO43" s="1399">
        <f t="shared" ref="BO43:BO49" si="86">AF43/(T43+U43+W43)*(AS43+AT43+AV43)</f>
        <v>0</v>
      </c>
      <c r="BP43" s="1399">
        <f t="shared" si="56"/>
        <v>0</v>
      </c>
      <c r="BQ43" s="1424">
        <f t="shared" si="57"/>
        <v>12998.120758919997</v>
      </c>
      <c r="BR43" s="1391">
        <v>0.08</v>
      </c>
      <c r="BS43" s="1430">
        <f t="shared" si="76"/>
        <v>671.13466517538438</v>
      </c>
      <c r="BT43" s="1399">
        <f t="shared" si="58"/>
        <v>890.05211999999983</v>
      </c>
      <c r="BU43" s="1399">
        <f t="shared" si="59"/>
        <v>10729.097043324693</v>
      </c>
      <c r="BV43" s="1399">
        <f t="shared" si="60"/>
        <v>-2269.0237155953037</v>
      </c>
      <c r="BW43" s="1422">
        <f t="shared" si="61"/>
        <v>-116.36019054334892</v>
      </c>
      <c r="BX43" s="1464"/>
    </row>
    <row r="44" spans="1:76" ht="16" customHeight="1">
      <c r="A44" s="1420">
        <v>22</v>
      </c>
      <c r="B44" s="1455" t="s">
        <v>184</v>
      </c>
      <c r="C44" s="1376" t="s">
        <v>76</v>
      </c>
      <c r="D44" s="1387">
        <f>'T-1'!R47</f>
        <v>52</v>
      </c>
      <c r="E44" s="1386">
        <f t="shared" si="81"/>
        <v>49.347999999999999</v>
      </c>
      <c r="F44" s="1639">
        <f>D44*5.1%</f>
        <v>2.6519999999999997</v>
      </c>
      <c r="G44" s="1422">
        <f>'T-1'!P47</f>
        <v>68</v>
      </c>
      <c r="H44" s="1422">
        <f>'T-1'!Q47</f>
        <v>19558.275000000001</v>
      </c>
      <c r="I44" s="1472"/>
      <c r="J44" s="1658">
        <v>250</v>
      </c>
      <c r="K44" s="1658">
        <f t="shared" si="70"/>
        <v>585</v>
      </c>
      <c r="L44" s="955">
        <f t="shared" si="71"/>
        <v>475</v>
      </c>
      <c r="M44" s="1658"/>
      <c r="N44" s="1640"/>
      <c r="O44" s="1473">
        <v>250</v>
      </c>
      <c r="P44" s="1467"/>
      <c r="Q44" s="1424"/>
      <c r="R44" s="1430">
        <f t="shared" si="79"/>
        <v>685.67049999999995</v>
      </c>
      <c r="S44" s="1467">
        <v>0.8</v>
      </c>
      <c r="T44" s="1887">
        <f>(H44*J44*S44*12)/100000+(J44*15866*3*S44)/100000</f>
        <v>564.59460000000001</v>
      </c>
      <c r="U44" s="1887">
        <f>((E44*K44+F44*L44)/10)-((3.494*2*20)/10)</f>
        <v>2998.8519999999999</v>
      </c>
      <c r="V44" s="1464"/>
      <c r="W44" s="1655">
        <f t="shared" si="40"/>
        <v>2.04</v>
      </c>
      <c r="X44" s="1399">
        <f t="shared" si="64"/>
        <v>3565.4865999999997</v>
      </c>
      <c r="Y44" s="1467">
        <v>0.1</v>
      </c>
      <c r="Z44" s="1388">
        <f t="shared" si="68"/>
        <v>678.04256807692298</v>
      </c>
      <c r="AA44" s="1387">
        <f>2.00519*2</f>
        <v>4.0103799999999996</v>
      </c>
      <c r="AB44" s="1399">
        <f>AA44*Y44*10</f>
        <v>4.0103799999999996</v>
      </c>
      <c r="AC44" s="1477">
        <f t="shared" si="41"/>
        <v>3561.4762199999996</v>
      </c>
      <c r="AD44" s="1655">
        <f t="shared" si="82"/>
        <v>35.654865999999998</v>
      </c>
      <c r="AE44" s="1655">
        <f>(T44+U44)*0%</f>
        <v>0</v>
      </c>
      <c r="AF44" s="1655">
        <f t="shared" si="42"/>
        <v>0</v>
      </c>
      <c r="AG44" s="1655">
        <f t="shared" si="83"/>
        <v>0</v>
      </c>
      <c r="AH44" s="1424">
        <f t="shared" si="44"/>
        <v>3525.8213539999997</v>
      </c>
      <c r="AI44" s="1658">
        <v>250</v>
      </c>
      <c r="AJ44" s="1658">
        <f t="shared" si="72"/>
        <v>585</v>
      </c>
      <c r="AK44" s="955">
        <f t="shared" si="73"/>
        <v>475</v>
      </c>
      <c r="AL44" s="1640"/>
      <c r="AM44" s="1640"/>
      <c r="AN44" s="1473">
        <v>250</v>
      </c>
      <c r="AO44" s="1464"/>
      <c r="AP44" s="1464"/>
      <c r="AQ44" s="1422">
        <f t="shared" si="69"/>
        <v>685.67049999999995</v>
      </c>
      <c r="AR44" s="1399">
        <v>0.8</v>
      </c>
      <c r="AS44" s="1399">
        <f>(H44*AI44*AR44*12)/100000+(AI44*15866*3*AR44)/100000</f>
        <v>564.59460000000001</v>
      </c>
      <c r="AT44" s="1655">
        <f>((E44*AJ44+F44*AK44)/10)-((3.494*2*20)/10)</f>
        <v>2998.8519999999999</v>
      </c>
      <c r="AU44" s="1464"/>
      <c r="AV44" s="1399">
        <f t="shared" si="45"/>
        <v>2.04</v>
      </c>
      <c r="AW44" s="1399">
        <f t="shared" si="46"/>
        <v>3565.4865999999997</v>
      </c>
      <c r="AX44" s="1884">
        <v>0.1</v>
      </c>
      <c r="AY44" s="1422">
        <f t="shared" si="47"/>
        <v>678.04256807692298</v>
      </c>
      <c r="AZ44" s="1421">
        <f>AA44</f>
        <v>4.0103799999999996</v>
      </c>
      <c r="BA44" s="1399">
        <f>AZ44*AX44*10</f>
        <v>4.0103799999999996</v>
      </c>
      <c r="BB44" s="1421">
        <f t="shared" si="48"/>
        <v>3561.4762199999996</v>
      </c>
      <c r="BC44" s="1421">
        <f t="shared" si="49"/>
        <v>3561.4762199999996</v>
      </c>
      <c r="BD44" s="1399">
        <f t="shared" si="50"/>
        <v>0</v>
      </c>
      <c r="BE44" s="1399">
        <f t="shared" si="51"/>
        <v>0</v>
      </c>
      <c r="BF44" s="1399">
        <f t="shared" si="52"/>
        <v>0</v>
      </c>
      <c r="BG44" s="1399"/>
      <c r="BH44" s="1399">
        <f t="shared" si="53"/>
        <v>0</v>
      </c>
      <c r="BI44" s="1399">
        <f t="shared" si="54"/>
        <v>0</v>
      </c>
      <c r="BJ44" s="1422">
        <f t="shared" si="74"/>
        <v>0</v>
      </c>
      <c r="BK44" s="1422">
        <f t="shared" si="75"/>
        <v>0</v>
      </c>
      <c r="BL44" s="1422">
        <f t="shared" si="55"/>
        <v>123.23339069550319</v>
      </c>
      <c r="BM44" s="1423">
        <f t="shared" si="84"/>
        <v>35.654865999999998</v>
      </c>
      <c r="BN44" s="1399">
        <f t="shared" si="85"/>
        <v>0</v>
      </c>
      <c r="BO44" s="1399">
        <f t="shared" si="86"/>
        <v>0</v>
      </c>
      <c r="BP44" s="1399">
        <f t="shared" si="56"/>
        <v>0</v>
      </c>
      <c r="BQ44" s="1424">
        <f t="shared" si="57"/>
        <v>3525.8213539999997</v>
      </c>
      <c r="BR44" s="1391">
        <v>0</v>
      </c>
      <c r="BS44" s="1430">
        <f t="shared" si="76"/>
        <v>678.04256807692298</v>
      </c>
      <c r="BT44" s="1399">
        <f t="shared" si="58"/>
        <v>0</v>
      </c>
      <c r="BU44" s="1399">
        <f t="shared" si="59"/>
        <v>2861.0925448865846</v>
      </c>
      <c r="BV44" s="1399">
        <f t="shared" si="60"/>
        <v>-664.72880911341508</v>
      </c>
      <c r="BW44" s="1422">
        <f t="shared" si="61"/>
        <v>-127.83246329104136</v>
      </c>
      <c r="BX44" s="1464"/>
    </row>
    <row r="45" spans="1:76" ht="16" customHeight="1">
      <c r="A45" s="1475">
        <v>23</v>
      </c>
      <c r="B45" s="1455" t="s">
        <v>72</v>
      </c>
      <c r="C45" s="1376" t="s">
        <v>76</v>
      </c>
      <c r="D45" s="1387">
        <f>'T-1'!R48</f>
        <v>1335.4166666666667</v>
      </c>
      <c r="E45" s="1386">
        <f t="shared" si="81"/>
        <v>1293.2175</v>
      </c>
      <c r="F45" s="1639">
        <f>D45*3.16%</f>
        <v>42.19916666666667</v>
      </c>
      <c r="G45" s="1422">
        <f>'T-1'!P48</f>
        <v>813</v>
      </c>
      <c r="H45" s="1422">
        <f>'T-1'!Q48</f>
        <v>330522.65000000008</v>
      </c>
      <c r="I45" s="1472"/>
      <c r="J45" s="1658">
        <v>250</v>
      </c>
      <c r="K45" s="1658">
        <f t="shared" si="70"/>
        <v>585</v>
      </c>
      <c r="L45" s="955">
        <f t="shared" si="71"/>
        <v>475</v>
      </c>
      <c r="M45" s="1658"/>
      <c r="N45" s="1640"/>
      <c r="O45" s="1473">
        <v>250</v>
      </c>
      <c r="P45" s="1467"/>
      <c r="Q45" s="1424"/>
      <c r="R45" s="1430">
        <f t="shared" si="79"/>
        <v>641.60546970358814</v>
      </c>
      <c r="S45" s="1467">
        <v>0.8</v>
      </c>
      <c r="T45" s="1887">
        <f>(H45*J45*S45*12)/100000+(J45*31777*3*S45)/100000</f>
        <v>8123.205600000003</v>
      </c>
      <c r="U45" s="1887">
        <f>((E45*K45+F45*L45)/10)-((31.054*2*20)/10)</f>
        <v>77533.468166666658</v>
      </c>
      <c r="V45" s="1464"/>
      <c r="W45" s="1655">
        <f t="shared" si="40"/>
        <v>24.39</v>
      </c>
      <c r="X45" s="1399">
        <f t="shared" si="64"/>
        <v>85681.063766666659</v>
      </c>
      <c r="Y45" s="1467"/>
      <c r="Z45" s="1388">
        <f t="shared" si="68"/>
        <v>635.18941500655217</v>
      </c>
      <c r="AA45" s="1467"/>
      <c r="AB45" s="1655"/>
      <c r="AC45" s="1477">
        <f t="shared" si="41"/>
        <v>85681.063766666659</v>
      </c>
      <c r="AD45" s="1655">
        <f t="shared" si="82"/>
        <v>856.81063766666659</v>
      </c>
      <c r="AE45" s="1655">
        <f>(T45+U45)*0%</f>
        <v>0</v>
      </c>
      <c r="AF45" s="1655">
        <f t="shared" si="42"/>
        <v>0</v>
      </c>
      <c r="AG45" s="1655">
        <f t="shared" si="83"/>
        <v>0</v>
      </c>
      <c r="AH45" s="1424">
        <f t="shared" si="44"/>
        <v>84824.25312899999</v>
      </c>
      <c r="AI45" s="1658">
        <v>250</v>
      </c>
      <c r="AJ45" s="1658">
        <f t="shared" si="72"/>
        <v>585</v>
      </c>
      <c r="AK45" s="955">
        <f t="shared" si="73"/>
        <v>475</v>
      </c>
      <c r="AL45" s="1640"/>
      <c r="AM45" s="1640"/>
      <c r="AN45" s="1473">
        <v>250</v>
      </c>
      <c r="AO45" s="1464"/>
      <c r="AP45" s="1464"/>
      <c r="AQ45" s="1422">
        <f t="shared" si="69"/>
        <v>641.60546970358814</v>
      </c>
      <c r="AR45" s="1399">
        <v>0.8</v>
      </c>
      <c r="AS45" s="1399">
        <f>(H45*AI45*AR45*12)/100000+(AI45*31777*3*AR45)/100000</f>
        <v>8123.205600000003</v>
      </c>
      <c r="AT45" s="1655">
        <f>((E45*AJ45+F45*AK45)/10)-((31.054*2*20)/10)</f>
        <v>77533.468166666658</v>
      </c>
      <c r="AU45" s="1464"/>
      <c r="AV45" s="1399">
        <f t="shared" si="45"/>
        <v>24.39</v>
      </c>
      <c r="AW45" s="1399">
        <f t="shared" si="46"/>
        <v>85681.063766666659</v>
      </c>
      <c r="AX45" s="1888"/>
      <c r="AY45" s="1422">
        <f t="shared" si="47"/>
        <v>635.18941500655217</v>
      </c>
      <c r="AZ45" s="1467"/>
      <c r="BA45" s="1399"/>
      <c r="BB45" s="1399">
        <f t="shared" si="48"/>
        <v>85681.063766666659</v>
      </c>
      <c r="BC45" s="1399">
        <f t="shared" si="49"/>
        <v>85681.063766666659</v>
      </c>
      <c r="BD45" s="1399">
        <f t="shared" si="50"/>
        <v>0</v>
      </c>
      <c r="BE45" s="1399">
        <f t="shared" si="51"/>
        <v>0</v>
      </c>
      <c r="BF45" s="1399">
        <f t="shared" si="52"/>
        <v>0</v>
      </c>
      <c r="BG45" s="1399"/>
      <c r="BH45" s="1399">
        <f t="shared" si="53"/>
        <v>0</v>
      </c>
      <c r="BI45" s="1399">
        <f t="shared" si="54"/>
        <v>0</v>
      </c>
      <c r="BJ45" s="1422">
        <f t="shared" si="74"/>
        <v>0</v>
      </c>
      <c r="BK45" s="1422">
        <f t="shared" si="75"/>
        <v>0</v>
      </c>
      <c r="BL45" s="1422">
        <f t="shared" si="55"/>
        <v>115.44488359655642</v>
      </c>
      <c r="BM45" s="1423">
        <f t="shared" si="84"/>
        <v>856.81063766666659</v>
      </c>
      <c r="BN45" s="1399">
        <f t="shared" si="85"/>
        <v>0</v>
      </c>
      <c r="BO45" s="1399">
        <f t="shared" si="86"/>
        <v>0</v>
      </c>
      <c r="BP45" s="1399">
        <f t="shared" si="56"/>
        <v>0</v>
      </c>
      <c r="BQ45" s="1424">
        <f t="shared" si="57"/>
        <v>84824.25312899999</v>
      </c>
      <c r="BR45" s="1391">
        <v>0.08</v>
      </c>
      <c r="BS45" s="1430">
        <f t="shared" si="76"/>
        <v>639.83416567363486</v>
      </c>
      <c r="BT45" s="1399">
        <f t="shared" si="58"/>
        <v>6202.6774533333328</v>
      </c>
      <c r="BU45" s="1399">
        <f t="shared" si="59"/>
        <v>73475.974409947958</v>
      </c>
      <c r="BV45" s="1399">
        <f t="shared" si="60"/>
        <v>-11348.278719052032</v>
      </c>
      <c r="BW45" s="1422">
        <f t="shared" si="61"/>
        <v>-84.979310220670442</v>
      </c>
      <c r="BX45" s="1464"/>
    </row>
    <row r="46" spans="1:76" ht="16" customHeight="1">
      <c r="A46" s="1475"/>
      <c r="B46" s="1274" t="s">
        <v>2286</v>
      </c>
      <c r="C46" s="1376" t="s">
        <v>76</v>
      </c>
      <c r="D46" s="1387">
        <f>'T-1'!R49</f>
        <v>15.625</v>
      </c>
      <c r="E46" s="1386">
        <f t="shared" si="81"/>
        <v>15.625</v>
      </c>
      <c r="F46" s="1639"/>
      <c r="G46" s="1422"/>
      <c r="H46" s="1422"/>
      <c r="I46" s="1472"/>
      <c r="J46" s="1658"/>
      <c r="K46" s="1658">
        <v>500</v>
      </c>
      <c r="L46" s="955"/>
      <c r="M46" s="1658"/>
      <c r="N46" s="1640"/>
      <c r="O46" s="1473"/>
      <c r="P46" s="1467"/>
      <c r="Q46" s="1424"/>
      <c r="R46" s="1430">
        <f t="shared" si="79"/>
        <v>500</v>
      </c>
      <c r="S46" s="1467"/>
      <c r="T46" s="1887"/>
      <c r="U46" s="1887">
        <f>((E46*K46+F46*L46)/10)</f>
        <v>781.25</v>
      </c>
      <c r="V46" s="1464"/>
      <c r="W46" s="1655"/>
      <c r="X46" s="1399">
        <f t="shared" si="64"/>
        <v>781.25</v>
      </c>
      <c r="Y46" s="1467"/>
      <c r="Z46" s="1388">
        <f t="shared" si="68"/>
        <v>500</v>
      </c>
      <c r="AA46" s="1467"/>
      <c r="AB46" s="1655"/>
      <c r="AC46" s="1477">
        <f t="shared" si="41"/>
        <v>781.25</v>
      </c>
      <c r="AD46" s="1655"/>
      <c r="AE46" s="1655"/>
      <c r="AF46" s="1655"/>
      <c r="AG46" s="1655"/>
      <c r="AH46" s="1424">
        <f t="shared" si="44"/>
        <v>781.25</v>
      </c>
      <c r="AI46" s="1658"/>
      <c r="AJ46" s="1658">
        <v>500</v>
      </c>
      <c r="AK46" s="955"/>
      <c r="AL46" s="1640"/>
      <c r="AM46" s="1640"/>
      <c r="AN46" s="1473"/>
      <c r="AO46" s="1464"/>
      <c r="AP46" s="1464"/>
      <c r="AQ46" s="1422">
        <f t="shared" si="69"/>
        <v>500</v>
      </c>
      <c r="AR46" s="1399"/>
      <c r="AS46" s="1399"/>
      <c r="AT46" s="1655">
        <f>((E46*AJ46+F46*AK46)/10)</f>
        <v>781.25</v>
      </c>
      <c r="AU46" s="1464"/>
      <c r="AV46" s="1399"/>
      <c r="AW46" s="1399">
        <f t="shared" si="46"/>
        <v>781.25</v>
      </c>
      <c r="AX46" s="1888"/>
      <c r="AY46" s="1422">
        <f t="shared" si="47"/>
        <v>500</v>
      </c>
      <c r="AZ46" s="1467"/>
      <c r="BA46" s="1399"/>
      <c r="BB46" s="1399">
        <f t="shared" ref="BB46" si="87">AW46-BA46</f>
        <v>781.25</v>
      </c>
      <c r="BC46" s="1399">
        <f t="shared" ref="BC46" si="88">AC46</f>
        <v>781.25</v>
      </c>
      <c r="BD46" s="1399">
        <f t="shared" ref="BD46" si="89">BB46-BC46</f>
        <v>0</v>
      </c>
      <c r="BE46" s="1399">
        <f t="shared" ref="BE46" si="90">AS46-T46</f>
        <v>0</v>
      </c>
      <c r="BF46" s="1399">
        <f t="shared" ref="BF46" si="91">AT46-U46</f>
        <v>0</v>
      </c>
      <c r="BG46" s="1399"/>
      <c r="BH46" s="1399">
        <f t="shared" ref="BH46" si="92">AV46-W46</f>
        <v>0</v>
      </c>
      <c r="BI46" s="1399">
        <f t="shared" ref="BI46" si="93">AW46-X46</f>
        <v>0</v>
      </c>
      <c r="BJ46" s="1422">
        <f t="shared" ref="BJ46" si="94">AY46-Z46</f>
        <v>0</v>
      </c>
      <c r="BK46" s="1422">
        <f t="shared" ref="BK46" si="95">BJ46/Z46*100</f>
        <v>0</v>
      </c>
      <c r="BL46" s="1422">
        <f t="shared" si="55"/>
        <v>90.874376106665423</v>
      </c>
      <c r="BM46" s="1423">
        <f t="shared" si="84"/>
        <v>0</v>
      </c>
      <c r="BN46" s="1399"/>
      <c r="BO46" s="1399"/>
      <c r="BP46" s="1399"/>
      <c r="BQ46" s="1424">
        <f t="shared" si="57"/>
        <v>781.25</v>
      </c>
      <c r="BR46" s="1391">
        <v>0.08</v>
      </c>
      <c r="BS46" s="1430">
        <f t="shared" ref="BS46" si="96">BT46/D46+AY46</f>
        <v>504</v>
      </c>
      <c r="BT46" s="1399">
        <f t="shared" ref="BT46" si="97">BR46*AT46</f>
        <v>62.5</v>
      </c>
      <c r="BU46" s="1399">
        <f t="shared" si="59"/>
        <v>859.70328872793993</v>
      </c>
      <c r="BV46" s="1399">
        <f t="shared" ref="BV46" si="98">BU46-BQ46</f>
        <v>78.453288727939935</v>
      </c>
      <c r="BW46" s="1422">
        <f t="shared" ref="BW46" si="99">BV46/D46*10</f>
        <v>50.210104785881562</v>
      </c>
      <c r="BX46" s="1464"/>
    </row>
    <row r="47" spans="1:76" ht="16" customHeight="1">
      <c r="A47" s="1420">
        <v>24</v>
      </c>
      <c r="B47" s="1455" t="s">
        <v>82</v>
      </c>
      <c r="C47" s="1376" t="s">
        <v>76</v>
      </c>
      <c r="D47" s="1387">
        <f>'T-1'!R50</f>
        <v>651.00193266198755</v>
      </c>
      <c r="E47" s="1386">
        <f t="shared" si="81"/>
        <v>460.5838673583562</v>
      </c>
      <c r="F47" s="1639">
        <f>D47*29.25%</f>
        <v>190.41806530363135</v>
      </c>
      <c r="G47" s="1422">
        <f>'T-1'!P50</f>
        <v>13</v>
      </c>
      <c r="H47" s="1422">
        <f>'T-1'!Q50</f>
        <v>95550</v>
      </c>
      <c r="I47" s="1472"/>
      <c r="J47" s="1658">
        <v>250</v>
      </c>
      <c r="K47" s="1658">
        <f t="shared" si="70"/>
        <v>585</v>
      </c>
      <c r="L47" s="955">
        <f t="shared" si="71"/>
        <v>475</v>
      </c>
      <c r="M47" s="1658"/>
      <c r="N47" s="1640"/>
      <c r="O47" s="1473">
        <v>250</v>
      </c>
      <c r="P47" s="1467"/>
      <c r="Q47" s="1424"/>
      <c r="R47" s="1430">
        <f t="shared" si="79"/>
        <v>583.6955995968749</v>
      </c>
      <c r="S47" s="1467">
        <v>0.8</v>
      </c>
      <c r="T47" s="1887">
        <f t="shared" si="77"/>
        <v>2293.1999999999998</v>
      </c>
      <c r="U47" s="1887">
        <f>((E47*K47+F47*L47)/10)-((70.977*2*20)/10)</f>
        <v>35705.106342386323</v>
      </c>
      <c r="V47" s="1464"/>
      <c r="W47" s="1655">
        <f t="shared" si="40"/>
        <v>0.39</v>
      </c>
      <c r="X47" s="1399">
        <f t="shared" si="64"/>
        <v>37998.69634238632</v>
      </c>
      <c r="Y47" s="1467"/>
      <c r="Z47" s="1388">
        <f t="shared" si="68"/>
        <v>577.85864360090613</v>
      </c>
      <c r="AA47" s="1467"/>
      <c r="AB47" s="1655"/>
      <c r="AC47" s="1423">
        <f t="shared" si="41"/>
        <v>37998.69634238632</v>
      </c>
      <c r="AD47" s="1655">
        <f t="shared" si="82"/>
        <v>379.98696342386319</v>
      </c>
      <c r="AE47" s="1655">
        <f>(T47+U47)*0%</f>
        <v>0</v>
      </c>
      <c r="AF47" s="1655">
        <f t="shared" si="42"/>
        <v>0</v>
      </c>
      <c r="AG47" s="1655">
        <f t="shared" si="83"/>
        <v>0</v>
      </c>
      <c r="AH47" s="1424">
        <f t="shared" si="44"/>
        <v>37618.709378962456</v>
      </c>
      <c r="AI47" s="1658">
        <v>250</v>
      </c>
      <c r="AJ47" s="1658">
        <f t="shared" si="72"/>
        <v>585</v>
      </c>
      <c r="AK47" s="955">
        <f t="shared" si="73"/>
        <v>475</v>
      </c>
      <c r="AL47" s="1640"/>
      <c r="AM47" s="1640"/>
      <c r="AN47" s="1473">
        <v>250</v>
      </c>
      <c r="AO47" s="1464"/>
      <c r="AP47" s="1464"/>
      <c r="AQ47" s="1422">
        <f t="shared" si="69"/>
        <v>583.6955995968749</v>
      </c>
      <c r="AR47" s="1399">
        <v>0.8</v>
      </c>
      <c r="AS47" s="1399">
        <f t="shared" si="78"/>
        <v>2293.1999999999998</v>
      </c>
      <c r="AT47" s="1655">
        <f>((E47*AJ47+F47*AK47)/10)-((70.977*2*20)/10)</f>
        <v>35705.106342386323</v>
      </c>
      <c r="AU47" s="1464"/>
      <c r="AV47" s="1399">
        <f t="shared" si="45"/>
        <v>0.39</v>
      </c>
      <c r="AW47" s="1399">
        <f t="shared" si="46"/>
        <v>37998.69634238632</v>
      </c>
      <c r="AX47" s="1888"/>
      <c r="AY47" s="1422">
        <f t="shared" si="47"/>
        <v>577.85864360090613</v>
      </c>
      <c r="AZ47" s="1467"/>
      <c r="BA47" s="1399"/>
      <c r="BB47" s="1399">
        <f t="shared" si="48"/>
        <v>37998.69634238632</v>
      </c>
      <c r="BC47" s="1399">
        <f t="shared" si="49"/>
        <v>37998.69634238632</v>
      </c>
      <c r="BD47" s="1399">
        <f t="shared" si="50"/>
        <v>0</v>
      </c>
      <c r="BE47" s="1399">
        <f t="shared" si="51"/>
        <v>0</v>
      </c>
      <c r="BF47" s="1399">
        <f t="shared" si="52"/>
        <v>0</v>
      </c>
      <c r="BG47" s="1399"/>
      <c r="BH47" s="1399">
        <f t="shared" si="53"/>
        <v>0</v>
      </c>
      <c r="BI47" s="1399">
        <f t="shared" si="54"/>
        <v>0</v>
      </c>
      <c r="BJ47" s="1422">
        <f t="shared" si="74"/>
        <v>0</v>
      </c>
      <c r="BK47" s="1422">
        <f t="shared" si="75"/>
        <v>0</v>
      </c>
      <c r="BL47" s="1422">
        <f t="shared" si="55"/>
        <v>105.02508743015255</v>
      </c>
      <c r="BM47" s="1423">
        <f t="shared" si="84"/>
        <v>379.98696342386319</v>
      </c>
      <c r="BN47" s="1399">
        <f t="shared" si="85"/>
        <v>0</v>
      </c>
      <c r="BO47" s="1399">
        <f t="shared" si="86"/>
        <v>0</v>
      </c>
      <c r="BP47" s="1399">
        <f t="shared" si="56"/>
        <v>0</v>
      </c>
      <c r="BQ47" s="1424">
        <f t="shared" si="57"/>
        <v>37618.709378962456</v>
      </c>
      <c r="BR47" s="1391">
        <v>0.08</v>
      </c>
      <c r="BS47" s="1430">
        <f t="shared" si="76"/>
        <v>582.24635485655608</v>
      </c>
      <c r="BT47" s="1399">
        <f t="shared" si="58"/>
        <v>2856.4085073909059</v>
      </c>
      <c r="BU47" s="1399">
        <f t="shared" si="59"/>
        <v>35818.78415857636</v>
      </c>
      <c r="BV47" s="1399">
        <f t="shared" si="60"/>
        <v>-1799.925220386096</v>
      </c>
      <c r="BW47" s="1422">
        <f t="shared" si="61"/>
        <v>-27.648538815024551</v>
      </c>
      <c r="BX47" s="1467"/>
    </row>
    <row r="48" spans="1:76" ht="16" customHeight="1">
      <c r="A48" s="1475">
        <v>25</v>
      </c>
      <c r="B48" s="1455" t="s">
        <v>92</v>
      </c>
      <c r="C48" s="1376" t="s">
        <v>76</v>
      </c>
      <c r="D48" s="1387">
        <f>'T-1'!R51</f>
        <v>232.72285743195388</v>
      </c>
      <c r="E48" s="1386">
        <f t="shared" si="81"/>
        <v>173.58797935849441</v>
      </c>
      <c r="F48" s="1639">
        <f>D48*25.41%</f>
        <v>59.134878073459483</v>
      </c>
      <c r="G48" s="1422">
        <f>'T-1'!P51</f>
        <v>5</v>
      </c>
      <c r="H48" s="1422">
        <f>'T-1'!Q51</f>
        <v>37350</v>
      </c>
      <c r="I48" s="1472"/>
      <c r="J48" s="1658">
        <v>250</v>
      </c>
      <c r="K48" s="1658">
        <f t="shared" si="70"/>
        <v>585</v>
      </c>
      <c r="L48" s="955">
        <f t="shared" si="71"/>
        <v>475</v>
      </c>
      <c r="M48" s="1658"/>
      <c r="N48" s="1640"/>
      <c r="O48" s="1473">
        <v>250</v>
      </c>
      <c r="P48" s="1467"/>
      <c r="Q48" s="1424"/>
      <c r="R48" s="1430">
        <f t="shared" si="79"/>
        <v>592.1512675217391</v>
      </c>
      <c r="S48" s="1467">
        <v>0.8</v>
      </c>
      <c r="T48" s="1887">
        <f t="shared" si="77"/>
        <v>896.4</v>
      </c>
      <c r="U48" s="1887">
        <f>(E48*K48+F48*L48)/10-(19.91*2*20)/10</f>
        <v>12884.163500961247</v>
      </c>
      <c r="V48" s="1464"/>
      <c r="W48" s="1655">
        <f t="shared" si="40"/>
        <v>0.15</v>
      </c>
      <c r="X48" s="1399">
        <f t="shared" si="64"/>
        <v>13780.713500961247</v>
      </c>
      <c r="Y48" s="1467"/>
      <c r="Z48" s="1388">
        <f t="shared" si="68"/>
        <v>586.2297548465217</v>
      </c>
      <c r="AA48" s="1467"/>
      <c r="AB48" s="1655"/>
      <c r="AC48" s="1423">
        <f t="shared" si="41"/>
        <v>13780.713500961247</v>
      </c>
      <c r="AD48" s="1655">
        <f t="shared" si="82"/>
        <v>137.80713500961247</v>
      </c>
      <c r="AE48" s="1655">
        <f>(T48+U48)*0%</f>
        <v>0</v>
      </c>
      <c r="AF48" s="1655">
        <f t="shared" si="42"/>
        <v>0</v>
      </c>
      <c r="AG48" s="1655">
        <f t="shared" si="83"/>
        <v>0</v>
      </c>
      <c r="AH48" s="1424">
        <f t="shared" si="44"/>
        <v>13642.906365951634</v>
      </c>
      <c r="AI48" s="1658">
        <v>250</v>
      </c>
      <c r="AJ48" s="1658">
        <f t="shared" si="72"/>
        <v>585</v>
      </c>
      <c r="AK48" s="955">
        <f t="shared" si="73"/>
        <v>475</v>
      </c>
      <c r="AL48" s="1640"/>
      <c r="AM48" s="1640"/>
      <c r="AN48" s="1473">
        <v>250</v>
      </c>
      <c r="AO48" s="1464"/>
      <c r="AP48" s="1464"/>
      <c r="AQ48" s="1422">
        <f t="shared" si="69"/>
        <v>592.1512675217391</v>
      </c>
      <c r="AR48" s="1399">
        <v>0.8</v>
      </c>
      <c r="AS48" s="1399">
        <f t="shared" si="78"/>
        <v>896.4</v>
      </c>
      <c r="AT48" s="1655">
        <f>((E48*AJ48+F48*AK48)/10)-((19.91*2*20)/10)</f>
        <v>12884.163500961247</v>
      </c>
      <c r="AU48" s="1464"/>
      <c r="AV48" s="1399">
        <f t="shared" si="45"/>
        <v>0.15</v>
      </c>
      <c r="AW48" s="1399">
        <f t="shared" si="46"/>
        <v>13780.713500961247</v>
      </c>
      <c r="AX48" s="1888"/>
      <c r="AY48" s="1422">
        <f t="shared" si="47"/>
        <v>586.2297548465217</v>
      </c>
      <c r="AZ48" s="1467"/>
      <c r="BA48" s="1399"/>
      <c r="BB48" s="1399">
        <f t="shared" si="48"/>
        <v>13780.713500961247</v>
      </c>
      <c r="BC48" s="1399">
        <f t="shared" si="49"/>
        <v>13780.713500961247</v>
      </c>
      <c r="BD48" s="1399">
        <f t="shared" si="50"/>
        <v>0</v>
      </c>
      <c r="BE48" s="1399">
        <f t="shared" si="51"/>
        <v>0</v>
      </c>
      <c r="BF48" s="1399">
        <f t="shared" si="52"/>
        <v>0</v>
      </c>
      <c r="BG48" s="1399"/>
      <c r="BH48" s="1399">
        <f t="shared" si="53"/>
        <v>0</v>
      </c>
      <c r="BI48" s="1399">
        <f t="shared" si="54"/>
        <v>0</v>
      </c>
      <c r="BJ48" s="1422">
        <f t="shared" si="74"/>
        <v>0</v>
      </c>
      <c r="BK48" s="1422">
        <f t="shared" si="75"/>
        <v>0</v>
      </c>
      <c r="BL48" s="1422">
        <f t="shared" si="55"/>
        <v>106.54652645368216</v>
      </c>
      <c r="BM48" s="1423">
        <f t="shared" si="84"/>
        <v>137.80713500961247</v>
      </c>
      <c r="BN48" s="1399">
        <f t="shared" si="85"/>
        <v>0</v>
      </c>
      <c r="BO48" s="1399">
        <f t="shared" si="86"/>
        <v>0</v>
      </c>
      <c r="BP48" s="1399">
        <f t="shared" si="56"/>
        <v>0</v>
      </c>
      <c r="BQ48" s="1424">
        <f t="shared" si="57"/>
        <v>13642.906365951634</v>
      </c>
      <c r="BR48" s="1391">
        <v>0.08</v>
      </c>
      <c r="BS48" s="1430">
        <f t="shared" si="76"/>
        <v>590.65877007713038</v>
      </c>
      <c r="BT48" s="1399">
        <f t="shared" si="58"/>
        <v>1030.7330800768998</v>
      </c>
      <c r="BU48" s="1399">
        <f t="shared" si="59"/>
        <v>12804.646777370514</v>
      </c>
      <c r="BV48" s="1399">
        <f t="shared" si="60"/>
        <v>-838.25958858112062</v>
      </c>
      <c r="BW48" s="1422">
        <f t="shared" si="61"/>
        <v>-36.01965006064006</v>
      </c>
      <c r="BX48" s="1467"/>
    </row>
    <row r="49" spans="1:76" ht="16" customHeight="1">
      <c r="A49" s="1420">
        <v>26</v>
      </c>
      <c r="B49" s="1455" t="s">
        <v>84</v>
      </c>
      <c r="C49" s="1376" t="s">
        <v>76</v>
      </c>
      <c r="D49" s="1387">
        <f>'T-1'!R52</f>
        <v>9.9999999999999995E-7</v>
      </c>
      <c r="E49" s="1386">
        <f t="shared" si="81"/>
        <v>9.9999999999999995E-7</v>
      </c>
      <c r="F49" s="1639">
        <f>D49*0%</f>
        <v>0</v>
      </c>
      <c r="G49" s="1422">
        <f>'T-1'!P52</f>
        <v>0</v>
      </c>
      <c r="H49" s="1422">
        <f>'T-1'!Q52</f>
        <v>0</v>
      </c>
      <c r="I49" s="1472"/>
      <c r="J49" s="1658">
        <v>250</v>
      </c>
      <c r="K49" s="1658">
        <f t="shared" si="70"/>
        <v>585</v>
      </c>
      <c r="L49" s="955">
        <f t="shared" si="71"/>
        <v>475</v>
      </c>
      <c r="M49" s="1658"/>
      <c r="N49" s="1640"/>
      <c r="O49" s="1473">
        <v>250</v>
      </c>
      <c r="P49" s="1467"/>
      <c r="Q49" s="1424"/>
      <c r="R49" s="1430">
        <f t="shared" si="79"/>
        <v>585</v>
      </c>
      <c r="S49" s="1467">
        <v>0.8</v>
      </c>
      <c r="T49" s="1887">
        <f t="shared" si="77"/>
        <v>0</v>
      </c>
      <c r="U49" s="1887">
        <f>(E49*K49+F49*L49)/10-((0*2*20)/10)</f>
        <v>5.8499999999999999E-5</v>
      </c>
      <c r="V49" s="1464"/>
      <c r="W49" s="1655">
        <f t="shared" si="40"/>
        <v>0</v>
      </c>
      <c r="X49" s="1399">
        <f t="shared" si="64"/>
        <v>5.8499999999999999E-5</v>
      </c>
      <c r="Y49" s="1467"/>
      <c r="Z49" s="1388">
        <f t="shared" si="68"/>
        <v>569.90699999999993</v>
      </c>
      <c r="AA49" s="1467"/>
      <c r="AB49" s="1655"/>
      <c r="AC49" s="1423">
        <f t="shared" si="41"/>
        <v>5.8499999999999999E-5</v>
      </c>
      <c r="AD49" s="1655">
        <f t="shared" si="82"/>
        <v>5.8500000000000001E-7</v>
      </c>
      <c r="AE49" s="1655">
        <f>(T49+U49)*1.58%</f>
        <v>9.2430000000000009E-7</v>
      </c>
      <c r="AF49" s="1655">
        <f t="shared" si="42"/>
        <v>0</v>
      </c>
      <c r="AG49" s="1655">
        <f t="shared" si="83"/>
        <v>0</v>
      </c>
      <c r="AH49" s="1424">
        <f t="shared" si="44"/>
        <v>5.8839299999999998E-5</v>
      </c>
      <c r="AI49" s="1658">
        <v>250</v>
      </c>
      <c r="AJ49" s="1658">
        <f t="shared" si="72"/>
        <v>585</v>
      </c>
      <c r="AK49" s="955">
        <f t="shared" si="73"/>
        <v>475</v>
      </c>
      <c r="AL49" s="1640"/>
      <c r="AM49" s="1640"/>
      <c r="AN49" s="1473">
        <v>250</v>
      </c>
      <c r="AO49" s="1464"/>
      <c r="AP49" s="1464"/>
      <c r="AQ49" s="1422">
        <f t="shared" si="69"/>
        <v>585</v>
      </c>
      <c r="AR49" s="1399">
        <v>0.8</v>
      </c>
      <c r="AS49" s="1399">
        <f t="shared" si="78"/>
        <v>0</v>
      </c>
      <c r="AT49" s="1655">
        <f>((E49*AJ49+F49*AK49))/10-((0*2*20)/10)</f>
        <v>5.8499999999999999E-5</v>
      </c>
      <c r="AU49" s="1464"/>
      <c r="AV49" s="1399">
        <f t="shared" si="45"/>
        <v>0</v>
      </c>
      <c r="AW49" s="1399">
        <f t="shared" si="46"/>
        <v>5.8499999999999999E-5</v>
      </c>
      <c r="AX49" s="1888"/>
      <c r="AY49" s="1422">
        <f t="shared" si="47"/>
        <v>569.90699999999993</v>
      </c>
      <c r="AZ49" s="1467"/>
      <c r="BA49" s="1399"/>
      <c r="BB49" s="1399">
        <f t="shared" si="48"/>
        <v>5.8499999999999999E-5</v>
      </c>
      <c r="BC49" s="1399">
        <f t="shared" si="49"/>
        <v>5.8499999999999999E-5</v>
      </c>
      <c r="BD49" s="1399">
        <f t="shared" si="50"/>
        <v>0</v>
      </c>
      <c r="BE49" s="1399">
        <f t="shared" si="51"/>
        <v>0</v>
      </c>
      <c r="BF49" s="1399">
        <f t="shared" si="52"/>
        <v>0</v>
      </c>
      <c r="BG49" s="1399"/>
      <c r="BH49" s="1399">
        <f t="shared" si="53"/>
        <v>0</v>
      </c>
      <c r="BI49" s="1399">
        <f t="shared" si="54"/>
        <v>0</v>
      </c>
      <c r="BJ49" s="1422">
        <f t="shared" si="74"/>
        <v>0</v>
      </c>
      <c r="BK49" s="1422">
        <f t="shared" si="75"/>
        <v>0</v>
      </c>
      <c r="BL49" s="1422">
        <f t="shared" si="55"/>
        <v>103.57988612764272</v>
      </c>
      <c r="BM49" s="1423">
        <f t="shared" si="84"/>
        <v>5.8500000000000001E-7</v>
      </c>
      <c r="BN49" s="1399">
        <f t="shared" si="85"/>
        <v>9.2430000000000009E-7</v>
      </c>
      <c r="BO49" s="1399">
        <f t="shared" si="86"/>
        <v>0</v>
      </c>
      <c r="BP49" s="1399">
        <f t="shared" si="56"/>
        <v>0</v>
      </c>
      <c r="BQ49" s="1424">
        <f t="shared" si="57"/>
        <v>5.8839299999999998E-5</v>
      </c>
      <c r="BR49" s="1391">
        <v>0</v>
      </c>
      <c r="BS49" s="1430">
        <f t="shared" si="76"/>
        <v>569.90699999999993</v>
      </c>
      <c r="BT49" s="1399">
        <f t="shared" si="58"/>
        <v>0</v>
      </c>
      <c r="BU49" s="1399">
        <f t="shared" si="59"/>
        <v>5.5021010478588165E-5</v>
      </c>
      <c r="BV49" s="1399">
        <f t="shared" si="60"/>
        <v>-3.8182895214118324E-6</v>
      </c>
      <c r="BW49" s="1422">
        <f t="shared" si="61"/>
        <v>-38.182895214118325</v>
      </c>
      <c r="BX49" s="1464"/>
    </row>
    <row r="50" spans="1:76" ht="16" customHeight="1">
      <c r="A50" s="1475">
        <v>27</v>
      </c>
      <c r="B50" s="1455" t="s">
        <v>286</v>
      </c>
      <c r="C50" s="1376" t="s">
        <v>76</v>
      </c>
      <c r="D50" s="1387">
        <f>'T-1'!R53</f>
        <v>0</v>
      </c>
      <c r="E50" s="1386">
        <f t="shared" si="81"/>
        <v>0</v>
      </c>
      <c r="F50" s="1471"/>
      <c r="G50" s="1422">
        <f>'T-1'!P53</f>
        <v>0</v>
      </c>
      <c r="H50" s="1422">
        <f>'T-1'!Q53</f>
        <v>0</v>
      </c>
      <c r="I50" s="1472"/>
      <c r="J50" s="1658">
        <v>0</v>
      </c>
      <c r="K50" s="1658">
        <f>730+20+30</f>
        <v>780</v>
      </c>
      <c r="L50" s="1655"/>
      <c r="M50" s="1658"/>
      <c r="N50" s="1640"/>
      <c r="O50" s="1473">
        <v>250</v>
      </c>
      <c r="P50" s="1467"/>
      <c r="Q50" s="1467"/>
      <c r="R50" s="1430" t="e">
        <f t="shared" si="79"/>
        <v>#DIV/0!</v>
      </c>
      <c r="S50" s="1473"/>
      <c r="T50" s="1887">
        <f t="shared" si="77"/>
        <v>0</v>
      </c>
      <c r="U50" s="1887">
        <f>((E50*K50+F50*L50))/10-(0*2*20)/10</f>
        <v>0</v>
      </c>
      <c r="V50" s="1464"/>
      <c r="W50" s="1655">
        <f t="shared" si="40"/>
        <v>0</v>
      </c>
      <c r="X50" s="1399">
        <f t="shared" si="64"/>
        <v>0</v>
      </c>
      <c r="Y50" s="1467"/>
      <c r="Z50" s="1388" t="e">
        <f t="shared" si="68"/>
        <v>#DIV/0!</v>
      </c>
      <c r="AA50" s="1467"/>
      <c r="AB50" s="1655"/>
      <c r="AC50" s="1423">
        <f t="shared" si="41"/>
        <v>0</v>
      </c>
      <c r="AD50" s="1655">
        <f t="shared" si="82"/>
        <v>0</v>
      </c>
      <c r="AE50" s="1655">
        <f>(T50+U50)*0%</f>
        <v>0</v>
      </c>
      <c r="AF50" s="1655">
        <f t="shared" si="42"/>
        <v>0</v>
      </c>
      <c r="AG50" s="1655">
        <f t="shared" si="83"/>
        <v>0</v>
      </c>
      <c r="AH50" s="1424">
        <f t="shared" si="44"/>
        <v>0</v>
      </c>
      <c r="AI50" s="1658">
        <v>0</v>
      </c>
      <c r="AJ50" s="1658">
        <f>730+20+30</f>
        <v>780</v>
      </c>
      <c r="AK50" s="1655"/>
      <c r="AL50" s="1640"/>
      <c r="AM50" s="1640"/>
      <c r="AN50" s="1473">
        <v>250</v>
      </c>
      <c r="AO50" s="1464"/>
      <c r="AP50" s="1464"/>
      <c r="AQ50" s="1422" t="e">
        <f t="shared" si="69"/>
        <v>#DIV/0!</v>
      </c>
      <c r="AR50" s="1399"/>
      <c r="AS50" s="1399">
        <f t="shared" si="78"/>
        <v>0</v>
      </c>
      <c r="AT50" s="1399">
        <f>(E50*AJ50+F50*AK50)/10-(0*2*20)/10</f>
        <v>0</v>
      </c>
      <c r="AU50" s="1464"/>
      <c r="AV50" s="1399">
        <f t="shared" si="45"/>
        <v>0</v>
      </c>
      <c r="AW50" s="1399">
        <f>SUM(AS50:AV50)</f>
        <v>0</v>
      </c>
      <c r="AX50" s="1889"/>
      <c r="AY50" s="1422" t="e">
        <f t="shared" si="47"/>
        <v>#DIV/0!</v>
      </c>
      <c r="AZ50" s="1467"/>
      <c r="BA50" s="1464"/>
      <c r="BB50" s="1399">
        <f>AW50-BA50</f>
        <v>0</v>
      </c>
      <c r="BC50" s="1399">
        <f>AC50</f>
        <v>0</v>
      </c>
      <c r="BD50" s="1399">
        <f t="shared" si="50"/>
        <v>0</v>
      </c>
      <c r="BE50" s="1399">
        <f t="shared" si="51"/>
        <v>0</v>
      </c>
      <c r="BF50" s="1399">
        <f t="shared" si="52"/>
        <v>0</v>
      </c>
      <c r="BG50" s="1399"/>
      <c r="BH50" s="1399">
        <f t="shared" si="53"/>
        <v>0</v>
      </c>
      <c r="BI50" s="1399">
        <f t="shared" si="54"/>
        <v>0</v>
      </c>
      <c r="BJ50" s="1422" t="e">
        <f t="shared" si="74"/>
        <v>#DIV/0!</v>
      </c>
      <c r="BK50" s="1422" t="e">
        <f t="shared" si="75"/>
        <v>#DIV/0!</v>
      </c>
      <c r="BL50" s="1422" t="e">
        <f t="shared" si="55"/>
        <v>#DIV/0!</v>
      </c>
      <c r="BM50" s="1423"/>
      <c r="BN50" s="1399"/>
      <c r="BO50" s="1399"/>
      <c r="BP50" s="1399"/>
      <c r="BQ50" s="1424">
        <f t="shared" si="57"/>
        <v>0</v>
      </c>
      <c r="BR50" s="1391">
        <v>0.08</v>
      </c>
      <c r="BS50" s="1430" t="e">
        <f t="shared" si="76"/>
        <v>#DIV/0!</v>
      </c>
      <c r="BT50" s="1399">
        <f t="shared" si="58"/>
        <v>0</v>
      </c>
      <c r="BU50" s="1399">
        <f t="shared" si="59"/>
        <v>0</v>
      </c>
      <c r="BV50" s="1399">
        <f>BU50-BQ50</f>
        <v>0</v>
      </c>
      <c r="BW50" s="1422" t="e">
        <f t="shared" si="61"/>
        <v>#DIV/0!</v>
      </c>
      <c r="BX50" s="1467"/>
    </row>
    <row r="51" spans="1:76" ht="16" customHeight="1">
      <c r="A51" s="1420">
        <v>28</v>
      </c>
      <c r="B51" s="1455" t="s">
        <v>86</v>
      </c>
      <c r="C51" s="1376" t="s">
        <v>76</v>
      </c>
      <c r="D51" s="1387">
        <f>'T-1'!R54</f>
        <v>7.2</v>
      </c>
      <c r="E51" s="1386">
        <f t="shared" si="81"/>
        <v>7.2</v>
      </c>
      <c r="F51" s="1471"/>
      <c r="G51" s="1422">
        <f>'T-1'!P54</f>
        <v>0</v>
      </c>
      <c r="H51" s="1422">
        <f>'T-1'!Q54</f>
        <v>0</v>
      </c>
      <c r="I51" s="1472"/>
      <c r="J51" s="1658">
        <v>0</v>
      </c>
      <c r="K51" s="1658">
        <f>440+20+30</f>
        <v>490</v>
      </c>
      <c r="L51" s="1655"/>
      <c r="M51" s="1658"/>
      <c r="N51" s="1640"/>
      <c r="O51" s="1473">
        <v>0</v>
      </c>
      <c r="P51" s="1467"/>
      <c r="Q51" s="1424"/>
      <c r="R51" s="1430">
        <f t="shared" si="79"/>
        <v>490</v>
      </c>
      <c r="S51" s="1473"/>
      <c r="T51" s="1887">
        <f>(H51*J51*0.8*12)/100000</f>
        <v>0</v>
      </c>
      <c r="U51" s="1887">
        <f>((E51*K51+F51*L51))/10</f>
        <v>352.8</v>
      </c>
      <c r="V51" s="1464"/>
      <c r="W51" s="1655">
        <f t="shared" si="40"/>
        <v>0</v>
      </c>
      <c r="X51" s="1399">
        <f t="shared" si="64"/>
        <v>352.8</v>
      </c>
      <c r="Y51" s="1467"/>
      <c r="Z51" s="1388">
        <f t="shared" si="68"/>
        <v>485.09999999999997</v>
      </c>
      <c r="AA51" s="1467"/>
      <c r="AB51" s="1655"/>
      <c r="AC51" s="1423">
        <f>X51-AB51</f>
        <v>352.8</v>
      </c>
      <c r="AD51" s="1655">
        <f t="shared" si="82"/>
        <v>3.528</v>
      </c>
      <c r="AE51" s="1655"/>
      <c r="AF51" s="1655"/>
      <c r="AG51" s="1655">
        <f t="shared" si="83"/>
        <v>0</v>
      </c>
      <c r="AH51" s="1424">
        <f t="shared" si="44"/>
        <v>349.27199999999999</v>
      </c>
      <c r="AI51" s="1658">
        <v>0</v>
      </c>
      <c r="AJ51" s="1658">
        <f>440+20+30</f>
        <v>490</v>
      </c>
      <c r="AK51" s="1655"/>
      <c r="AL51" s="1640"/>
      <c r="AM51" s="1640"/>
      <c r="AN51" s="1473">
        <v>0</v>
      </c>
      <c r="AO51" s="1464"/>
      <c r="AP51" s="1464"/>
      <c r="AQ51" s="1422">
        <f t="shared" si="69"/>
        <v>490</v>
      </c>
      <c r="AR51" s="1399">
        <v>0.8</v>
      </c>
      <c r="AS51" s="1399">
        <f t="shared" si="78"/>
        <v>0</v>
      </c>
      <c r="AT51" s="1399">
        <f>((E51*AJ51+F51*AK51))/10</f>
        <v>352.8</v>
      </c>
      <c r="AU51" s="1464"/>
      <c r="AV51" s="1399">
        <f t="shared" si="45"/>
        <v>0</v>
      </c>
      <c r="AW51" s="1399">
        <f t="shared" si="46"/>
        <v>352.8</v>
      </c>
      <c r="AX51" s="1890"/>
      <c r="AY51" s="1422">
        <f>(BB51-BM51-BN51+BO51-BP51)/D51*10</f>
        <v>485.09999999999997</v>
      </c>
      <c r="AZ51" s="1467"/>
      <c r="BA51" s="1399"/>
      <c r="BB51" s="1399">
        <f>AW51-BA51</f>
        <v>352.8</v>
      </c>
      <c r="BC51" s="1399">
        <f>AC51</f>
        <v>352.8</v>
      </c>
      <c r="BD51" s="1399">
        <f t="shared" si="50"/>
        <v>0</v>
      </c>
      <c r="BE51" s="1399">
        <f t="shared" si="51"/>
        <v>0</v>
      </c>
      <c r="BF51" s="1399">
        <f t="shared" si="52"/>
        <v>0</v>
      </c>
      <c r="BG51" s="1399"/>
      <c r="BH51" s="1399">
        <f t="shared" si="53"/>
        <v>0</v>
      </c>
      <c r="BI51" s="1399">
        <f t="shared" si="54"/>
        <v>0</v>
      </c>
      <c r="BJ51" s="1422">
        <f t="shared" si="74"/>
        <v>0</v>
      </c>
      <c r="BK51" s="1422">
        <f t="shared" si="75"/>
        <v>0</v>
      </c>
      <c r="BL51" s="1422">
        <f t="shared" si="55"/>
        <v>88.166319698686792</v>
      </c>
      <c r="BM51" s="1423">
        <f t="shared" si="84"/>
        <v>3.528</v>
      </c>
      <c r="BN51" s="1399"/>
      <c r="BO51" s="1399"/>
      <c r="BP51" s="1399">
        <f t="shared" si="56"/>
        <v>0</v>
      </c>
      <c r="BQ51" s="1424">
        <f t="shared" si="57"/>
        <v>349.27199999999999</v>
      </c>
      <c r="BR51" s="1391">
        <v>0.08</v>
      </c>
      <c r="BS51" s="1430">
        <f t="shared" si="76"/>
        <v>489.02</v>
      </c>
      <c r="BT51" s="1399">
        <f t="shared" si="58"/>
        <v>28.224</v>
      </c>
      <c r="BU51" s="1399">
        <f t="shared" si="59"/>
        <v>396.15127544583481</v>
      </c>
      <c r="BV51" s="1399">
        <f t="shared" si="60"/>
        <v>46.879275445834821</v>
      </c>
      <c r="BW51" s="1422">
        <f t="shared" si="61"/>
        <v>65.110104785881703</v>
      </c>
      <c r="BX51" s="1464"/>
    </row>
    <row r="52" spans="1:76" ht="16" customHeight="1">
      <c r="A52" s="1475"/>
      <c r="B52" s="1455"/>
      <c r="C52" s="1376"/>
      <c r="D52" s="1470"/>
      <c r="E52" s="1470"/>
      <c r="F52" s="1471"/>
      <c r="G52" s="1472"/>
      <c r="H52" s="1472"/>
      <c r="I52" s="1472"/>
      <c r="J52" s="1464"/>
      <c r="K52" s="1655"/>
      <c r="L52" s="1655"/>
      <c r="M52" s="1640"/>
      <c r="N52" s="1640"/>
      <c r="O52" s="1467"/>
      <c r="P52" s="1467"/>
      <c r="Q52" s="1467"/>
      <c r="R52" s="1473"/>
      <c r="S52" s="1473"/>
      <c r="T52" s="1467"/>
      <c r="U52" s="1467"/>
      <c r="V52" s="1464"/>
      <c r="W52" s="1464"/>
      <c r="X52" s="1464"/>
      <c r="Y52" s="1467"/>
      <c r="Z52" s="1464"/>
      <c r="AA52" s="1467"/>
      <c r="AB52" s="1464"/>
      <c r="AC52" s="1474"/>
      <c r="AD52" s="1655"/>
      <c r="AE52" s="1655"/>
      <c r="AF52" s="1655"/>
      <c r="AG52" s="1655"/>
      <c r="AH52" s="1424"/>
      <c r="AI52" s="1464"/>
      <c r="AJ52" s="1655"/>
      <c r="AK52" s="1655"/>
      <c r="AL52" s="1640"/>
      <c r="AM52" s="1640"/>
      <c r="AN52" s="1467"/>
      <c r="AO52" s="1464"/>
      <c r="AP52" s="1464"/>
      <c r="AQ52" s="1464"/>
      <c r="AR52" s="1464"/>
      <c r="AS52" s="1464"/>
      <c r="AT52" s="1464"/>
      <c r="AU52" s="1464"/>
      <c r="AV52" s="1464"/>
      <c r="AW52" s="1464"/>
      <c r="AX52" s="1888"/>
      <c r="AY52" s="1464"/>
      <c r="AZ52" s="1467"/>
      <c r="BA52" s="1464"/>
      <c r="BB52" s="1464"/>
      <c r="BC52" s="1464"/>
      <c r="BD52" s="1464"/>
      <c r="BE52" s="1464"/>
      <c r="BF52" s="1464"/>
      <c r="BG52" s="1464"/>
      <c r="BH52" s="1399">
        <f t="shared" si="53"/>
        <v>0</v>
      </c>
      <c r="BI52" s="1399">
        <f t="shared" si="54"/>
        <v>0</v>
      </c>
      <c r="BJ52" s="1422">
        <f t="shared" si="74"/>
        <v>0</v>
      </c>
      <c r="BK52" s="1422" t="e">
        <f t="shared" si="75"/>
        <v>#DIV/0!</v>
      </c>
      <c r="BL52" s="1422">
        <f t="shared" si="55"/>
        <v>0</v>
      </c>
      <c r="BM52" s="1474"/>
      <c r="BN52" s="1464"/>
      <c r="BO52" s="1464"/>
      <c r="BP52" s="1399"/>
      <c r="BQ52" s="1424">
        <f t="shared" si="57"/>
        <v>0</v>
      </c>
      <c r="BR52" s="1391">
        <v>0.08</v>
      </c>
      <c r="BS52" s="1473"/>
      <c r="BT52" s="1464"/>
      <c r="BU52" s="1464"/>
      <c r="BV52" s="1464"/>
      <c r="BW52" s="1422" t="e">
        <f t="shared" si="61"/>
        <v>#DIV/0!</v>
      </c>
      <c r="BX52" s="1467"/>
    </row>
    <row r="53" spans="1:76" ht="16" customHeight="1">
      <c r="A53" s="1420"/>
      <c r="B53" s="1461" t="s">
        <v>87</v>
      </c>
      <c r="C53" s="1454"/>
      <c r="D53" s="1462">
        <f t="shared" ref="D53:I53" si="100">SUM(D36:D52)</f>
        <v>2657.7664577606079</v>
      </c>
      <c r="E53" s="1462">
        <f t="shared" si="100"/>
        <v>2341.6152277168503</v>
      </c>
      <c r="F53" s="1462">
        <f t="shared" si="100"/>
        <v>323.12035004375753</v>
      </c>
      <c r="G53" s="1463">
        <f t="shared" si="100"/>
        <v>1344</v>
      </c>
      <c r="H53" s="1463">
        <f t="shared" si="100"/>
        <v>749776.56700000004</v>
      </c>
      <c r="I53" s="1463">
        <f t="shared" si="100"/>
        <v>154480.79999999996</v>
      </c>
      <c r="J53" s="1464"/>
      <c r="K53" s="952"/>
      <c r="L53" s="952"/>
      <c r="M53" s="1661"/>
      <c r="N53" s="1661"/>
      <c r="O53" s="1467"/>
      <c r="P53" s="1467"/>
      <c r="Q53" s="1424"/>
      <c r="R53" s="1436">
        <f>X53/D53*10</f>
        <v>617.42830081007435</v>
      </c>
      <c r="S53" s="1436"/>
      <c r="T53" s="1478">
        <f>SUM(T36:T51)</f>
        <v>15242.715528000002</v>
      </c>
      <c r="U53" s="1479">
        <f>SUM(U36:U52)</f>
        <v>148814.98726851423</v>
      </c>
      <c r="V53" s="1464"/>
      <c r="W53" s="1466">
        <f>SUM(W36:W52)</f>
        <v>40.32</v>
      </c>
      <c r="X53" s="1466">
        <f>SUM(X36:X52)</f>
        <v>164098.02279651424</v>
      </c>
      <c r="Y53" s="1467"/>
      <c r="Z53" s="1397">
        <f>(AC53-AD53-AE53+AF53-AG53)/D53*10</f>
        <v>611.36033407439538</v>
      </c>
      <c r="AA53" s="1466">
        <f t="shared" ref="AA53:AH53" si="101">SUM(AA36:AA52)</f>
        <v>29.493580000000001</v>
      </c>
      <c r="AB53" s="1466">
        <f t="shared" si="101"/>
        <v>29.493580000000001</v>
      </c>
      <c r="AC53" s="1479">
        <f t="shared" si="101"/>
        <v>164068.52921651423</v>
      </c>
      <c r="AD53" s="1466">
        <f t="shared" si="101"/>
        <v>1583.2302647651422</v>
      </c>
      <c r="AE53" s="952">
        <f>SUM(AE36:AE52)</f>
        <v>9.2430000000000009E-7</v>
      </c>
      <c r="AF53" s="952">
        <f>SUM(AF36:AF52)</f>
        <v>0</v>
      </c>
      <c r="AG53" s="952">
        <f>SUM(AG36:AG52)</f>
        <v>0</v>
      </c>
      <c r="AH53" s="1466">
        <f t="shared" si="101"/>
        <v>162485.29895267339</v>
      </c>
      <c r="AI53" s="1464"/>
      <c r="AJ53" s="952"/>
      <c r="AK53" s="952"/>
      <c r="AL53" s="1661"/>
      <c r="AM53" s="1661"/>
      <c r="AN53" s="1467"/>
      <c r="AO53" s="1464"/>
      <c r="AP53" s="1464"/>
      <c r="AQ53" s="1442">
        <f>(AW53/D53)*10</f>
        <v>617.42830081007435</v>
      </c>
      <c r="AR53" s="1427"/>
      <c r="AS53" s="1480">
        <f>SUM(AS36:AS51)</f>
        <v>15242.715528000002</v>
      </c>
      <c r="AT53" s="1480">
        <f>SUM(AT36:AT51)</f>
        <v>148814.98726851423</v>
      </c>
      <c r="AU53" s="1480">
        <f>SUM(AU36:AU51)</f>
        <v>0</v>
      </c>
      <c r="AV53" s="1480">
        <f>SUM(AV36:AV51)</f>
        <v>40.32</v>
      </c>
      <c r="AW53" s="1480">
        <f>SUM(AW36:AW51)</f>
        <v>164098.02279651424</v>
      </c>
      <c r="AX53" s="1888"/>
      <c r="AY53" s="1442">
        <f>(BB53-BM53-BN53+BO53-BP53)/(D53*0.985)*10</f>
        <v>620.6703899232441</v>
      </c>
      <c r="AZ53" s="1481">
        <f t="shared" ref="AZ53:BI53" si="102">SUM(AZ36:AZ51)</f>
        <v>29.493580000000001</v>
      </c>
      <c r="BA53" s="1480">
        <f t="shared" si="102"/>
        <v>29.493580000000001</v>
      </c>
      <c r="BB53" s="1480">
        <f t="shared" si="102"/>
        <v>164068.52921651423</v>
      </c>
      <c r="BC53" s="1480">
        <f t="shared" si="102"/>
        <v>164068.52921651423</v>
      </c>
      <c r="BD53" s="1480">
        <f t="shared" si="102"/>
        <v>0</v>
      </c>
      <c r="BE53" s="1480">
        <f t="shared" si="102"/>
        <v>0</v>
      </c>
      <c r="BF53" s="1480">
        <f t="shared" si="102"/>
        <v>0</v>
      </c>
      <c r="BG53" s="1480">
        <f t="shared" si="102"/>
        <v>0</v>
      </c>
      <c r="BH53" s="1480">
        <f t="shared" si="102"/>
        <v>0</v>
      </c>
      <c r="BI53" s="1480">
        <f t="shared" si="102"/>
        <v>0</v>
      </c>
      <c r="BJ53" s="1442">
        <f t="shared" si="74"/>
        <v>9.3100558488487195</v>
      </c>
      <c r="BK53" s="1442">
        <f t="shared" si="75"/>
        <v>1.5228426395939183</v>
      </c>
      <c r="BL53" s="1442">
        <f t="shared" si="55"/>
        <v>112.80606890431113</v>
      </c>
      <c r="BM53" s="1482">
        <f>SUM(BM36:BM51)</f>
        <v>1583.2302647651422</v>
      </c>
      <c r="BN53" s="1480">
        <f>SUM(BN36:BN51)</f>
        <v>9.2430000000000009E-7</v>
      </c>
      <c r="BO53" s="1480">
        <f>SUM(BO36:BO51)</f>
        <v>0</v>
      </c>
      <c r="BP53" s="1480">
        <f>SUM(BP36:BP51)</f>
        <v>0</v>
      </c>
      <c r="BQ53" s="1480">
        <f>SUM(BQ36:BQ51)</f>
        <v>162485.29895267339</v>
      </c>
      <c r="BR53" s="1464"/>
      <c r="BS53" s="1436">
        <f>BT53/D53+AY53</f>
        <v>624.97863766388605</v>
      </c>
      <c r="BT53" s="1480">
        <f>SUM(BT36:BT51)</f>
        <v>11450.316336801139</v>
      </c>
      <c r="BU53" s="1480">
        <f>SUM(BU36:BU51)</f>
        <v>146232.99612208657</v>
      </c>
      <c r="BV53" s="1480">
        <f>SUM(BV36:BV51)</f>
        <v>-16252.302830586801</v>
      </c>
      <c r="BW53" s="1442">
        <f t="shared" si="61"/>
        <v>-61.15022929546916</v>
      </c>
      <c r="BX53" s="1467"/>
    </row>
    <row r="54" spans="1:76" ht="16" customHeight="1">
      <c r="A54" s="1412"/>
      <c r="B54" s="1483" t="s">
        <v>88</v>
      </c>
      <c r="C54" s="1454"/>
      <c r="D54" s="1470"/>
      <c r="E54" s="1470"/>
      <c r="F54" s="1471"/>
      <c r="G54" s="1472"/>
      <c r="H54" s="1472"/>
      <c r="I54" s="1472"/>
      <c r="J54" s="1464"/>
      <c r="K54" s="1655"/>
      <c r="L54" s="1655"/>
      <c r="M54" s="1640"/>
      <c r="N54" s="1640"/>
      <c r="O54" s="1467"/>
      <c r="P54" s="1467"/>
      <c r="Q54" s="1467"/>
      <c r="R54" s="1473"/>
      <c r="S54" s="1473"/>
      <c r="T54" s="1467"/>
      <c r="U54" s="1467"/>
      <c r="V54" s="1464"/>
      <c r="W54" s="1464"/>
      <c r="X54" s="1464"/>
      <c r="Y54" s="1467"/>
      <c r="Z54" s="1464"/>
      <c r="AA54" s="1467"/>
      <c r="AB54" s="1464"/>
      <c r="AC54" s="1474"/>
      <c r="AD54" s="1464"/>
      <c r="AE54" s="1655"/>
      <c r="AF54" s="1655"/>
      <c r="AG54" s="1655"/>
      <c r="AH54" s="1464"/>
      <c r="AI54" s="1464"/>
      <c r="AJ54" s="1655"/>
      <c r="AK54" s="1655"/>
      <c r="AL54" s="1640"/>
      <c r="AM54" s="1640"/>
      <c r="AN54" s="1467"/>
      <c r="AO54" s="1464"/>
      <c r="AP54" s="1464"/>
      <c r="AQ54" s="1464"/>
      <c r="AR54" s="1464"/>
      <c r="AS54" s="1464"/>
      <c r="AT54" s="1464"/>
      <c r="AU54" s="1464"/>
      <c r="AV54" s="1464"/>
      <c r="AW54" s="1464"/>
      <c r="AX54" s="1888"/>
      <c r="AY54" s="1464"/>
      <c r="AZ54" s="1467"/>
      <c r="BA54" s="1464"/>
      <c r="BB54" s="1464"/>
      <c r="BC54" s="1464"/>
      <c r="BD54" s="1464"/>
      <c r="BE54" s="1464"/>
      <c r="BF54" s="1464"/>
      <c r="BG54" s="1464"/>
      <c r="BH54" s="1464"/>
      <c r="BI54" s="1464"/>
      <c r="BJ54" s="1464"/>
      <c r="BK54" s="1464"/>
      <c r="BL54" s="1464"/>
      <c r="BM54" s="1474"/>
      <c r="BN54" s="1464"/>
      <c r="BO54" s="1464"/>
      <c r="BP54" s="1464"/>
      <c r="BQ54" s="1464"/>
      <c r="BR54" s="1464"/>
      <c r="BS54" s="1473"/>
      <c r="BT54" s="1464"/>
      <c r="BU54" s="1464"/>
      <c r="BV54" s="1464"/>
      <c r="BW54" s="1464"/>
      <c r="BX54" s="1467"/>
    </row>
    <row r="55" spans="1:76" ht="16" customHeight="1">
      <c r="A55" s="1412">
        <v>29</v>
      </c>
      <c r="B55" s="1455" t="s">
        <v>89</v>
      </c>
      <c r="C55" s="1454" t="s">
        <v>90</v>
      </c>
      <c r="D55" s="1387">
        <f>'T-1'!R58</f>
        <v>0.47092547092547093</v>
      </c>
      <c r="E55" s="1386">
        <f t="shared" ref="E55:E65" si="103">D55-F55</f>
        <v>0.47092547092547093</v>
      </c>
      <c r="F55" s="1639">
        <f>D55*0%</f>
        <v>0</v>
      </c>
      <c r="G55" s="1422">
        <f>'T-1'!P58</f>
        <v>2</v>
      </c>
      <c r="H55" s="1422">
        <f>'T-1'!Q58</f>
        <v>221</v>
      </c>
      <c r="I55" s="1472"/>
      <c r="J55" s="1464">
        <v>250</v>
      </c>
      <c r="K55" s="1658">
        <f t="shared" ref="K55:K62" si="104">530+20+30</f>
        <v>580</v>
      </c>
      <c r="L55" s="1658">
        <f t="shared" ref="L55:L62" si="105">420+20+30</f>
        <v>470</v>
      </c>
      <c r="M55" s="1640"/>
      <c r="N55" s="1640"/>
      <c r="O55" s="1467">
        <v>700</v>
      </c>
      <c r="P55" s="1467"/>
      <c r="Q55" s="1424"/>
      <c r="R55" s="1430">
        <f>X55/D55*10</f>
        <v>0</v>
      </c>
      <c r="S55" s="1467">
        <v>0.8</v>
      </c>
      <c r="T55" s="1887">
        <f>(H55*J55*S55*12)/100000</f>
        <v>5.3040000000000003</v>
      </c>
      <c r="U55" s="1887">
        <f>((E55*K55+F55*L55))/10-((0.03*2*20)/10)</f>
        <v>27.193677313677309</v>
      </c>
      <c r="V55" s="1464"/>
      <c r="W55" s="1655"/>
      <c r="X55" s="1399"/>
      <c r="Y55" s="1467"/>
      <c r="Z55" s="1388"/>
      <c r="AA55" s="1467"/>
      <c r="AB55" s="1655"/>
      <c r="AC55" s="1423"/>
      <c r="AD55" s="1655"/>
      <c r="AE55" s="1655"/>
      <c r="AF55" s="1655"/>
      <c r="AG55" s="1655"/>
      <c r="AH55" s="1424"/>
      <c r="AI55" s="1464"/>
      <c r="AJ55" s="1658">
        <f t="shared" ref="AJ55:AJ62" si="106">530+20+30</f>
        <v>580</v>
      </c>
      <c r="AK55" s="1658">
        <f t="shared" ref="AK55:AK62" si="107">420+20+30</f>
        <v>470</v>
      </c>
      <c r="AL55" s="1640"/>
      <c r="AM55" s="1640"/>
      <c r="AN55" s="1467"/>
      <c r="AO55" s="1464"/>
      <c r="AP55" s="1464"/>
      <c r="AQ55" s="1422">
        <f t="shared" ref="AQ55:AQ64" si="108">(AW55/D55)*10</f>
        <v>0</v>
      </c>
      <c r="AR55" s="1399">
        <v>0.8</v>
      </c>
      <c r="AS55" s="1399">
        <f>(H55*AI55*AR55*12)/100000</f>
        <v>0</v>
      </c>
      <c r="AT55" s="1399">
        <f>(E55*AJ55+F55*AK55)/10-((0.03*2*20)/10)</f>
        <v>27.193677313677309</v>
      </c>
      <c r="AU55" s="1464"/>
      <c r="AV55" s="1399"/>
      <c r="AW55" s="1399"/>
      <c r="AX55" s="1888"/>
      <c r="AY55" s="1422"/>
      <c r="AZ55" s="1467"/>
      <c r="BA55" s="1399"/>
      <c r="BB55" s="1399"/>
      <c r="BC55" s="1399"/>
      <c r="BD55" s="1399"/>
      <c r="BE55" s="1399"/>
      <c r="BF55" s="1399"/>
      <c r="BG55" s="1399"/>
      <c r="BH55" s="1399"/>
      <c r="BI55" s="1399"/>
      <c r="BJ55" s="1422"/>
      <c r="BK55" s="1422"/>
      <c r="BL55" s="1422"/>
      <c r="BM55" s="1423"/>
      <c r="BN55" s="1399"/>
      <c r="BO55" s="1399"/>
      <c r="BP55" s="1399"/>
      <c r="BQ55" s="1424"/>
      <c r="BR55" s="1391"/>
      <c r="BS55" s="1430"/>
      <c r="BT55" s="1399"/>
      <c r="BU55" s="1399"/>
      <c r="BV55" s="1399"/>
      <c r="BW55" s="1422"/>
      <c r="BX55" s="1467"/>
    </row>
    <row r="56" spans="1:76" ht="16" customHeight="1">
      <c r="A56" s="1412">
        <v>30</v>
      </c>
      <c r="B56" s="1455" t="s">
        <v>72</v>
      </c>
      <c r="C56" s="1454" t="s">
        <v>90</v>
      </c>
      <c r="D56" s="1387">
        <f>'T-1'!R59</f>
        <v>609.13185913185919</v>
      </c>
      <c r="E56" s="1386">
        <f t="shared" si="103"/>
        <v>468.17874692874693</v>
      </c>
      <c r="F56" s="1639">
        <f>D56*23.14%</f>
        <v>140.95311220311223</v>
      </c>
      <c r="G56" s="1422">
        <f>'T-1'!P59</f>
        <v>12</v>
      </c>
      <c r="H56" s="1422">
        <f>'T-1'!Q59</f>
        <v>145000</v>
      </c>
      <c r="I56" s="1472"/>
      <c r="J56" s="1464">
        <v>250</v>
      </c>
      <c r="K56" s="1658">
        <f t="shared" si="104"/>
        <v>580</v>
      </c>
      <c r="L56" s="1658">
        <f t="shared" si="105"/>
        <v>470</v>
      </c>
      <c r="M56" s="1640"/>
      <c r="N56" s="1640"/>
      <c r="O56" s="1467">
        <v>700</v>
      </c>
      <c r="P56" s="1465"/>
      <c r="Q56" s="1414"/>
      <c r="R56" s="1430">
        <f t="shared" ref="R56:R64" si="109">X56/D56*10</f>
        <v>613.28172275630254</v>
      </c>
      <c r="S56" s="1467">
        <v>0.8</v>
      </c>
      <c r="T56" s="1887">
        <f>((H56*J56*S56*12)/100000)+(((12500+2000+5000+3000)*J56*S56*6)/100000)</f>
        <v>3750</v>
      </c>
      <c r="U56" s="1887">
        <f>((E56*K56+F56*L56))/10-((43.307*2*20)/10)</f>
        <v>33605.935595413597</v>
      </c>
      <c r="V56" s="1464"/>
      <c r="W56" s="1655">
        <f t="shared" ref="W56:W65" si="110">(O56*G56*12)/100000</f>
        <v>1.008</v>
      </c>
      <c r="X56" s="1399">
        <f t="shared" ref="X56:X65" si="111">SUM(T56:W56)</f>
        <v>37356.943595413599</v>
      </c>
      <c r="Y56" s="1465"/>
      <c r="Z56" s="1388">
        <f t="shared" ref="Z56:Z64" si="112">(AC56-AD56-AE56+AF56-AG56)/D56*10</f>
        <v>607.14890552873942</v>
      </c>
      <c r="AA56" s="1465"/>
      <c r="AB56" s="1655"/>
      <c r="AC56" s="1423">
        <f t="shared" ref="AC56:AC63" si="113">X56-AB56</f>
        <v>37356.943595413599</v>
      </c>
      <c r="AD56" s="1655">
        <f t="shared" ref="AD56:AD64" si="114">X56*1%</f>
        <v>373.569435954136</v>
      </c>
      <c r="AE56" s="1655">
        <f t="shared" ref="AE56:AE63" si="115">(T56+U56)*0%</f>
        <v>0</v>
      </c>
      <c r="AF56" s="1655">
        <f t="shared" ref="AF56:AF63" si="116">(T56+U56)*0%</f>
        <v>0</v>
      </c>
      <c r="AG56" s="1655">
        <f>(T56+U56)*0</f>
        <v>0</v>
      </c>
      <c r="AH56" s="1424">
        <f t="shared" ref="AH56:AH64" si="117">AC56-AD56+AE56+AF56-AG56</f>
        <v>36983.374159459461</v>
      </c>
      <c r="AI56" s="1464">
        <v>250</v>
      </c>
      <c r="AJ56" s="1658">
        <f t="shared" si="106"/>
        <v>580</v>
      </c>
      <c r="AK56" s="1658">
        <f t="shared" si="107"/>
        <v>470</v>
      </c>
      <c r="AL56" s="1640"/>
      <c r="AM56" s="1640"/>
      <c r="AN56" s="1467">
        <v>700</v>
      </c>
      <c r="AO56" s="1464"/>
      <c r="AP56" s="1464"/>
      <c r="AQ56" s="1422">
        <f t="shared" si="108"/>
        <v>613.28172275630254</v>
      </c>
      <c r="AR56" s="1399">
        <v>0.8</v>
      </c>
      <c r="AS56" s="1399">
        <f>(H56*AI56*AR56*12)/100000+((12500+2000+5000+3000)*AI56*AR56*6)/100000</f>
        <v>3750</v>
      </c>
      <c r="AT56" s="1399">
        <f>(E56*AJ56+F56*AK56)/10-((43.307*2*20)/10)</f>
        <v>33605.935595413597</v>
      </c>
      <c r="AU56" s="1464"/>
      <c r="AV56" s="1399">
        <f t="shared" ref="AV56:AV65" si="118">(AN56*G56*12)/100000</f>
        <v>1.008</v>
      </c>
      <c r="AW56" s="1399">
        <f t="shared" ref="AW56:AW65" si="119">SUM(AS56:AV56)</f>
        <v>37356.943595413599</v>
      </c>
      <c r="AX56" s="1888"/>
      <c r="AY56" s="1422">
        <f t="shared" ref="AY56:AY63" si="120">(BB56-BM56-BN56+BO56-BP56)/D56*10</f>
        <v>607.14890552873942</v>
      </c>
      <c r="AZ56" s="1465"/>
      <c r="BA56" s="1399"/>
      <c r="BB56" s="1399">
        <f t="shared" ref="BB56:BB65" si="121">AW56-BA56</f>
        <v>37356.943595413599</v>
      </c>
      <c r="BC56" s="1399">
        <f t="shared" ref="BC56:BC65" si="122">AC56</f>
        <v>37356.943595413599</v>
      </c>
      <c r="BD56" s="1399">
        <f t="shared" ref="BD56:BD65" si="123">BB56-BC56</f>
        <v>0</v>
      </c>
      <c r="BE56" s="1399">
        <f t="shared" ref="BE56:BE65" si="124">AS56-T56</f>
        <v>0</v>
      </c>
      <c r="BF56" s="1399">
        <f t="shared" ref="BF56:BF65" si="125">AT56-U56</f>
        <v>0</v>
      </c>
      <c r="BG56" s="1399"/>
      <c r="BH56" s="1399">
        <f t="shared" ref="BH56:BH65" si="126">AV56-W56</f>
        <v>0</v>
      </c>
      <c r="BI56" s="1399">
        <f t="shared" ref="BI56:BI65" si="127">AW56-X56</f>
        <v>0</v>
      </c>
      <c r="BJ56" s="1422">
        <f t="shared" ref="BJ56:BJ67" si="128">AY56-Z56</f>
        <v>0</v>
      </c>
      <c r="BK56" s="1422">
        <f t="shared" ref="BK56:BK67" si="129">BJ56/Z56*100</f>
        <v>0</v>
      </c>
      <c r="BL56" s="1422">
        <f t="shared" ref="BL56:BL66" si="130">AY56/$E$71*100</f>
        <v>130.75443549973599</v>
      </c>
      <c r="BM56" s="1423">
        <f t="shared" ref="BM56:BM64" si="131">AD56/X56*AW56</f>
        <v>373.569435954136</v>
      </c>
      <c r="BN56" s="1399">
        <f t="shared" ref="BN56:BN63" si="132">AE56/(T56+U56+W56)*(AS56+AT56+AV56)</f>
        <v>0</v>
      </c>
      <c r="BO56" s="1399">
        <f t="shared" ref="BO56:BO63" si="133">AF56/(T56+U56+W56)*(AS56+AT56+AV56)</f>
        <v>0</v>
      </c>
      <c r="BP56" s="1399">
        <f t="shared" ref="BP56:BP64" si="134">AG56/(T56+U56+W56)*(AS56+AT56+AV56)</f>
        <v>0</v>
      </c>
      <c r="BQ56" s="1424">
        <f t="shared" ref="BQ56:BQ65" si="135">BB56-BM56+BN56+BO56-BP56</f>
        <v>36983.374159459461</v>
      </c>
      <c r="BR56" s="1391">
        <v>0.09</v>
      </c>
      <c r="BS56" s="1430">
        <f t="shared" ref="BS56:BS67" si="136">BT56/D56+AY56</f>
        <v>612.11422487338484</v>
      </c>
      <c r="BT56" s="1399">
        <f t="shared" ref="BT56:BT65" si="137">BR56*AT56</f>
        <v>3024.5342035872236</v>
      </c>
      <c r="BU56" s="1399">
        <f t="shared" ref="BU56:BU65" si="138">D56*$E$71/10</f>
        <v>28284.603897459474</v>
      </c>
      <c r="BV56" s="1399">
        <f t="shared" ref="BV56:BV65" si="139">BU56-BQ56</f>
        <v>-8698.7702619999873</v>
      </c>
      <c r="BW56" s="1422">
        <f t="shared" ref="BW56:BW67" si="140">BV56/D56*10</f>
        <v>-142.8060301163292</v>
      </c>
      <c r="BX56" s="1484"/>
    </row>
    <row r="57" spans="1:76" ht="16" customHeight="1">
      <c r="A57" s="1412"/>
      <c r="B57" s="1274" t="s">
        <v>2286</v>
      </c>
      <c r="C57" s="1454" t="s">
        <v>90</v>
      </c>
      <c r="D57" s="1387">
        <f>'T-1'!R60</f>
        <v>51.187551187551186</v>
      </c>
      <c r="E57" s="1386">
        <f t="shared" si="103"/>
        <v>51.187551187551186</v>
      </c>
      <c r="F57" s="1639"/>
      <c r="G57" s="1422"/>
      <c r="H57" s="1422"/>
      <c r="I57" s="1472"/>
      <c r="J57" s="1464"/>
      <c r="K57" s="1658">
        <v>500</v>
      </c>
      <c r="L57" s="1658"/>
      <c r="M57" s="1640"/>
      <c r="N57" s="1640"/>
      <c r="O57" s="1467"/>
      <c r="P57" s="1465"/>
      <c r="Q57" s="1414"/>
      <c r="R57" s="1430">
        <f>X57/D57*10</f>
        <v>500</v>
      </c>
      <c r="S57" s="1467"/>
      <c r="T57" s="1887"/>
      <c r="U57" s="1887">
        <f>((E57*K57+F57*L57))/10</f>
        <v>2559.3775593775595</v>
      </c>
      <c r="V57" s="1464"/>
      <c r="W57" s="1655"/>
      <c r="X57" s="1399">
        <f t="shared" si="111"/>
        <v>2559.3775593775595</v>
      </c>
      <c r="Y57" s="1465"/>
      <c r="Z57" s="1388">
        <f t="shared" si="112"/>
        <v>500</v>
      </c>
      <c r="AA57" s="1465"/>
      <c r="AB57" s="1655"/>
      <c r="AC57" s="1423">
        <f t="shared" si="113"/>
        <v>2559.3775593775595</v>
      </c>
      <c r="AD57" s="1655"/>
      <c r="AE57" s="1655"/>
      <c r="AF57" s="1655"/>
      <c r="AG57" s="1655"/>
      <c r="AH57" s="1424">
        <f t="shared" si="117"/>
        <v>2559.3775593775595</v>
      </c>
      <c r="AI57" s="1464"/>
      <c r="AJ57" s="1658">
        <v>500</v>
      </c>
      <c r="AK57" s="1658"/>
      <c r="AL57" s="1640"/>
      <c r="AM57" s="1640"/>
      <c r="AN57" s="1467"/>
      <c r="AO57" s="1464"/>
      <c r="AP57" s="1464"/>
      <c r="AQ57" s="1422">
        <f t="shared" si="108"/>
        <v>500</v>
      </c>
      <c r="AR57" s="1399"/>
      <c r="AS57" s="1399"/>
      <c r="AT57" s="1399">
        <f>(E57*AJ57+F57*AK57)/10</f>
        <v>2559.3775593775595</v>
      </c>
      <c r="AU57" s="1464"/>
      <c r="AV57" s="1399"/>
      <c r="AW57" s="1399">
        <f t="shared" si="119"/>
        <v>2559.3775593775595</v>
      </c>
      <c r="AX57" s="1888"/>
      <c r="AY57" s="1422">
        <f t="shared" si="120"/>
        <v>500</v>
      </c>
      <c r="AZ57" s="1465"/>
      <c r="BA57" s="1399"/>
      <c r="BB57" s="1399">
        <f t="shared" ref="BB57" si="141">AW57-BA57</f>
        <v>2559.3775593775595</v>
      </c>
      <c r="BC57" s="1399">
        <f t="shared" ref="BC57" si="142">AC57</f>
        <v>2559.3775593775595</v>
      </c>
      <c r="BD57" s="1399">
        <f t="shared" ref="BD57" si="143">BB57-BC57</f>
        <v>0</v>
      </c>
      <c r="BE57" s="1399">
        <f t="shared" ref="BE57" si="144">AS57-T57</f>
        <v>0</v>
      </c>
      <c r="BF57" s="1399">
        <f t="shared" ref="BF57" si="145">AT57-U57</f>
        <v>0</v>
      </c>
      <c r="BG57" s="1399"/>
      <c r="BH57" s="1399">
        <f t="shared" ref="BH57" si="146">AV57-W57</f>
        <v>0</v>
      </c>
      <c r="BI57" s="1399">
        <f t="shared" ref="BI57" si="147">AW57-X57</f>
        <v>0</v>
      </c>
      <c r="BJ57" s="1422">
        <f>AY57-Z57</f>
        <v>0</v>
      </c>
      <c r="BK57" s="1422"/>
      <c r="BL57" s="1422">
        <f t="shared" si="130"/>
        <v>107.67905064892413</v>
      </c>
      <c r="BM57" s="1423"/>
      <c r="BN57" s="1399"/>
      <c r="BO57" s="1399"/>
      <c r="BP57" s="1399"/>
      <c r="BQ57" s="1424">
        <f t="shared" si="135"/>
        <v>2559.3775593775595</v>
      </c>
      <c r="BR57" s="1391">
        <v>0.09</v>
      </c>
      <c r="BS57" s="1430">
        <f t="shared" ref="BS57" si="148">BT57/D57+AY57</f>
        <v>504.5</v>
      </c>
      <c r="BT57" s="1399">
        <f t="shared" ref="BT57" si="149">BR57*AT57</f>
        <v>230.34398034398035</v>
      </c>
      <c r="BU57" s="1399">
        <f t="shared" si="138"/>
        <v>2376.8574703747458</v>
      </c>
      <c r="BV57" s="1399">
        <f t="shared" ref="BV57" si="150">BU57-BQ57</f>
        <v>-182.52008900281362</v>
      </c>
      <c r="BW57" s="1422">
        <f t="shared" ref="BW57" si="151">BV57/D57*10</f>
        <v>-35.657124587589671</v>
      </c>
      <c r="BX57" s="1484"/>
    </row>
    <row r="58" spans="1:76" ht="16" customHeight="1">
      <c r="A58" s="1412">
        <v>31</v>
      </c>
      <c r="B58" s="1455" t="s">
        <v>84</v>
      </c>
      <c r="C58" s="1454" t="s">
        <v>90</v>
      </c>
      <c r="D58" s="1387">
        <f>'T-1'!R61</f>
        <v>982.32848232848232</v>
      </c>
      <c r="E58" s="1386">
        <f t="shared" si="103"/>
        <v>982.32848232848232</v>
      </c>
      <c r="F58" s="1639">
        <f>D58*0%</f>
        <v>0</v>
      </c>
      <c r="G58" s="1422">
        <f>'T-1'!P61</f>
        <v>20</v>
      </c>
      <c r="H58" s="1422">
        <f>'T-1'!Q61</f>
        <v>303000</v>
      </c>
      <c r="I58" s="1472"/>
      <c r="J58" s="1464">
        <v>250</v>
      </c>
      <c r="K58" s="1658">
        <f t="shared" si="104"/>
        <v>580</v>
      </c>
      <c r="L58" s="1658">
        <f t="shared" si="105"/>
        <v>470</v>
      </c>
      <c r="M58" s="1640"/>
      <c r="N58" s="1640"/>
      <c r="O58" s="1467">
        <v>700</v>
      </c>
      <c r="P58" s="1467"/>
      <c r="Q58" s="1424"/>
      <c r="R58" s="1430">
        <f t="shared" si="109"/>
        <v>654.04529269841282</v>
      </c>
      <c r="S58" s="1467">
        <v>0.8</v>
      </c>
      <c r="T58" s="1887">
        <f>(H58*J58*S58*12)/100000</f>
        <v>7272</v>
      </c>
      <c r="U58" s="1887">
        <f>((E58*K58+F58*L58))/10-((0*2*20)/10)</f>
        <v>56975.051975051974</v>
      </c>
      <c r="V58" s="1464"/>
      <c r="W58" s="1655">
        <f t="shared" si="110"/>
        <v>1.68</v>
      </c>
      <c r="X58" s="1399">
        <f t="shared" si="111"/>
        <v>64248.731975051975</v>
      </c>
      <c r="Y58" s="1467"/>
      <c r="Z58" s="1388">
        <f t="shared" si="112"/>
        <v>647.50483977142846</v>
      </c>
      <c r="AA58" s="1467"/>
      <c r="AB58" s="1655"/>
      <c r="AC58" s="1423">
        <f t="shared" si="113"/>
        <v>64248.731975051975</v>
      </c>
      <c r="AD58" s="1655">
        <f t="shared" si="114"/>
        <v>642.48731975051976</v>
      </c>
      <c r="AE58" s="1655">
        <f t="shared" si="115"/>
        <v>0</v>
      </c>
      <c r="AF58" s="1655">
        <f t="shared" si="116"/>
        <v>0</v>
      </c>
      <c r="AG58" s="1655">
        <f t="shared" ref="AG58:AG64" si="152">(T58+U58)*0%</f>
        <v>0</v>
      </c>
      <c r="AH58" s="1424">
        <f t="shared" si="117"/>
        <v>63606.244655301452</v>
      </c>
      <c r="AI58" s="1464">
        <v>250</v>
      </c>
      <c r="AJ58" s="1658">
        <f t="shared" si="106"/>
        <v>580</v>
      </c>
      <c r="AK58" s="1658">
        <f t="shared" si="107"/>
        <v>470</v>
      </c>
      <c r="AL58" s="1640"/>
      <c r="AM58" s="1640"/>
      <c r="AN58" s="1467">
        <v>700</v>
      </c>
      <c r="AO58" s="1464"/>
      <c r="AP58" s="1464"/>
      <c r="AQ58" s="1422">
        <f t="shared" si="108"/>
        <v>654.04529269841282</v>
      </c>
      <c r="AR58" s="1399">
        <v>0.8</v>
      </c>
      <c r="AS58" s="1399">
        <f>(H58*AI58*AR58*12)/100000</f>
        <v>7272</v>
      </c>
      <c r="AT58" s="1399">
        <f>(E58*AJ58+F58*AK58)/10-((0*2*20)/10)</f>
        <v>56975.051975051974</v>
      </c>
      <c r="AU58" s="1464"/>
      <c r="AV58" s="1399">
        <f t="shared" si="118"/>
        <v>1.68</v>
      </c>
      <c r="AW58" s="1399">
        <f t="shared" si="119"/>
        <v>64248.731975051975</v>
      </c>
      <c r="AX58" s="1888"/>
      <c r="AY58" s="1422">
        <f t="shared" si="120"/>
        <v>647.50483977142846</v>
      </c>
      <c r="AZ58" s="1467"/>
      <c r="BA58" s="1399"/>
      <c r="BB58" s="1399">
        <f t="shared" si="121"/>
        <v>64248.731975051975</v>
      </c>
      <c r="BC58" s="1399">
        <f t="shared" si="122"/>
        <v>64248.731975051975</v>
      </c>
      <c r="BD58" s="1399">
        <f t="shared" si="123"/>
        <v>0</v>
      </c>
      <c r="BE58" s="1399">
        <f t="shared" si="124"/>
        <v>0</v>
      </c>
      <c r="BF58" s="1399">
        <f t="shared" si="125"/>
        <v>0</v>
      </c>
      <c r="BG58" s="1399"/>
      <c r="BH58" s="1399">
        <f t="shared" si="126"/>
        <v>0</v>
      </c>
      <c r="BI58" s="1399">
        <f t="shared" si="127"/>
        <v>0</v>
      </c>
      <c r="BJ58" s="1422">
        <f t="shared" si="128"/>
        <v>0</v>
      </c>
      <c r="BK58" s="1422">
        <f t="shared" si="129"/>
        <v>0</v>
      </c>
      <c r="BL58" s="1422">
        <f t="shared" si="130"/>
        <v>139.44541287434231</v>
      </c>
      <c r="BM58" s="1423">
        <f t="shared" si="131"/>
        <v>642.48731975051976</v>
      </c>
      <c r="BN58" s="1399">
        <f t="shared" si="132"/>
        <v>0</v>
      </c>
      <c r="BO58" s="1399">
        <f t="shared" si="133"/>
        <v>0</v>
      </c>
      <c r="BP58" s="1399">
        <f t="shared" si="134"/>
        <v>0</v>
      </c>
      <c r="BQ58" s="1424">
        <f t="shared" si="135"/>
        <v>63606.244655301452</v>
      </c>
      <c r="BR58" s="1391">
        <v>0</v>
      </c>
      <c r="BS58" s="1430">
        <f t="shared" si="136"/>
        <v>647.50483977142846</v>
      </c>
      <c r="BT58" s="1399">
        <f t="shared" si="137"/>
        <v>0</v>
      </c>
      <c r="BU58" s="1399">
        <f t="shared" si="138"/>
        <v>45613.723208391653</v>
      </c>
      <c r="BV58" s="1399">
        <f t="shared" si="139"/>
        <v>-17992.521446909799</v>
      </c>
      <c r="BW58" s="1422">
        <f t="shared" si="140"/>
        <v>-183.16196435901827</v>
      </c>
      <c r="BX58" s="1464"/>
    </row>
    <row r="59" spans="1:76" ht="16" customHeight="1">
      <c r="A59" s="1412">
        <v>32</v>
      </c>
      <c r="B59" s="1455" t="s">
        <v>91</v>
      </c>
      <c r="C59" s="1454" t="s">
        <v>90</v>
      </c>
      <c r="D59" s="1387">
        <f>'T-1'!R62</f>
        <v>281.38760605735149</v>
      </c>
      <c r="E59" s="1386">
        <f t="shared" si="103"/>
        <v>280.85296960584253</v>
      </c>
      <c r="F59" s="1639">
        <f>D59*0.19%</f>
        <v>0.53463645150896788</v>
      </c>
      <c r="G59" s="1422">
        <f>'T-1'!P62</f>
        <v>3</v>
      </c>
      <c r="H59" s="1422">
        <f>'T-1'!Q62</f>
        <v>248556</v>
      </c>
      <c r="I59" s="1472"/>
      <c r="J59" s="1464">
        <v>250</v>
      </c>
      <c r="K59" s="1658">
        <f t="shared" si="104"/>
        <v>580</v>
      </c>
      <c r="L59" s="1658">
        <f t="shared" si="105"/>
        <v>470</v>
      </c>
      <c r="M59" s="1640"/>
      <c r="N59" s="1640"/>
      <c r="O59" s="1467">
        <v>700</v>
      </c>
      <c r="P59" s="1467"/>
      <c r="Q59" s="1424"/>
      <c r="R59" s="1430">
        <f t="shared" si="109"/>
        <v>786.9728329770993</v>
      </c>
      <c r="S59" s="1467">
        <v>0.8</v>
      </c>
      <c r="T59" s="1655">
        <f>(H59*J59*S59*12)/100000+(0*J59*S59*3)/100000</f>
        <v>5965.3440000000001</v>
      </c>
      <c r="U59" s="1887">
        <f>((E59*K59+F59*L59)/10)-((33.939*2*20)/10)</f>
        <v>16178.84415035979</v>
      </c>
      <c r="V59" s="1464"/>
      <c r="W59" s="1655">
        <f t="shared" si="110"/>
        <v>0.252</v>
      </c>
      <c r="X59" s="1399">
        <f t="shared" si="111"/>
        <v>22144.440150359791</v>
      </c>
      <c r="Y59" s="1467"/>
      <c r="Z59" s="1388">
        <f t="shared" si="112"/>
        <v>779.10310464732834</v>
      </c>
      <c r="AA59" s="1467"/>
      <c r="AB59" s="1655"/>
      <c r="AC59" s="1423">
        <f t="shared" si="113"/>
        <v>22144.440150359791</v>
      </c>
      <c r="AD59" s="1655">
        <f t="shared" si="114"/>
        <v>221.4444015035979</v>
      </c>
      <c r="AE59" s="1655">
        <f t="shared" si="115"/>
        <v>0</v>
      </c>
      <c r="AF59" s="1655">
        <f t="shared" si="116"/>
        <v>0</v>
      </c>
      <c r="AG59" s="1655">
        <f t="shared" si="152"/>
        <v>0</v>
      </c>
      <c r="AH59" s="1424">
        <f t="shared" si="117"/>
        <v>21922.995748856192</v>
      </c>
      <c r="AI59" s="1464">
        <v>250</v>
      </c>
      <c r="AJ59" s="1658">
        <f t="shared" si="106"/>
        <v>580</v>
      </c>
      <c r="AK59" s="1658">
        <f t="shared" si="107"/>
        <v>470</v>
      </c>
      <c r="AL59" s="1640"/>
      <c r="AM59" s="1640"/>
      <c r="AN59" s="1467">
        <v>700</v>
      </c>
      <c r="AO59" s="1464"/>
      <c r="AP59" s="1464"/>
      <c r="AQ59" s="1422">
        <f t="shared" si="108"/>
        <v>786.9728329770993</v>
      </c>
      <c r="AR59" s="1399">
        <v>0.8</v>
      </c>
      <c r="AS59" s="1399">
        <f>(H59*AI59*AR59*12)/100000+(0*AI59*AR59*3)/100000</f>
        <v>5965.3440000000001</v>
      </c>
      <c r="AT59" s="1399">
        <f>(E59*AJ59+F59*AK59)/10-((33.939*2*20)/10)</f>
        <v>16178.84415035979</v>
      </c>
      <c r="AU59" s="1464"/>
      <c r="AV59" s="1399">
        <f t="shared" si="118"/>
        <v>0.252</v>
      </c>
      <c r="AW59" s="1399">
        <f t="shared" si="119"/>
        <v>22144.440150359791</v>
      </c>
      <c r="AX59" s="1888"/>
      <c r="AY59" s="1422">
        <f t="shared" si="120"/>
        <v>779.10310464732834</v>
      </c>
      <c r="AZ59" s="1467"/>
      <c r="BA59" s="1399"/>
      <c r="BB59" s="1399">
        <f t="shared" si="121"/>
        <v>22144.440150359791</v>
      </c>
      <c r="BC59" s="1399">
        <f t="shared" si="122"/>
        <v>22144.440150359791</v>
      </c>
      <c r="BD59" s="1399">
        <f t="shared" si="123"/>
        <v>0</v>
      </c>
      <c r="BE59" s="1399">
        <f t="shared" si="124"/>
        <v>0</v>
      </c>
      <c r="BF59" s="1399">
        <f t="shared" si="125"/>
        <v>0</v>
      </c>
      <c r="BG59" s="1399"/>
      <c r="BH59" s="1399">
        <f t="shared" si="126"/>
        <v>0</v>
      </c>
      <c r="BI59" s="1399">
        <f t="shared" si="127"/>
        <v>0</v>
      </c>
      <c r="BJ59" s="1422">
        <f t="shared" si="128"/>
        <v>0</v>
      </c>
      <c r="BK59" s="1422">
        <f t="shared" si="129"/>
        <v>0</v>
      </c>
      <c r="BL59" s="1422">
        <f t="shared" si="130"/>
        <v>167.78616533210743</v>
      </c>
      <c r="BM59" s="1423">
        <f t="shared" si="131"/>
        <v>221.4444015035979</v>
      </c>
      <c r="BN59" s="1399">
        <f t="shared" si="132"/>
        <v>0</v>
      </c>
      <c r="BO59" s="1399">
        <f t="shared" si="133"/>
        <v>0</v>
      </c>
      <c r="BP59" s="1399">
        <f t="shared" si="134"/>
        <v>0</v>
      </c>
      <c r="BQ59" s="1424">
        <f t="shared" si="135"/>
        <v>21922.995748856192</v>
      </c>
      <c r="BR59" s="1391">
        <v>0.09</v>
      </c>
      <c r="BS59" s="1430">
        <f t="shared" si="136"/>
        <v>784.2778029715879</v>
      </c>
      <c r="BT59" s="1399">
        <f t="shared" si="137"/>
        <v>1456.0959735323811</v>
      </c>
      <c r="BU59" s="1399">
        <f t="shared" si="138"/>
        <v>13066.033010208515</v>
      </c>
      <c r="BV59" s="1399">
        <f t="shared" si="139"/>
        <v>-8856.9627386476768</v>
      </c>
      <c r="BW59" s="1422">
        <f t="shared" si="140"/>
        <v>-314.76022923491803</v>
      </c>
      <c r="BX59" s="1464"/>
    </row>
    <row r="60" spans="1:76" ht="16" customHeight="1">
      <c r="A60" s="1412">
        <v>33</v>
      </c>
      <c r="B60" s="1455" t="s">
        <v>82</v>
      </c>
      <c r="C60" s="1454" t="s">
        <v>90</v>
      </c>
      <c r="D60" s="1387">
        <f>'T-1'!R63</f>
        <v>1628.3951886501491</v>
      </c>
      <c r="E60" s="1386">
        <f t="shared" si="103"/>
        <v>1628.3951886501491</v>
      </c>
      <c r="F60" s="1639">
        <f>D60*0%</f>
        <v>0</v>
      </c>
      <c r="G60" s="1422">
        <f>'T-1'!P63</f>
        <v>7</v>
      </c>
      <c r="H60" s="1422">
        <f>'T-1'!Q63</f>
        <v>526667</v>
      </c>
      <c r="I60" s="1472"/>
      <c r="J60" s="1464">
        <v>250</v>
      </c>
      <c r="K60" s="1658">
        <f t="shared" si="104"/>
        <v>580</v>
      </c>
      <c r="L60" s="1658">
        <f t="shared" si="105"/>
        <v>470</v>
      </c>
      <c r="M60" s="1640"/>
      <c r="N60" s="1640"/>
      <c r="O60" s="1467">
        <v>700</v>
      </c>
      <c r="P60" s="1467"/>
      <c r="Q60" s="1424"/>
      <c r="R60" s="1430">
        <f t="shared" si="109"/>
        <v>664.75139263608469</v>
      </c>
      <c r="S60" s="1467">
        <v>0.8</v>
      </c>
      <c r="T60" s="1887">
        <f>(H60*J60*S60*12)/100000+((100000+100000+3000)*J59*S59*3)/100000</f>
        <v>13858.008</v>
      </c>
      <c r="U60" s="1887">
        <f>((E60*K60+F60*L60))/10-(14.43*2*20)/10</f>
        <v>94389.200941708637</v>
      </c>
      <c r="V60" s="1464"/>
      <c r="W60" s="1655">
        <f t="shared" si="110"/>
        <v>0.58799999999999997</v>
      </c>
      <c r="X60" s="1399">
        <f t="shared" si="111"/>
        <v>108247.79694170864</v>
      </c>
      <c r="Y60" s="1467"/>
      <c r="Z60" s="1388">
        <f t="shared" si="112"/>
        <v>658.10387870972374</v>
      </c>
      <c r="AA60" s="1467"/>
      <c r="AB60" s="1655"/>
      <c r="AC60" s="1423">
        <f t="shared" si="113"/>
        <v>108247.79694170864</v>
      </c>
      <c r="AD60" s="1655">
        <f t="shared" si="114"/>
        <v>1082.4779694170863</v>
      </c>
      <c r="AE60" s="1655">
        <f t="shared" si="115"/>
        <v>0</v>
      </c>
      <c r="AF60" s="1655">
        <f t="shared" si="116"/>
        <v>0</v>
      </c>
      <c r="AG60" s="1655">
        <f t="shared" si="152"/>
        <v>0</v>
      </c>
      <c r="AH60" s="1424">
        <f t="shared" si="117"/>
        <v>107165.31897229156</v>
      </c>
      <c r="AI60" s="1464">
        <v>250</v>
      </c>
      <c r="AJ60" s="1658">
        <f t="shared" si="106"/>
        <v>580</v>
      </c>
      <c r="AK60" s="1658">
        <f t="shared" si="107"/>
        <v>470</v>
      </c>
      <c r="AL60" s="1640"/>
      <c r="AM60" s="1640"/>
      <c r="AN60" s="1467">
        <v>700</v>
      </c>
      <c r="AO60" s="1464"/>
      <c r="AP60" s="1464"/>
      <c r="AQ60" s="1422">
        <f t="shared" si="108"/>
        <v>664.75139263608469</v>
      </c>
      <c r="AR60" s="1399">
        <v>0.8</v>
      </c>
      <c r="AS60" s="1399">
        <f>(H60*AI60*AR60*12)/100000+((100000+100000+3000)*AI60*AR60*3)/100000</f>
        <v>13858.008</v>
      </c>
      <c r="AT60" s="1399">
        <f>(E60*AJ60+F60*AK60)/10-(14.43*2*20)/10</f>
        <v>94389.200941708637</v>
      </c>
      <c r="AU60" s="1464"/>
      <c r="AV60" s="1399">
        <f t="shared" si="118"/>
        <v>0.58799999999999997</v>
      </c>
      <c r="AW60" s="1399">
        <f t="shared" si="119"/>
        <v>108247.79694170864</v>
      </c>
      <c r="AX60" s="1888"/>
      <c r="AY60" s="1422">
        <f t="shared" si="120"/>
        <v>658.10387870972374</v>
      </c>
      <c r="AZ60" s="1467"/>
      <c r="BA60" s="1399"/>
      <c r="BB60" s="1399">
        <f t="shared" si="121"/>
        <v>108247.79694170864</v>
      </c>
      <c r="BC60" s="1399">
        <f t="shared" si="122"/>
        <v>108247.79694170864</v>
      </c>
      <c r="BD60" s="1399">
        <f t="shared" si="123"/>
        <v>0</v>
      </c>
      <c r="BE60" s="1399">
        <f t="shared" si="124"/>
        <v>0</v>
      </c>
      <c r="BF60" s="1399">
        <f t="shared" si="125"/>
        <v>0</v>
      </c>
      <c r="BG60" s="1399"/>
      <c r="BH60" s="1399">
        <f t="shared" si="126"/>
        <v>0</v>
      </c>
      <c r="BI60" s="1399">
        <f t="shared" si="127"/>
        <v>0</v>
      </c>
      <c r="BJ60" s="1422">
        <f t="shared" si="128"/>
        <v>0</v>
      </c>
      <c r="BK60" s="1422">
        <f t="shared" si="129"/>
        <v>0</v>
      </c>
      <c r="BL60" s="1422">
        <f t="shared" si="130"/>
        <v>141.72800177567555</v>
      </c>
      <c r="BM60" s="1423">
        <f t="shared" si="131"/>
        <v>1082.4779694170863</v>
      </c>
      <c r="BN60" s="1399">
        <f t="shared" si="132"/>
        <v>0</v>
      </c>
      <c r="BO60" s="1399">
        <f t="shared" si="133"/>
        <v>0</v>
      </c>
      <c r="BP60" s="1399">
        <f t="shared" si="134"/>
        <v>0</v>
      </c>
      <c r="BQ60" s="1424">
        <f t="shared" si="135"/>
        <v>107165.31897229156</v>
      </c>
      <c r="BR60" s="1391">
        <v>0.09</v>
      </c>
      <c r="BS60" s="1430">
        <f t="shared" si="136"/>
        <v>663.32068857502168</v>
      </c>
      <c r="BT60" s="1399">
        <f t="shared" si="137"/>
        <v>8495.0280847537779</v>
      </c>
      <c r="BU60" s="1399">
        <f t="shared" si="138"/>
        <v>75613.370420554449</v>
      </c>
      <c r="BV60" s="1399">
        <f t="shared" si="139"/>
        <v>-31551.948551737107</v>
      </c>
      <c r="BW60" s="1422">
        <f t="shared" si="140"/>
        <v>-193.76100329731355</v>
      </c>
      <c r="BX60" s="1464"/>
    </row>
    <row r="61" spans="1:76" ht="16" customHeight="1">
      <c r="A61" s="1412"/>
      <c r="B61" s="1274" t="s">
        <v>1963</v>
      </c>
      <c r="C61" s="1454" t="s">
        <v>90</v>
      </c>
      <c r="D61" s="1387">
        <f>'T-1'!R64</f>
        <v>0</v>
      </c>
      <c r="E61" s="1386">
        <f t="shared" si="103"/>
        <v>0</v>
      </c>
      <c r="F61" s="1639"/>
      <c r="G61" s="1422"/>
      <c r="H61" s="1422"/>
      <c r="I61" s="1472"/>
      <c r="J61" s="1464"/>
      <c r="K61" s="1658">
        <v>500</v>
      </c>
      <c r="L61" s="1658"/>
      <c r="M61" s="1640"/>
      <c r="N61" s="1640"/>
      <c r="O61" s="1467"/>
      <c r="P61" s="1467"/>
      <c r="Q61" s="1424"/>
      <c r="R61" s="1430"/>
      <c r="S61" s="1467"/>
      <c r="T61" s="1887"/>
      <c r="U61" s="1887">
        <f>((E61*K61+F61*L61))/10</f>
        <v>0</v>
      </c>
      <c r="V61" s="1464"/>
      <c r="W61" s="1655"/>
      <c r="X61" s="1399">
        <f t="shared" si="111"/>
        <v>0</v>
      </c>
      <c r="Y61" s="1467"/>
      <c r="Z61" s="1388"/>
      <c r="AA61" s="1467"/>
      <c r="AB61" s="1655"/>
      <c r="AC61" s="1423">
        <f t="shared" si="113"/>
        <v>0</v>
      </c>
      <c r="AD61" s="1655"/>
      <c r="AE61" s="1655"/>
      <c r="AF61" s="1655"/>
      <c r="AG61" s="1655"/>
      <c r="AH61" s="1424">
        <f t="shared" si="117"/>
        <v>0</v>
      </c>
      <c r="AI61" s="1464"/>
      <c r="AJ61" s="1658">
        <v>500</v>
      </c>
      <c r="AK61" s="1658"/>
      <c r="AL61" s="1640"/>
      <c r="AM61" s="1640"/>
      <c r="AN61" s="1467"/>
      <c r="AO61" s="1464"/>
      <c r="AP61" s="1464"/>
      <c r="AQ61" s="1422"/>
      <c r="AR61" s="1399"/>
      <c r="AS61" s="1399"/>
      <c r="AT61" s="1399">
        <f>(E61*AJ61+F61*AK61)/10</f>
        <v>0</v>
      </c>
      <c r="AU61" s="1464"/>
      <c r="AV61" s="1399"/>
      <c r="AW61" s="1399">
        <f t="shared" si="119"/>
        <v>0</v>
      </c>
      <c r="AX61" s="1888"/>
      <c r="AY61" s="1422"/>
      <c r="AZ61" s="1467"/>
      <c r="BA61" s="1399"/>
      <c r="BB61" s="1399">
        <f t="shared" ref="BB61" si="153">AW61-BA61</f>
        <v>0</v>
      </c>
      <c r="BC61" s="1399">
        <f t="shared" ref="BC61" si="154">AC61</f>
        <v>0</v>
      </c>
      <c r="BD61" s="1399">
        <f t="shared" ref="BD61" si="155">BB61-BC61</f>
        <v>0</v>
      </c>
      <c r="BE61" s="1399">
        <f t="shared" ref="BE61" si="156">AS61-T61</f>
        <v>0</v>
      </c>
      <c r="BF61" s="1399">
        <f t="shared" ref="BF61" si="157">AT61-U61</f>
        <v>0</v>
      </c>
      <c r="BG61" s="1399"/>
      <c r="BH61" s="1399">
        <f t="shared" si="126"/>
        <v>0</v>
      </c>
      <c r="BI61" s="1399">
        <f t="shared" si="127"/>
        <v>0</v>
      </c>
      <c r="BJ61" s="1422">
        <f t="shared" ref="BJ61" si="158">AY61-Z61</f>
        <v>0</v>
      </c>
      <c r="BK61" s="1422"/>
      <c r="BL61" s="1422">
        <f t="shared" si="130"/>
        <v>0</v>
      </c>
      <c r="BM61" s="1423"/>
      <c r="BN61" s="1399"/>
      <c r="BO61" s="1399"/>
      <c r="BP61" s="1399"/>
      <c r="BQ61" s="1424"/>
      <c r="BR61" s="1391">
        <v>0.09</v>
      </c>
      <c r="BS61" s="1430"/>
      <c r="BT61" s="1399">
        <f t="shared" ref="BT61" si="159">BR61*AT61</f>
        <v>0</v>
      </c>
      <c r="BU61" s="1399">
        <f t="shared" si="138"/>
        <v>0</v>
      </c>
      <c r="BV61" s="1399">
        <f t="shared" ref="BV61" si="160">BU61-BQ61</f>
        <v>0</v>
      </c>
      <c r="BW61" s="1422"/>
      <c r="BX61" s="1464"/>
    </row>
    <row r="62" spans="1:76" ht="16" customHeight="1">
      <c r="A62" s="1412">
        <v>34</v>
      </c>
      <c r="B62" s="1455" t="s">
        <v>92</v>
      </c>
      <c r="C62" s="1454" t="s">
        <v>90</v>
      </c>
      <c r="D62" s="1387">
        <f>'T-1'!R65</f>
        <v>7.661290322580645</v>
      </c>
      <c r="E62" s="1386">
        <f t="shared" si="103"/>
        <v>7.661290322580645</v>
      </c>
      <c r="F62" s="1639">
        <f>D62*0%</f>
        <v>0</v>
      </c>
      <c r="G62" s="1422">
        <f>'T-1'!P65</f>
        <v>1</v>
      </c>
      <c r="H62" s="1422">
        <f>'T-1'!Q65</f>
        <v>5000</v>
      </c>
      <c r="I62" s="1472"/>
      <c r="J62" s="1464">
        <v>250</v>
      </c>
      <c r="K62" s="1658">
        <f t="shared" si="104"/>
        <v>580</v>
      </c>
      <c r="L62" s="1658">
        <f t="shared" si="105"/>
        <v>470</v>
      </c>
      <c r="M62" s="1640"/>
      <c r="N62" s="1640"/>
      <c r="O62" s="1467">
        <v>700</v>
      </c>
      <c r="P62" s="1465"/>
      <c r="Q62" s="1414"/>
      <c r="R62" s="1430">
        <f t="shared" si="109"/>
        <v>732.68968421052614</v>
      </c>
      <c r="S62" s="1467">
        <v>0.8</v>
      </c>
      <c r="T62" s="1887">
        <f>(H62*J62*S62*12)/100000</f>
        <v>120</v>
      </c>
      <c r="U62" s="1887">
        <f>(E62*K62+F62*L62)/10-(0.776*2*20)/10</f>
        <v>441.2508387096774</v>
      </c>
      <c r="V62" s="1464"/>
      <c r="W62" s="1655">
        <f t="shared" si="110"/>
        <v>8.4000000000000005E-2</v>
      </c>
      <c r="X62" s="1399">
        <f t="shared" si="111"/>
        <v>561.33483870967734</v>
      </c>
      <c r="Y62" s="1465"/>
      <c r="Z62" s="1388">
        <f t="shared" si="112"/>
        <v>725.3627873684211</v>
      </c>
      <c r="AA62" s="1465"/>
      <c r="AB62" s="1655"/>
      <c r="AC62" s="1423">
        <f t="shared" si="113"/>
        <v>561.33483870967734</v>
      </c>
      <c r="AD62" s="1655">
        <f t="shared" si="114"/>
        <v>5.6133483870967735</v>
      </c>
      <c r="AE62" s="1655">
        <f t="shared" si="115"/>
        <v>0</v>
      </c>
      <c r="AF62" s="1655">
        <f t="shared" si="116"/>
        <v>0</v>
      </c>
      <c r="AG62" s="1655">
        <f t="shared" si="152"/>
        <v>0</v>
      </c>
      <c r="AH62" s="1424">
        <f t="shared" si="117"/>
        <v>555.72149032258062</v>
      </c>
      <c r="AI62" s="1464">
        <v>250</v>
      </c>
      <c r="AJ62" s="1658">
        <f t="shared" si="106"/>
        <v>580</v>
      </c>
      <c r="AK62" s="1658">
        <f t="shared" si="107"/>
        <v>470</v>
      </c>
      <c r="AL62" s="1640"/>
      <c r="AM62" s="1640"/>
      <c r="AN62" s="1467">
        <v>700</v>
      </c>
      <c r="AO62" s="1464"/>
      <c r="AP62" s="1464"/>
      <c r="AQ62" s="1422">
        <f t="shared" si="108"/>
        <v>732.68968421052614</v>
      </c>
      <c r="AR62" s="1399">
        <v>0.8</v>
      </c>
      <c r="AS62" s="1399">
        <f>(H62*AI62*AR62*12)/100000</f>
        <v>120</v>
      </c>
      <c r="AT62" s="1399">
        <f>(E62*AJ62+F62*AK62)/10-((0.776*2*20)/10)</f>
        <v>441.2508387096774</v>
      </c>
      <c r="AU62" s="1464"/>
      <c r="AV62" s="1399">
        <f t="shared" si="118"/>
        <v>8.4000000000000005E-2</v>
      </c>
      <c r="AW62" s="1399">
        <f t="shared" si="119"/>
        <v>561.33483870967734</v>
      </c>
      <c r="AX62" s="1888"/>
      <c r="AY62" s="1422">
        <f t="shared" si="120"/>
        <v>725.3627873684211</v>
      </c>
      <c r="AZ62" s="1465"/>
      <c r="BA62" s="1399"/>
      <c r="BB62" s="1399">
        <f t="shared" si="121"/>
        <v>561.33483870967734</v>
      </c>
      <c r="BC62" s="1399">
        <f t="shared" si="122"/>
        <v>561.33483870967734</v>
      </c>
      <c r="BD62" s="1399">
        <f t="shared" si="123"/>
        <v>0</v>
      </c>
      <c r="BE62" s="1399">
        <f t="shared" si="124"/>
        <v>0</v>
      </c>
      <c r="BF62" s="1399">
        <f t="shared" si="125"/>
        <v>0</v>
      </c>
      <c r="BG62" s="1399"/>
      <c r="BH62" s="1399">
        <f t="shared" si="126"/>
        <v>0</v>
      </c>
      <c r="BI62" s="1399">
        <f t="shared" si="127"/>
        <v>0</v>
      </c>
      <c r="BJ62" s="1422">
        <f t="shared" si="128"/>
        <v>0</v>
      </c>
      <c r="BK62" s="1422">
        <f t="shared" si="129"/>
        <v>0</v>
      </c>
      <c r="BL62" s="1422">
        <f t="shared" si="130"/>
        <v>156.21275263977802</v>
      </c>
      <c r="BM62" s="1423">
        <f t="shared" si="131"/>
        <v>5.6133483870967735</v>
      </c>
      <c r="BN62" s="1399">
        <f t="shared" si="132"/>
        <v>0</v>
      </c>
      <c r="BO62" s="1399">
        <f t="shared" si="133"/>
        <v>0</v>
      </c>
      <c r="BP62" s="1399">
        <f t="shared" si="134"/>
        <v>0</v>
      </c>
      <c r="BQ62" s="1424">
        <f t="shared" si="135"/>
        <v>555.72149032258062</v>
      </c>
      <c r="BR62" s="1391">
        <v>0.09</v>
      </c>
      <c r="BS62" s="1430">
        <f t="shared" si="136"/>
        <v>730.54632353684212</v>
      </c>
      <c r="BT62" s="1399">
        <f t="shared" si="137"/>
        <v>39.712575483870964</v>
      </c>
      <c r="BU62" s="1399">
        <f t="shared" si="138"/>
        <v>355.74655777563692</v>
      </c>
      <c r="BV62" s="1399">
        <f t="shared" si="139"/>
        <v>-199.97493254694371</v>
      </c>
      <c r="BW62" s="1422">
        <f t="shared" si="140"/>
        <v>-261.01991195601073</v>
      </c>
      <c r="BX62" s="1484"/>
    </row>
    <row r="63" spans="1:76" ht="16" customHeight="1">
      <c r="A63" s="1412">
        <v>35</v>
      </c>
      <c r="B63" s="1455" t="s">
        <v>85</v>
      </c>
      <c r="C63" s="1454" t="s">
        <v>90</v>
      </c>
      <c r="D63" s="1387">
        <f>'T-1'!R66</f>
        <v>1.0501995379122033</v>
      </c>
      <c r="E63" s="1386">
        <f t="shared" si="103"/>
        <v>1.0501995379122033</v>
      </c>
      <c r="F63" s="1471"/>
      <c r="G63" s="1422">
        <f>'T-1'!P66</f>
        <v>1</v>
      </c>
      <c r="H63" s="1422">
        <f>'T-1'!Q66</f>
        <v>5000</v>
      </c>
      <c r="I63" s="1485"/>
      <c r="J63" s="1464"/>
      <c r="K63" s="1658">
        <f>720+20+30</f>
        <v>770</v>
      </c>
      <c r="L63" s="1373"/>
      <c r="M63" s="1640"/>
      <c r="N63" s="1640"/>
      <c r="O63" s="1467">
        <v>700</v>
      </c>
      <c r="P63" s="1486"/>
      <c r="Q63" s="1487"/>
      <c r="R63" s="1430">
        <f t="shared" si="109"/>
        <v>770.79984800000011</v>
      </c>
      <c r="S63" s="1467">
        <v>0.8</v>
      </c>
      <c r="T63" s="1887">
        <f>(H63*J63*S63*12)/100000</f>
        <v>0</v>
      </c>
      <c r="U63" s="1887">
        <f>((E63*K63+F63*L63))/10-((0*2*20)/10)</f>
        <v>80.865364419239654</v>
      </c>
      <c r="V63" s="1488"/>
      <c r="W63" s="1655">
        <f t="shared" si="110"/>
        <v>8.4000000000000005E-2</v>
      </c>
      <c r="X63" s="1399">
        <f t="shared" si="111"/>
        <v>80.949364419239657</v>
      </c>
      <c r="Y63" s="1486"/>
      <c r="Z63" s="1388">
        <f t="shared" si="112"/>
        <v>763.09184951999998</v>
      </c>
      <c r="AA63" s="1486"/>
      <c r="AB63" s="1655"/>
      <c r="AC63" s="1423">
        <f t="shared" si="113"/>
        <v>80.949364419239657</v>
      </c>
      <c r="AD63" s="1655">
        <f t="shared" si="114"/>
        <v>0.80949364419239656</v>
      </c>
      <c r="AE63" s="1655">
        <f t="shared" si="115"/>
        <v>0</v>
      </c>
      <c r="AF63" s="1655">
        <f t="shared" si="116"/>
        <v>0</v>
      </c>
      <c r="AG63" s="1655">
        <f t="shared" si="152"/>
        <v>0</v>
      </c>
      <c r="AH63" s="1424">
        <f t="shared" si="117"/>
        <v>80.139870775047257</v>
      </c>
      <c r="AI63" s="1464"/>
      <c r="AJ63" s="1658">
        <f>720+20+30</f>
        <v>770</v>
      </c>
      <c r="AK63" s="1373"/>
      <c r="AL63" s="1640"/>
      <c r="AM63" s="1640"/>
      <c r="AN63" s="1467">
        <v>700</v>
      </c>
      <c r="AO63" s="1489"/>
      <c r="AP63" s="1419"/>
      <c r="AQ63" s="1422">
        <f t="shared" si="108"/>
        <v>770.79984800000011</v>
      </c>
      <c r="AR63" s="1399">
        <v>0.8</v>
      </c>
      <c r="AS63" s="1399">
        <f>(H63*AI63*0.8*12)/100000</f>
        <v>0</v>
      </c>
      <c r="AT63" s="1399">
        <f>(E63*AJ63+F63*AK63)/10-((0*2*20)/10)</f>
        <v>80.865364419239654</v>
      </c>
      <c r="AU63" s="1447"/>
      <c r="AV63" s="1399">
        <f t="shared" si="118"/>
        <v>8.4000000000000005E-2</v>
      </c>
      <c r="AW63" s="1399">
        <f t="shared" si="119"/>
        <v>80.949364419239657</v>
      </c>
      <c r="AX63" s="1889"/>
      <c r="AY63" s="1422">
        <f t="shared" si="120"/>
        <v>763.09184951999998</v>
      </c>
      <c r="AZ63" s="1419"/>
      <c r="BA63" s="1399"/>
      <c r="BB63" s="1399">
        <f t="shared" si="121"/>
        <v>80.949364419239657</v>
      </c>
      <c r="BC63" s="1399">
        <f t="shared" si="122"/>
        <v>80.949364419239657</v>
      </c>
      <c r="BD63" s="1399">
        <f t="shared" si="123"/>
        <v>0</v>
      </c>
      <c r="BE63" s="1399">
        <f t="shared" si="124"/>
        <v>0</v>
      </c>
      <c r="BF63" s="1399">
        <f t="shared" si="125"/>
        <v>0</v>
      </c>
      <c r="BG63" s="1399"/>
      <c r="BH63" s="1399">
        <f t="shared" si="126"/>
        <v>0</v>
      </c>
      <c r="BI63" s="1399">
        <f t="shared" si="127"/>
        <v>0</v>
      </c>
      <c r="BJ63" s="1422">
        <f t="shared" si="128"/>
        <v>0</v>
      </c>
      <c r="BK63" s="1422">
        <f t="shared" si="129"/>
        <v>0</v>
      </c>
      <c r="BL63" s="1422">
        <f t="shared" si="130"/>
        <v>164.33801182849055</v>
      </c>
      <c r="BM63" s="1423">
        <f t="shared" si="131"/>
        <v>0.80949364419239656</v>
      </c>
      <c r="BN63" s="1399">
        <f t="shared" si="132"/>
        <v>0</v>
      </c>
      <c r="BO63" s="1399">
        <f t="shared" si="133"/>
        <v>0</v>
      </c>
      <c r="BP63" s="1399">
        <f t="shared" si="134"/>
        <v>0</v>
      </c>
      <c r="BQ63" s="1424">
        <f t="shared" si="135"/>
        <v>80.139870775047257</v>
      </c>
      <c r="BR63" s="1391">
        <v>0.09</v>
      </c>
      <c r="BS63" s="1430">
        <f t="shared" si="136"/>
        <v>770.02184951999993</v>
      </c>
      <c r="BT63" s="1399">
        <f t="shared" si="137"/>
        <v>7.2778827977315688</v>
      </c>
      <c r="BU63" s="1399">
        <f t="shared" si="138"/>
        <v>48.765267319093709</v>
      </c>
      <c r="BV63" s="1399">
        <f t="shared" si="139"/>
        <v>-31.374603455953547</v>
      </c>
      <c r="BW63" s="1422">
        <f t="shared" si="140"/>
        <v>-298.74897410758967</v>
      </c>
      <c r="BX63" s="1419"/>
    </row>
    <row r="64" spans="1:76" ht="16" customHeight="1">
      <c r="A64" s="1412">
        <v>36</v>
      </c>
      <c r="B64" s="1455" t="s">
        <v>86</v>
      </c>
      <c r="C64" s="1454" t="s">
        <v>90</v>
      </c>
      <c r="D64" s="1387">
        <f>'T-1'!R67</f>
        <v>35</v>
      </c>
      <c r="E64" s="1386">
        <f t="shared" si="103"/>
        <v>35</v>
      </c>
      <c r="F64" s="1471"/>
      <c r="G64" s="1422">
        <f>'T-1'!P67</f>
        <v>0</v>
      </c>
      <c r="H64" s="1422">
        <f>'T-1'!Q67</f>
        <v>0</v>
      </c>
      <c r="I64" s="1472"/>
      <c r="J64" s="1464"/>
      <c r="K64" s="1658">
        <f>435+20+30</f>
        <v>485</v>
      </c>
      <c r="L64" s="1373"/>
      <c r="M64" s="1373"/>
      <c r="N64" s="1373"/>
      <c r="O64" s="1467">
        <v>0</v>
      </c>
      <c r="P64" s="1465"/>
      <c r="Q64" s="1414"/>
      <c r="R64" s="1430">
        <f t="shared" si="109"/>
        <v>485</v>
      </c>
      <c r="S64" s="1467">
        <v>0.8</v>
      </c>
      <c r="T64" s="1887">
        <f>(H64*J64*S64*12)/100000</f>
        <v>0</v>
      </c>
      <c r="U64" s="1887">
        <f>((E64*K64+F64*L64))/10</f>
        <v>1697.5</v>
      </c>
      <c r="V64" s="1464"/>
      <c r="W64" s="1655">
        <f t="shared" si="110"/>
        <v>0</v>
      </c>
      <c r="X64" s="1399">
        <f t="shared" si="111"/>
        <v>1697.5</v>
      </c>
      <c r="Y64" s="1465"/>
      <c r="Z64" s="1388">
        <f t="shared" si="112"/>
        <v>480.15</v>
      </c>
      <c r="AA64" s="1465"/>
      <c r="AB64" s="1655"/>
      <c r="AC64" s="1423">
        <f>X64-AB64</f>
        <v>1697.5</v>
      </c>
      <c r="AD64" s="1655">
        <f t="shared" si="114"/>
        <v>16.975000000000001</v>
      </c>
      <c r="AE64" s="1655"/>
      <c r="AF64" s="1655"/>
      <c r="AG64" s="1655">
        <f t="shared" si="152"/>
        <v>0</v>
      </c>
      <c r="AH64" s="1424">
        <f t="shared" si="117"/>
        <v>1680.5250000000001</v>
      </c>
      <c r="AI64" s="1464"/>
      <c r="AJ64" s="1658">
        <f>435+20+30</f>
        <v>485</v>
      </c>
      <c r="AK64" s="1373"/>
      <c r="AL64" s="1373"/>
      <c r="AM64" s="1373"/>
      <c r="AN64" s="1467">
        <v>0</v>
      </c>
      <c r="AO64" s="1419"/>
      <c r="AP64" s="1419"/>
      <c r="AQ64" s="1422">
        <f t="shared" si="108"/>
        <v>485</v>
      </c>
      <c r="AR64" s="1399"/>
      <c r="AS64" s="1399">
        <f>(H64*AI64*0.8*12)/100000</f>
        <v>0</v>
      </c>
      <c r="AT64" s="1399">
        <f>(E64*AJ64+F64*AK64)/10</f>
        <v>1697.5</v>
      </c>
      <c r="AU64" s="1447"/>
      <c r="AV64" s="1399">
        <f t="shared" si="118"/>
        <v>0</v>
      </c>
      <c r="AW64" s="1399">
        <f t="shared" si="119"/>
        <v>1697.5</v>
      </c>
      <c r="AX64" s="1889"/>
      <c r="AY64" s="1422">
        <f>(BB64-BM64-BN64+BO64-BP64)/D64*10</f>
        <v>480.15</v>
      </c>
      <c r="AZ64" s="1419"/>
      <c r="BA64" s="1399"/>
      <c r="BB64" s="1399">
        <f t="shared" si="121"/>
        <v>1697.5</v>
      </c>
      <c r="BC64" s="1399">
        <f t="shared" si="122"/>
        <v>1697.5</v>
      </c>
      <c r="BD64" s="1399">
        <f t="shared" si="123"/>
        <v>0</v>
      </c>
      <c r="BE64" s="1399">
        <f t="shared" si="124"/>
        <v>0</v>
      </c>
      <c r="BF64" s="1399">
        <f t="shared" si="125"/>
        <v>0</v>
      </c>
      <c r="BG64" s="1399"/>
      <c r="BH64" s="1399">
        <f t="shared" si="126"/>
        <v>0</v>
      </c>
      <c r="BI64" s="1399">
        <f t="shared" si="127"/>
        <v>0</v>
      </c>
      <c r="BJ64" s="1422">
        <f t="shared" si="128"/>
        <v>0</v>
      </c>
      <c r="BK64" s="1422">
        <f t="shared" si="129"/>
        <v>0</v>
      </c>
      <c r="BL64" s="1422">
        <f t="shared" si="130"/>
        <v>103.40419233816185</v>
      </c>
      <c r="BM64" s="1423">
        <f t="shared" si="131"/>
        <v>16.975000000000001</v>
      </c>
      <c r="BN64" s="1399"/>
      <c r="BO64" s="1399"/>
      <c r="BP64" s="1399">
        <f t="shared" si="134"/>
        <v>0</v>
      </c>
      <c r="BQ64" s="1424">
        <f t="shared" si="135"/>
        <v>1680.5250000000001</v>
      </c>
      <c r="BR64" s="1391">
        <v>0.09</v>
      </c>
      <c r="BS64" s="1430">
        <f t="shared" si="136"/>
        <v>484.51499999999999</v>
      </c>
      <c r="BT64" s="1399">
        <f t="shared" si="137"/>
        <v>152.77500000000001</v>
      </c>
      <c r="BU64" s="1399">
        <f t="shared" si="138"/>
        <v>1625.2000639434359</v>
      </c>
      <c r="BV64" s="1399">
        <f t="shared" si="139"/>
        <v>-55.324936056564184</v>
      </c>
      <c r="BW64" s="1422">
        <f t="shared" si="140"/>
        <v>-15.807124587589767</v>
      </c>
      <c r="BX64" s="1490"/>
    </row>
    <row r="65" spans="1:76" ht="16" customHeight="1">
      <c r="A65" s="1412">
        <v>37</v>
      </c>
      <c r="B65" s="1455" t="s">
        <v>358</v>
      </c>
      <c r="C65" s="1454" t="s">
        <v>90</v>
      </c>
      <c r="D65" s="1387">
        <f>'T-1'!R68</f>
        <v>0</v>
      </c>
      <c r="E65" s="1386">
        <f t="shared" si="103"/>
        <v>0</v>
      </c>
      <c r="F65" s="1471"/>
      <c r="G65" s="1422">
        <f>'T-1'!P68</f>
        <v>0</v>
      </c>
      <c r="H65" s="1422">
        <f>'T-1'!Q68</f>
        <v>0</v>
      </c>
      <c r="I65" s="1472"/>
      <c r="J65" s="1464"/>
      <c r="K65" s="1658"/>
      <c r="L65" s="1373"/>
      <c r="M65" s="1373"/>
      <c r="N65" s="1373"/>
      <c r="O65" s="1467"/>
      <c r="P65" s="1465"/>
      <c r="Q65" s="1414"/>
      <c r="R65" s="1430"/>
      <c r="S65" s="1430"/>
      <c r="T65" s="1467"/>
      <c r="U65" s="1887">
        <f>((E65*K65+F65*L65))/10</f>
        <v>0</v>
      </c>
      <c r="V65" s="1464"/>
      <c r="W65" s="1655">
        <f t="shared" si="110"/>
        <v>0</v>
      </c>
      <c r="X65" s="1399">
        <f t="shared" si="111"/>
        <v>0</v>
      </c>
      <c r="Y65" s="1465"/>
      <c r="Z65" s="1381"/>
      <c r="AA65" s="1465"/>
      <c r="AB65" s="1655"/>
      <c r="AC65" s="1423">
        <f>X65-AB65</f>
        <v>0</v>
      </c>
      <c r="AD65" s="1655"/>
      <c r="AE65" s="1655"/>
      <c r="AF65" s="1655"/>
      <c r="AG65" s="952"/>
      <c r="AH65" s="1424"/>
      <c r="AI65" s="1491"/>
      <c r="AJ65" s="1658"/>
      <c r="AK65" s="1373"/>
      <c r="AL65" s="1445"/>
      <c r="AM65" s="1445"/>
      <c r="AN65" s="1472"/>
      <c r="AO65" s="1489"/>
      <c r="AP65" s="1419"/>
      <c r="AQ65" s="1489"/>
      <c r="AR65" s="1399"/>
      <c r="AS65" s="1399"/>
      <c r="AT65" s="1399">
        <f>(E65*AJ65+F65*AK65)/10</f>
        <v>0</v>
      </c>
      <c r="AU65" s="1447"/>
      <c r="AV65" s="1399">
        <f t="shared" si="118"/>
        <v>0</v>
      </c>
      <c r="AW65" s="1399">
        <f t="shared" si="119"/>
        <v>0</v>
      </c>
      <c r="AX65" s="1889"/>
      <c r="AY65" s="1422"/>
      <c r="AZ65" s="1419"/>
      <c r="BA65" s="1489"/>
      <c r="BB65" s="1399">
        <f t="shared" si="121"/>
        <v>0</v>
      </c>
      <c r="BC65" s="1399">
        <f t="shared" si="122"/>
        <v>0</v>
      </c>
      <c r="BD65" s="1399">
        <f t="shared" si="123"/>
        <v>0</v>
      </c>
      <c r="BE65" s="1399">
        <f t="shared" si="124"/>
        <v>0</v>
      </c>
      <c r="BF65" s="1399">
        <f t="shared" si="125"/>
        <v>0</v>
      </c>
      <c r="BG65" s="1399"/>
      <c r="BH65" s="1399">
        <f t="shared" si="126"/>
        <v>0</v>
      </c>
      <c r="BI65" s="1399">
        <f t="shared" si="127"/>
        <v>0</v>
      </c>
      <c r="BJ65" s="1422">
        <f t="shared" si="128"/>
        <v>0</v>
      </c>
      <c r="BK65" s="1422"/>
      <c r="BL65" s="1422">
        <f t="shared" si="130"/>
        <v>0</v>
      </c>
      <c r="BM65" s="1423"/>
      <c r="BN65" s="1489"/>
      <c r="BO65" s="1489"/>
      <c r="BP65" s="1489"/>
      <c r="BQ65" s="1424">
        <f t="shared" si="135"/>
        <v>0</v>
      </c>
      <c r="BR65" s="1391">
        <v>0.09</v>
      </c>
      <c r="BS65" s="1430"/>
      <c r="BT65" s="1399">
        <f t="shared" si="137"/>
        <v>0</v>
      </c>
      <c r="BU65" s="1399">
        <f t="shared" si="138"/>
        <v>0</v>
      </c>
      <c r="BV65" s="1399">
        <f t="shared" si="139"/>
        <v>0</v>
      </c>
      <c r="BW65" s="1422"/>
      <c r="BX65" s="1490"/>
    </row>
    <row r="66" spans="1:76" ht="16" customHeight="1">
      <c r="A66" s="1420"/>
      <c r="B66" s="1461" t="s">
        <v>185</v>
      </c>
      <c r="C66" s="1454"/>
      <c r="D66" s="1462">
        <f t="shared" ref="D66:I66" si="161">SUM(D54:D65)</f>
        <v>3596.6131026868115</v>
      </c>
      <c r="E66" s="1462">
        <f t="shared" si="161"/>
        <v>3455.1253540321904</v>
      </c>
      <c r="F66" s="1462">
        <f t="shared" si="161"/>
        <v>141.48774865462119</v>
      </c>
      <c r="G66" s="1463">
        <f t="shared" si="161"/>
        <v>46</v>
      </c>
      <c r="H66" s="1463">
        <f t="shared" si="161"/>
        <v>1233444</v>
      </c>
      <c r="I66" s="1463">
        <f t="shared" si="161"/>
        <v>0</v>
      </c>
      <c r="J66" s="1464"/>
      <c r="K66" s="1668"/>
      <c r="L66" s="1668"/>
      <c r="M66" s="1668"/>
      <c r="N66" s="1668"/>
      <c r="O66" s="1467"/>
      <c r="P66" s="1467"/>
      <c r="Q66" s="1424"/>
      <c r="R66" s="1436">
        <f>X66/D66*10</f>
        <v>658.66710613957616</v>
      </c>
      <c r="S66" s="1436"/>
      <c r="T66" s="1478">
        <f>SUM(T55:T64)</f>
        <v>30970.656000000003</v>
      </c>
      <c r="U66" s="1479">
        <f t="shared" ref="U66:AB66" si="162">SUM(U54:U65)</f>
        <v>205955.22010235416</v>
      </c>
      <c r="V66" s="1466">
        <f t="shared" si="162"/>
        <v>0</v>
      </c>
      <c r="W66" s="1466">
        <f t="shared" si="162"/>
        <v>3.6959999999999997</v>
      </c>
      <c r="X66" s="1466">
        <f t="shared" si="162"/>
        <v>236897.07442504048</v>
      </c>
      <c r="Y66" s="1467"/>
      <c r="Z66" s="1468">
        <f>(AC66-AD66-AE66+AF66-AG66)/D66*10</f>
        <v>652.15159584766855</v>
      </c>
      <c r="AA66" s="1479">
        <f>SUM(AA54:AA65)</f>
        <v>0</v>
      </c>
      <c r="AB66" s="1466">
        <f t="shared" si="162"/>
        <v>0</v>
      </c>
      <c r="AC66" s="1479">
        <f>SUM(AC54:AC65)</f>
        <v>236897.07442504048</v>
      </c>
      <c r="AD66" s="1479">
        <f>SUM(AD54:AD65)</f>
        <v>2343.3769686566293</v>
      </c>
      <c r="AE66" s="1466">
        <f>SUM(AE54:AE65)</f>
        <v>0</v>
      </c>
      <c r="AF66" s="952">
        <f>SUM(AF55:AF65)</f>
        <v>0</v>
      </c>
      <c r="AG66" s="952">
        <f>SUM(AG55:AG65)</f>
        <v>0</v>
      </c>
      <c r="AH66" s="1466">
        <f>SUM(AH54:AH65)</f>
        <v>234553.69745638384</v>
      </c>
      <c r="AI66" s="1491"/>
      <c r="AJ66" s="1445"/>
      <c r="AK66" s="1445"/>
      <c r="AL66" s="1445"/>
      <c r="AM66" s="1445"/>
      <c r="AN66" s="1445"/>
      <c r="AO66" s="1446"/>
      <c r="AP66" s="1446"/>
      <c r="AQ66" s="1442">
        <f>(AW66/D66)*10</f>
        <v>658.66710613957616</v>
      </c>
      <c r="AR66" s="1427"/>
      <c r="AS66" s="1480">
        <f>SUM(AS55:AS65)</f>
        <v>30965.351999999999</v>
      </c>
      <c r="AT66" s="1480">
        <f>SUM(AT55:AT65)</f>
        <v>205955.22010235416</v>
      </c>
      <c r="AU66" s="1480">
        <f>SUM(AU55:AU64)</f>
        <v>0</v>
      </c>
      <c r="AV66" s="1480">
        <f>SUM(AV55:AV65)</f>
        <v>3.6959999999999997</v>
      </c>
      <c r="AW66" s="1480">
        <f>SUM(AW55:AW65)</f>
        <v>236897.07442504048</v>
      </c>
      <c r="AX66" s="1889"/>
      <c r="AY66" s="1442">
        <f>(BB66-BM66-BN66+BO66-BP66)/(D66*0.98)*10</f>
        <v>665.4608120894577</v>
      </c>
      <c r="AZ66" s="1492">
        <f>SUM(AZ55:AZ65)</f>
        <v>0</v>
      </c>
      <c r="BA66" s="1482">
        <f>SUM(BA55:BA65)</f>
        <v>0</v>
      </c>
      <c r="BB66" s="1493">
        <f>SUM(BB55:BB65)</f>
        <v>236897.07442504048</v>
      </c>
      <c r="BC66" s="1493">
        <f>SUM(BC55:BC65)</f>
        <v>236897.07442504048</v>
      </c>
      <c r="BD66" s="1480">
        <f t="shared" ref="BD66:BI66" si="163">SUM(BD55:BD64)</f>
        <v>0</v>
      </c>
      <c r="BE66" s="1480">
        <f t="shared" si="163"/>
        <v>0</v>
      </c>
      <c r="BF66" s="1480">
        <f t="shared" si="163"/>
        <v>0</v>
      </c>
      <c r="BG66" s="1480">
        <f t="shared" si="163"/>
        <v>0</v>
      </c>
      <c r="BH66" s="1480">
        <f t="shared" si="163"/>
        <v>0</v>
      </c>
      <c r="BI66" s="1480">
        <f t="shared" si="163"/>
        <v>0</v>
      </c>
      <c r="BJ66" s="1442">
        <f t="shared" si="128"/>
        <v>13.309216241789159</v>
      </c>
      <c r="BK66" s="1442">
        <f t="shared" si="129"/>
        <v>2.0408163265306132</v>
      </c>
      <c r="BL66" s="1442">
        <f t="shared" si="130"/>
        <v>143.3123769797098</v>
      </c>
      <c r="BM66" s="1482">
        <f>SUM(BM55:BM65)</f>
        <v>2343.3769686566293</v>
      </c>
      <c r="BN66" s="1480">
        <f>SUM(BN55:BN65)</f>
        <v>0</v>
      </c>
      <c r="BO66" s="1482">
        <f>SUM(BO55:BO65)</f>
        <v>0</v>
      </c>
      <c r="BP66" s="1482">
        <f>SUM(BP55:BP65)</f>
        <v>0</v>
      </c>
      <c r="BQ66" s="1482">
        <f>SUM(BQ55:BQ65)</f>
        <v>234553.69745638384</v>
      </c>
      <c r="BR66" s="1447"/>
      <c r="BS66" s="1436">
        <f t="shared" si="136"/>
        <v>669.18814314168685</v>
      </c>
      <c r="BT66" s="1480">
        <f>SUM(BT55:BT65)</f>
        <v>13405.767700498965</v>
      </c>
      <c r="BU66" s="1494">
        <f>SUM(BU55:BU65)</f>
        <v>166984.29989602699</v>
      </c>
      <c r="BV66" s="1494">
        <f>SUM(BV55:BV65)</f>
        <v>-67569.397560356854</v>
      </c>
      <c r="BW66" s="1442">
        <f t="shared" si="140"/>
        <v>-187.86951954848814</v>
      </c>
      <c r="BX66" s="1446"/>
    </row>
    <row r="67" spans="1:76" ht="16" customHeight="1">
      <c r="A67" s="1420"/>
      <c r="B67" s="1461" t="s">
        <v>359</v>
      </c>
      <c r="C67" s="1454"/>
      <c r="D67" s="1462">
        <f t="shared" ref="D67:I67" si="164">D66+D53+D34</f>
        <v>9798.4795604474202</v>
      </c>
      <c r="E67" s="1462">
        <f t="shared" si="164"/>
        <v>5796.7405817490408</v>
      </c>
      <c r="F67" s="1462">
        <f t="shared" si="164"/>
        <v>464.60809869837874</v>
      </c>
      <c r="G67" s="1463">
        <f t="shared" si="164"/>
        <v>2058897</v>
      </c>
      <c r="H67" s="1463">
        <f t="shared" si="164"/>
        <v>4841068.30528</v>
      </c>
      <c r="I67" s="1463">
        <f t="shared" si="164"/>
        <v>1421269.97612</v>
      </c>
      <c r="J67" s="1464"/>
      <c r="K67" s="955"/>
      <c r="L67" s="955"/>
      <c r="M67" s="955"/>
      <c r="N67" s="955"/>
      <c r="O67" s="1465"/>
      <c r="P67" s="1465"/>
      <c r="Q67" s="1414"/>
      <c r="R67" s="1436">
        <f>X67/D67*10</f>
        <v>591.99724829320689</v>
      </c>
      <c r="S67" s="1436"/>
      <c r="T67" s="1479">
        <f>T66+T53+T34</f>
        <v>46797.329928000006</v>
      </c>
      <c r="U67" s="1479">
        <f>U66+U53+U34</f>
        <v>525402.1113108641</v>
      </c>
      <c r="V67" s="1479">
        <f>V66+V53+V34</f>
        <v>7856.2585626600003</v>
      </c>
      <c r="W67" s="1466">
        <f>W66+W53+W34</f>
        <v>44.0916</v>
      </c>
      <c r="X67" s="1479">
        <f>X66+X53+X34</f>
        <v>580067.29372421047</v>
      </c>
      <c r="Y67" s="1465"/>
      <c r="Z67" s="1468">
        <f>(AC67-AD67-AE67+AF67-AG67)/D67*10</f>
        <v>585.78389885584841</v>
      </c>
      <c r="AA67" s="1495">
        <f t="shared" ref="AA67:AH67" si="165">AA66+AA53+AA34</f>
        <v>934.8921499999999</v>
      </c>
      <c r="AB67" s="1479">
        <f t="shared" si="165"/>
        <v>934.89215000000002</v>
      </c>
      <c r="AC67" s="1479">
        <f t="shared" si="165"/>
        <v>579132.40157421038</v>
      </c>
      <c r="AD67" s="1479">
        <f t="shared" si="165"/>
        <v>5153.2455954630786</v>
      </c>
      <c r="AE67" s="1479">
        <f t="shared" si="165"/>
        <v>9.2430000000000009E-7</v>
      </c>
      <c r="AF67" s="952">
        <f>AF66+AF53+AF34</f>
        <v>0</v>
      </c>
      <c r="AG67" s="952">
        <f>AG66+AG53+AG34</f>
        <v>0</v>
      </c>
      <c r="AH67" s="1479">
        <f t="shared" si="165"/>
        <v>575116.21477269684</v>
      </c>
      <c r="AI67" s="1491"/>
      <c r="AJ67" s="1445"/>
      <c r="AK67" s="1445"/>
      <c r="AL67" s="1419"/>
      <c r="AM67" s="1419"/>
      <c r="AN67" s="1445"/>
      <c r="AO67" s="1419"/>
      <c r="AP67" s="1419"/>
      <c r="AQ67" s="1442">
        <f>(AW67/D67)*10</f>
        <v>591.99724829320689</v>
      </c>
      <c r="AR67" s="1427"/>
      <c r="AS67" s="1479">
        <f>AS66+AS53+AS34</f>
        <v>46792.025928000003</v>
      </c>
      <c r="AT67" s="1479">
        <f>AT66+AT53+AT34</f>
        <v>525402.1113108641</v>
      </c>
      <c r="AU67" s="1479">
        <f>AU66+AU53+AU34</f>
        <v>7856.2585626600003</v>
      </c>
      <c r="AV67" s="1479">
        <f>AV66+AV53+AV34</f>
        <v>44.0916</v>
      </c>
      <c r="AW67" s="1479">
        <f>AW66+AW53+AW34</f>
        <v>580067.29372421047</v>
      </c>
      <c r="AX67" s="1419"/>
      <c r="AY67" s="1442">
        <f>(BB67-BM67-BN67+BO67-BP67)/(D67*0.976)*10</f>
        <v>600.18842095886112</v>
      </c>
      <c r="AZ67" s="1495">
        <f t="shared" ref="AZ67:BI67" si="166">AZ66+AZ53+AZ34</f>
        <v>934.8921499999999</v>
      </c>
      <c r="BA67" s="1479">
        <f t="shared" si="166"/>
        <v>934.89215000000002</v>
      </c>
      <c r="BB67" s="1496">
        <f t="shared" si="166"/>
        <v>579132.40157421038</v>
      </c>
      <c r="BC67" s="1496">
        <f t="shared" si="166"/>
        <v>579132.40157421038</v>
      </c>
      <c r="BD67" s="1466">
        <f t="shared" si="166"/>
        <v>0</v>
      </c>
      <c r="BE67" s="1466">
        <f t="shared" si="166"/>
        <v>0</v>
      </c>
      <c r="BF67" s="1466">
        <f t="shared" si="166"/>
        <v>0</v>
      </c>
      <c r="BG67" s="1466">
        <f t="shared" si="166"/>
        <v>0</v>
      </c>
      <c r="BH67" s="1466">
        <f t="shared" si="166"/>
        <v>0</v>
      </c>
      <c r="BI67" s="1466">
        <f t="shared" si="166"/>
        <v>0</v>
      </c>
      <c r="BJ67" s="1442">
        <f t="shared" si="128"/>
        <v>14.40452210301271</v>
      </c>
      <c r="BK67" s="1427">
        <f t="shared" si="129"/>
        <v>2.4590163934426306</v>
      </c>
      <c r="BL67" s="1442">
        <f>AY67/$E$72*100</f>
        <v>90.526348045108321</v>
      </c>
      <c r="BM67" s="1479">
        <f>BM66+BM53+BM34</f>
        <v>5153.2455954630786</v>
      </c>
      <c r="BN67" s="1479">
        <f>BN66+BN53+BN34</f>
        <v>9.2430000000000009E-7</v>
      </c>
      <c r="BO67" s="1479">
        <f>BO66+BO53+BO34</f>
        <v>0</v>
      </c>
      <c r="BP67" s="1479">
        <f>BP66+BP53+BP34</f>
        <v>0</v>
      </c>
      <c r="BQ67" s="1479">
        <f>BQ66+BQ53+BQ34</f>
        <v>575116.21477269684</v>
      </c>
      <c r="BR67" s="1447"/>
      <c r="BS67" s="1436">
        <f t="shared" si="136"/>
        <v>603.41221585724611</v>
      </c>
      <c r="BT67" s="1479">
        <f>BT66+BT53+BT34</f>
        <v>31588.288418899931</v>
      </c>
      <c r="BU67" s="1479">
        <f>BU66+BU53+BU34</f>
        <v>548159.2824982577</v>
      </c>
      <c r="BV67" s="1466">
        <f>BV66+BV53+BV34</f>
        <v>-26956.932274439248</v>
      </c>
      <c r="BW67" s="1442">
        <f t="shared" si="140"/>
        <v>-27.511342048672226</v>
      </c>
      <c r="BX67" s="1419"/>
    </row>
    <row r="68" spans="1:76" ht="33" customHeight="1">
      <c r="A68" s="62"/>
      <c r="B68" s="587"/>
      <c r="C68" s="184" t="s">
        <v>360</v>
      </c>
      <c r="D68" s="184" t="s">
        <v>361</v>
      </c>
      <c r="E68" s="184" t="s">
        <v>362</v>
      </c>
      <c r="K68" s="96"/>
      <c r="M68" s="176"/>
      <c r="N68" s="176"/>
      <c r="R68" s="176"/>
      <c r="S68" s="176"/>
      <c r="AC68" s="96"/>
      <c r="AD68" s="96"/>
      <c r="AI68" s="176"/>
      <c r="AJ68" s="176"/>
      <c r="AK68" s="176"/>
      <c r="AN68" s="176"/>
      <c r="BA68" s="588"/>
      <c r="BB68" s="433"/>
      <c r="BC68" s="173"/>
      <c r="BF68" s="96"/>
      <c r="BG68" s="96"/>
      <c r="BH68" s="96"/>
      <c r="BI68" s="96"/>
      <c r="BJ68" s="96"/>
      <c r="BK68" s="96"/>
      <c r="BL68" s="148"/>
      <c r="BM68" s="177"/>
      <c r="BR68" s="148"/>
      <c r="BT68" s="148"/>
      <c r="BU68" s="96"/>
    </row>
    <row r="69" spans="1:76">
      <c r="A69" s="62"/>
      <c r="B69" s="587" t="s">
        <v>363</v>
      </c>
      <c r="C69" s="110">
        <f>D34</f>
        <v>3544.0999999999995</v>
      </c>
      <c r="D69" s="185">
        <f>E69/100</f>
        <v>6.6291015061692429</v>
      </c>
      <c r="E69" s="186">
        <f>'F-5'!N21</f>
        <v>662.91015061692428</v>
      </c>
      <c r="F69" s="60"/>
      <c r="K69" s="176"/>
      <c r="M69" s="176"/>
      <c r="N69" s="176"/>
      <c r="R69" s="176"/>
      <c r="S69" s="176"/>
      <c r="T69" s="96"/>
      <c r="U69" s="96"/>
      <c r="V69" s="96"/>
      <c r="W69" s="96"/>
      <c r="X69" s="96"/>
      <c r="Z69" s="96"/>
      <c r="AA69" s="96"/>
      <c r="AB69" s="96"/>
      <c r="AC69" s="96"/>
      <c r="AD69" s="96"/>
      <c r="AE69" s="96"/>
      <c r="AF69" s="96"/>
      <c r="AG69" s="96"/>
      <c r="AH69" s="96"/>
      <c r="AI69" s="176"/>
      <c r="AJ69" s="176"/>
      <c r="AK69" s="176"/>
      <c r="AN69" s="176"/>
      <c r="AS69" s="96"/>
      <c r="AT69" s="96"/>
      <c r="AU69" s="96"/>
      <c r="AV69" s="96"/>
      <c r="AW69" s="96"/>
      <c r="AX69" s="96"/>
      <c r="BB69" s="96"/>
      <c r="BE69" s="96"/>
      <c r="BF69" s="96"/>
      <c r="BM69" s="177"/>
      <c r="BN69" s="96"/>
      <c r="BO69" s="96"/>
      <c r="BP69" s="96"/>
      <c r="BQ69" s="96"/>
      <c r="BU69" s="96"/>
    </row>
    <row r="70" spans="1:76">
      <c r="A70" s="62"/>
      <c r="B70" s="587" t="s">
        <v>364</v>
      </c>
      <c r="C70" s="110">
        <f>D53</f>
        <v>2657.7664577606079</v>
      </c>
      <c r="D70" s="185">
        <f>E70/100</f>
        <v>5.5021010478588162</v>
      </c>
      <c r="E70" s="186">
        <f>'F-5'!M21</f>
        <v>550.21010478588164</v>
      </c>
      <c r="F70" s="96"/>
      <c r="G70" s="60"/>
      <c r="H70" s="149"/>
      <c r="M70" s="176"/>
      <c r="N70" s="176"/>
      <c r="R70" s="176"/>
      <c r="S70" s="176"/>
      <c r="T70" s="96"/>
      <c r="U70" s="96"/>
      <c r="V70" s="96"/>
      <c r="W70" s="96"/>
      <c r="X70" s="96"/>
      <c r="Y70" s="96"/>
      <c r="Z70" s="96"/>
      <c r="AA70" s="96"/>
      <c r="AB70" s="96"/>
      <c r="AC70" s="96"/>
      <c r="AD70" s="96"/>
      <c r="AE70" s="96"/>
      <c r="AF70" s="96"/>
      <c r="AG70" s="96"/>
      <c r="AH70" s="96"/>
      <c r="AI70" s="176"/>
      <c r="AN70" s="176"/>
      <c r="BU70" s="96"/>
    </row>
    <row r="71" spans="1:76">
      <c r="A71" s="62"/>
      <c r="B71" s="587" t="s">
        <v>365</v>
      </c>
      <c r="C71" s="110">
        <f>D66</f>
        <v>3596.6131026868115</v>
      </c>
      <c r="D71" s="185">
        <f>E71/100</f>
        <v>4.6434287541241028</v>
      </c>
      <c r="E71" s="186">
        <f>'F-5'!L21</f>
        <v>464.34287541241031</v>
      </c>
      <c r="F71" s="96"/>
      <c r="G71" s="60"/>
      <c r="H71" s="149"/>
      <c r="M71" s="176"/>
      <c r="N71" s="176"/>
      <c r="R71" s="176"/>
      <c r="S71" s="176"/>
      <c r="T71" s="96"/>
      <c r="U71" s="96"/>
      <c r="V71" s="96"/>
      <c r="W71" s="96"/>
      <c r="X71" s="96"/>
      <c r="Y71" s="96"/>
      <c r="Z71" s="96"/>
      <c r="AA71" s="96"/>
      <c r="AB71" s="96"/>
      <c r="AC71" s="96"/>
      <c r="AD71" s="96"/>
      <c r="AE71" s="96"/>
      <c r="AF71" s="96"/>
      <c r="AG71" s="96"/>
      <c r="AH71" s="96"/>
      <c r="AI71" s="176"/>
      <c r="AN71" s="176"/>
      <c r="BU71" s="96"/>
    </row>
    <row r="72" spans="1:76">
      <c r="A72" s="62"/>
      <c r="B72" s="587" t="s">
        <v>145</v>
      </c>
      <c r="C72" s="710">
        <f>SUM(C69:C71)</f>
        <v>9798.4795604474184</v>
      </c>
      <c r="D72" s="185">
        <f>E72/100</f>
        <v>6.6299860087120006</v>
      </c>
      <c r="E72" s="186">
        <f>'F-5'!O21</f>
        <v>662.9986008712001</v>
      </c>
      <c r="F72" s="96"/>
      <c r="G72" s="60"/>
      <c r="H72" s="149"/>
      <c r="M72" s="176"/>
      <c r="N72" s="176"/>
      <c r="R72" s="176"/>
      <c r="S72" s="176"/>
      <c r="AI72" s="176"/>
      <c r="AN72" s="176"/>
    </row>
    <row r="73" spans="1:76">
      <c r="A73" s="62"/>
      <c r="B73" s="587" t="s">
        <v>366</v>
      </c>
      <c r="F73" s="96"/>
      <c r="G73" s="60"/>
      <c r="H73" s="149"/>
      <c r="M73" s="176"/>
      <c r="N73" s="176"/>
      <c r="AI73" s="176"/>
      <c r="AN73" s="176"/>
    </row>
    <row r="74" spans="1:76">
      <c r="A74" s="62"/>
      <c r="M74" s="176"/>
      <c r="N74" s="176"/>
      <c r="AI74" s="176"/>
      <c r="AN74" s="176"/>
      <c r="BB74" s="96"/>
      <c r="BC74" s="96"/>
    </row>
    <row r="75" spans="1:76">
      <c r="A75" s="62"/>
      <c r="M75" s="176"/>
      <c r="N75" s="176"/>
      <c r="AI75" s="176"/>
      <c r="AN75" s="176"/>
      <c r="BB75" s="96"/>
      <c r="BC75" s="96"/>
    </row>
    <row r="76" spans="1:76" ht="16.5">
      <c r="A76" s="62"/>
      <c r="M76" s="176"/>
      <c r="N76" s="176"/>
      <c r="AI76" s="176"/>
      <c r="AN76" s="176"/>
      <c r="BL76" s="301"/>
      <c r="BN76" s="588"/>
      <c r="BO76" s="203"/>
      <c r="BP76" s="203"/>
      <c r="BQ76" s="203"/>
    </row>
    <row r="77" spans="1:76">
      <c r="A77" s="62"/>
      <c r="M77" s="176"/>
      <c r="N77" s="176"/>
      <c r="AI77" s="176"/>
      <c r="AN77" s="176"/>
      <c r="BO77" s="176"/>
      <c r="BP77" s="176"/>
      <c r="BQ77" s="176"/>
    </row>
    <row r="78" spans="1:76">
      <c r="A78" s="62"/>
      <c r="M78" s="176"/>
      <c r="N78" s="176"/>
      <c r="AI78" s="176"/>
      <c r="AN78" s="176"/>
      <c r="BN78" s="589"/>
      <c r="BO78" s="590"/>
      <c r="BP78" s="590"/>
      <c r="BQ78" s="590"/>
    </row>
    <row r="79" spans="1:76">
      <c r="A79" s="62"/>
      <c r="M79" s="176"/>
      <c r="N79" s="176"/>
      <c r="AI79" s="176"/>
      <c r="AN79" s="176"/>
      <c r="BO79" s="96"/>
      <c r="BP79" s="96"/>
      <c r="BQ79" s="96"/>
    </row>
    <row r="80" spans="1:76" ht="16.5">
      <c r="A80" s="62"/>
      <c r="AN80" s="176"/>
      <c r="BO80" s="173"/>
      <c r="BP80" s="173"/>
      <c r="BQ80" s="173"/>
    </row>
    <row r="81" spans="1:69" ht="16.5">
      <c r="A81" s="62"/>
      <c r="AN81" s="176"/>
      <c r="BN81" s="588"/>
      <c r="BO81" s="173"/>
      <c r="BP81" s="173"/>
      <c r="BQ81" s="173"/>
    </row>
    <row r="82" spans="1:69">
      <c r="A82" s="62"/>
      <c r="AN82" s="176"/>
    </row>
    <row r="83" spans="1:69">
      <c r="A83" s="62"/>
      <c r="AN83" s="176"/>
    </row>
    <row r="84" spans="1:69">
      <c r="A84" s="62"/>
      <c r="AN84" s="176"/>
    </row>
    <row r="85" spans="1:69">
      <c r="A85" s="62"/>
      <c r="AN85" s="176"/>
    </row>
    <row r="86" spans="1:69">
      <c r="A86" s="62"/>
      <c r="AN86" s="176"/>
    </row>
    <row r="93" spans="1:69">
      <c r="BB93" s="166"/>
      <c r="BC93" s="166" t="s">
        <v>367</v>
      </c>
      <c r="BD93" s="166" t="s">
        <v>368</v>
      </c>
      <c r="BE93" s="166" t="s">
        <v>145</v>
      </c>
      <c r="BG93" s="166" t="s">
        <v>369</v>
      </c>
    </row>
    <row r="94" spans="1:69">
      <c r="BB94" s="166" t="s">
        <v>44</v>
      </c>
      <c r="BC94" s="167">
        <f>BB34</f>
        <v>178166.79793265567</v>
      </c>
      <c r="BD94" s="167"/>
      <c r="BE94" s="167">
        <f>SUM(BC94:BD94)</f>
        <v>178166.79793265567</v>
      </c>
      <c r="BG94" s="168">
        <f>BE94/BE96</f>
        <v>0.52059733113115536</v>
      </c>
    </row>
    <row r="95" spans="1:69">
      <c r="BB95" s="166" t="s">
        <v>76</v>
      </c>
      <c r="BC95" s="167">
        <f>BB53</f>
        <v>164068.52921651423</v>
      </c>
      <c r="BD95" s="167"/>
      <c r="BE95" s="167">
        <f>SUM(BC95:BD95)</f>
        <v>164068.52921651423</v>
      </c>
      <c r="BG95" s="168">
        <f>BE95/BE96</f>
        <v>0.47940266886884475</v>
      </c>
    </row>
    <row r="96" spans="1:69">
      <c r="BB96" s="166"/>
      <c r="BC96" s="166"/>
      <c r="BD96" s="166"/>
      <c r="BE96" s="167">
        <f>SUM(BE94:BE95)</f>
        <v>342235.32714916987</v>
      </c>
      <c r="BG96" s="166"/>
    </row>
  </sheetData>
  <mergeCells count="4">
    <mergeCell ref="M6:N6"/>
    <mergeCell ref="P6:Q6"/>
    <mergeCell ref="AO6:AP6"/>
    <mergeCell ref="AL6:AM6"/>
  </mergeCells>
  <phoneticPr fontId="0" type="noConversion"/>
  <printOptions horizontalCentered="1" verticalCentered="1" gridLines="1"/>
  <pageMargins left="0.23622047244094491" right="0" top="0.19685039370078741" bottom="0.59055118110236227" header="0" footer="0.39370078740157483"/>
  <pageSetup paperSize="9" scale="62" fitToWidth="5" fitToHeight="12" orientation="landscape" blackAndWhite="1" r:id="rId1"/>
  <headerFooter alignWithMargins="0">
    <oddFooter xml:space="preserve">&amp;R
</oddFooter>
  </headerFooter>
  <rowBreaks count="1" manualBreakCount="1">
    <brk id="34" max="7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221"/>
  <sheetViews>
    <sheetView showGridLines="0" view="pageBreakPreview" zoomScaleSheetLayoutView="100" workbookViewId="0">
      <pane xSplit="2" ySplit="4" topLeftCell="C5" activePane="bottomRight" state="frozen"/>
      <selection pane="topRight" activeCell="C1" sqref="C1"/>
      <selection pane="bottomLeft" activeCell="A5" sqref="A5"/>
      <selection pane="bottomRight" activeCell="C9" sqref="C9"/>
    </sheetView>
  </sheetViews>
  <sheetFormatPr defaultColWidth="9.1796875" defaultRowHeight="14.5"/>
  <cols>
    <col min="1" max="1" width="6.81640625" style="1557" customWidth="1"/>
    <col min="2" max="2" width="9.1796875" style="1557"/>
    <col min="3" max="3" width="39.1796875" style="1557" bestFit="1" customWidth="1"/>
    <col min="4" max="4" width="11.7265625" style="1596" customWidth="1"/>
    <col min="5" max="5" width="6.453125" style="1596" customWidth="1"/>
    <col min="6" max="6" width="10.54296875" style="1557" customWidth="1"/>
    <col min="7" max="7" width="12.453125" style="1557" customWidth="1"/>
    <col min="8" max="8" width="8.26953125" style="1557" bestFit="1" customWidth="1"/>
    <col min="9" max="12" width="8.1796875" style="1557" customWidth="1"/>
    <col min="13" max="13" width="8.453125" style="1557" customWidth="1"/>
    <col min="14" max="14" width="8.54296875" style="1557" customWidth="1"/>
    <col min="15" max="15" width="9.453125" style="1557" customWidth="1"/>
    <col min="16" max="16" width="9.1796875" style="1557" customWidth="1"/>
    <col min="17" max="17" width="9.1796875" style="1557"/>
    <col min="18" max="18" width="7.7265625" style="1557" bestFit="1" customWidth="1"/>
    <col min="19" max="19" width="11.36328125" style="1557" bestFit="1" customWidth="1"/>
    <col min="20" max="20" width="11.81640625" style="1557" bestFit="1" customWidth="1"/>
    <col min="21" max="21" width="10.26953125" style="1557" bestFit="1" customWidth="1"/>
    <col min="22" max="16384" width="9.1796875" style="1557"/>
  </cols>
  <sheetData>
    <row r="1" spans="1:55" s="312" customFormat="1" ht="15" customHeight="1">
      <c r="B1" s="313" t="s">
        <v>2598</v>
      </c>
      <c r="D1" s="655" t="s">
        <v>370</v>
      </c>
      <c r="E1" s="654"/>
      <c r="Q1" s="59" t="s">
        <v>371</v>
      </c>
      <c r="Z1" s="314"/>
      <c r="AA1" s="315"/>
      <c r="AN1" s="314" t="s">
        <v>0</v>
      </c>
      <c r="AO1" s="315" t="s">
        <v>299</v>
      </c>
      <c r="BB1" s="314" t="s">
        <v>0</v>
      </c>
      <c r="BC1" s="315" t="s">
        <v>299</v>
      </c>
    </row>
    <row r="2" spans="1:55" ht="15.5">
      <c r="A2" s="1966" t="s">
        <v>372</v>
      </c>
      <c r="B2" s="1967"/>
      <c r="C2" s="1967"/>
      <c r="D2" s="1967"/>
      <c r="E2" s="1967"/>
      <c r="F2" s="1967"/>
      <c r="G2" s="1967"/>
      <c r="H2" s="1967"/>
      <c r="I2" s="1967"/>
      <c r="J2" s="1967"/>
      <c r="K2" s="1967"/>
      <c r="L2" s="1967"/>
      <c r="M2" s="1967"/>
      <c r="N2" s="1967"/>
      <c r="O2" s="1967"/>
      <c r="P2" s="1967"/>
      <c r="Q2" s="1967"/>
      <c r="R2" s="1967"/>
      <c r="S2" s="1968"/>
    </row>
    <row r="3" spans="1:55" s="1559" customFormat="1" ht="12.75" customHeight="1">
      <c r="A3" s="1965" t="s">
        <v>373</v>
      </c>
      <c r="B3" s="1965" t="s">
        <v>374</v>
      </c>
      <c r="C3" s="1965" t="s">
        <v>375</v>
      </c>
      <c r="D3" s="1965" t="s">
        <v>376</v>
      </c>
      <c r="E3" s="1965" t="s">
        <v>377</v>
      </c>
      <c r="F3" s="1965" t="s">
        <v>378</v>
      </c>
      <c r="G3" s="1965" t="s">
        <v>379</v>
      </c>
      <c r="H3" s="1965" t="s">
        <v>380</v>
      </c>
      <c r="I3" s="1969" t="s">
        <v>381</v>
      </c>
      <c r="J3" s="1969"/>
      <c r="K3" s="1969"/>
      <c r="L3" s="1969"/>
      <c r="M3" s="1969"/>
      <c r="N3" s="1969"/>
      <c r="O3" s="1969"/>
      <c r="P3" s="1558"/>
      <c r="Q3" s="1965" t="s">
        <v>382</v>
      </c>
      <c r="R3" s="1965" t="s">
        <v>383</v>
      </c>
      <c r="S3" s="1965" t="s">
        <v>384</v>
      </c>
    </row>
    <row r="4" spans="1:55" s="1559" customFormat="1" ht="45" customHeight="1">
      <c r="A4" s="1965"/>
      <c r="B4" s="1965"/>
      <c r="C4" s="1965"/>
      <c r="D4" s="1965"/>
      <c r="E4" s="1965"/>
      <c r="F4" s="1965"/>
      <c r="G4" s="1965"/>
      <c r="H4" s="1965"/>
      <c r="I4" s="1560">
        <v>45017</v>
      </c>
      <c r="J4" s="1560">
        <v>45047</v>
      </c>
      <c r="K4" s="1560">
        <v>45078</v>
      </c>
      <c r="L4" s="1560">
        <v>45108</v>
      </c>
      <c r="M4" s="1560">
        <v>45139</v>
      </c>
      <c r="N4" s="1560">
        <v>45170</v>
      </c>
      <c r="O4" s="1561" t="s">
        <v>214</v>
      </c>
      <c r="P4" s="1561" t="s">
        <v>214</v>
      </c>
      <c r="Q4" s="1965"/>
      <c r="R4" s="1965"/>
      <c r="S4" s="1965"/>
    </row>
    <row r="5" spans="1:55" s="1567" customFormat="1">
      <c r="A5" s="1562" t="s">
        <v>385</v>
      </c>
      <c r="B5" s="1562" t="s">
        <v>1884</v>
      </c>
      <c r="C5" s="1562"/>
      <c r="D5" s="1563"/>
      <c r="E5" s="1563"/>
      <c r="F5" s="1562"/>
      <c r="G5" s="1562"/>
      <c r="H5" s="1562"/>
      <c r="I5" s="1564"/>
      <c r="J5" s="1564"/>
      <c r="K5" s="1564"/>
      <c r="L5" s="1564"/>
      <c r="M5" s="1564"/>
      <c r="N5" s="1564"/>
      <c r="O5" s="1565" t="s">
        <v>386</v>
      </c>
      <c r="P5" s="1565" t="s">
        <v>387</v>
      </c>
      <c r="Q5" s="1566"/>
      <c r="R5" s="1566"/>
      <c r="S5" s="1564"/>
      <c r="X5" s="653"/>
    </row>
    <row r="6" spans="1:55">
      <c r="A6" s="1568">
        <v>1</v>
      </c>
      <c r="B6" s="1569" t="s">
        <v>1856</v>
      </c>
      <c r="C6" s="1568" t="s">
        <v>388</v>
      </c>
      <c r="D6" s="1570" t="s">
        <v>389</v>
      </c>
      <c r="E6" s="1570" t="s">
        <v>433</v>
      </c>
      <c r="F6" s="1568">
        <v>18000</v>
      </c>
      <c r="G6" s="1568">
        <v>0</v>
      </c>
      <c r="H6" s="1568">
        <f>F6+G6</f>
        <v>18000</v>
      </c>
      <c r="I6" s="1156">
        <v>8.0158500000000004</v>
      </c>
      <c r="J6" s="1156">
        <v>7.7230999999999996</v>
      </c>
      <c r="K6" s="1156">
        <v>7.0368500000000003</v>
      </c>
      <c r="L6" s="1156">
        <v>6.9322499999999998</v>
      </c>
      <c r="M6" s="1156">
        <v>7.2556500000000002</v>
      </c>
      <c r="N6" s="1156">
        <v>6.6282500000000004</v>
      </c>
      <c r="O6" s="1571">
        <f>SUM(I6:N6)</f>
        <v>43.591950000000004</v>
      </c>
      <c r="P6" s="1158">
        <v>42.989350000000002</v>
      </c>
      <c r="Q6" s="1553">
        <f>O6+N6*6</f>
        <v>83.361450000000005</v>
      </c>
      <c r="R6" s="1527">
        <f>(Q6*10^6)/(F6*24*30*12)</f>
        <v>0.53601755401234563</v>
      </c>
      <c r="S6" s="1553">
        <v>85</v>
      </c>
      <c r="T6" s="1572">
        <f>P6/O6</f>
        <v>0.98617634677962329</v>
      </c>
    </row>
    <row r="7" spans="1:55">
      <c r="A7" s="1568">
        <v>2</v>
      </c>
      <c r="B7" s="1569" t="s">
        <v>1856</v>
      </c>
      <c r="C7" s="1568" t="s">
        <v>1939</v>
      </c>
      <c r="D7" s="1570" t="s">
        <v>389</v>
      </c>
      <c r="E7" s="1570" t="s">
        <v>433</v>
      </c>
      <c r="F7" s="1568">
        <v>4000</v>
      </c>
      <c r="G7" s="1568">
        <v>0</v>
      </c>
      <c r="H7" s="1568">
        <f t="shared" ref="H7:H48" si="0">F7+G7</f>
        <v>4000</v>
      </c>
      <c r="I7" s="1157">
        <v>1.4965223399999998</v>
      </c>
      <c r="J7" s="1157">
        <v>0.98198388999999964</v>
      </c>
      <c r="K7" s="1157">
        <v>0.41680583339999988</v>
      </c>
      <c r="L7" s="1157">
        <v>0.61599000000000004</v>
      </c>
      <c r="M7" s="1157">
        <v>0.29700799999999999</v>
      </c>
      <c r="N7" s="1157">
        <v>4.7035300000000002E-2</v>
      </c>
      <c r="O7" s="1571">
        <f t="shared" ref="O7:O48" si="1">SUM(I7:N7)</f>
        <v>3.8553453633999992</v>
      </c>
      <c r="P7" s="1158">
        <v>3.5860423627000007</v>
      </c>
      <c r="Q7" s="1553">
        <f>O7+1</f>
        <v>4.8553453633999997</v>
      </c>
      <c r="R7" s="1527">
        <f t="shared" ref="R7:R49" si="2">(Q7*10^6)/(F7*24*30*12)</f>
        <v>0.14049031722800923</v>
      </c>
      <c r="S7" s="1553">
        <v>6</v>
      </c>
    </row>
    <row r="8" spans="1:55">
      <c r="A8" s="1568">
        <v>3</v>
      </c>
      <c r="B8" s="1569" t="s">
        <v>1857</v>
      </c>
      <c r="C8" s="1568" t="s">
        <v>390</v>
      </c>
      <c r="D8" s="1570" t="s">
        <v>389</v>
      </c>
      <c r="E8" s="1570" t="s">
        <v>433</v>
      </c>
      <c r="F8" s="1568">
        <v>30000</v>
      </c>
      <c r="G8" s="1568">
        <v>0</v>
      </c>
      <c r="H8" s="1568">
        <f t="shared" si="0"/>
        <v>30000</v>
      </c>
      <c r="I8" s="1157">
        <v>10.0199</v>
      </c>
      <c r="J8" s="1157">
        <v>11.686299999999999</v>
      </c>
      <c r="K8" s="1157">
        <v>11.430899999999999</v>
      </c>
      <c r="L8" s="1157">
        <v>12.2072</v>
      </c>
      <c r="M8" s="1157">
        <v>12.182700000000001</v>
      </c>
      <c r="N8" s="1157">
        <v>12.423</v>
      </c>
      <c r="O8" s="1571">
        <f t="shared" si="1"/>
        <v>69.95</v>
      </c>
      <c r="P8" s="1158">
        <v>67.415199999999999</v>
      </c>
      <c r="Q8" s="1553">
        <f>O8+N8*6</f>
        <v>144.488</v>
      </c>
      <c r="R8" s="1527">
        <f t="shared" si="2"/>
        <v>0.55743827160493831</v>
      </c>
      <c r="S8" s="1553">
        <v>160</v>
      </c>
    </row>
    <row r="9" spans="1:55">
      <c r="A9" s="1568">
        <v>4</v>
      </c>
      <c r="B9" s="1569" t="s">
        <v>1858</v>
      </c>
      <c r="C9" s="1568" t="s">
        <v>392</v>
      </c>
      <c r="D9" s="1570" t="s">
        <v>389</v>
      </c>
      <c r="E9" s="1570" t="s">
        <v>1863</v>
      </c>
      <c r="F9" s="1568">
        <v>6000</v>
      </c>
      <c r="G9" s="1568">
        <v>2000</v>
      </c>
      <c r="H9" s="1568">
        <f t="shared" si="0"/>
        <v>8000</v>
      </c>
      <c r="I9" s="1157">
        <v>1.6764904655999999</v>
      </c>
      <c r="J9" s="1157">
        <v>2.2055094763</v>
      </c>
      <c r="K9" s="1157">
        <v>2.0030009999999998</v>
      </c>
      <c r="L9" s="1157">
        <v>1.9802762957</v>
      </c>
      <c r="M9" s="1157">
        <v>2.0971403041999999</v>
      </c>
      <c r="N9" s="1157">
        <v>2.3472076982999996</v>
      </c>
      <c r="O9" s="1571">
        <f t="shared" si="1"/>
        <v>12.309625240099999</v>
      </c>
      <c r="P9" s="1158">
        <v>12.307</v>
      </c>
      <c r="Q9" s="1553">
        <f>O9+N9*6</f>
        <v>26.392871429899998</v>
      </c>
      <c r="R9" s="1527">
        <f t="shared" si="2"/>
        <v>0.50912174826195988</v>
      </c>
      <c r="S9" s="1553">
        <f>30+9</f>
        <v>39</v>
      </c>
    </row>
    <row r="10" spans="1:55">
      <c r="A10" s="1568">
        <v>5</v>
      </c>
      <c r="B10" s="1569" t="s">
        <v>1859</v>
      </c>
      <c r="C10" s="1568" t="s">
        <v>1862</v>
      </c>
      <c r="D10" s="1570" t="s">
        <v>389</v>
      </c>
      <c r="E10" s="1570" t="s">
        <v>433</v>
      </c>
      <c r="F10" s="1568">
        <v>12000</v>
      </c>
      <c r="G10" s="1568">
        <v>0</v>
      </c>
      <c r="H10" s="1568">
        <f t="shared" si="0"/>
        <v>12000</v>
      </c>
      <c r="I10" s="1157">
        <v>1.9311349199999999</v>
      </c>
      <c r="J10" s="1157">
        <v>0.38090504999999997</v>
      </c>
      <c r="K10" s="1157">
        <v>2.3673E-2</v>
      </c>
      <c r="L10" s="1157">
        <v>3.2209169999</v>
      </c>
      <c r="M10" s="1157">
        <v>0.26983649999999998</v>
      </c>
      <c r="N10" s="1157">
        <v>0.57780012999999997</v>
      </c>
      <c r="O10" s="1571">
        <f t="shared" si="1"/>
        <v>6.4042665998999997</v>
      </c>
      <c r="P10" s="1158">
        <v>5.9130520000000004</v>
      </c>
      <c r="Q10" s="1553">
        <f t="shared" ref="Q10:Q46" si="3">O10+N10*6</f>
        <v>9.8710673798999995</v>
      </c>
      <c r="R10" s="1527">
        <f t="shared" si="2"/>
        <v>9.5207054204282396E-2</v>
      </c>
      <c r="S10" s="1553">
        <v>10</v>
      </c>
      <c r="U10" s="1573"/>
    </row>
    <row r="11" spans="1:55">
      <c r="A11" s="1568">
        <v>6</v>
      </c>
      <c r="B11" s="1569" t="s">
        <v>1860</v>
      </c>
      <c r="C11" s="1568" t="s">
        <v>1938</v>
      </c>
      <c r="D11" s="1570" t="s">
        <v>389</v>
      </c>
      <c r="E11" s="1570" t="s">
        <v>433</v>
      </c>
      <c r="F11" s="1568">
        <v>15000</v>
      </c>
      <c r="G11" s="1568">
        <v>0</v>
      </c>
      <c r="H11" s="1568">
        <f t="shared" si="0"/>
        <v>15000</v>
      </c>
      <c r="I11" s="1157">
        <v>0.11083529</v>
      </c>
      <c r="J11" s="1157">
        <v>0.94470091819999991</v>
      </c>
      <c r="K11" s="1157">
        <v>0.23578537208</v>
      </c>
      <c r="L11" s="1157">
        <v>1.0428959869999999</v>
      </c>
      <c r="M11" s="1157">
        <v>2.4856600000000002</v>
      </c>
      <c r="N11" s="1157">
        <v>2.1308099999999999</v>
      </c>
      <c r="O11" s="1571">
        <f t="shared" si="1"/>
        <v>6.9506875672799993</v>
      </c>
      <c r="P11" s="1158">
        <v>6.1470000000000002</v>
      </c>
      <c r="Q11" s="1553">
        <f>O11*2</f>
        <v>13.901375134559999</v>
      </c>
      <c r="R11" s="1527">
        <f t="shared" si="2"/>
        <v>0.10726369702592592</v>
      </c>
      <c r="S11" s="1553">
        <v>15</v>
      </c>
      <c r="U11" s="1574"/>
    </row>
    <row r="12" spans="1:55">
      <c r="A12" s="1568">
        <v>7</v>
      </c>
      <c r="B12" s="1569" t="s">
        <v>1861</v>
      </c>
      <c r="C12" s="1568" t="s">
        <v>394</v>
      </c>
      <c r="D12" s="1570" t="s">
        <v>389</v>
      </c>
      <c r="E12" s="1570" t="s">
        <v>433</v>
      </c>
      <c r="F12" s="1568">
        <v>4500</v>
      </c>
      <c r="G12" s="1568">
        <v>0</v>
      </c>
      <c r="H12" s="1568">
        <f t="shared" si="0"/>
        <v>4500</v>
      </c>
      <c r="I12" s="1575">
        <v>0.62162390000000001</v>
      </c>
      <c r="J12" s="1575">
        <v>0.79630889999999988</v>
      </c>
      <c r="K12" s="1575">
        <v>0.88426698999999997</v>
      </c>
      <c r="L12" s="1575">
        <v>0.93038489999999996</v>
      </c>
      <c r="M12" s="1575">
        <v>0.80551998999999996</v>
      </c>
      <c r="N12" s="1575">
        <v>0.82818099000000001</v>
      </c>
      <c r="O12" s="1571">
        <f t="shared" si="1"/>
        <v>4.8662856699999999</v>
      </c>
      <c r="P12" s="1571">
        <v>4.853192</v>
      </c>
      <c r="Q12" s="1553">
        <f t="shared" si="3"/>
        <v>9.8353716099999993</v>
      </c>
      <c r="R12" s="1527">
        <f t="shared" si="2"/>
        <v>0.25296737680041148</v>
      </c>
      <c r="S12" s="1553">
        <v>10</v>
      </c>
    </row>
    <row r="13" spans="1:55">
      <c r="A13" s="1568">
        <v>8</v>
      </c>
      <c r="B13" s="1569" t="s">
        <v>1864</v>
      </c>
      <c r="C13" s="1568" t="s">
        <v>2541</v>
      </c>
      <c r="D13" s="1570" t="s">
        <v>389</v>
      </c>
      <c r="E13" s="1570" t="s">
        <v>433</v>
      </c>
      <c r="F13" s="1568">
        <v>20000</v>
      </c>
      <c r="G13" s="1568">
        <v>0</v>
      </c>
      <c r="H13" s="1568">
        <f t="shared" si="0"/>
        <v>20000</v>
      </c>
      <c r="I13" s="1157">
        <v>12.4455790001</v>
      </c>
      <c r="J13" s="1157">
        <v>18.929896000100001</v>
      </c>
      <c r="K13" s="1157">
        <v>8.2256250000999991</v>
      </c>
      <c r="L13" s="1157">
        <v>17.179352000100003</v>
      </c>
      <c r="M13" s="1157">
        <v>20.704975000100003</v>
      </c>
      <c r="N13" s="1157">
        <v>20.600923000100003</v>
      </c>
      <c r="O13" s="1571">
        <f t="shared" si="1"/>
        <v>98.086350000600021</v>
      </c>
      <c r="P13" s="1158">
        <v>97.064458999999999</v>
      </c>
      <c r="Q13" s="1553">
        <f>O13*2</f>
        <v>196.17270000120004</v>
      </c>
      <c r="R13" s="1527">
        <f>(Q13*10^6)/(F13*24*30*12)</f>
        <v>1.1352586805625002</v>
      </c>
      <c r="S13" s="1553">
        <v>200</v>
      </c>
    </row>
    <row r="14" spans="1:55">
      <c r="A14" s="1568">
        <v>9</v>
      </c>
      <c r="B14" s="1569" t="s">
        <v>1865</v>
      </c>
      <c r="C14" s="1568" t="s">
        <v>391</v>
      </c>
      <c r="D14" s="1570" t="s">
        <v>389</v>
      </c>
      <c r="E14" s="1570" t="s">
        <v>433</v>
      </c>
      <c r="F14" s="1568">
        <v>5000</v>
      </c>
      <c r="G14" s="1568">
        <v>0</v>
      </c>
      <c r="H14" s="1568">
        <f t="shared" si="0"/>
        <v>5000</v>
      </c>
      <c r="I14" s="1157">
        <v>3.4721069999999998</v>
      </c>
      <c r="J14" s="1157">
        <v>3.1344398084999998</v>
      </c>
      <c r="K14" s="1157">
        <v>3.0807777901</v>
      </c>
      <c r="L14" s="1157">
        <v>2.7094727750999996</v>
      </c>
      <c r="M14" s="1157">
        <v>3.3236368459999999</v>
      </c>
      <c r="N14" s="1157">
        <v>0.63199691719999995</v>
      </c>
      <c r="O14" s="1571">
        <f t="shared" si="1"/>
        <v>16.352431136899998</v>
      </c>
      <c r="P14" s="1158">
        <v>16.038150999999999</v>
      </c>
      <c r="Q14" s="1553">
        <f t="shared" si="3"/>
        <v>20.144412640099997</v>
      </c>
      <c r="R14" s="1527">
        <f t="shared" si="2"/>
        <v>0.46630584815046294</v>
      </c>
      <c r="S14" s="1553">
        <v>22</v>
      </c>
    </row>
    <row r="15" spans="1:55">
      <c r="A15" s="1568">
        <v>10</v>
      </c>
      <c r="B15" s="1569" t="s">
        <v>1859</v>
      </c>
      <c r="C15" s="1568" t="s">
        <v>393</v>
      </c>
      <c r="D15" s="1570" t="s">
        <v>389</v>
      </c>
      <c r="E15" s="1570" t="s">
        <v>433</v>
      </c>
      <c r="F15" s="1568">
        <v>3000</v>
      </c>
      <c r="G15" s="1568">
        <v>3000</v>
      </c>
      <c r="H15" s="1568">
        <f t="shared" si="0"/>
        <v>6000</v>
      </c>
      <c r="I15" s="1157">
        <v>2.3073880917</v>
      </c>
      <c r="J15" s="1157">
        <v>2.5389982046500004</v>
      </c>
      <c r="K15" s="1157">
        <v>1.3904474018799999</v>
      </c>
      <c r="L15" s="1157">
        <v>1.1294497535500001</v>
      </c>
      <c r="M15" s="1157">
        <v>2.7255797570899998</v>
      </c>
      <c r="N15" s="1157">
        <v>1.7857838200999998</v>
      </c>
      <c r="O15" s="1571">
        <f t="shared" ref="O15:O40" si="4">SUM(I15:N15)</f>
        <v>11.877647028969999</v>
      </c>
      <c r="P15" s="1158">
        <v>11.644</v>
      </c>
      <c r="Q15" s="1553">
        <f>O15+N15*6</f>
        <v>22.59234994957</v>
      </c>
      <c r="R15" s="1527">
        <f t="shared" si="2"/>
        <v>0.8716184394124229</v>
      </c>
      <c r="S15" s="1553">
        <v>27</v>
      </c>
    </row>
    <row r="16" spans="1:55">
      <c r="A16" s="1568">
        <v>11</v>
      </c>
      <c r="B16" s="1569">
        <v>8130</v>
      </c>
      <c r="C16" s="1568" t="s">
        <v>2314</v>
      </c>
      <c r="D16" s="1570" t="s">
        <v>389</v>
      </c>
      <c r="E16" s="1570" t="s">
        <v>433</v>
      </c>
      <c r="F16" s="1568">
        <v>12000</v>
      </c>
      <c r="G16" s="1568">
        <v>0</v>
      </c>
      <c r="H16" s="1568">
        <f t="shared" si="0"/>
        <v>12000</v>
      </c>
      <c r="I16" s="1157">
        <v>3.1822509999999999</v>
      </c>
      <c r="J16" s="1157">
        <v>4.0168229999999996</v>
      </c>
      <c r="K16" s="1157">
        <v>4.6042310000000004</v>
      </c>
      <c r="L16" s="1157">
        <v>3.1014149999999998</v>
      </c>
      <c r="M16" s="1157">
        <v>2.9229479999999999</v>
      </c>
      <c r="N16" s="1157">
        <v>2.8760569999999999</v>
      </c>
      <c r="O16" s="1571">
        <f t="shared" si="4"/>
        <v>20.703724999999999</v>
      </c>
      <c r="P16" s="1158">
        <v>20.489999000000001</v>
      </c>
      <c r="Q16" s="1553">
        <f t="shared" ref="Q16:Q17" si="5">O16+N16*6</f>
        <v>37.960066999999995</v>
      </c>
      <c r="R16" s="1527">
        <f t="shared" si="2"/>
        <v>0.36612718942901229</v>
      </c>
      <c r="S16" s="1553">
        <v>40</v>
      </c>
    </row>
    <row r="17" spans="1:21">
      <c r="A17" s="1568">
        <v>12</v>
      </c>
      <c r="B17" s="1569">
        <v>8140</v>
      </c>
      <c r="C17" s="1568" t="s">
        <v>2315</v>
      </c>
      <c r="D17" s="1570" t="s">
        <v>389</v>
      </c>
      <c r="E17" s="1570" t="s">
        <v>433</v>
      </c>
      <c r="F17" s="1568">
        <v>15500</v>
      </c>
      <c r="G17" s="1568">
        <v>12500</v>
      </c>
      <c r="H17" s="1568">
        <f t="shared" si="0"/>
        <v>28000</v>
      </c>
      <c r="I17" s="1157">
        <v>5.78484</v>
      </c>
      <c r="J17" s="1157">
        <v>9.7899600000000007</v>
      </c>
      <c r="K17" s="1157">
        <v>1.36812</v>
      </c>
      <c r="L17" s="1157">
        <v>0.71267999999999998</v>
      </c>
      <c r="M17" s="1157">
        <v>4.7435999999999998</v>
      </c>
      <c r="N17" s="1157">
        <v>2.0478999999999998</v>
      </c>
      <c r="O17" s="1571">
        <f t="shared" si="4"/>
        <v>24.447099999999999</v>
      </c>
      <c r="P17" s="1158">
        <v>24.446739999999998</v>
      </c>
      <c r="Q17" s="1553">
        <f t="shared" si="5"/>
        <v>36.734499999999997</v>
      </c>
      <c r="R17" s="1527">
        <f t="shared" si="2"/>
        <v>0.27430182198327357</v>
      </c>
      <c r="S17" s="1553">
        <v>40</v>
      </c>
    </row>
    <row r="18" spans="1:21">
      <c r="A18" s="1568">
        <v>13</v>
      </c>
      <c r="B18" s="1569" t="s">
        <v>1856</v>
      </c>
      <c r="C18" s="1568" t="s">
        <v>395</v>
      </c>
      <c r="D18" s="1570" t="s">
        <v>396</v>
      </c>
      <c r="E18" s="1570" t="s">
        <v>433</v>
      </c>
      <c r="F18" s="1568">
        <v>30500</v>
      </c>
      <c r="G18" s="1568">
        <v>0</v>
      </c>
      <c r="H18" s="1568">
        <f t="shared" ref="H18:H40" si="6">F18+G18</f>
        <v>30500</v>
      </c>
      <c r="I18" s="1157">
        <v>11.102248208400001</v>
      </c>
      <c r="J18" s="1157">
        <v>12.328215241499999</v>
      </c>
      <c r="K18" s="1157">
        <v>11.2083112608</v>
      </c>
      <c r="L18" s="1157">
        <v>11.00813282078</v>
      </c>
      <c r="M18" s="1157">
        <v>11.6017770811</v>
      </c>
      <c r="N18" s="1157">
        <v>11.070379997090001</v>
      </c>
      <c r="O18" s="1553">
        <f t="shared" si="4"/>
        <v>68.319064609669994</v>
      </c>
      <c r="P18" s="1158">
        <v>64.479200000000006</v>
      </c>
      <c r="Q18" s="1553">
        <f t="shared" ref="Q18:Q25" si="7">O18+N18*6</f>
        <v>134.74134459221</v>
      </c>
      <c r="R18" s="1527">
        <f t="shared" si="2"/>
        <v>0.51131354201658319</v>
      </c>
      <c r="S18" s="1553">
        <v>136</v>
      </c>
      <c r="T18" s="1576"/>
    </row>
    <row r="19" spans="1:21">
      <c r="A19" s="1568">
        <v>14</v>
      </c>
      <c r="B19" s="1569" t="s">
        <v>1856</v>
      </c>
      <c r="C19" s="1568" t="s">
        <v>395</v>
      </c>
      <c r="D19" s="1570" t="s">
        <v>396</v>
      </c>
      <c r="E19" s="1570" t="s">
        <v>433</v>
      </c>
      <c r="F19" s="1568">
        <v>25000</v>
      </c>
      <c r="G19" s="1568">
        <v>0</v>
      </c>
      <c r="H19" s="1568">
        <f t="shared" si="6"/>
        <v>25000</v>
      </c>
      <c r="I19" s="1157">
        <v>7.0070085672000006</v>
      </c>
      <c r="J19" s="1157">
        <v>8.2288972164500009</v>
      </c>
      <c r="K19" s="1157">
        <v>7.7964128942700004</v>
      </c>
      <c r="L19" s="1157">
        <v>7.5427003799999985</v>
      </c>
      <c r="M19" s="1157">
        <v>7.6449721002000004</v>
      </c>
      <c r="N19" s="1157">
        <v>7.0454587685099996</v>
      </c>
      <c r="O19" s="1553">
        <f t="shared" si="4"/>
        <v>45.265449926630005</v>
      </c>
      <c r="P19" s="1158">
        <v>44.645999000000003</v>
      </c>
      <c r="Q19" s="1553">
        <f t="shared" si="7"/>
        <v>87.538202537690012</v>
      </c>
      <c r="R19" s="1527">
        <f t="shared" si="2"/>
        <v>0.4052694561930093</v>
      </c>
      <c r="S19" s="1553">
        <f>90</f>
        <v>90</v>
      </c>
      <c r="T19" s="1576"/>
      <c r="U19" s="1573"/>
    </row>
    <row r="20" spans="1:21">
      <c r="A20" s="1568">
        <v>15</v>
      </c>
      <c r="B20" s="1569" t="s">
        <v>1864</v>
      </c>
      <c r="C20" s="1568" t="s">
        <v>397</v>
      </c>
      <c r="D20" s="1570" t="s">
        <v>396</v>
      </c>
      <c r="E20" s="1570" t="s">
        <v>433</v>
      </c>
      <c r="F20" s="1568">
        <v>18000</v>
      </c>
      <c r="G20" s="1568">
        <v>0</v>
      </c>
      <c r="H20" s="1568">
        <f t="shared" si="6"/>
        <v>18000</v>
      </c>
      <c r="I20" s="1157">
        <v>7.1828242356000001</v>
      </c>
      <c r="J20" s="1157">
        <v>7.8816988676000008</v>
      </c>
      <c r="K20" s="1157">
        <v>6.5728869060999999</v>
      </c>
      <c r="L20" s="1157">
        <v>4.2120332381999992</v>
      </c>
      <c r="M20" s="1157">
        <v>4.1052609866000003</v>
      </c>
      <c r="N20" s="1157">
        <v>4.2067387177999995</v>
      </c>
      <c r="O20" s="1553">
        <f t="shared" si="4"/>
        <v>34.1614429519</v>
      </c>
      <c r="P20" s="1158">
        <v>32.008800000000001</v>
      </c>
      <c r="Q20" s="1553">
        <f t="shared" si="7"/>
        <v>59.401875258699995</v>
      </c>
      <c r="R20" s="1527">
        <f t="shared" si="2"/>
        <v>0.38195650243505658</v>
      </c>
      <c r="S20" s="1553">
        <v>65</v>
      </c>
      <c r="T20" s="1576"/>
      <c r="U20" s="1573"/>
    </row>
    <row r="21" spans="1:21">
      <c r="A21" s="1568">
        <v>16</v>
      </c>
      <c r="B21" s="1569" t="s">
        <v>1864</v>
      </c>
      <c r="C21" s="1568" t="s">
        <v>398</v>
      </c>
      <c r="D21" s="1570" t="s">
        <v>396</v>
      </c>
      <c r="E21" s="1570" t="s">
        <v>433</v>
      </c>
      <c r="F21" s="1568">
        <v>15000</v>
      </c>
      <c r="G21" s="1568">
        <v>0</v>
      </c>
      <c r="H21" s="1568">
        <f t="shared" si="6"/>
        <v>15000</v>
      </c>
      <c r="I21" s="1157">
        <v>2.5459079950000003</v>
      </c>
      <c r="J21" s="1157">
        <v>2.6500456830000001</v>
      </c>
      <c r="K21" s="1157">
        <v>2.48095212</v>
      </c>
      <c r="L21" s="1157">
        <v>2.6775133019999999</v>
      </c>
      <c r="M21" s="1157">
        <v>2.4560423579999999</v>
      </c>
      <c r="N21" s="1157">
        <v>2.5477799670000003</v>
      </c>
      <c r="O21" s="1553">
        <f t="shared" si="4"/>
        <v>15.358241424999999</v>
      </c>
      <c r="P21" s="1158">
        <v>15.3538</v>
      </c>
      <c r="Q21" s="1553">
        <f t="shared" si="7"/>
        <v>30.644921227000001</v>
      </c>
      <c r="R21" s="1527">
        <f t="shared" si="2"/>
        <v>0.23645772551697533</v>
      </c>
      <c r="S21" s="1553">
        <v>36</v>
      </c>
      <c r="T21" s="1576"/>
    </row>
    <row r="22" spans="1:21">
      <c r="A22" s="1568">
        <v>17</v>
      </c>
      <c r="B22" s="1569" t="s">
        <v>1857</v>
      </c>
      <c r="C22" s="1568" t="s">
        <v>399</v>
      </c>
      <c r="D22" s="1570" t="s">
        <v>396</v>
      </c>
      <c r="E22" s="1570" t="s">
        <v>433</v>
      </c>
      <c r="F22" s="1568">
        <v>6500</v>
      </c>
      <c r="G22" s="1568">
        <v>0</v>
      </c>
      <c r="H22" s="1568">
        <f t="shared" si="6"/>
        <v>6500</v>
      </c>
      <c r="I22" s="1157">
        <v>1.2011665163</v>
      </c>
      <c r="J22" s="1157">
        <v>1.3614499624</v>
      </c>
      <c r="K22" s="1157">
        <v>1.3181449085999999</v>
      </c>
      <c r="L22" s="1157">
        <v>0.45503955899999998</v>
      </c>
      <c r="M22" s="1157">
        <v>1.4112395260999999</v>
      </c>
      <c r="N22" s="1157">
        <v>1.4541980608</v>
      </c>
      <c r="O22" s="1553">
        <f t="shared" si="4"/>
        <v>7.2012385331999997</v>
      </c>
      <c r="P22" s="1158">
        <v>7.1970000000000001</v>
      </c>
      <c r="Q22" s="1553">
        <f t="shared" si="7"/>
        <v>15.926426898000001</v>
      </c>
      <c r="R22" s="1527">
        <f t="shared" si="2"/>
        <v>0.28359022254273503</v>
      </c>
      <c r="S22" s="1553">
        <v>20</v>
      </c>
      <c r="T22" s="1576"/>
    </row>
    <row r="23" spans="1:21">
      <c r="A23" s="1568">
        <v>18</v>
      </c>
      <c r="B23" s="1569" t="s">
        <v>1865</v>
      </c>
      <c r="C23" s="1568" t="s">
        <v>411</v>
      </c>
      <c r="D23" s="1570" t="s">
        <v>396</v>
      </c>
      <c r="E23" s="1570" t="s">
        <v>433</v>
      </c>
      <c r="F23" s="1568">
        <v>12000</v>
      </c>
      <c r="G23" s="1568">
        <v>0</v>
      </c>
      <c r="H23" s="1568">
        <f t="shared" si="6"/>
        <v>12000</v>
      </c>
      <c r="I23" s="1157">
        <v>2.3576987170000003</v>
      </c>
      <c r="J23" s="1157">
        <v>2.6006525104000002</v>
      </c>
      <c r="K23" s="1157">
        <v>2.4900535737</v>
      </c>
      <c r="L23" s="1157">
        <v>2.7186119547000001</v>
      </c>
      <c r="M23" s="1157">
        <v>2.5824533141999999</v>
      </c>
      <c r="N23" s="1157">
        <v>2.4276222853</v>
      </c>
      <c r="O23" s="1553">
        <f t="shared" si="4"/>
        <v>15.177092355300001</v>
      </c>
      <c r="P23" s="1158">
        <v>14.8802</v>
      </c>
      <c r="Q23" s="1553">
        <f t="shared" si="7"/>
        <v>29.742826067100001</v>
      </c>
      <c r="R23" s="1527">
        <f t="shared" si="2"/>
        <v>0.28687139339409723</v>
      </c>
      <c r="S23" s="1553">
        <v>35</v>
      </c>
      <c r="T23" s="1576"/>
    </row>
    <row r="24" spans="1:21">
      <c r="A24" s="1568">
        <v>19</v>
      </c>
      <c r="B24" s="1569" t="s">
        <v>1868</v>
      </c>
      <c r="C24" s="1568" t="s">
        <v>395</v>
      </c>
      <c r="D24" s="1570" t="s">
        <v>396</v>
      </c>
      <c r="E24" s="1570" t="s">
        <v>433</v>
      </c>
      <c r="F24" s="1568">
        <v>17000</v>
      </c>
      <c r="G24" s="1568">
        <v>0</v>
      </c>
      <c r="H24" s="1568">
        <f t="shared" si="6"/>
        <v>17000</v>
      </c>
      <c r="I24" s="1157">
        <v>3.3058800000000002</v>
      </c>
      <c r="J24" s="1157">
        <v>3.6522000000000001</v>
      </c>
      <c r="K24" s="1157">
        <v>3.3428399999999998</v>
      </c>
      <c r="L24" s="1157">
        <v>3.2025600000000001</v>
      </c>
      <c r="M24" s="1157">
        <v>3.2150400000000001</v>
      </c>
      <c r="N24" s="1157">
        <v>3.10284</v>
      </c>
      <c r="O24" s="1553">
        <f t="shared" si="4"/>
        <v>19.821360000000002</v>
      </c>
      <c r="P24" s="1158">
        <v>19.59816</v>
      </c>
      <c r="Q24" s="1553">
        <f t="shared" si="7"/>
        <v>38.438400000000001</v>
      </c>
      <c r="R24" s="1527">
        <f t="shared" si="2"/>
        <v>0.26169934640522874</v>
      </c>
      <c r="S24" s="1553">
        <v>45</v>
      </c>
      <c r="T24" s="1576"/>
    </row>
    <row r="25" spans="1:21">
      <c r="A25" s="1568">
        <v>20</v>
      </c>
      <c r="B25" s="1569" t="s">
        <v>1868</v>
      </c>
      <c r="C25" s="1568" t="s">
        <v>1875</v>
      </c>
      <c r="D25" s="1570" t="s">
        <v>396</v>
      </c>
      <c r="E25" s="1570" t="s">
        <v>433</v>
      </c>
      <c r="F25" s="1568">
        <v>18500</v>
      </c>
      <c r="G25" s="1568">
        <v>0</v>
      </c>
      <c r="H25" s="1568">
        <f t="shared" si="6"/>
        <v>18500</v>
      </c>
      <c r="I25" s="1157">
        <v>7.4315178570000002</v>
      </c>
      <c r="J25" s="1157">
        <v>8.4376190669100009</v>
      </c>
      <c r="K25" s="1157">
        <v>8.1129669734099998</v>
      </c>
      <c r="L25" s="1157">
        <v>7.7979729032999998</v>
      </c>
      <c r="M25" s="1157">
        <v>7.5446516152000003</v>
      </c>
      <c r="N25" s="1157">
        <v>6.7893078080000002</v>
      </c>
      <c r="O25" s="1553">
        <f t="shared" si="4"/>
        <v>46.114036223820008</v>
      </c>
      <c r="P25" s="1158">
        <v>43.5548</v>
      </c>
      <c r="Q25" s="1553">
        <f t="shared" si="7"/>
        <v>86.849883071820017</v>
      </c>
      <c r="R25" s="1527">
        <f t="shared" si="2"/>
        <v>0.54335512432319832</v>
      </c>
      <c r="S25" s="1553">
        <f>95-9</f>
        <v>86</v>
      </c>
      <c r="T25" s="1576"/>
    </row>
    <row r="26" spans="1:21">
      <c r="A26" s="1568">
        <v>21</v>
      </c>
      <c r="B26" s="1569" t="s">
        <v>1859</v>
      </c>
      <c r="C26" s="1568" t="s">
        <v>1876</v>
      </c>
      <c r="D26" s="1570" t="s">
        <v>396</v>
      </c>
      <c r="E26" s="1570" t="s">
        <v>433</v>
      </c>
      <c r="F26" s="1568">
        <v>22000</v>
      </c>
      <c r="G26" s="1568">
        <v>0</v>
      </c>
      <c r="H26" s="1568">
        <f t="shared" si="6"/>
        <v>22000</v>
      </c>
      <c r="I26" s="1157">
        <v>5.6993999999999998</v>
      </c>
      <c r="J26" s="1157">
        <v>6.4911599999999998</v>
      </c>
      <c r="K26" s="1157">
        <v>5.9845199999999998</v>
      </c>
      <c r="L26" s="1157">
        <v>6.0453599999999996</v>
      </c>
      <c r="M26" s="1157">
        <v>6.10032</v>
      </c>
      <c r="N26" s="1157">
        <v>5.8384799999999997</v>
      </c>
      <c r="O26" s="1553">
        <f t="shared" si="4"/>
        <v>36.159239999999997</v>
      </c>
      <c r="P26" s="1158">
        <v>35.380560000000003</v>
      </c>
      <c r="Q26" s="1553">
        <f>O26+K26*6</f>
        <v>72.066360000000003</v>
      </c>
      <c r="R26" s="1527">
        <f t="shared" si="2"/>
        <v>0.37913699494949493</v>
      </c>
      <c r="S26" s="1553">
        <v>76</v>
      </c>
      <c r="T26" s="1576"/>
    </row>
    <row r="27" spans="1:21">
      <c r="A27" s="1568">
        <v>22</v>
      </c>
      <c r="B27" s="1569" t="s">
        <v>1859</v>
      </c>
      <c r="C27" s="1568" t="s">
        <v>395</v>
      </c>
      <c r="D27" s="1570" t="s">
        <v>396</v>
      </c>
      <c r="E27" s="1570" t="s">
        <v>433</v>
      </c>
      <c r="F27" s="1568">
        <v>9500</v>
      </c>
      <c r="G27" s="1568">
        <v>0</v>
      </c>
      <c r="H27" s="1568">
        <f t="shared" si="6"/>
        <v>9500</v>
      </c>
      <c r="I27" s="1157">
        <v>2.0891999999999999</v>
      </c>
      <c r="J27" s="1157">
        <v>2.1357599999999999</v>
      </c>
      <c r="K27" s="1157">
        <v>1.99176</v>
      </c>
      <c r="L27" s="1157">
        <v>2.15856</v>
      </c>
      <c r="M27" s="1157">
        <v>2.3092800000000002</v>
      </c>
      <c r="N27" s="1157">
        <v>2.1696</v>
      </c>
      <c r="O27" s="1553">
        <f t="shared" si="4"/>
        <v>12.85416</v>
      </c>
      <c r="P27" s="1158">
        <v>12.47376</v>
      </c>
      <c r="Q27" s="1553">
        <f t="shared" ref="Q27:Q32" si="8">O27+N27*6</f>
        <v>25.871760000000002</v>
      </c>
      <c r="R27" s="1527">
        <f t="shared" si="2"/>
        <v>0.31520175438596498</v>
      </c>
      <c r="S27" s="1553">
        <v>27</v>
      </c>
      <c r="T27" s="1576"/>
    </row>
    <row r="28" spans="1:21">
      <c r="A28" s="1568">
        <v>23</v>
      </c>
      <c r="B28" s="1569" t="s">
        <v>1871</v>
      </c>
      <c r="C28" s="1568" t="s">
        <v>395</v>
      </c>
      <c r="D28" s="1570" t="s">
        <v>396</v>
      </c>
      <c r="E28" s="1570" t="s">
        <v>1863</v>
      </c>
      <c r="F28" s="1568">
        <v>13000</v>
      </c>
      <c r="G28" s="1568">
        <v>0</v>
      </c>
      <c r="H28" s="1568">
        <f t="shared" si="6"/>
        <v>13000</v>
      </c>
      <c r="I28" s="1157">
        <v>2.1120000000000001</v>
      </c>
      <c r="J28" s="1157">
        <v>2.20065</v>
      </c>
      <c r="K28" s="1157">
        <v>2.1947999999999999</v>
      </c>
      <c r="L28" s="1157">
        <v>1.9981500000000001</v>
      </c>
      <c r="M28" s="1157">
        <v>2.3054999999999999</v>
      </c>
      <c r="N28" s="1157">
        <v>2.2594500000000002</v>
      </c>
      <c r="O28" s="1553">
        <f t="shared" si="4"/>
        <v>13.070550000000001</v>
      </c>
      <c r="P28" s="1158">
        <v>13.05405</v>
      </c>
      <c r="Q28" s="1553">
        <f t="shared" si="8"/>
        <v>26.627250000000004</v>
      </c>
      <c r="R28" s="1527">
        <f t="shared" si="2"/>
        <v>0.23706597222222225</v>
      </c>
      <c r="S28" s="1553">
        <v>32</v>
      </c>
      <c r="T28" s="1576"/>
    </row>
    <row r="29" spans="1:21">
      <c r="A29" s="1568">
        <v>24</v>
      </c>
      <c r="B29" s="1569" t="s">
        <v>1871</v>
      </c>
      <c r="C29" s="1568" t="s">
        <v>1877</v>
      </c>
      <c r="D29" s="1570" t="s">
        <v>396</v>
      </c>
      <c r="E29" s="1570" t="s">
        <v>1863</v>
      </c>
      <c r="F29" s="1568">
        <v>13000</v>
      </c>
      <c r="G29" s="1568">
        <v>0</v>
      </c>
      <c r="H29" s="1568">
        <f t="shared" si="6"/>
        <v>13000</v>
      </c>
      <c r="I29" s="1157">
        <v>1.4086017180000001</v>
      </c>
      <c r="J29" s="1157">
        <v>1.4782001220000001</v>
      </c>
      <c r="K29" s="1157">
        <v>1.4192036080000001</v>
      </c>
      <c r="L29" s="1157">
        <v>1.47320067</v>
      </c>
      <c r="M29" s="1157">
        <v>1.6158010030000001</v>
      </c>
      <c r="N29" s="1157">
        <v>1.4120003540000001</v>
      </c>
      <c r="O29" s="1553">
        <f t="shared" si="4"/>
        <v>8.8070074750000007</v>
      </c>
      <c r="P29" s="1158">
        <v>8.8070000000000004</v>
      </c>
      <c r="Q29" s="1553">
        <f t="shared" si="8"/>
        <v>17.279009599000002</v>
      </c>
      <c r="R29" s="1527">
        <f t="shared" si="2"/>
        <v>0.15383733617343306</v>
      </c>
      <c r="S29" s="1553">
        <v>25</v>
      </c>
      <c r="T29" s="1576"/>
    </row>
    <row r="30" spans="1:21">
      <c r="A30" s="1568">
        <v>25</v>
      </c>
      <c r="B30" s="1569" t="s">
        <v>1860</v>
      </c>
      <c r="C30" s="1568" t="s">
        <v>1878</v>
      </c>
      <c r="D30" s="1570" t="s">
        <v>396</v>
      </c>
      <c r="E30" s="1570" t="s">
        <v>433</v>
      </c>
      <c r="F30" s="1568">
        <v>17000</v>
      </c>
      <c r="G30" s="1568">
        <v>0</v>
      </c>
      <c r="H30" s="1568">
        <f t="shared" si="6"/>
        <v>17000</v>
      </c>
      <c r="I30" s="1157">
        <v>4.4289557899999998</v>
      </c>
      <c r="J30" s="1157">
        <v>4.65673286</v>
      </c>
      <c r="K30" s="1157">
        <v>4.3657065900000003</v>
      </c>
      <c r="L30" s="1157">
        <v>4.7895287199999999</v>
      </c>
      <c r="M30" s="1157">
        <v>4.80624655</v>
      </c>
      <c r="N30" s="1157">
        <v>4.9643401900000006</v>
      </c>
      <c r="O30" s="1553">
        <f t="shared" si="4"/>
        <v>28.011510700000002</v>
      </c>
      <c r="P30" s="1158">
        <v>27.773199999999999</v>
      </c>
      <c r="Q30" s="1553">
        <f>O30+N30*6</f>
        <v>57.797551840000004</v>
      </c>
      <c r="R30" s="1527">
        <f t="shared" si="2"/>
        <v>0.39350185076252725</v>
      </c>
      <c r="S30" s="1553">
        <v>65</v>
      </c>
      <c r="T30" s="1576"/>
    </row>
    <row r="31" spans="1:21">
      <c r="A31" s="1568">
        <v>26</v>
      </c>
      <c r="B31" s="1569" t="s">
        <v>1860</v>
      </c>
      <c r="C31" s="1568" t="s">
        <v>1879</v>
      </c>
      <c r="D31" s="1570" t="s">
        <v>396</v>
      </c>
      <c r="E31" s="1570" t="s">
        <v>433</v>
      </c>
      <c r="F31" s="1568">
        <v>22000</v>
      </c>
      <c r="G31" s="1568">
        <v>0</v>
      </c>
      <c r="H31" s="1568">
        <f t="shared" si="6"/>
        <v>22000</v>
      </c>
      <c r="I31" s="1157">
        <v>4.1099051299999996</v>
      </c>
      <c r="J31" s="1157">
        <v>4.14265141</v>
      </c>
      <c r="K31" s="1157">
        <v>4.3199330700000003</v>
      </c>
      <c r="L31" s="1157">
        <v>4.5371616399999999</v>
      </c>
      <c r="M31" s="1157">
        <v>4.6938698600000004</v>
      </c>
      <c r="N31" s="1157">
        <v>4.5132739500000003</v>
      </c>
      <c r="O31" s="1553">
        <f t="shared" si="4"/>
        <v>26.316795060000004</v>
      </c>
      <c r="P31" s="1158">
        <v>26.198</v>
      </c>
      <c r="Q31" s="1553">
        <f t="shared" si="8"/>
        <v>53.396438760000009</v>
      </c>
      <c r="R31" s="1527">
        <f t="shared" si="2"/>
        <v>0.28091560795454551</v>
      </c>
      <c r="S31" s="1553">
        <v>60</v>
      </c>
      <c r="T31" s="1576"/>
    </row>
    <row r="32" spans="1:21">
      <c r="A32" s="1568">
        <v>27</v>
      </c>
      <c r="B32" s="1569" t="s">
        <v>1872</v>
      </c>
      <c r="C32" s="1568" t="s">
        <v>1880</v>
      </c>
      <c r="D32" s="1570" t="s">
        <v>396</v>
      </c>
      <c r="E32" s="1570" t="s">
        <v>433</v>
      </c>
      <c r="F32" s="1568">
        <v>10000</v>
      </c>
      <c r="G32" s="1568">
        <v>0</v>
      </c>
      <c r="H32" s="1568">
        <f t="shared" si="6"/>
        <v>10000</v>
      </c>
      <c r="I32" s="1157">
        <v>2.0275812800000002</v>
      </c>
      <c r="J32" s="1157">
        <v>2.1625645200000001</v>
      </c>
      <c r="K32" s="1157">
        <v>1.2097654</v>
      </c>
      <c r="L32" s="1157">
        <v>1.4082215900000001</v>
      </c>
      <c r="M32" s="1157">
        <v>1.2346281000000001</v>
      </c>
      <c r="N32" s="1157">
        <v>1.8612191100000002</v>
      </c>
      <c r="O32" s="1553">
        <f t="shared" si="4"/>
        <v>9.9039800000000007</v>
      </c>
      <c r="P32" s="1158">
        <v>7.0171999999999999</v>
      </c>
      <c r="Q32" s="1553">
        <f t="shared" si="8"/>
        <v>21.07129466</v>
      </c>
      <c r="R32" s="1527">
        <f t="shared" si="2"/>
        <v>0.24388072523148149</v>
      </c>
      <c r="S32" s="1553">
        <v>25</v>
      </c>
      <c r="T32" s="1576"/>
    </row>
    <row r="33" spans="1:22">
      <c r="A33" s="1568">
        <v>28</v>
      </c>
      <c r="B33" s="1569" t="s">
        <v>1873</v>
      </c>
      <c r="C33" s="1568" t="s">
        <v>1881</v>
      </c>
      <c r="D33" s="1570" t="s">
        <v>396</v>
      </c>
      <c r="E33" s="1570" t="s">
        <v>433</v>
      </c>
      <c r="F33" s="1568">
        <v>14000</v>
      </c>
      <c r="G33" s="1568">
        <v>0</v>
      </c>
      <c r="H33" s="1568">
        <f t="shared" si="6"/>
        <v>14000</v>
      </c>
      <c r="I33" s="1575">
        <v>2.7356156820999997</v>
      </c>
      <c r="J33" s="1575">
        <v>2.9684330277000002</v>
      </c>
      <c r="K33" s="1575">
        <v>2.8437515573999996</v>
      </c>
      <c r="L33" s="1575">
        <v>3.1200180833000002</v>
      </c>
      <c r="M33" s="1575">
        <v>3.0714565274000001</v>
      </c>
      <c r="N33" s="1575">
        <v>3.0519550783000002</v>
      </c>
      <c r="O33" s="1553">
        <f t="shared" si="4"/>
        <v>17.791229956199999</v>
      </c>
      <c r="P33" s="1571">
        <v>17.764399999999998</v>
      </c>
      <c r="Q33" s="1553">
        <f t="shared" ref="Q33:Q37" si="9">O33+N33*6</f>
        <v>36.102960425999996</v>
      </c>
      <c r="R33" s="1527">
        <f t="shared" si="2"/>
        <v>0.29847024161706348</v>
      </c>
      <c r="S33" s="1553">
        <v>42</v>
      </c>
      <c r="T33" s="1576"/>
    </row>
    <row r="34" spans="1:22">
      <c r="A34" s="1568">
        <v>29</v>
      </c>
      <c r="B34" s="1569" t="s">
        <v>1861</v>
      </c>
      <c r="C34" s="1568" t="s">
        <v>1882</v>
      </c>
      <c r="D34" s="1570" t="s">
        <v>396</v>
      </c>
      <c r="E34" s="1570" t="s">
        <v>433</v>
      </c>
      <c r="F34" s="1568">
        <v>12000</v>
      </c>
      <c r="G34" s="1568">
        <v>0</v>
      </c>
      <c r="H34" s="1568">
        <f t="shared" si="6"/>
        <v>12000</v>
      </c>
      <c r="I34" s="1575">
        <v>2.2930605748999997</v>
      </c>
      <c r="J34" s="1575">
        <v>2.4668423217000002</v>
      </c>
      <c r="K34" s="1575">
        <v>2.3078731507999999</v>
      </c>
      <c r="L34" s="1575">
        <v>2.4329256539999999</v>
      </c>
      <c r="M34" s="1575">
        <v>2.3191682388000001</v>
      </c>
      <c r="N34" s="1575">
        <v>2.3681747233000001</v>
      </c>
      <c r="O34" s="1553">
        <f t="shared" si="4"/>
        <v>14.188044663500001</v>
      </c>
      <c r="P34" s="1571">
        <v>14.1746</v>
      </c>
      <c r="Q34" s="1553">
        <f t="shared" si="9"/>
        <v>28.3970930033</v>
      </c>
      <c r="R34" s="1527">
        <f t="shared" si="2"/>
        <v>0.27389171492380399</v>
      </c>
      <c r="S34" s="1553">
        <v>32</v>
      </c>
      <c r="T34" s="1576"/>
    </row>
    <row r="35" spans="1:22">
      <c r="A35" s="1568">
        <v>30</v>
      </c>
      <c r="B35" s="1569" t="s">
        <v>1874</v>
      </c>
      <c r="C35" s="1568" t="s">
        <v>1883</v>
      </c>
      <c r="D35" s="1570" t="s">
        <v>396</v>
      </c>
      <c r="E35" s="1570" t="s">
        <v>433</v>
      </c>
      <c r="F35" s="1568">
        <v>14000</v>
      </c>
      <c r="G35" s="1568">
        <v>0</v>
      </c>
      <c r="H35" s="1568">
        <f t="shared" si="6"/>
        <v>14000</v>
      </c>
      <c r="I35" s="1575">
        <v>2.5570450934999998</v>
      </c>
      <c r="J35" s="1575">
        <v>2.8604357797</v>
      </c>
      <c r="K35" s="1575">
        <v>2.6845183646000002</v>
      </c>
      <c r="L35" s="1575">
        <v>2.8574673599999998</v>
      </c>
      <c r="M35" s="1575">
        <v>2.8318115262000001</v>
      </c>
      <c r="N35" s="1575">
        <v>2.8246551824999999</v>
      </c>
      <c r="O35" s="1553">
        <f t="shared" si="4"/>
        <v>16.615933306499997</v>
      </c>
      <c r="P35" s="1571">
        <v>16.6038</v>
      </c>
      <c r="Q35" s="1553">
        <f t="shared" si="9"/>
        <v>33.563864401499998</v>
      </c>
      <c r="R35" s="1527">
        <f t="shared" si="2"/>
        <v>0.2774790377108135</v>
      </c>
      <c r="S35" s="1553">
        <v>36</v>
      </c>
      <c r="T35" s="1576"/>
    </row>
    <row r="36" spans="1:22">
      <c r="A36" s="1568">
        <v>31</v>
      </c>
      <c r="B36" s="1569" t="s">
        <v>1864</v>
      </c>
      <c r="C36" s="1568" t="s">
        <v>2325</v>
      </c>
      <c r="D36" s="1570" t="s">
        <v>396</v>
      </c>
      <c r="E36" s="1577" t="s">
        <v>433</v>
      </c>
      <c r="F36" s="1578">
        <v>10000</v>
      </c>
      <c r="G36" s="1578">
        <v>0</v>
      </c>
      <c r="H36" s="1578">
        <f t="shared" si="6"/>
        <v>10000</v>
      </c>
      <c r="I36" s="1157"/>
      <c r="J36" s="1157"/>
      <c r="K36" s="1157">
        <v>0.42545119579999996</v>
      </c>
      <c r="L36" s="1157">
        <v>1.4131263956</v>
      </c>
      <c r="M36" s="1157">
        <v>0.89430223600000003</v>
      </c>
      <c r="N36" s="1157">
        <v>0.87570005099999992</v>
      </c>
      <c r="O36" s="1553">
        <f t="shared" si="4"/>
        <v>3.6085798784000001</v>
      </c>
      <c r="P36" s="1158">
        <v>3.6084000000000001</v>
      </c>
      <c r="Q36" s="1553">
        <f t="shared" si="9"/>
        <v>8.8627801844</v>
      </c>
      <c r="R36" s="1527">
        <f t="shared" si="2"/>
        <v>0.10257847435648147</v>
      </c>
      <c r="S36" s="1553">
        <v>10</v>
      </c>
      <c r="T36" s="1576"/>
    </row>
    <row r="37" spans="1:22">
      <c r="A37" s="1568">
        <v>32</v>
      </c>
      <c r="B37" s="1569" t="s">
        <v>1860</v>
      </c>
      <c r="C37" s="1568" t="s">
        <v>1878</v>
      </c>
      <c r="D37" s="1570" t="s">
        <v>396</v>
      </c>
      <c r="E37" s="1577" t="s">
        <v>433</v>
      </c>
      <c r="F37" s="1568">
        <v>4000</v>
      </c>
      <c r="G37" s="1568">
        <v>0</v>
      </c>
      <c r="H37" s="1578">
        <f t="shared" si="6"/>
        <v>4000</v>
      </c>
      <c r="I37" s="1157"/>
      <c r="J37" s="1157"/>
      <c r="K37" s="1157"/>
      <c r="L37" s="1157">
        <v>0.12695508</v>
      </c>
      <c r="M37" s="1157">
        <v>0.17532966</v>
      </c>
      <c r="N37" s="1157">
        <v>0.1755729</v>
      </c>
      <c r="O37" s="1553">
        <f t="shared" si="4"/>
        <v>0.47785763999999997</v>
      </c>
      <c r="P37" s="1158">
        <v>0.47722280000000006</v>
      </c>
      <c r="Q37" s="1553">
        <f t="shared" si="9"/>
        <v>1.5312950399999998</v>
      </c>
      <c r="R37" s="1527">
        <f t="shared" si="2"/>
        <v>4.4308305555555552E-2</v>
      </c>
      <c r="S37" s="1553">
        <v>2.4</v>
      </c>
      <c r="T37" s="1576"/>
    </row>
    <row r="38" spans="1:22">
      <c r="A38" s="1568">
        <v>33</v>
      </c>
      <c r="B38" s="1569" t="s">
        <v>1864</v>
      </c>
      <c r="C38" s="1568" t="s">
        <v>400</v>
      </c>
      <c r="D38" s="1570" t="s">
        <v>401</v>
      </c>
      <c r="E38" s="1570" t="s">
        <v>1863</v>
      </c>
      <c r="F38" s="1568">
        <v>55556</v>
      </c>
      <c r="G38" s="1568">
        <v>0</v>
      </c>
      <c r="H38" s="1568">
        <f t="shared" si="6"/>
        <v>55556</v>
      </c>
      <c r="I38" s="1157">
        <v>1.1112</v>
      </c>
      <c r="J38" s="1157">
        <v>0.59089999999999998</v>
      </c>
      <c r="K38" s="1157">
        <v>0.90259999999999996</v>
      </c>
      <c r="L38" s="1157">
        <v>1.0725</v>
      </c>
      <c r="M38" s="1157">
        <v>0.78559999999999997</v>
      </c>
      <c r="N38" s="1157">
        <v>0.75649999999999995</v>
      </c>
      <c r="O38" s="1553">
        <f t="shared" si="4"/>
        <v>5.2192999999999996</v>
      </c>
      <c r="P38" s="1158">
        <v>5.2192999999999996</v>
      </c>
      <c r="Q38" s="1553">
        <f>O38+N38*6</f>
        <v>9.7582999999999984</v>
      </c>
      <c r="R38" s="1527">
        <f t="shared" si="2"/>
        <v>2.0329629029634425E-2</v>
      </c>
      <c r="S38" s="1553">
        <v>12</v>
      </c>
      <c r="T38" s="1576"/>
    </row>
    <row r="39" spans="1:22">
      <c r="A39" s="1568">
        <v>34</v>
      </c>
      <c r="B39" s="1569" t="s">
        <v>1868</v>
      </c>
      <c r="C39" s="1568" t="s">
        <v>402</v>
      </c>
      <c r="D39" s="1570" t="s">
        <v>401</v>
      </c>
      <c r="E39" s="1570" t="s">
        <v>1863</v>
      </c>
      <c r="F39" s="1568">
        <v>170000</v>
      </c>
      <c r="G39" s="1568">
        <v>0</v>
      </c>
      <c r="H39" s="1568">
        <f t="shared" si="6"/>
        <v>170000</v>
      </c>
      <c r="I39" s="1157">
        <v>2.6021000000000001</v>
      </c>
      <c r="J39" s="1157">
        <v>6.0471000000000004</v>
      </c>
      <c r="K39" s="1157">
        <v>21.9648</v>
      </c>
      <c r="L39" s="1157">
        <v>13.079599999999999</v>
      </c>
      <c r="M39" s="1157">
        <v>25.583600000000001</v>
      </c>
      <c r="N39" s="1157">
        <v>55.433300000000003</v>
      </c>
      <c r="O39" s="1553">
        <f t="shared" si="4"/>
        <v>124.71050000000001</v>
      </c>
      <c r="P39" s="1158">
        <v>111.114</v>
      </c>
      <c r="Q39" s="1553">
        <f>O39*2</f>
        <v>249.42100000000002</v>
      </c>
      <c r="R39" s="1527">
        <f t="shared" si="2"/>
        <v>0.16981277233115472</v>
      </c>
      <c r="S39" s="1553">
        <f>235+25</f>
        <v>260</v>
      </c>
      <c r="T39" s="1576"/>
      <c r="U39" s="1573"/>
    </row>
    <row r="40" spans="1:22">
      <c r="A40" s="1568">
        <v>35</v>
      </c>
      <c r="B40" s="1569" t="s">
        <v>1859</v>
      </c>
      <c r="C40" s="1568" t="s">
        <v>403</v>
      </c>
      <c r="D40" s="1570" t="s">
        <v>401</v>
      </c>
      <c r="E40" s="1570" t="s">
        <v>433</v>
      </c>
      <c r="F40" s="1568">
        <v>23000</v>
      </c>
      <c r="G40" s="1568">
        <v>0</v>
      </c>
      <c r="H40" s="1568">
        <f t="shared" si="6"/>
        <v>23000</v>
      </c>
      <c r="I40" s="1157">
        <v>0.82367999999999997</v>
      </c>
      <c r="J40" s="1157">
        <v>1.8648</v>
      </c>
      <c r="K40" s="1157">
        <v>1.7136</v>
      </c>
      <c r="L40" s="1157">
        <v>2.2751999999999999</v>
      </c>
      <c r="M40" s="1157">
        <v>1.93536</v>
      </c>
      <c r="N40" s="1157">
        <v>4.5456000000000003</v>
      </c>
      <c r="O40" s="1553">
        <f t="shared" si="4"/>
        <v>13.158239999999999</v>
      </c>
      <c r="P40" s="1158">
        <v>13.15296</v>
      </c>
      <c r="Q40" s="1553">
        <f>O40*2</f>
        <v>26.316479999999999</v>
      </c>
      <c r="R40" s="1527">
        <f t="shared" si="2"/>
        <v>0.13242995169082125</v>
      </c>
      <c r="S40" s="1553">
        <v>15</v>
      </c>
      <c r="T40" s="1576"/>
      <c r="U40" s="1579"/>
    </row>
    <row r="41" spans="1:22">
      <c r="A41" s="1568">
        <v>36</v>
      </c>
      <c r="B41" s="1569" t="s">
        <v>1866</v>
      </c>
      <c r="C41" s="1568" t="s">
        <v>404</v>
      </c>
      <c r="D41" s="1570" t="s">
        <v>1940</v>
      </c>
      <c r="E41" s="1570" t="s">
        <v>1863</v>
      </c>
      <c r="F41" s="1568">
        <v>40000</v>
      </c>
      <c r="G41" s="1568">
        <v>0</v>
      </c>
      <c r="H41" s="1568">
        <f t="shared" si="0"/>
        <v>40000</v>
      </c>
      <c r="I41" s="1157">
        <v>2.1549043939999999</v>
      </c>
      <c r="J41" s="1157">
        <v>1.4276794309999998</v>
      </c>
      <c r="K41" s="1157">
        <v>2.1670585529999999</v>
      </c>
      <c r="L41" s="1157">
        <v>2.2190010099999999</v>
      </c>
      <c r="M41" s="1157">
        <v>1.6320004909999999</v>
      </c>
      <c r="N41" s="1157">
        <v>1.1947922099999999</v>
      </c>
      <c r="O41" s="1553">
        <f t="shared" si="1"/>
        <v>10.795436088999997</v>
      </c>
      <c r="P41" s="1158">
        <v>10.793100000000001</v>
      </c>
      <c r="Q41" s="1553">
        <f>O41+N41*6+10</f>
        <v>27.964189348999994</v>
      </c>
      <c r="R41" s="1527">
        <f t="shared" si="2"/>
        <v>8.0914899736689805E-2</v>
      </c>
      <c r="S41" s="1553">
        <v>30</v>
      </c>
      <c r="T41" s="1576"/>
      <c r="U41" s="1580"/>
    </row>
    <row r="42" spans="1:22">
      <c r="A42" s="1568">
        <v>37</v>
      </c>
      <c r="B42" s="1569" t="s">
        <v>1856</v>
      </c>
      <c r="C42" s="1568" t="s">
        <v>405</v>
      </c>
      <c r="D42" s="1570" t="s">
        <v>1940</v>
      </c>
      <c r="E42" s="1570" t="s">
        <v>1863</v>
      </c>
      <c r="F42" s="1568">
        <v>200000</v>
      </c>
      <c r="G42" s="1568">
        <v>100000</v>
      </c>
      <c r="H42" s="1568">
        <f t="shared" si="0"/>
        <v>300000</v>
      </c>
      <c r="I42" s="1157">
        <v>39.647999799999994</v>
      </c>
      <c r="J42" s="1157">
        <v>39.203999799999998</v>
      </c>
      <c r="K42" s="1157">
        <v>37.275999899999995</v>
      </c>
      <c r="L42" s="1157">
        <v>45.704999899999997</v>
      </c>
      <c r="M42" s="1157">
        <v>39.9869998</v>
      </c>
      <c r="N42" s="1157">
        <v>38.331999799999998</v>
      </c>
      <c r="O42" s="1553">
        <f t="shared" si="1"/>
        <v>240.15199899999999</v>
      </c>
      <c r="P42" s="1158">
        <v>238.405</v>
      </c>
      <c r="Q42" s="1553">
        <f>O42+N42*6+115</f>
        <v>585.14399779999997</v>
      </c>
      <c r="R42" s="1527">
        <f t="shared" si="2"/>
        <v>0.33862499872685181</v>
      </c>
      <c r="S42" s="1553">
        <v>590</v>
      </c>
      <c r="T42" s="1576"/>
      <c r="U42" s="1580"/>
    </row>
    <row r="43" spans="1:22">
      <c r="A43" s="1568">
        <v>38</v>
      </c>
      <c r="B43" s="1569" t="s">
        <v>1856</v>
      </c>
      <c r="C43" s="1568" t="s">
        <v>406</v>
      </c>
      <c r="D43" s="1570" t="s">
        <v>1940</v>
      </c>
      <c r="E43" s="1570" t="s">
        <v>1863</v>
      </c>
      <c r="F43" s="1568">
        <v>66667</v>
      </c>
      <c r="G43" s="1568">
        <v>0</v>
      </c>
      <c r="H43" s="1568">
        <f t="shared" si="0"/>
        <v>66667</v>
      </c>
      <c r="I43" s="1157">
        <v>9.2937228000000012</v>
      </c>
      <c r="J43" s="1157">
        <v>11.701011799999996</v>
      </c>
      <c r="K43" s="1157">
        <v>7.9148007999999974</v>
      </c>
      <c r="L43" s="1157">
        <v>3.2828447999999999</v>
      </c>
      <c r="M43" s="1157">
        <v>3.6872638000000006</v>
      </c>
      <c r="N43" s="1157">
        <v>2.6357567999999998</v>
      </c>
      <c r="O43" s="1553">
        <f t="shared" si="1"/>
        <v>38.515400800000002</v>
      </c>
      <c r="P43" s="1158">
        <v>38.482304999999997</v>
      </c>
      <c r="Q43" s="1553">
        <f>O43*2+10</f>
        <v>87.030801600000004</v>
      </c>
      <c r="R43" s="1527">
        <f t="shared" si="2"/>
        <v>0.1510943861947357</v>
      </c>
      <c r="S43" s="1553">
        <v>90</v>
      </c>
      <c r="T43" s="1576"/>
      <c r="U43" s="1581"/>
    </row>
    <row r="44" spans="1:22">
      <c r="A44" s="1568">
        <v>39</v>
      </c>
      <c r="B44" s="1569" t="s">
        <v>1856</v>
      </c>
      <c r="C44" s="1568" t="s">
        <v>2322</v>
      </c>
      <c r="D44" s="1570" t="s">
        <v>1940</v>
      </c>
      <c r="E44" s="1570" t="s">
        <v>1867</v>
      </c>
      <c r="F44" s="1568">
        <v>200000</v>
      </c>
      <c r="G44" s="1568">
        <v>100000</v>
      </c>
      <c r="H44" s="1568">
        <f t="shared" si="0"/>
        <v>300000</v>
      </c>
      <c r="I44" s="1157">
        <v>180.39589899000001</v>
      </c>
      <c r="J44" s="1157">
        <v>247.36340499000002</v>
      </c>
      <c r="K44" s="1157">
        <v>179.4708411</v>
      </c>
      <c r="L44" s="1157">
        <v>251.0853931</v>
      </c>
      <c r="M44" s="1157">
        <v>201.87343499000002</v>
      </c>
      <c r="N44" s="1157">
        <v>223.7163549</v>
      </c>
      <c r="O44" s="1553">
        <f t="shared" si="1"/>
        <v>1283.90532807</v>
      </c>
      <c r="P44" s="1158">
        <v>1247.6873460700001</v>
      </c>
      <c r="Q44" s="1553">
        <f>O44+N44*6-126</f>
        <v>2500.2034574700001</v>
      </c>
      <c r="R44" s="1527">
        <f t="shared" si="2"/>
        <v>1.4468770008506946</v>
      </c>
      <c r="S44" s="1553">
        <v>843</v>
      </c>
      <c r="T44" s="1576"/>
      <c r="U44" s="1579"/>
    </row>
    <row r="45" spans="1:22">
      <c r="A45" s="1568">
        <v>40</v>
      </c>
      <c r="B45" s="1569" t="s">
        <v>1856</v>
      </c>
      <c r="C45" s="1568" t="s">
        <v>1941</v>
      </c>
      <c r="D45" s="1570" t="s">
        <v>1940</v>
      </c>
      <c r="E45" s="1570" t="s">
        <v>1863</v>
      </c>
      <c r="F45" s="1568">
        <v>7500</v>
      </c>
      <c r="G45" s="1568">
        <v>0</v>
      </c>
      <c r="H45" s="1568">
        <f t="shared" si="0"/>
        <v>7500</v>
      </c>
      <c r="I45" s="1157">
        <v>1.1884864320000001E-2</v>
      </c>
      <c r="J45" s="1157">
        <v>1.702938637E-2</v>
      </c>
      <c r="K45" s="1157">
        <v>1E-10</v>
      </c>
      <c r="L45" s="1157">
        <v>1.5297059E-2</v>
      </c>
      <c r="M45" s="1157">
        <v>2.8284271250000003E-2</v>
      </c>
      <c r="N45" s="1157">
        <v>2.8442925309999999E-2</v>
      </c>
      <c r="O45" s="1553">
        <f t="shared" si="1"/>
        <v>0.10093850635000001</v>
      </c>
      <c r="P45" s="1158">
        <v>9.9500000000000005E-2</v>
      </c>
      <c r="Q45" s="1553">
        <f t="shared" si="3"/>
        <v>0.27159605820999999</v>
      </c>
      <c r="R45" s="1527">
        <f t="shared" si="2"/>
        <v>4.1912971945987651E-3</v>
      </c>
      <c r="S45" s="1553">
        <v>1</v>
      </c>
      <c r="T45" s="1576"/>
      <c r="V45" s="1581"/>
    </row>
    <row r="46" spans="1:22">
      <c r="A46" s="1568">
        <v>41</v>
      </c>
      <c r="B46" s="1569">
        <v>4130</v>
      </c>
      <c r="C46" s="1568" t="s">
        <v>2316</v>
      </c>
      <c r="D46" s="1570" t="s">
        <v>1940</v>
      </c>
      <c r="E46" s="1570" t="s">
        <v>433</v>
      </c>
      <c r="F46" s="1568">
        <v>9500</v>
      </c>
      <c r="G46" s="1568">
        <v>0</v>
      </c>
      <c r="H46" s="1568">
        <f t="shared" si="0"/>
        <v>9500</v>
      </c>
      <c r="I46" s="1157">
        <v>0.10829989999999999</v>
      </c>
      <c r="J46" s="1157">
        <v>1.2631998999999998</v>
      </c>
      <c r="K46" s="1157">
        <v>2.2840998999999997</v>
      </c>
      <c r="L46" s="1157">
        <v>2.8082998999999997</v>
      </c>
      <c r="M46" s="1157">
        <v>0.54949990000000004</v>
      </c>
      <c r="N46" s="1157">
        <v>0.21809989999999999</v>
      </c>
      <c r="O46" s="1553">
        <f t="shared" si="1"/>
        <v>7.2314993999999997</v>
      </c>
      <c r="P46" s="1158">
        <v>7.0408999999999997</v>
      </c>
      <c r="Q46" s="1553">
        <f t="shared" si="3"/>
        <v>8.5400987999999991</v>
      </c>
      <c r="R46" s="1527">
        <f t="shared" si="2"/>
        <v>0.10404603801169589</v>
      </c>
      <c r="S46" s="1553">
        <v>15</v>
      </c>
      <c r="T46" s="1576"/>
    </row>
    <row r="47" spans="1:22">
      <c r="A47" s="1568">
        <v>42</v>
      </c>
      <c r="B47" s="1569" t="s">
        <v>1864</v>
      </c>
      <c r="C47" s="1568" t="s">
        <v>409</v>
      </c>
      <c r="D47" s="1570" t="s">
        <v>1940</v>
      </c>
      <c r="E47" s="1570" t="s">
        <v>433</v>
      </c>
      <c r="F47" s="1568">
        <v>3000</v>
      </c>
      <c r="G47" s="1568">
        <v>3000</v>
      </c>
      <c r="H47" s="1568">
        <f t="shared" si="0"/>
        <v>6000</v>
      </c>
      <c r="I47" s="1157">
        <v>2.0920999999999998</v>
      </c>
      <c r="J47" s="1157">
        <v>2.0110000000000001</v>
      </c>
      <c r="K47" s="1157">
        <v>3.0929000000000002</v>
      </c>
      <c r="L47" s="1157">
        <v>2.6964000000000001</v>
      </c>
      <c r="M47" s="1157">
        <v>0.36409999999999998</v>
      </c>
      <c r="N47" s="1157">
        <v>0.1797</v>
      </c>
      <c r="O47" s="1553">
        <f t="shared" si="1"/>
        <v>10.436200000000001</v>
      </c>
      <c r="P47" s="1158">
        <v>7.4608999999999996</v>
      </c>
      <c r="Q47" s="1553">
        <f>O47+N47*6+4.383</f>
        <v>15.897400000000001</v>
      </c>
      <c r="R47" s="1527">
        <f t="shared" si="2"/>
        <v>0.61332561728395074</v>
      </c>
      <c r="S47" s="1553">
        <v>15</v>
      </c>
      <c r="T47" s="1576"/>
    </row>
    <row r="48" spans="1:22">
      <c r="A48" s="1568">
        <v>43</v>
      </c>
      <c r="B48" s="1569" t="s">
        <v>1861</v>
      </c>
      <c r="C48" s="1568" t="s">
        <v>407</v>
      </c>
      <c r="D48" s="1570" t="s">
        <v>408</v>
      </c>
      <c r="E48" s="1568" t="s">
        <v>433</v>
      </c>
      <c r="F48" s="1568">
        <v>5000</v>
      </c>
      <c r="G48" s="1568">
        <v>0</v>
      </c>
      <c r="H48" s="1568">
        <f t="shared" si="0"/>
        <v>5000</v>
      </c>
      <c r="I48" s="1575">
        <v>0.56255999999999995</v>
      </c>
      <c r="J48" s="1575">
        <v>0.84401999999999999</v>
      </c>
      <c r="K48" s="1575">
        <v>0.61470000000000002</v>
      </c>
      <c r="L48" s="1575">
        <v>0.63822000000000001</v>
      </c>
      <c r="M48" s="1575">
        <v>0.60875999999999997</v>
      </c>
      <c r="N48" s="1575">
        <v>0.79679999999999995</v>
      </c>
      <c r="O48" s="1553">
        <f t="shared" si="1"/>
        <v>4.0650599999999999</v>
      </c>
      <c r="P48" s="1571">
        <v>4.0472999999999999</v>
      </c>
      <c r="Q48" s="1553">
        <f>O48+N48*6</f>
        <v>8.8458599999999983</v>
      </c>
      <c r="R48" s="1527">
        <f t="shared" si="2"/>
        <v>0.20476527777777773</v>
      </c>
      <c r="S48" s="1553">
        <v>7.6</v>
      </c>
      <c r="T48" s="1576"/>
    </row>
    <row r="49" spans="1:24">
      <c r="A49" s="1568">
        <v>44</v>
      </c>
      <c r="B49" s="1569" t="s">
        <v>1864</v>
      </c>
      <c r="C49" s="1568" t="s">
        <v>410</v>
      </c>
      <c r="D49" s="1570" t="s">
        <v>2327</v>
      </c>
      <c r="E49" s="1570" t="s">
        <v>433</v>
      </c>
      <c r="F49" s="1568">
        <v>5000</v>
      </c>
      <c r="G49" s="1568">
        <v>0</v>
      </c>
      <c r="H49" s="1568">
        <f>F49+G49</f>
        <v>5000</v>
      </c>
      <c r="I49" s="1157">
        <v>6.7799999999999999E-2</v>
      </c>
      <c r="J49" s="1157">
        <v>3.7000000000000002E-3</v>
      </c>
      <c r="K49" s="1157">
        <v>3.8600000000000002E-2</v>
      </c>
      <c r="L49" s="1157">
        <v>8.5999999999999993E-2</v>
      </c>
      <c r="M49" s="1157">
        <v>1.49E-2</v>
      </c>
      <c r="N49" s="1157">
        <v>0.1799</v>
      </c>
      <c r="O49" s="1553">
        <f t="shared" ref="O49" si="10">SUM(I49:N49)</f>
        <v>0.39090000000000003</v>
      </c>
      <c r="P49" s="1158">
        <v>0.35039999999999999</v>
      </c>
      <c r="Q49" s="1553">
        <f>O49*2</f>
        <v>0.78180000000000005</v>
      </c>
      <c r="R49" s="1527">
        <f t="shared" si="2"/>
        <v>1.8097222222222223E-2</v>
      </c>
      <c r="S49" s="1553">
        <v>1</v>
      </c>
      <c r="T49" s="1576"/>
    </row>
    <row r="50" spans="1:24">
      <c r="A50" s="1568"/>
      <c r="B50" s="1568"/>
      <c r="C50" s="1582"/>
      <c r="D50" s="1570"/>
      <c r="E50" s="1570"/>
      <c r="F50" s="1568"/>
      <c r="G50" s="1568"/>
      <c r="H50" s="1568"/>
      <c r="I50" s="1553"/>
      <c r="J50" s="1553"/>
      <c r="K50" s="1553"/>
      <c r="L50" s="1553"/>
      <c r="M50" s="1553"/>
      <c r="N50" s="1583"/>
      <c r="O50" s="1553"/>
      <c r="P50" s="1564"/>
      <c r="Q50" s="1553"/>
      <c r="R50" s="1584"/>
      <c r="S50" s="1553"/>
    </row>
    <row r="51" spans="1:24" s="1567" customFormat="1">
      <c r="A51" s="1568"/>
      <c r="B51" s="1562" t="s">
        <v>1885</v>
      </c>
      <c r="C51" s="1562"/>
      <c r="D51" s="1563"/>
      <c r="E51" s="1563"/>
      <c r="F51" s="1562"/>
      <c r="G51" s="1562"/>
      <c r="H51" s="1562"/>
      <c r="I51" s="1564"/>
      <c r="J51" s="1564"/>
      <c r="K51" s="1564"/>
      <c r="L51" s="1564"/>
      <c r="M51" s="1564"/>
      <c r="N51" s="1564"/>
      <c r="O51" s="1564"/>
      <c r="P51" s="1564"/>
      <c r="Q51" s="1585"/>
      <c r="R51" s="1585"/>
      <c r="S51" s="1553"/>
    </row>
    <row r="52" spans="1:24">
      <c r="A52" s="1578">
        <v>1</v>
      </c>
      <c r="B52" s="1569"/>
      <c r="C52" s="1568" t="s">
        <v>2326</v>
      </c>
      <c r="D52" s="1570" t="s">
        <v>389</v>
      </c>
      <c r="E52" s="1577" t="s">
        <v>433</v>
      </c>
      <c r="F52" s="1578">
        <v>5000</v>
      </c>
      <c r="G52" s="1578">
        <v>0</v>
      </c>
      <c r="H52" s="1578">
        <f t="shared" ref="H52" si="11">F52+G52</f>
        <v>5000</v>
      </c>
      <c r="I52" s="1578"/>
      <c r="J52" s="1578"/>
      <c r="K52" s="1578"/>
      <c r="L52" s="1578"/>
      <c r="M52" s="1578"/>
      <c r="N52" s="1528"/>
      <c r="O52" s="1586"/>
      <c r="P52" s="1528"/>
      <c r="Q52" s="1586">
        <f>O52+N52*6</f>
        <v>0</v>
      </c>
      <c r="R52" s="1587">
        <v>0.15</v>
      </c>
      <c r="S52" s="1586">
        <v>1</v>
      </c>
    </row>
    <row r="53" spans="1:24" s="1591" customFormat="1">
      <c r="A53" s="1568"/>
      <c r="B53" s="1588"/>
      <c r="C53" s="1588"/>
      <c r="D53" s="1589" t="s">
        <v>412</v>
      </c>
      <c r="E53" s="1589"/>
      <c r="F53" s="1588">
        <f t="shared" ref="F53:Q53" si="12">SUM(F6:F52)</f>
        <v>1238223</v>
      </c>
      <c r="G53" s="1588">
        <f t="shared" si="12"/>
        <v>220500</v>
      </c>
      <c r="H53" s="1588">
        <f t="shared" si="12"/>
        <v>1458723</v>
      </c>
      <c r="I53" s="1590">
        <f t="shared" si="12"/>
        <v>361.53229012072001</v>
      </c>
      <c r="J53" s="1590">
        <f t="shared" si="12"/>
        <v>454.17097914448004</v>
      </c>
      <c r="K53" s="1590">
        <f t="shared" si="12"/>
        <v>371.21033521413995</v>
      </c>
      <c r="L53" s="1590">
        <f t="shared" si="12"/>
        <v>448.70127883122996</v>
      </c>
      <c r="M53" s="1590">
        <f t="shared" si="12"/>
        <v>409.78320833244004</v>
      </c>
      <c r="N53" s="1590">
        <f t="shared" si="12"/>
        <v>451.90093853461008</v>
      </c>
      <c r="O53" s="1590">
        <f t="shared" si="12"/>
        <v>2497.2990301776194</v>
      </c>
      <c r="P53" s="1590">
        <f t="shared" si="12"/>
        <v>2421.7973482326997</v>
      </c>
      <c r="Q53" s="1590">
        <f t="shared" si="12"/>
        <v>4992.3360291525605</v>
      </c>
      <c r="R53" s="1590"/>
      <c r="S53" s="1590">
        <f>SUM(S6:S52)</f>
        <v>3480</v>
      </c>
    </row>
    <row r="54" spans="1:24" s="1591" customFormat="1">
      <c r="A54" s="1568"/>
      <c r="B54" s="1588"/>
      <c r="C54" s="1588"/>
      <c r="D54" s="1589"/>
      <c r="E54" s="1589"/>
      <c r="F54" s="1588"/>
      <c r="G54" s="1588"/>
      <c r="H54" s="1588"/>
      <c r="I54" s="1590"/>
      <c r="J54" s="1590"/>
      <c r="K54" s="1590"/>
      <c r="L54" s="1590"/>
      <c r="M54" s="1590"/>
      <c r="N54" s="1590"/>
      <c r="O54" s="1590"/>
      <c r="P54" s="1590"/>
      <c r="Q54" s="1590"/>
      <c r="R54" s="1590"/>
      <c r="S54" s="1590"/>
    </row>
    <row r="55" spans="1:24" s="1567" customFormat="1">
      <c r="A55" s="1562" t="s">
        <v>491</v>
      </c>
      <c r="B55" s="1562" t="s">
        <v>1886</v>
      </c>
      <c r="C55" s="1562"/>
      <c r="D55" s="1563"/>
      <c r="E55" s="1563"/>
      <c r="F55" s="1529"/>
      <c r="G55" s="1530"/>
      <c r="H55" s="1530"/>
      <c r="I55" s="1531"/>
      <c r="J55" s="1531"/>
      <c r="K55" s="1531"/>
      <c r="L55" s="1531"/>
      <c r="M55" s="1531"/>
      <c r="N55" s="1531"/>
      <c r="O55" s="1592"/>
      <c r="P55" s="1531"/>
      <c r="Q55" s="1585"/>
      <c r="R55" s="1585"/>
      <c r="S55" s="1564"/>
    </row>
    <row r="56" spans="1:24">
      <c r="A56" s="1568">
        <v>1</v>
      </c>
      <c r="B56" s="1569" t="s">
        <v>1866</v>
      </c>
      <c r="C56" s="1568" t="s">
        <v>413</v>
      </c>
      <c r="D56" s="1570" t="s">
        <v>414</v>
      </c>
      <c r="E56" s="1570" t="s">
        <v>415</v>
      </c>
      <c r="F56" s="1593">
        <v>1400</v>
      </c>
      <c r="G56" s="1568">
        <v>0</v>
      </c>
      <c r="H56" s="1593">
        <f>F56+G56</f>
        <v>1400</v>
      </c>
      <c r="I56" s="1532">
        <v>0.17497499999999999</v>
      </c>
      <c r="J56" s="1532">
        <v>0.25536750000000003</v>
      </c>
      <c r="K56" s="1532">
        <v>0.30800117500000002</v>
      </c>
      <c r="L56" s="1532">
        <v>0.22622</v>
      </c>
      <c r="M56" s="1532">
        <v>0.199175938</v>
      </c>
      <c r="N56" s="1532">
        <v>0.1936157</v>
      </c>
      <c r="O56" s="1553">
        <f>SUM(I56:N56)</f>
        <v>1.3573553130000002</v>
      </c>
      <c r="P56" s="1158">
        <v>1.350055</v>
      </c>
      <c r="Q56" s="1553">
        <f t="shared" ref="Q56:Q120" si="13">O56+N56*6</f>
        <v>2.5190495130000001</v>
      </c>
      <c r="R56" s="1575">
        <f>Q56/((F56*24*30*12*0.9)/1000000)</f>
        <v>0.23139417190255732</v>
      </c>
      <c r="S56" s="1553">
        <f>ROUNDUP(Q56*1.0455,0)</f>
        <v>3</v>
      </c>
      <c r="T56" s="1580"/>
      <c r="W56" s="1581"/>
      <c r="X56" s="1579"/>
    </row>
    <row r="57" spans="1:24">
      <c r="A57" s="1568">
        <v>2</v>
      </c>
      <c r="B57" s="1569" t="s">
        <v>1859</v>
      </c>
      <c r="C57" s="1568" t="s">
        <v>416</v>
      </c>
      <c r="D57" s="1570" t="s">
        <v>414</v>
      </c>
      <c r="E57" s="1570" t="s">
        <v>417</v>
      </c>
      <c r="F57" s="1593">
        <v>1500</v>
      </c>
      <c r="G57" s="1568">
        <v>0</v>
      </c>
      <c r="H57" s="1593">
        <f>F57+G57</f>
        <v>1500</v>
      </c>
      <c r="I57" s="1532">
        <v>0.33485999999999999</v>
      </c>
      <c r="J57" s="1532">
        <v>0.35776000000000002</v>
      </c>
      <c r="K57" s="1532">
        <v>0.34833999999999998</v>
      </c>
      <c r="L57" s="1532">
        <v>0.36518</v>
      </c>
      <c r="M57" s="1532">
        <v>0.3508</v>
      </c>
      <c r="N57" s="1532">
        <v>0.35239999999999999</v>
      </c>
      <c r="O57" s="1553">
        <f t="shared" ref="O57:O120" si="14">SUM(I57:N57)</f>
        <v>2.10934</v>
      </c>
      <c r="P57" s="1158">
        <v>2.0332400000000002</v>
      </c>
      <c r="Q57" s="1553">
        <f t="shared" si="13"/>
        <v>4.2237399999999994</v>
      </c>
      <c r="R57" s="1575">
        <f t="shared" ref="R57:R120" si="15">Q57/((F57*24*30*12*0.9)/1000000)</f>
        <v>0.36211762688614535</v>
      </c>
      <c r="S57" s="1553">
        <f t="shared" ref="S57:S58" si="16">ROUNDUP(Q57*1.0455,0)</f>
        <v>5</v>
      </c>
      <c r="T57" s="1580"/>
      <c r="W57" s="1581"/>
      <c r="X57" s="1579"/>
    </row>
    <row r="58" spans="1:24">
      <c r="A58" s="1568">
        <v>3</v>
      </c>
      <c r="B58" s="1569">
        <v>8140</v>
      </c>
      <c r="C58" s="1568" t="s">
        <v>2317</v>
      </c>
      <c r="D58" s="1570" t="s">
        <v>414</v>
      </c>
      <c r="E58" s="1570" t="s">
        <v>415</v>
      </c>
      <c r="F58" s="1593">
        <v>1000</v>
      </c>
      <c r="G58" s="1568">
        <v>0</v>
      </c>
      <c r="H58" s="1593">
        <f>F58+G58</f>
        <v>1000</v>
      </c>
      <c r="I58" s="1532">
        <v>0.48327999999999999</v>
      </c>
      <c r="J58" s="1532">
        <v>0.51963999999999999</v>
      </c>
      <c r="K58" s="1532">
        <v>0.49608000000000002</v>
      </c>
      <c r="L58" s="1532">
        <v>0.54183999999999999</v>
      </c>
      <c r="M58" s="1532">
        <v>0.58520000000000005</v>
      </c>
      <c r="N58" s="1532">
        <v>0.55679999999999996</v>
      </c>
      <c r="O58" s="1553">
        <f t="shared" si="14"/>
        <v>3.1828400000000001</v>
      </c>
      <c r="P58" s="1158">
        <v>3.13476</v>
      </c>
      <c r="Q58" s="1553">
        <f t="shared" si="13"/>
        <v>6.5236400000000003</v>
      </c>
      <c r="R58" s="1575">
        <f t="shared" si="15"/>
        <v>0.83894547325102886</v>
      </c>
      <c r="S58" s="1553">
        <f t="shared" si="16"/>
        <v>7</v>
      </c>
      <c r="T58" s="1580"/>
    </row>
    <row r="59" spans="1:24" ht="16.5" customHeight="1">
      <c r="A59" s="1568">
        <v>4</v>
      </c>
      <c r="B59" s="1569" t="s">
        <v>1868</v>
      </c>
      <c r="C59" s="1568" t="s">
        <v>434</v>
      </c>
      <c r="D59" s="1570" t="s">
        <v>435</v>
      </c>
      <c r="E59" s="1570" t="s">
        <v>417</v>
      </c>
      <c r="F59" s="1593">
        <v>3500</v>
      </c>
      <c r="G59" s="1568">
        <v>0</v>
      </c>
      <c r="H59" s="1593">
        <f t="shared" ref="H59:H122" si="17">F59+G59</f>
        <v>3500</v>
      </c>
      <c r="I59" s="1532">
        <v>1.15245</v>
      </c>
      <c r="J59" s="1532">
        <v>1.2061569999999999</v>
      </c>
      <c r="K59" s="1532">
        <v>1.15839</v>
      </c>
      <c r="L59" s="1532">
        <v>1.0373399999999999</v>
      </c>
      <c r="M59" s="1532">
        <v>1.121648</v>
      </c>
      <c r="N59" s="1532">
        <v>1.13229</v>
      </c>
      <c r="O59" s="1553">
        <f t="shared" si="14"/>
        <v>6.808275000000001</v>
      </c>
      <c r="P59" s="1158">
        <v>6.7641520000000002</v>
      </c>
      <c r="Q59" s="1553">
        <f t="shared" si="13"/>
        <v>13.602015000000002</v>
      </c>
      <c r="R59" s="1575">
        <f t="shared" si="15"/>
        <v>0.49978009259259265</v>
      </c>
      <c r="S59" s="1553">
        <f>ROUNDUP(Q59*1.0444,0)</f>
        <v>15</v>
      </c>
      <c r="T59" s="1580"/>
      <c r="W59" s="1581"/>
      <c r="X59" s="1579"/>
    </row>
    <row r="60" spans="1:24" ht="16.5" customHeight="1">
      <c r="A60" s="1568">
        <v>5</v>
      </c>
      <c r="B60" s="1569" t="s">
        <v>1858</v>
      </c>
      <c r="C60" s="1568" t="s">
        <v>2318</v>
      </c>
      <c r="D60" s="1570" t="s">
        <v>435</v>
      </c>
      <c r="E60" s="1570" t="s">
        <v>417</v>
      </c>
      <c r="F60" s="1593">
        <v>4800</v>
      </c>
      <c r="G60" s="1568">
        <v>-2400</v>
      </c>
      <c r="H60" s="1593">
        <f t="shared" si="17"/>
        <v>2400</v>
      </c>
      <c r="I60" s="1532">
        <v>0.14001</v>
      </c>
      <c r="J60" s="1532">
        <v>0.14604</v>
      </c>
      <c r="K60" s="1532">
        <v>0.17544000000000001</v>
      </c>
      <c r="L60" s="1532">
        <v>0.19194</v>
      </c>
      <c r="M60" s="1532">
        <v>0.17901</v>
      </c>
      <c r="N60" s="1532">
        <v>9.0218859999999998E-2</v>
      </c>
      <c r="O60" s="1553">
        <f t="shared" si="14"/>
        <v>0.92265886000000008</v>
      </c>
      <c r="P60" s="1158">
        <v>0.92130283000000013</v>
      </c>
      <c r="Q60" s="1553">
        <f t="shared" si="13"/>
        <v>1.4639720199999999</v>
      </c>
      <c r="R60" s="1575">
        <f t="shared" si="15"/>
        <v>3.9222501393175575E-2</v>
      </c>
      <c r="S60" s="1553">
        <f t="shared" ref="S60:S63" si="18">ROUNDUP(Q60*1.0444,0)</f>
        <v>2</v>
      </c>
      <c r="T60" s="1580"/>
      <c r="W60" s="1581"/>
      <c r="X60" s="1579"/>
    </row>
    <row r="61" spans="1:24" ht="16.5" customHeight="1">
      <c r="A61" s="1568">
        <v>6</v>
      </c>
      <c r="B61" s="1569" t="s">
        <v>1873</v>
      </c>
      <c r="C61" s="1568" t="s">
        <v>436</v>
      </c>
      <c r="D61" s="1570" t="s">
        <v>435</v>
      </c>
      <c r="E61" s="1570" t="s">
        <v>417</v>
      </c>
      <c r="F61" s="1593">
        <v>1504</v>
      </c>
      <c r="G61" s="1568">
        <v>0</v>
      </c>
      <c r="H61" s="1593">
        <f t="shared" si="17"/>
        <v>1504</v>
      </c>
      <c r="I61" s="1532">
        <v>0.12989999999999999</v>
      </c>
      <c r="J61" s="1532">
        <v>0.17817</v>
      </c>
      <c r="K61" s="1532">
        <v>0.16850999999999999</v>
      </c>
      <c r="L61" s="1532">
        <v>0.16680600000000001</v>
      </c>
      <c r="M61" s="1532">
        <v>0.13613400000000001</v>
      </c>
      <c r="N61" s="1532">
        <v>0.12459000000000001</v>
      </c>
      <c r="O61" s="1553">
        <f t="shared" si="14"/>
        <v>0.90410999999999997</v>
      </c>
      <c r="P61" s="1158">
        <v>0.90351000000000004</v>
      </c>
      <c r="Q61" s="1553">
        <f t="shared" si="13"/>
        <v>1.6516500000000001</v>
      </c>
      <c r="R61" s="1575">
        <f t="shared" si="15"/>
        <v>0.1412257642172314</v>
      </c>
      <c r="S61" s="1553">
        <f t="shared" si="18"/>
        <v>2</v>
      </c>
      <c r="T61" s="1580"/>
    </row>
    <row r="62" spans="1:24" ht="16.5" customHeight="1">
      <c r="A62" s="1568">
        <v>7</v>
      </c>
      <c r="B62" s="1569">
        <v>4130</v>
      </c>
      <c r="C62" s="1568" t="s">
        <v>1918</v>
      </c>
      <c r="D62" s="1570" t="s">
        <v>435</v>
      </c>
      <c r="E62" s="1570" t="s">
        <v>415</v>
      </c>
      <c r="F62" s="1593">
        <v>1116</v>
      </c>
      <c r="G62" s="1568">
        <v>0</v>
      </c>
      <c r="H62" s="1593">
        <f t="shared" si="17"/>
        <v>1116</v>
      </c>
      <c r="I62" s="1532">
        <v>1.133E-2</v>
      </c>
      <c r="J62" s="1532">
        <v>9.3299999999999998E-3</v>
      </c>
      <c r="K62" s="1532">
        <v>9.1699999999999993E-3</v>
      </c>
      <c r="L62" s="1532">
        <v>9.3100000000000006E-3</v>
      </c>
      <c r="M62" s="1532">
        <v>8.3700000000000007E-3</v>
      </c>
      <c r="N62" s="1532">
        <v>9.4599999999999997E-3</v>
      </c>
      <c r="O62" s="1553">
        <f t="shared" si="14"/>
        <v>5.6969999999999993E-2</v>
      </c>
      <c r="P62" s="1158">
        <v>5.0430000000000003E-2</v>
      </c>
      <c r="Q62" s="1553">
        <f t="shared" si="13"/>
        <v>0.11373</v>
      </c>
      <c r="R62" s="1575">
        <f t="shared" si="15"/>
        <v>1.3105530111951856E-2</v>
      </c>
      <c r="S62" s="1553">
        <f t="shared" si="18"/>
        <v>1</v>
      </c>
      <c r="T62" s="1580"/>
    </row>
    <row r="63" spans="1:24" ht="16.5" customHeight="1">
      <c r="A63" s="1568">
        <v>8</v>
      </c>
      <c r="B63" s="1569">
        <v>9030</v>
      </c>
      <c r="C63" s="1568" t="s">
        <v>2319</v>
      </c>
      <c r="D63" s="1570" t="s">
        <v>435</v>
      </c>
      <c r="E63" s="1570" t="s">
        <v>417</v>
      </c>
      <c r="F63" s="1593">
        <v>2150</v>
      </c>
      <c r="G63" s="1568">
        <v>239</v>
      </c>
      <c r="H63" s="1593">
        <f t="shared" si="17"/>
        <v>2389</v>
      </c>
      <c r="I63" s="1532">
        <v>1.7979999999999999E-2</v>
      </c>
      <c r="J63" s="1532">
        <v>8.3140000000000006E-2</v>
      </c>
      <c r="K63" s="1532">
        <v>0.12822</v>
      </c>
      <c r="L63" s="1532">
        <v>7.0019999999999999E-2</v>
      </c>
      <c r="M63" s="1532">
        <v>4.7879999999999999E-2</v>
      </c>
      <c r="N63" s="1532">
        <v>5.1839999999999997E-2</v>
      </c>
      <c r="O63" s="1553">
        <f t="shared" si="14"/>
        <v>0.39907999999999993</v>
      </c>
      <c r="P63" s="1158">
        <v>0.35598000000000002</v>
      </c>
      <c r="Q63" s="1553">
        <f t="shared" si="13"/>
        <v>0.71011999999999986</v>
      </c>
      <c r="R63" s="1575">
        <f t="shared" si="15"/>
        <v>4.247535649344434E-2</v>
      </c>
      <c r="S63" s="1553">
        <f t="shared" si="18"/>
        <v>1</v>
      </c>
      <c r="T63" s="1580"/>
    </row>
    <row r="64" spans="1:24" ht="16.5" customHeight="1">
      <c r="A64" s="1568">
        <v>9</v>
      </c>
      <c r="B64" s="1569" t="s">
        <v>1856</v>
      </c>
      <c r="C64" s="1568" t="s">
        <v>437</v>
      </c>
      <c r="D64" s="1570" t="s">
        <v>1889</v>
      </c>
      <c r="E64" s="1570" t="s">
        <v>415</v>
      </c>
      <c r="F64" s="1593">
        <v>1000</v>
      </c>
      <c r="G64" s="1593">
        <v>0</v>
      </c>
      <c r="H64" s="1593">
        <f t="shared" si="17"/>
        <v>1000</v>
      </c>
      <c r="I64" s="1532">
        <v>0.24010500000000001</v>
      </c>
      <c r="J64" s="1532">
        <v>0.29575499999999999</v>
      </c>
      <c r="K64" s="1532">
        <v>0.29165999999999997</v>
      </c>
      <c r="L64" s="1532">
        <v>0.272725</v>
      </c>
      <c r="M64" s="1532">
        <v>0.252695</v>
      </c>
      <c r="N64" s="1532">
        <v>0.248975</v>
      </c>
      <c r="O64" s="1553">
        <f t="shared" si="14"/>
        <v>1.6019150000000002</v>
      </c>
      <c r="P64" s="1158">
        <v>1.56368</v>
      </c>
      <c r="Q64" s="1553">
        <f t="shared" si="13"/>
        <v>3.0957650000000001</v>
      </c>
      <c r="R64" s="1575">
        <f t="shared" si="15"/>
        <v>0.39811792695473253</v>
      </c>
      <c r="S64" s="1553">
        <f>ROUNDUP(Q64*1.0263,0)</f>
        <v>4</v>
      </c>
      <c r="T64" s="1580"/>
    </row>
    <row r="65" spans="1:20" ht="16.5" customHeight="1">
      <c r="A65" s="1568">
        <v>10</v>
      </c>
      <c r="B65" s="1569" t="s">
        <v>1856</v>
      </c>
      <c r="C65" s="1568" t="s">
        <v>438</v>
      </c>
      <c r="D65" s="1570" t="s">
        <v>1889</v>
      </c>
      <c r="E65" s="1570" t="s">
        <v>417</v>
      </c>
      <c r="F65" s="1568">
        <v>1250</v>
      </c>
      <c r="G65" s="1593">
        <v>0</v>
      </c>
      <c r="H65" s="1593">
        <f t="shared" si="17"/>
        <v>1250</v>
      </c>
      <c r="I65" s="1532">
        <v>0.14480999999999999</v>
      </c>
      <c r="J65" s="1532">
        <v>0.17895</v>
      </c>
      <c r="K65" s="1532">
        <v>0.19112999999999999</v>
      </c>
      <c r="L65" s="1532">
        <v>0.18881999999999999</v>
      </c>
      <c r="M65" s="1532">
        <v>0.17693999999999999</v>
      </c>
      <c r="N65" s="1532">
        <v>0.16872000000000001</v>
      </c>
      <c r="O65" s="1553">
        <f t="shared" si="14"/>
        <v>1.0493699999999999</v>
      </c>
      <c r="P65" s="1158">
        <v>1.04847</v>
      </c>
      <c r="Q65" s="1553">
        <f t="shared" si="13"/>
        <v>2.06169</v>
      </c>
      <c r="R65" s="1575">
        <f t="shared" si="15"/>
        <v>0.212108024691358</v>
      </c>
      <c r="S65" s="1553">
        <f t="shared" ref="S65:S74" si="19">ROUNDUP(Q65*1.0263,0)</f>
        <v>3</v>
      </c>
      <c r="T65" s="1580"/>
    </row>
    <row r="66" spans="1:20" ht="16.5" customHeight="1">
      <c r="A66" s="1568">
        <v>11</v>
      </c>
      <c r="B66" s="1569" t="s">
        <v>1864</v>
      </c>
      <c r="C66" s="1568" t="s">
        <v>439</v>
      </c>
      <c r="D66" s="1570" t="s">
        <v>1889</v>
      </c>
      <c r="E66" s="1570" t="s">
        <v>417</v>
      </c>
      <c r="F66" s="1593">
        <v>6000</v>
      </c>
      <c r="G66" s="1593">
        <v>0</v>
      </c>
      <c r="H66" s="1593">
        <f t="shared" si="17"/>
        <v>6000</v>
      </c>
      <c r="I66" s="1532">
        <v>3.9530543478000002</v>
      </c>
      <c r="J66" s="1532">
        <v>4.1915543478000004</v>
      </c>
      <c r="K66" s="1532">
        <v>4.1042934782999998</v>
      </c>
      <c r="L66" s="1532">
        <v>4.0547934782999997</v>
      </c>
      <c r="M66" s="1532">
        <v>3.8153152173999998</v>
      </c>
      <c r="N66" s="1532">
        <v>3.9601956521999999</v>
      </c>
      <c r="O66" s="1553">
        <f t="shared" si="14"/>
        <v>24.079206521799996</v>
      </c>
      <c r="P66" s="1158">
        <v>22.438760869599999</v>
      </c>
      <c r="Q66" s="1553">
        <f t="shared" si="13"/>
        <v>47.840380435</v>
      </c>
      <c r="R66" s="1575">
        <f t="shared" si="15"/>
        <v>1.0253853831232853</v>
      </c>
      <c r="S66" s="1553">
        <f t="shared" si="19"/>
        <v>50</v>
      </c>
      <c r="T66" s="1580"/>
    </row>
    <row r="67" spans="1:20" ht="16.5" customHeight="1">
      <c r="A67" s="1568">
        <v>12</v>
      </c>
      <c r="B67" s="1569" t="s">
        <v>1864</v>
      </c>
      <c r="C67" s="1568" t="s">
        <v>1887</v>
      </c>
      <c r="D67" s="1570" t="s">
        <v>1889</v>
      </c>
      <c r="E67" s="1570" t="s">
        <v>417</v>
      </c>
      <c r="F67" s="1593">
        <v>2550</v>
      </c>
      <c r="G67" s="1593">
        <v>0</v>
      </c>
      <c r="H67" s="1593">
        <f t="shared" si="17"/>
        <v>2550</v>
      </c>
      <c r="I67" s="1532">
        <v>1.0475838799999999</v>
      </c>
      <c r="J67" s="1532">
        <v>0.93285812999999995</v>
      </c>
      <c r="K67" s="1532">
        <v>1.0345483680000001</v>
      </c>
      <c r="L67" s="1532">
        <v>0.91791685999999995</v>
      </c>
      <c r="M67" s="1532">
        <v>1.0179338199999999</v>
      </c>
      <c r="N67" s="1532">
        <v>0.88197795999999995</v>
      </c>
      <c r="O67" s="1553">
        <f t="shared" si="14"/>
        <v>5.8328190180000004</v>
      </c>
      <c r="P67" s="1158">
        <v>5.77536</v>
      </c>
      <c r="Q67" s="1553">
        <f t="shared" si="13"/>
        <v>11.124686778000001</v>
      </c>
      <c r="R67" s="1575">
        <f t="shared" si="15"/>
        <v>0.56103681402808037</v>
      </c>
      <c r="S67" s="1553">
        <f t="shared" si="19"/>
        <v>12</v>
      </c>
      <c r="T67" s="1580"/>
    </row>
    <row r="68" spans="1:20" ht="16.5" customHeight="1">
      <c r="A68" s="1568">
        <v>13</v>
      </c>
      <c r="B68" s="1569" t="s">
        <v>1857</v>
      </c>
      <c r="C68" s="1568" t="s">
        <v>440</v>
      </c>
      <c r="D68" s="1570" t="s">
        <v>1889</v>
      </c>
      <c r="E68" s="1570" t="s">
        <v>417</v>
      </c>
      <c r="F68" s="1593">
        <v>1700</v>
      </c>
      <c r="G68" s="1593">
        <v>0</v>
      </c>
      <c r="H68" s="1593">
        <f t="shared" si="17"/>
        <v>1700</v>
      </c>
      <c r="I68" s="1532">
        <v>2.8500000000000001E-2</v>
      </c>
      <c r="J68" s="1532">
        <v>3.0644999999999999E-2</v>
      </c>
      <c r="K68" s="1532">
        <v>2.9655000000000001E-2</v>
      </c>
      <c r="L68" s="1532">
        <v>2.6474999999999999E-2</v>
      </c>
      <c r="M68" s="1532">
        <v>2.3564999999999999E-2</v>
      </c>
      <c r="N68" s="1532">
        <v>2.5905000000000001E-2</v>
      </c>
      <c r="O68" s="1553">
        <f t="shared" si="14"/>
        <v>0.164745</v>
      </c>
      <c r="P68" s="1158">
        <v>0.15984000000000001</v>
      </c>
      <c r="Q68" s="1553">
        <f t="shared" si="13"/>
        <v>0.32017499999999999</v>
      </c>
      <c r="R68" s="1575">
        <f t="shared" si="15"/>
        <v>2.4220452069716774E-2</v>
      </c>
      <c r="S68" s="1553">
        <f t="shared" si="19"/>
        <v>1</v>
      </c>
      <c r="T68" s="1580"/>
    </row>
    <row r="69" spans="1:20" ht="16.5" customHeight="1">
      <c r="A69" s="1568">
        <v>14</v>
      </c>
      <c r="B69" s="1569" t="s">
        <v>1857</v>
      </c>
      <c r="C69" s="1568" t="s">
        <v>1888</v>
      </c>
      <c r="D69" s="1570" t="s">
        <v>1889</v>
      </c>
      <c r="E69" s="1570" t="s">
        <v>417</v>
      </c>
      <c r="F69" s="1593">
        <v>2223</v>
      </c>
      <c r="G69" s="1593">
        <v>0</v>
      </c>
      <c r="H69" s="1593">
        <f t="shared" si="17"/>
        <v>2223</v>
      </c>
      <c r="I69" s="1532">
        <v>1.5432900000000001</v>
      </c>
      <c r="J69" s="1532">
        <v>1.15587</v>
      </c>
      <c r="K69" s="1532">
        <v>1.0896749999999999</v>
      </c>
      <c r="L69" s="1532">
        <v>0.68054999999999999</v>
      </c>
      <c r="M69" s="1532">
        <v>0.87196499999999999</v>
      </c>
      <c r="N69" s="1532">
        <v>1.11972</v>
      </c>
      <c r="O69" s="1553">
        <f t="shared" si="14"/>
        <v>6.4610700000000003</v>
      </c>
      <c r="P69" s="1158">
        <v>5.8533150000000003</v>
      </c>
      <c r="Q69" s="1553">
        <f t="shared" si="13"/>
        <v>13.179390000000001</v>
      </c>
      <c r="R69" s="1575">
        <f t="shared" si="15"/>
        <v>0.76242933028995408</v>
      </c>
      <c r="S69" s="1553">
        <f t="shared" si="19"/>
        <v>14</v>
      </c>
      <c r="T69" s="1580"/>
    </row>
    <row r="70" spans="1:20" ht="16.5" customHeight="1">
      <c r="A70" s="1568">
        <v>15</v>
      </c>
      <c r="B70" s="1569" t="s">
        <v>1868</v>
      </c>
      <c r="C70" s="1568" t="s">
        <v>2313</v>
      </c>
      <c r="D70" s="1570" t="s">
        <v>1889</v>
      </c>
      <c r="E70" s="1570" t="s">
        <v>417</v>
      </c>
      <c r="F70" s="1593">
        <v>2300</v>
      </c>
      <c r="G70" s="1593">
        <v>0</v>
      </c>
      <c r="H70" s="1593">
        <f t="shared" si="17"/>
        <v>2300</v>
      </c>
      <c r="I70" s="1532">
        <v>0.44336999999999999</v>
      </c>
      <c r="J70" s="1532">
        <v>0.50217000000000001</v>
      </c>
      <c r="K70" s="1532">
        <v>0.50599499999999997</v>
      </c>
      <c r="L70" s="1532">
        <v>0.51073500000000005</v>
      </c>
      <c r="M70" s="1532">
        <v>0.45711000000000002</v>
      </c>
      <c r="N70" s="1532">
        <v>0.46321499999999999</v>
      </c>
      <c r="O70" s="1553">
        <f t="shared" si="14"/>
        <v>2.8825950000000002</v>
      </c>
      <c r="P70" s="1158">
        <v>2.8469099999999998</v>
      </c>
      <c r="Q70" s="1553">
        <f t="shared" si="13"/>
        <v>5.6618849999999998</v>
      </c>
      <c r="R70" s="1575">
        <f t="shared" si="15"/>
        <v>0.31657524825550187</v>
      </c>
      <c r="S70" s="1553">
        <f t="shared" si="19"/>
        <v>6</v>
      </c>
      <c r="T70" s="1580"/>
    </row>
    <row r="71" spans="1:20" ht="16.5" customHeight="1">
      <c r="A71" s="1568">
        <v>16</v>
      </c>
      <c r="B71" s="1569">
        <v>8110</v>
      </c>
      <c r="C71" s="1568" t="s">
        <v>2320</v>
      </c>
      <c r="D71" s="1570" t="s">
        <v>1889</v>
      </c>
      <c r="E71" s="1570" t="s">
        <v>417</v>
      </c>
      <c r="F71" s="1593">
        <v>978</v>
      </c>
      <c r="G71" s="1593">
        <v>109</v>
      </c>
      <c r="H71" s="1593">
        <f t="shared" si="17"/>
        <v>1087</v>
      </c>
      <c r="I71" s="1532">
        <v>1.3823999999999999E-2</v>
      </c>
      <c r="J71" s="1532">
        <v>2.4431999999999999E-2</v>
      </c>
      <c r="K71" s="1532">
        <v>2.436E-2</v>
      </c>
      <c r="L71" s="1532">
        <v>2.5187999999999999E-2</v>
      </c>
      <c r="M71" s="1532">
        <v>2.0346E-2</v>
      </c>
      <c r="N71" s="1532">
        <v>1.7124E-2</v>
      </c>
      <c r="O71" s="1553">
        <f t="shared" si="14"/>
        <v>0.125274</v>
      </c>
      <c r="P71" s="1158">
        <v>0.12526200000000001</v>
      </c>
      <c r="Q71" s="1553">
        <f t="shared" si="13"/>
        <v>0.228018</v>
      </c>
      <c r="R71" s="1575">
        <f t="shared" si="15"/>
        <v>2.9982926860057057E-2</v>
      </c>
      <c r="S71" s="1553">
        <f t="shared" si="19"/>
        <v>1</v>
      </c>
      <c r="T71" s="1580"/>
    </row>
    <row r="72" spans="1:20" ht="16.5" customHeight="1">
      <c r="A72" s="1568">
        <v>17</v>
      </c>
      <c r="B72" s="1569" t="s">
        <v>1871</v>
      </c>
      <c r="C72" s="1568" t="s">
        <v>441</v>
      </c>
      <c r="D72" s="1570" t="s">
        <v>1889</v>
      </c>
      <c r="E72" s="1570" t="s">
        <v>417</v>
      </c>
      <c r="F72" s="1593">
        <v>1000</v>
      </c>
      <c r="G72" s="1593">
        <v>0</v>
      </c>
      <c r="H72" s="1593">
        <f t="shared" si="17"/>
        <v>1000</v>
      </c>
      <c r="I72" s="1532">
        <v>0.31417699999999998</v>
      </c>
      <c r="J72" s="1532">
        <v>0.31586399999999998</v>
      </c>
      <c r="K72" s="1532">
        <v>0.31419000000000002</v>
      </c>
      <c r="L72" s="1532">
        <v>0.36446800000000001</v>
      </c>
      <c r="M72" s="1532">
        <v>0.34388099999999999</v>
      </c>
      <c r="N72" s="1532">
        <v>0.33422000000000002</v>
      </c>
      <c r="O72" s="1553">
        <f t="shared" si="14"/>
        <v>1.9867999999999999</v>
      </c>
      <c r="P72" s="1158">
        <v>1.9576709999999999</v>
      </c>
      <c r="Q72" s="1553">
        <f t="shared" si="13"/>
        <v>3.9921199999999999</v>
      </c>
      <c r="R72" s="1575">
        <f t="shared" si="15"/>
        <v>0.51338991769547326</v>
      </c>
      <c r="S72" s="1553">
        <f t="shared" si="19"/>
        <v>5</v>
      </c>
      <c r="T72" s="1580"/>
    </row>
    <row r="73" spans="1:20" ht="16.5" customHeight="1">
      <c r="A73" s="1568">
        <v>18</v>
      </c>
      <c r="B73" s="1569" t="s">
        <v>1871</v>
      </c>
      <c r="C73" s="1568" t="s">
        <v>442</v>
      </c>
      <c r="D73" s="1570" t="s">
        <v>1889</v>
      </c>
      <c r="E73" s="1570" t="s">
        <v>417</v>
      </c>
      <c r="F73" s="1593">
        <v>1700</v>
      </c>
      <c r="G73" s="1593">
        <v>0</v>
      </c>
      <c r="H73" s="1593">
        <f t="shared" si="17"/>
        <v>1700</v>
      </c>
      <c r="I73" s="1532">
        <v>0.385488</v>
      </c>
      <c r="J73" s="1532">
        <v>0.46304099999999998</v>
      </c>
      <c r="K73" s="1532">
        <v>0.46647899999999998</v>
      </c>
      <c r="L73" s="1532">
        <v>0.41864400000000002</v>
      </c>
      <c r="M73" s="1532">
        <v>0.39370500000000003</v>
      </c>
      <c r="N73" s="1532">
        <v>0.38323800000000002</v>
      </c>
      <c r="O73" s="1553">
        <f t="shared" si="14"/>
        <v>2.5105949999999999</v>
      </c>
      <c r="P73" s="1158">
        <v>2.4430860000000001</v>
      </c>
      <c r="Q73" s="1553">
        <f t="shared" si="13"/>
        <v>4.8100230000000002</v>
      </c>
      <c r="R73" s="1575">
        <f t="shared" si="15"/>
        <v>0.36386642156862742</v>
      </c>
      <c r="S73" s="1553">
        <f t="shared" si="19"/>
        <v>5</v>
      </c>
      <c r="T73" s="1580"/>
    </row>
    <row r="74" spans="1:20" ht="16.5" customHeight="1">
      <c r="A74" s="1568">
        <v>19</v>
      </c>
      <c r="B74" s="1569" t="s">
        <v>1871</v>
      </c>
      <c r="C74" s="1568" t="s">
        <v>2321</v>
      </c>
      <c r="D74" s="1570" t="s">
        <v>1889</v>
      </c>
      <c r="E74" s="1570" t="s">
        <v>417</v>
      </c>
      <c r="F74" s="1593">
        <v>1500</v>
      </c>
      <c r="G74" s="1593">
        <v>0</v>
      </c>
      <c r="H74" s="1593">
        <f t="shared" si="17"/>
        <v>1500</v>
      </c>
      <c r="I74" s="1532">
        <v>0.29999700000000001</v>
      </c>
      <c r="J74" s="1532">
        <v>0.32588099999999998</v>
      </c>
      <c r="K74" s="1532">
        <v>0.35030699999999998</v>
      </c>
      <c r="L74" s="1532">
        <v>0.42145199999999999</v>
      </c>
      <c r="M74" s="1532">
        <v>0.44553599999999999</v>
      </c>
      <c r="N74" s="1532">
        <v>0.43592399999999998</v>
      </c>
      <c r="O74" s="1553">
        <f t="shared" si="14"/>
        <v>2.2790969999999997</v>
      </c>
      <c r="P74" s="1158">
        <v>2.2736879999999999</v>
      </c>
      <c r="Q74" s="1553">
        <f t="shared" si="13"/>
        <v>4.894641</v>
      </c>
      <c r="R74" s="1575">
        <f t="shared" si="15"/>
        <v>0.41963657407407406</v>
      </c>
      <c r="S74" s="1553">
        <f t="shared" si="19"/>
        <v>6</v>
      </c>
      <c r="T74" s="1580"/>
    </row>
    <row r="75" spans="1:20" ht="16.5" customHeight="1">
      <c r="A75" s="1568">
        <v>20</v>
      </c>
      <c r="B75" s="1569" t="s">
        <v>1866</v>
      </c>
      <c r="C75" s="1568" t="s">
        <v>443</v>
      </c>
      <c r="D75" s="1570" t="s">
        <v>1890</v>
      </c>
      <c r="E75" s="1570" t="s">
        <v>417</v>
      </c>
      <c r="F75" s="1593">
        <v>1516</v>
      </c>
      <c r="G75" s="1568">
        <v>0</v>
      </c>
      <c r="H75" s="1593">
        <f t="shared" si="17"/>
        <v>1516</v>
      </c>
      <c r="I75" s="1532">
        <v>0.53580000000000005</v>
      </c>
      <c r="J75" s="1532">
        <v>0.55376999999999998</v>
      </c>
      <c r="K75" s="1532">
        <v>0.62355000000000005</v>
      </c>
      <c r="L75" s="1532">
        <v>0.58404</v>
      </c>
      <c r="M75" s="1532">
        <v>0.56018999999999997</v>
      </c>
      <c r="N75" s="1532">
        <v>0.55479000000000001</v>
      </c>
      <c r="O75" s="1553">
        <f t="shared" si="14"/>
        <v>3.4121400000000004</v>
      </c>
      <c r="P75" s="1158">
        <v>2.9575200000000001</v>
      </c>
      <c r="Q75" s="1553">
        <f t="shared" si="13"/>
        <v>6.7408800000000006</v>
      </c>
      <c r="R75" s="1575">
        <f t="shared" si="15"/>
        <v>0.57182237206423669</v>
      </c>
      <c r="S75" s="1553">
        <f>ROUNDUP(Q75*1.0196,0)</f>
        <v>7</v>
      </c>
      <c r="T75" s="1580"/>
    </row>
    <row r="76" spans="1:20" ht="16.5" customHeight="1">
      <c r="A76" s="1568">
        <v>21</v>
      </c>
      <c r="B76" s="1569">
        <v>4160</v>
      </c>
      <c r="C76" s="1568" t="s">
        <v>1919</v>
      </c>
      <c r="D76" s="1570" t="s">
        <v>1890</v>
      </c>
      <c r="E76" s="1570" t="s">
        <v>417</v>
      </c>
      <c r="F76" s="1593">
        <v>1117</v>
      </c>
      <c r="G76" s="1568">
        <v>0</v>
      </c>
      <c r="H76" s="1593">
        <f t="shared" si="17"/>
        <v>1117</v>
      </c>
      <c r="I76" s="1532">
        <v>9.912E-2</v>
      </c>
      <c r="J76" s="1532">
        <v>8.0549999999999997E-2</v>
      </c>
      <c r="K76" s="1532">
        <v>7.7249999999999999E-2</v>
      </c>
      <c r="L76" s="1532">
        <v>6.225E-2</v>
      </c>
      <c r="M76" s="1532">
        <v>6.2820000000000001E-2</v>
      </c>
      <c r="N76" s="1532">
        <v>5.2589999999999998E-2</v>
      </c>
      <c r="O76" s="1553">
        <f t="shared" si="14"/>
        <v>0.43457999999999997</v>
      </c>
      <c r="P76" s="1158">
        <v>0.43224000000000001</v>
      </c>
      <c r="Q76" s="1553">
        <f t="shared" si="13"/>
        <v>0.7501199999999999</v>
      </c>
      <c r="R76" s="1575">
        <f t="shared" si="15"/>
        <v>8.6361727289808454E-2</v>
      </c>
      <c r="S76" s="1553">
        <f t="shared" ref="S76:S77" si="20">ROUNDUP(Q76*1.0196,0)</f>
        <v>1</v>
      </c>
      <c r="T76" s="1580"/>
    </row>
    <row r="77" spans="1:20" ht="16.5" customHeight="1">
      <c r="A77" s="1568">
        <v>22</v>
      </c>
      <c r="B77" s="1569" t="s">
        <v>1873</v>
      </c>
      <c r="C77" s="1568" t="s">
        <v>444</v>
      </c>
      <c r="D77" s="1570" t="s">
        <v>1890</v>
      </c>
      <c r="E77" s="1570" t="s">
        <v>417</v>
      </c>
      <c r="F77" s="1593">
        <v>2000</v>
      </c>
      <c r="G77" s="1568">
        <v>0</v>
      </c>
      <c r="H77" s="1593">
        <f t="shared" si="17"/>
        <v>2000</v>
      </c>
      <c r="I77" s="1532">
        <v>4.9660000000000003E-2</v>
      </c>
      <c r="J77" s="1532">
        <v>6.7833000000000004E-2</v>
      </c>
      <c r="K77" s="1532">
        <v>6.7646999999999999E-2</v>
      </c>
      <c r="L77" s="1532">
        <v>9.3034000000000006E-2</v>
      </c>
      <c r="M77" s="1532">
        <v>0.15578600000000001</v>
      </c>
      <c r="N77" s="1532">
        <v>0.34030199999999999</v>
      </c>
      <c r="O77" s="1553">
        <f t="shared" si="14"/>
        <v>0.77426200000000001</v>
      </c>
      <c r="P77" s="1158">
        <v>0.72902900000000004</v>
      </c>
      <c r="Q77" s="1553">
        <f t="shared" si="13"/>
        <v>2.8160740000000004</v>
      </c>
      <c r="R77" s="1575">
        <f t="shared" si="15"/>
        <v>0.18107471707818934</v>
      </c>
      <c r="S77" s="1553">
        <f t="shared" si="20"/>
        <v>3</v>
      </c>
      <c r="T77" s="1580"/>
    </row>
    <row r="78" spans="1:20" ht="16.5" customHeight="1">
      <c r="A78" s="1568">
        <v>23</v>
      </c>
      <c r="B78" s="1569" t="s">
        <v>1856</v>
      </c>
      <c r="C78" s="1568" t="s">
        <v>445</v>
      </c>
      <c r="D78" s="1570" t="s">
        <v>389</v>
      </c>
      <c r="E78" s="1570" t="s">
        <v>417</v>
      </c>
      <c r="F78" s="1593">
        <v>1200</v>
      </c>
      <c r="G78" s="1593">
        <v>0</v>
      </c>
      <c r="H78" s="1593">
        <f t="shared" si="17"/>
        <v>1200</v>
      </c>
      <c r="I78" s="1532">
        <v>0.65651400000000004</v>
      </c>
      <c r="J78" s="1532">
        <v>0.67632300000000001</v>
      </c>
      <c r="K78" s="1532">
        <v>0.66002400000000006</v>
      </c>
      <c r="L78" s="1532">
        <v>0.66439800000000004</v>
      </c>
      <c r="M78" s="1532">
        <v>0.55390499999999998</v>
      </c>
      <c r="N78" s="1532">
        <v>0.64727100000000004</v>
      </c>
      <c r="O78" s="1553">
        <f t="shared" si="14"/>
        <v>3.8584349999999996</v>
      </c>
      <c r="P78" s="1158">
        <v>3.8528099999999998</v>
      </c>
      <c r="Q78" s="1553">
        <f t="shared" si="13"/>
        <v>7.7420609999999996</v>
      </c>
      <c r="R78" s="1575">
        <f t="shared" si="15"/>
        <v>0.8296961805555555</v>
      </c>
      <c r="S78" s="1553">
        <f>ROUNDUP(Q78*1.07,0)</f>
        <v>9</v>
      </c>
      <c r="T78" s="1580"/>
    </row>
    <row r="79" spans="1:20" ht="16.5" customHeight="1">
      <c r="A79" s="1568">
        <v>24</v>
      </c>
      <c r="B79" s="1569" t="s">
        <v>1856</v>
      </c>
      <c r="C79" s="1568" t="s">
        <v>446</v>
      </c>
      <c r="D79" s="1570" t="s">
        <v>389</v>
      </c>
      <c r="E79" s="1570" t="s">
        <v>417</v>
      </c>
      <c r="F79" s="1593">
        <v>1000</v>
      </c>
      <c r="G79" s="1593">
        <v>0</v>
      </c>
      <c r="H79" s="1593">
        <f t="shared" si="17"/>
        <v>1000</v>
      </c>
      <c r="I79" s="1532">
        <v>0.46464299999999997</v>
      </c>
      <c r="J79" s="1532">
        <v>0.45855000000000001</v>
      </c>
      <c r="K79" s="1532">
        <v>0.400671</v>
      </c>
      <c r="L79" s="1532">
        <v>0.35865900000000001</v>
      </c>
      <c r="M79" s="1532">
        <v>0.26576100000000002</v>
      </c>
      <c r="N79" s="1532">
        <v>0.35944199999999998</v>
      </c>
      <c r="O79" s="1553">
        <f t="shared" si="14"/>
        <v>2.3077260000000002</v>
      </c>
      <c r="P79" s="1158">
        <v>2.2660830000000001</v>
      </c>
      <c r="Q79" s="1553">
        <f t="shared" si="13"/>
        <v>4.464378</v>
      </c>
      <c r="R79" s="1575">
        <f t="shared" si="15"/>
        <v>0.57412268518518517</v>
      </c>
      <c r="S79" s="1553">
        <f t="shared" ref="S79:S126" si="21">ROUNDUP(Q79*1.07,0)</f>
        <v>5</v>
      </c>
      <c r="T79" s="1580"/>
    </row>
    <row r="80" spans="1:20">
      <c r="A80" s="1568">
        <v>25</v>
      </c>
      <c r="B80" s="1569" t="s">
        <v>1856</v>
      </c>
      <c r="C80" s="1568" t="s">
        <v>1891</v>
      </c>
      <c r="D80" s="1570" t="s">
        <v>389</v>
      </c>
      <c r="E80" s="1570" t="s">
        <v>417</v>
      </c>
      <c r="F80" s="1593">
        <v>7000</v>
      </c>
      <c r="G80" s="1593">
        <v>0</v>
      </c>
      <c r="H80" s="1593">
        <f t="shared" si="17"/>
        <v>7000</v>
      </c>
      <c r="I80" s="1532">
        <v>1.1864399999999999</v>
      </c>
      <c r="J80" s="1532">
        <v>0.34283999999999998</v>
      </c>
      <c r="K80" s="1532">
        <v>1.3694999999999999</v>
      </c>
      <c r="L80" s="1532">
        <v>1.1367</v>
      </c>
      <c r="M80" s="1532">
        <v>0.41358</v>
      </c>
      <c r="N80" s="1532">
        <v>1.0062</v>
      </c>
      <c r="O80" s="1553">
        <f t="shared" si="14"/>
        <v>5.4552599999999991</v>
      </c>
      <c r="P80" s="1158">
        <v>5.3112000000000004</v>
      </c>
      <c r="Q80" s="1553">
        <f t="shared" si="13"/>
        <v>11.492459999999999</v>
      </c>
      <c r="R80" s="1575">
        <f t="shared" si="15"/>
        <v>0.21113425925925924</v>
      </c>
      <c r="S80" s="1553">
        <f t="shared" si="21"/>
        <v>13</v>
      </c>
      <c r="T80" s="1580"/>
    </row>
    <row r="81" spans="1:20" ht="16.5" customHeight="1">
      <c r="A81" s="1568">
        <v>26</v>
      </c>
      <c r="B81" s="1569" t="s">
        <v>1856</v>
      </c>
      <c r="C81" s="1568" t="s">
        <v>447</v>
      </c>
      <c r="D81" s="1570" t="s">
        <v>389</v>
      </c>
      <c r="E81" s="1570" t="s">
        <v>417</v>
      </c>
      <c r="F81" s="1568">
        <v>3500</v>
      </c>
      <c r="G81" s="1593">
        <v>1500</v>
      </c>
      <c r="H81" s="1593">
        <f t="shared" si="17"/>
        <v>5000</v>
      </c>
      <c r="I81" s="1532">
        <v>1.0804499999999999</v>
      </c>
      <c r="J81" s="1532">
        <v>1.304392</v>
      </c>
      <c r="K81" s="1532">
        <v>1.230998</v>
      </c>
      <c r="L81" s="1532">
        <v>1.08081</v>
      </c>
      <c r="M81" s="1532">
        <v>1.192545</v>
      </c>
      <c r="N81" s="1532">
        <v>1.189282</v>
      </c>
      <c r="O81" s="1553">
        <f t="shared" si="14"/>
        <v>7.0784769999999995</v>
      </c>
      <c r="P81" s="1158">
        <v>7.0113599999999998</v>
      </c>
      <c r="Q81" s="1553">
        <f t="shared" si="13"/>
        <v>14.214168999999998</v>
      </c>
      <c r="R81" s="1575">
        <f t="shared" si="15"/>
        <v>0.52227252351557896</v>
      </c>
      <c r="S81" s="1553">
        <f>ROUNDUP(Q81*1.07,0)+((G81*0.9*24*30*0.3*6)/1000000)</f>
        <v>17.749600000000001</v>
      </c>
      <c r="T81" s="1580"/>
    </row>
    <row r="82" spans="1:20">
      <c r="A82" s="1568">
        <v>27</v>
      </c>
      <c r="B82" s="1569" t="s">
        <v>1864</v>
      </c>
      <c r="C82" s="1568" t="s">
        <v>1892</v>
      </c>
      <c r="D82" s="1570" t="s">
        <v>389</v>
      </c>
      <c r="E82" s="1570" t="s">
        <v>417</v>
      </c>
      <c r="F82" s="1593">
        <v>1900</v>
      </c>
      <c r="G82" s="1593">
        <v>600</v>
      </c>
      <c r="H82" s="1593">
        <f t="shared" si="17"/>
        <v>2500</v>
      </c>
      <c r="I82" s="1532">
        <v>0.98646</v>
      </c>
      <c r="J82" s="1532">
        <v>1.0465949999999999</v>
      </c>
      <c r="K82" s="1532">
        <v>1.0148999999999999</v>
      </c>
      <c r="L82" s="1532">
        <v>1.093215</v>
      </c>
      <c r="M82" s="1532">
        <v>1.15293</v>
      </c>
      <c r="N82" s="1532">
        <v>1.1283449999999999</v>
      </c>
      <c r="O82" s="1553">
        <f t="shared" si="14"/>
        <v>6.4224449999999997</v>
      </c>
      <c r="P82" s="1158">
        <v>6.3268050000000002</v>
      </c>
      <c r="Q82" s="1553">
        <f t="shared" si="13"/>
        <v>13.192515</v>
      </c>
      <c r="R82" s="1575">
        <f t="shared" si="15"/>
        <v>0.89293067738791421</v>
      </c>
      <c r="S82" s="1553">
        <f t="shared" si="21"/>
        <v>15</v>
      </c>
      <c r="T82" s="1580"/>
    </row>
    <row r="83" spans="1:20">
      <c r="A83" s="1568">
        <v>28</v>
      </c>
      <c r="B83" s="1569" t="s">
        <v>1857</v>
      </c>
      <c r="C83" s="1568" t="s">
        <v>448</v>
      </c>
      <c r="D83" s="1570" t="s">
        <v>389</v>
      </c>
      <c r="E83" s="1570" t="s">
        <v>417</v>
      </c>
      <c r="F83" s="1593">
        <v>7200</v>
      </c>
      <c r="G83" s="1593">
        <v>0</v>
      </c>
      <c r="H83" s="1593">
        <f t="shared" si="17"/>
        <v>7200</v>
      </c>
      <c r="I83" s="1532">
        <v>4.32822</v>
      </c>
      <c r="J83" s="1532">
        <v>4.6151099999999996</v>
      </c>
      <c r="K83" s="1532">
        <v>4.4292299999999996</v>
      </c>
      <c r="L83" s="1532">
        <v>4.7790900000000001</v>
      </c>
      <c r="M83" s="1532">
        <v>4.7486699999999997</v>
      </c>
      <c r="N83" s="1532">
        <v>4.4843400000000004</v>
      </c>
      <c r="O83" s="1553">
        <f t="shared" si="14"/>
        <v>27.38466</v>
      </c>
      <c r="P83" s="1158">
        <v>27.159839999999999</v>
      </c>
      <c r="Q83" s="1553">
        <f t="shared" si="13"/>
        <v>54.290700000000001</v>
      </c>
      <c r="R83" s="1575">
        <f t="shared" si="15"/>
        <v>0.96969843106995879</v>
      </c>
      <c r="S83" s="1553">
        <f t="shared" si="21"/>
        <v>59</v>
      </c>
      <c r="T83" s="1580"/>
    </row>
    <row r="84" spans="1:20">
      <c r="A84" s="1568">
        <v>29</v>
      </c>
      <c r="B84" s="1569" t="s">
        <v>1857</v>
      </c>
      <c r="C84" s="1568" t="s">
        <v>449</v>
      </c>
      <c r="D84" s="1570" t="s">
        <v>389</v>
      </c>
      <c r="E84" s="1570" t="s">
        <v>417</v>
      </c>
      <c r="F84" s="1593">
        <v>1000</v>
      </c>
      <c r="G84" s="1593">
        <v>0</v>
      </c>
      <c r="H84" s="1593">
        <f t="shared" si="17"/>
        <v>1000</v>
      </c>
      <c r="I84" s="1532">
        <v>0.18907499999999999</v>
      </c>
      <c r="J84" s="1532">
        <v>0.117285</v>
      </c>
      <c r="K84" s="1532">
        <v>0.14200499999999999</v>
      </c>
      <c r="L84" s="1532">
        <v>0.12349499999999999</v>
      </c>
      <c r="M84" s="1532">
        <v>0.10176</v>
      </c>
      <c r="N84" s="1532">
        <v>0.112335</v>
      </c>
      <c r="O84" s="1553">
        <f t="shared" si="14"/>
        <v>0.78595499999999985</v>
      </c>
      <c r="P84" s="1158">
        <v>0.74078999999999995</v>
      </c>
      <c r="Q84" s="1553">
        <f t="shared" si="13"/>
        <v>1.459965</v>
      </c>
      <c r="R84" s="1575">
        <f t="shared" si="15"/>
        <v>0.18775270061728394</v>
      </c>
      <c r="S84" s="1553">
        <f t="shared" si="21"/>
        <v>2</v>
      </c>
      <c r="T84" s="1580"/>
    </row>
    <row r="85" spans="1:20" ht="16.5" customHeight="1">
      <c r="A85" s="1568">
        <v>30</v>
      </c>
      <c r="B85" s="1569" t="s">
        <v>1868</v>
      </c>
      <c r="C85" s="1568" t="s">
        <v>450</v>
      </c>
      <c r="D85" s="1570" t="s">
        <v>389</v>
      </c>
      <c r="E85" s="1570" t="s">
        <v>417</v>
      </c>
      <c r="F85" s="1593">
        <v>1600</v>
      </c>
      <c r="G85" s="1593">
        <v>0</v>
      </c>
      <c r="H85" s="1593">
        <f t="shared" si="17"/>
        <v>1600</v>
      </c>
      <c r="I85" s="1532">
        <v>0.426033</v>
      </c>
      <c r="J85" s="1532">
        <v>0.48357899999999998</v>
      </c>
      <c r="K85" s="1532">
        <v>0.43779600000000002</v>
      </c>
      <c r="L85" s="1532">
        <v>0.53349299999999999</v>
      </c>
      <c r="M85" s="1532">
        <v>0.49980599999999997</v>
      </c>
      <c r="N85" s="1532">
        <v>0.391878</v>
      </c>
      <c r="O85" s="1553">
        <f t="shared" si="14"/>
        <v>2.7725850000000003</v>
      </c>
      <c r="P85" s="1158">
        <v>2.7465480000000002</v>
      </c>
      <c r="Q85" s="1553">
        <f t="shared" si="13"/>
        <v>5.1238530000000004</v>
      </c>
      <c r="R85" s="1575">
        <f t="shared" si="15"/>
        <v>0.41183232060185193</v>
      </c>
      <c r="S85" s="1553">
        <f t="shared" si="21"/>
        <v>6</v>
      </c>
      <c r="T85" s="1580"/>
    </row>
    <row r="86" spans="1:20">
      <c r="A86" s="1568">
        <v>31</v>
      </c>
      <c r="B86" s="1569" t="s">
        <v>1858</v>
      </c>
      <c r="C86" s="1568" t="s">
        <v>451</v>
      </c>
      <c r="D86" s="1570" t="s">
        <v>389</v>
      </c>
      <c r="E86" s="1570" t="s">
        <v>417</v>
      </c>
      <c r="F86" s="1593">
        <v>1000</v>
      </c>
      <c r="G86" s="1593">
        <v>0</v>
      </c>
      <c r="H86" s="1593">
        <f t="shared" si="17"/>
        <v>1000</v>
      </c>
      <c r="I86" s="1532">
        <v>0.37043999999999999</v>
      </c>
      <c r="J86" s="1532">
        <v>0.41724</v>
      </c>
      <c r="K86" s="1532">
        <v>0.34716000000000002</v>
      </c>
      <c r="L86" s="1532">
        <v>0.38967000000000002</v>
      </c>
      <c r="M86" s="1532">
        <v>0.40406999999999998</v>
      </c>
      <c r="N86" s="1532">
        <v>0.38106000000000001</v>
      </c>
      <c r="O86" s="1553">
        <f t="shared" si="14"/>
        <v>2.3096399999999999</v>
      </c>
      <c r="P86" s="1158">
        <v>2.30145</v>
      </c>
      <c r="Q86" s="1553">
        <f t="shared" si="13"/>
        <v>4.5960000000000001</v>
      </c>
      <c r="R86" s="1575">
        <f t="shared" si="15"/>
        <v>0.59104938271604945</v>
      </c>
      <c r="S86" s="1553">
        <f t="shared" si="21"/>
        <v>5</v>
      </c>
      <c r="T86" s="1580"/>
    </row>
    <row r="87" spans="1:20">
      <c r="A87" s="1568">
        <v>32</v>
      </c>
      <c r="B87" s="1569" t="s">
        <v>1858</v>
      </c>
      <c r="C87" s="1568" t="s">
        <v>452</v>
      </c>
      <c r="D87" s="1570" t="s">
        <v>389</v>
      </c>
      <c r="E87" s="1570" t="s">
        <v>417</v>
      </c>
      <c r="F87" s="1593">
        <v>2250</v>
      </c>
      <c r="G87" s="1593">
        <v>0</v>
      </c>
      <c r="H87" s="1593">
        <f t="shared" si="17"/>
        <v>2250</v>
      </c>
      <c r="I87" s="1532">
        <v>0.22617000000000001</v>
      </c>
      <c r="J87" s="1532">
        <v>0.43900499999999998</v>
      </c>
      <c r="K87" s="1532">
        <v>0.44505</v>
      </c>
      <c r="L87" s="1532">
        <v>0.35968499999999998</v>
      </c>
      <c r="M87" s="1532">
        <v>0.253245</v>
      </c>
      <c r="N87" s="1532">
        <v>0.331515</v>
      </c>
      <c r="O87" s="1553">
        <f t="shared" si="14"/>
        <v>2.0546699999999998</v>
      </c>
      <c r="P87" s="1158">
        <v>1.93059</v>
      </c>
      <c r="Q87" s="1553">
        <f t="shared" si="13"/>
        <v>4.0437599999999998</v>
      </c>
      <c r="R87" s="1575">
        <f t="shared" si="15"/>
        <v>0.23112482853223595</v>
      </c>
      <c r="S87" s="1553">
        <f t="shared" si="21"/>
        <v>5</v>
      </c>
      <c r="T87" s="1580"/>
    </row>
    <row r="88" spans="1:20">
      <c r="A88" s="1568">
        <v>33</v>
      </c>
      <c r="B88" s="1569" t="s">
        <v>1858</v>
      </c>
      <c r="C88" s="1568" t="s">
        <v>1893</v>
      </c>
      <c r="D88" s="1570" t="s">
        <v>389</v>
      </c>
      <c r="E88" s="1570" t="s">
        <v>417</v>
      </c>
      <c r="F88" s="1593">
        <v>3500</v>
      </c>
      <c r="G88" s="1593">
        <v>0</v>
      </c>
      <c r="H88" s="1593">
        <f t="shared" si="17"/>
        <v>3500</v>
      </c>
      <c r="I88" s="1532">
        <v>0.48839942999999997</v>
      </c>
      <c r="J88" s="1532">
        <v>0.97066149000000002</v>
      </c>
      <c r="K88" s="1532">
        <v>0.87132670599999995</v>
      </c>
      <c r="L88" s="1532">
        <v>0.96986068000000003</v>
      </c>
      <c r="M88" s="1532">
        <v>0.95100859999999998</v>
      </c>
      <c r="N88" s="1532">
        <v>0.88294112999999996</v>
      </c>
      <c r="O88" s="1553">
        <f t="shared" si="14"/>
        <v>5.1341980359999999</v>
      </c>
      <c r="P88" s="1158">
        <v>5.1266470000000002</v>
      </c>
      <c r="Q88" s="1553">
        <f t="shared" si="13"/>
        <v>10.431844816</v>
      </c>
      <c r="R88" s="1575">
        <f t="shared" si="15"/>
        <v>0.38329823691945913</v>
      </c>
      <c r="S88" s="1553">
        <f t="shared" si="21"/>
        <v>12</v>
      </c>
      <c r="T88" s="1580"/>
    </row>
    <row r="89" spans="1:20">
      <c r="A89" s="1568">
        <v>34</v>
      </c>
      <c r="B89" s="1569" t="s">
        <v>1858</v>
      </c>
      <c r="C89" s="1568" t="s">
        <v>1894</v>
      </c>
      <c r="D89" s="1570" t="s">
        <v>389</v>
      </c>
      <c r="E89" s="1570" t="s">
        <v>417</v>
      </c>
      <c r="F89" s="1593">
        <v>4500</v>
      </c>
      <c r="G89" s="1593">
        <v>-2500</v>
      </c>
      <c r="H89" s="1593">
        <f t="shared" si="17"/>
        <v>2000</v>
      </c>
      <c r="I89" s="1532">
        <v>0.52424999999999999</v>
      </c>
      <c r="J89" s="1532">
        <v>0.64781999999999995</v>
      </c>
      <c r="K89" s="1532">
        <v>0.56474999999999997</v>
      </c>
      <c r="L89" s="1532">
        <v>0.56994299999999998</v>
      </c>
      <c r="M89" s="1532">
        <v>0.62088600000000005</v>
      </c>
      <c r="N89" s="1532">
        <v>0.498471</v>
      </c>
      <c r="O89" s="1553">
        <f t="shared" si="14"/>
        <v>3.4261199999999996</v>
      </c>
      <c r="P89" s="1158">
        <v>3.2908409999999999</v>
      </c>
      <c r="Q89" s="1553">
        <f t="shared" si="13"/>
        <v>6.4169459999999994</v>
      </c>
      <c r="R89" s="1575">
        <f t="shared" si="15"/>
        <v>0.18338323045267491</v>
      </c>
      <c r="S89" s="1553">
        <f t="shared" si="21"/>
        <v>7</v>
      </c>
      <c r="T89" s="1580"/>
    </row>
    <row r="90" spans="1:20">
      <c r="A90" s="1568">
        <v>35</v>
      </c>
      <c r="B90" s="1569" t="s">
        <v>1859</v>
      </c>
      <c r="C90" s="1568" t="s">
        <v>1895</v>
      </c>
      <c r="D90" s="1570" t="s">
        <v>389</v>
      </c>
      <c r="E90" s="1570" t="s">
        <v>417</v>
      </c>
      <c r="F90" s="1593">
        <v>1025</v>
      </c>
      <c r="G90" s="1593">
        <v>0</v>
      </c>
      <c r="H90" s="1593">
        <f t="shared" si="17"/>
        <v>1025</v>
      </c>
      <c r="I90" s="1532">
        <v>0.21149399999999999</v>
      </c>
      <c r="J90" s="1532">
        <v>0.25533</v>
      </c>
      <c r="K90" s="1532">
        <v>0.221466</v>
      </c>
      <c r="L90" s="1532">
        <v>0.120696</v>
      </c>
      <c r="M90" s="1532">
        <v>0.11179799999999999</v>
      </c>
      <c r="N90" s="1532">
        <v>0.134214</v>
      </c>
      <c r="O90" s="1553">
        <f t="shared" si="14"/>
        <v>1.0549980000000001</v>
      </c>
      <c r="P90" s="1158">
        <v>1.0503720000000001</v>
      </c>
      <c r="Q90" s="1553">
        <f t="shared" si="13"/>
        <v>1.8602820000000002</v>
      </c>
      <c r="R90" s="1575">
        <f t="shared" si="15"/>
        <v>0.23339882565492326</v>
      </c>
      <c r="S90" s="1553">
        <f t="shared" si="21"/>
        <v>2</v>
      </c>
      <c r="T90" s="1580"/>
    </row>
    <row r="91" spans="1:20" ht="16.5" customHeight="1">
      <c r="A91" s="1568">
        <v>36</v>
      </c>
      <c r="B91" s="1569" t="s">
        <v>1859</v>
      </c>
      <c r="C91" s="1568" t="s">
        <v>453</v>
      </c>
      <c r="D91" s="1570" t="s">
        <v>389</v>
      </c>
      <c r="E91" s="1570" t="s">
        <v>417</v>
      </c>
      <c r="F91" s="1593">
        <v>1800</v>
      </c>
      <c r="G91" s="1593">
        <v>3200</v>
      </c>
      <c r="H91" s="1593">
        <f t="shared" si="17"/>
        <v>5000</v>
      </c>
      <c r="I91" s="1532">
        <v>2.0119500000000001</v>
      </c>
      <c r="J91" s="1532">
        <v>1.91049</v>
      </c>
      <c r="K91" s="1532">
        <v>1.91961</v>
      </c>
      <c r="L91" s="1532">
        <v>2.2670400000000002</v>
      </c>
      <c r="M91" s="1532">
        <v>2.1616499999999998</v>
      </c>
      <c r="N91" s="1532">
        <v>2.2963200000000001</v>
      </c>
      <c r="O91" s="1553">
        <f t="shared" si="14"/>
        <v>12.56706</v>
      </c>
      <c r="P91" s="1158">
        <v>12.30105</v>
      </c>
      <c r="Q91" s="1553">
        <f t="shared" si="13"/>
        <v>26.34498</v>
      </c>
      <c r="R91" s="1575">
        <f t="shared" si="15"/>
        <v>1.8822145061728395</v>
      </c>
      <c r="S91" s="1553">
        <f t="shared" si="21"/>
        <v>29</v>
      </c>
      <c r="T91" s="1580"/>
    </row>
    <row r="92" spans="1:20">
      <c r="A92" s="1568">
        <v>37</v>
      </c>
      <c r="B92" s="1569" t="s">
        <v>1859</v>
      </c>
      <c r="C92" s="1568" t="s">
        <v>454</v>
      </c>
      <c r="D92" s="1570" t="s">
        <v>389</v>
      </c>
      <c r="E92" s="1570" t="s">
        <v>417</v>
      </c>
      <c r="F92" s="1593">
        <v>2400</v>
      </c>
      <c r="G92" s="1593">
        <v>0</v>
      </c>
      <c r="H92" s="1593">
        <f t="shared" si="17"/>
        <v>2400</v>
      </c>
      <c r="I92" s="1532">
        <v>0.59757000000000005</v>
      </c>
      <c r="J92" s="1532">
        <v>0.69510000000000005</v>
      </c>
      <c r="K92" s="1532">
        <v>0.71991000000000005</v>
      </c>
      <c r="L92" s="1532">
        <v>0.77758499999999997</v>
      </c>
      <c r="M92" s="1532">
        <v>0.76980000000000004</v>
      </c>
      <c r="N92" s="1532">
        <v>0.76594499999999999</v>
      </c>
      <c r="O92" s="1553">
        <f t="shared" si="14"/>
        <v>4.3259100000000004</v>
      </c>
      <c r="P92" s="1158">
        <v>4.2765899999999997</v>
      </c>
      <c r="Q92" s="1553">
        <f t="shared" si="13"/>
        <v>8.9215800000000005</v>
      </c>
      <c r="R92" s="1575">
        <f t="shared" si="15"/>
        <v>0.47805105452674895</v>
      </c>
      <c r="S92" s="1553">
        <f t="shared" si="21"/>
        <v>10</v>
      </c>
      <c r="T92" s="1580"/>
    </row>
    <row r="93" spans="1:20" ht="16.5" customHeight="1">
      <c r="A93" s="1568">
        <v>38</v>
      </c>
      <c r="B93" s="1569" t="s">
        <v>1859</v>
      </c>
      <c r="C93" s="1568" t="s">
        <v>455</v>
      </c>
      <c r="D93" s="1570" t="s">
        <v>389</v>
      </c>
      <c r="E93" s="1570" t="s">
        <v>417</v>
      </c>
      <c r="F93" s="1593">
        <v>4800</v>
      </c>
      <c r="G93" s="1593">
        <v>-1000</v>
      </c>
      <c r="H93" s="1593">
        <f t="shared" si="17"/>
        <v>3800</v>
      </c>
      <c r="I93" s="1532">
        <v>1.1510929999999999</v>
      </c>
      <c r="J93" s="1532">
        <v>1.107864</v>
      </c>
      <c r="K93" s="1532">
        <v>1.032735</v>
      </c>
      <c r="L93" s="1532">
        <v>1.9048719999999999</v>
      </c>
      <c r="M93" s="1532">
        <v>0.82511000000000001</v>
      </c>
      <c r="N93" s="1532">
        <v>0.46317999999999998</v>
      </c>
      <c r="O93" s="1553">
        <f t="shared" si="14"/>
        <v>6.4848539999999995</v>
      </c>
      <c r="P93" s="1158">
        <v>6.3738469999999996</v>
      </c>
      <c r="Q93" s="1553">
        <f t="shared" si="13"/>
        <v>9.263933999999999</v>
      </c>
      <c r="R93" s="1575">
        <f t="shared" si="15"/>
        <v>0.24819782021604933</v>
      </c>
      <c r="S93" s="1553">
        <f t="shared" si="21"/>
        <v>10</v>
      </c>
      <c r="T93" s="1580"/>
    </row>
    <row r="94" spans="1:20" ht="16.5" customHeight="1">
      <c r="A94" s="1568">
        <v>39</v>
      </c>
      <c r="B94" s="1569" t="s">
        <v>1859</v>
      </c>
      <c r="C94" s="1568" t="s">
        <v>1896</v>
      </c>
      <c r="D94" s="1570" t="s">
        <v>389</v>
      </c>
      <c r="E94" s="1570" t="s">
        <v>417</v>
      </c>
      <c r="F94" s="1593">
        <v>1050</v>
      </c>
      <c r="G94" s="1593">
        <v>350</v>
      </c>
      <c r="H94" s="1593">
        <f t="shared" si="17"/>
        <v>1400</v>
      </c>
      <c r="I94" s="1532">
        <v>0.37843199999999999</v>
      </c>
      <c r="J94" s="1532">
        <v>0.42809399999999997</v>
      </c>
      <c r="K94" s="1532">
        <v>0.39503700000000003</v>
      </c>
      <c r="L94" s="1532">
        <v>0.43016399999999999</v>
      </c>
      <c r="M94" s="1532">
        <v>0.40850999999999998</v>
      </c>
      <c r="N94" s="1532">
        <v>0.40042800000000001</v>
      </c>
      <c r="O94" s="1553">
        <f t="shared" si="14"/>
        <v>2.4406650000000001</v>
      </c>
      <c r="P94" s="1158">
        <v>2.402847</v>
      </c>
      <c r="Q94" s="1553">
        <f t="shared" si="13"/>
        <v>4.8432329999999997</v>
      </c>
      <c r="R94" s="1575">
        <f t="shared" si="15"/>
        <v>0.5931845238095238</v>
      </c>
      <c r="S94" s="1553">
        <f t="shared" si="21"/>
        <v>6</v>
      </c>
      <c r="T94" s="1580"/>
    </row>
    <row r="95" spans="1:20">
      <c r="A95" s="1568">
        <v>40</v>
      </c>
      <c r="B95" s="1569" t="s">
        <v>1859</v>
      </c>
      <c r="C95" s="1568" t="s">
        <v>416</v>
      </c>
      <c r="D95" s="1570" t="s">
        <v>389</v>
      </c>
      <c r="E95" s="1570" t="s">
        <v>417</v>
      </c>
      <c r="F95" s="1593">
        <v>1000</v>
      </c>
      <c r="G95" s="1593">
        <v>0</v>
      </c>
      <c r="H95" s="1593">
        <f t="shared" si="17"/>
        <v>1000</v>
      </c>
      <c r="I95" s="1532">
        <v>0.10234</v>
      </c>
      <c r="J95" s="1532">
        <v>9.7379999999999994E-2</v>
      </c>
      <c r="K95" s="1532">
        <v>9.6540000000000001E-2</v>
      </c>
      <c r="L95" s="1532">
        <v>0.14732000000000001</v>
      </c>
      <c r="M95" s="1532">
        <v>0.13888</v>
      </c>
      <c r="N95" s="1532">
        <v>0.15518000000000001</v>
      </c>
      <c r="O95" s="1553">
        <f t="shared" si="14"/>
        <v>0.73763999999999996</v>
      </c>
      <c r="P95" s="1158">
        <v>0.54598000000000002</v>
      </c>
      <c r="Q95" s="1553">
        <f t="shared" si="13"/>
        <v>1.66872</v>
      </c>
      <c r="R95" s="1575">
        <f t="shared" si="15"/>
        <v>0.21459876543209877</v>
      </c>
      <c r="S95" s="1553">
        <f t="shared" si="21"/>
        <v>2</v>
      </c>
      <c r="T95" s="1580"/>
    </row>
    <row r="96" spans="1:20">
      <c r="A96" s="1568">
        <v>41</v>
      </c>
      <c r="B96" s="1569" t="s">
        <v>1859</v>
      </c>
      <c r="C96" s="1568" t="s">
        <v>456</v>
      </c>
      <c r="D96" s="1570" t="s">
        <v>389</v>
      </c>
      <c r="E96" s="1570" t="s">
        <v>417</v>
      </c>
      <c r="F96" s="1593">
        <v>4000</v>
      </c>
      <c r="G96" s="1593">
        <v>0</v>
      </c>
      <c r="H96" s="1593">
        <f t="shared" si="17"/>
        <v>4000</v>
      </c>
      <c r="I96" s="1532">
        <v>0.77980499999999997</v>
      </c>
      <c r="J96" s="1532">
        <v>0.85738499999999995</v>
      </c>
      <c r="K96" s="1532">
        <v>0.88654500000000003</v>
      </c>
      <c r="L96" s="1532">
        <v>0.84294000000000002</v>
      </c>
      <c r="M96" s="1532">
        <v>0.81211500000000003</v>
      </c>
      <c r="N96" s="1532">
        <v>0.80667</v>
      </c>
      <c r="O96" s="1553">
        <f t="shared" si="14"/>
        <v>4.9854599999999998</v>
      </c>
      <c r="P96" s="1158">
        <v>4.9851000000000001</v>
      </c>
      <c r="Q96" s="1553">
        <f t="shared" si="13"/>
        <v>9.8254799999999989</v>
      </c>
      <c r="R96" s="1575">
        <f t="shared" si="15"/>
        <v>0.31589120370370366</v>
      </c>
      <c r="S96" s="1553">
        <f t="shared" si="21"/>
        <v>11</v>
      </c>
      <c r="T96" s="1580"/>
    </row>
    <row r="97" spans="1:20">
      <c r="A97" s="1568">
        <v>42</v>
      </c>
      <c r="B97" s="1569" t="s">
        <v>1859</v>
      </c>
      <c r="C97" s="1568" t="s">
        <v>457</v>
      </c>
      <c r="D97" s="1570" t="s">
        <v>389</v>
      </c>
      <c r="E97" s="1570" t="s">
        <v>417</v>
      </c>
      <c r="F97" s="1593">
        <v>1200</v>
      </c>
      <c r="G97" s="1593">
        <v>0</v>
      </c>
      <c r="H97" s="1593">
        <f t="shared" si="17"/>
        <v>1200</v>
      </c>
      <c r="I97" s="1532">
        <v>8.6489999999999997E-2</v>
      </c>
      <c r="J97" s="1532">
        <v>8.9804999999999996E-2</v>
      </c>
      <c r="K97" s="1532">
        <v>1.0455000000000001E-2</v>
      </c>
      <c r="L97" s="1532">
        <v>0</v>
      </c>
      <c r="M97" s="1532">
        <v>0</v>
      </c>
      <c r="N97" s="1532">
        <v>0</v>
      </c>
      <c r="O97" s="1553">
        <f t="shared" si="14"/>
        <v>0.18674999999999997</v>
      </c>
      <c r="P97" s="1158">
        <v>0.186555</v>
      </c>
      <c r="Q97" s="1553">
        <f t="shared" si="13"/>
        <v>0.18674999999999997</v>
      </c>
      <c r="R97" s="1575">
        <f t="shared" si="15"/>
        <v>2.0013503086419748E-2</v>
      </c>
      <c r="S97" s="1553">
        <f t="shared" si="21"/>
        <v>1</v>
      </c>
      <c r="T97" s="1580"/>
    </row>
    <row r="98" spans="1:20">
      <c r="A98" s="1568">
        <v>43</v>
      </c>
      <c r="B98" s="1569" t="s">
        <v>1859</v>
      </c>
      <c r="C98" s="1568" t="s">
        <v>458</v>
      </c>
      <c r="D98" s="1570" t="s">
        <v>389</v>
      </c>
      <c r="E98" s="1570" t="s">
        <v>417</v>
      </c>
      <c r="F98" s="1593">
        <v>1500</v>
      </c>
      <c r="G98" s="1593">
        <v>0</v>
      </c>
      <c r="H98" s="1593">
        <f t="shared" si="17"/>
        <v>1500</v>
      </c>
      <c r="I98" s="1532">
        <v>0.22653899999999999</v>
      </c>
      <c r="J98" s="1532">
        <v>0.22445999999999999</v>
      </c>
      <c r="K98" s="1532">
        <v>0.19359899999999999</v>
      </c>
      <c r="L98" s="1532">
        <v>0.23799600000000001</v>
      </c>
      <c r="M98" s="1532">
        <v>0.24862500000000001</v>
      </c>
      <c r="N98" s="1532">
        <v>0.24881400000000001</v>
      </c>
      <c r="O98" s="1553">
        <f t="shared" si="14"/>
        <v>1.3800330000000001</v>
      </c>
      <c r="P98" s="1158">
        <v>1.3796010000000001</v>
      </c>
      <c r="Q98" s="1553">
        <f t="shared" si="13"/>
        <v>2.8729170000000002</v>
      </c>
      <c r="R98" s="1575">
        <f t="shared" si="15"/>
        <v>0.24630632716049386</v>
      </c>
      <c r="S98" s="1553">
        <f t="shared" si="21"/>
        <v>4</v>
      </c>
      <c r="T98" s="1580"/>
    </row>
    <row r="99" spans="1:20">
      <c r="A99" s="1568">
        <v>44</v>
      </c>
      <c r="B99" s="1569" t="s">
        <v>1859</v>
      </c>
      <c r="C99" s="1568" t="s">
        <v>459</v>
      </c>
      <c r="D99" s="1570" t="s">
        <v>389</v>
      </c>
      <c r="E99" s="1570" t="s">
        <v>417</v>
      </c>
      <c r="F99" s="1593">
        <v>5100</v>
      </c>
      <c r="G99" s="1593">
        <v>0</v>
      </c>
      <c r="H99" s="1593">
        <f t="shared" si="17"/>
        <v>5100</v>
      </c>
      <c r="I99" s="1532">
        <v>2.66568</v>
      </c>
      <c r="J99" s="1532">
        <v>2.5306299999999999</v>
      </c>
      <c r="K99" s="1532">
        <v>2.5195400000000001</v>
      </c>
      <c r="L99" s="1532">
        <v>2.5768499999999999</v>
      </c>
      <c r="M99" s="1532">
        <v>1.43747</v>
      </c>
      <c r="N99" s="1532">
        <v>1.4585900000000001</v>
      </c>
      <c r="O99" s="1553">
        <f t="shared" si="14"/>
        <v>13.188759999999998</v>
      </c>
      <c r="P99" s="1158">
        <v>13.113289999999999</v>
      </c>
      <c r="Q99" s="1553">
        <f t="shared" si="13"/>
        <v>21.940300000000001</v>
      </c>
      <c r="R99" s="1575">
        <f t="shared" si="15"/>
        <v>0.55324326232550636</v>
      </c>
      <c r="S99" s="1553">
        <f t="shared" si="21"/>
        <v>24</v>
      </c>
      <c r="T99" s="1580"/>
    </row>
    <row r="100" spans="1:20">
      <c r="A100" s="1568">
        <v>45</v>
      </c>
      <c r="B100" s="1569" t="s">
        <v>1859</v>
      </c>
      <c r="C100" s="1568" t="s">
        <v>460</v>
      </c>
      <c r="D100" s="1570" t="s">
        <v>389</v>
      </c>
      <c r="E100" s="1570" t="s">
        <v>417</v>
      </c>
      <c r="F100" s="1593">
        <v>2500</v>
      </c>
      <c r="G100" s="1593">
        <v>0</v>
      </c>
      <c r="H100" s="1593">
        <f t="shared" si="17"/>
        <v>2500</v>
      </c>
      <c r="I100" s="1532">
        <v>0.43523099999999998</v>
      </c>
      <c r="J100" s="1532">
        <v>0.52303500000000003</v>
      </c>
      <c r="K100" s="1532">
        <v>0.47200500000000001</v>
      </c>
      <c r="L100" s="1532">
        <v>0.52119000000000004</v>
      </c>
      <c r="M100" s="1532">
        <v>0.58989000000000003</v>
      </c>
      <c r="N100" s="1532">
        <v>0.54879</v>
      </c>
      <c r="O100" s="1553">
        <f t="shared" si="14"/>
        <v>3.090141</v>
      </c>
      <c r="P100" s="1158">
        <v>3.042405</v>
      </c>
      <c r="Q100" s="1553">
        <f t="shared" si="13"/>
        <v>6.3828810000000002</v>
      </c>
      <c r="R100" s="1575">
        <f t="shared" si="15"/>
        <v>0.3283375</v>
      </c>
      <c r="S100" s="1553">
        <f t="shared" si="21"/>
        <v>7</v>
      </c>
      <c r="T100" s="1580"/>
    </row>
    <row r="101" spans="1:20">
      <c r="A101" s="1568">
        <v>46</v>
      </c>
      <c r="B101" s="1569" t="s">
        <v>1859</v>
      </c>
      <c r="C101" s="1568" t="s">
        <v>461</v>
      </c>
      <c r="D101" s="1570" t="s">
        <v>389</v>
      </c>
      <c r="E101" s="1570" t="s">
        <v>417</v>
      </c>
      <c r="F101" s="1593">
        <v>3000</v>
      </c>
      <c r="G101" s="1593">
        <v>0</v>
      </c>
      <c r="H101" s="1593">
        <f t="shared" si="17"/>
        <v>3000</v>
      </c>
      <c r="I101" s="1532">
        <v>1.486575</v>
      </c>
      <c r="J101" s="1532">
        <v>1.5093000000000001</v>
      </c>
      <c r="K101" s="1532">
        <v>1.5433429999999999</v>
      </c>
      <c r="L101" s="1532">
        <v>1.4858549999999999</v>
      </c>
      <c r="M101" s="1532">
        <v>1.486553</v>
      </c>
      <c r="N101" s="1532">
        <v>1.5396069999999999</v>
      </c>
      <c r="O101" s="1553">
        <f t="shared" si="14"/>
        <v>9.0512329999999999</v>
      </c>
      <c r="P101" s="1158">
        <v>9.0452250000000003</v>
      </c>
      <c r="Q101" s="1553">
        <f t="shared" si="13"/>
        <v>18.288874999999997</v>
      </c>
      <c r="R101" s="1575">
        <f t="shared" si="15"/>
        <v>0.78398812585733868</v>
      </c>
      <c r="S101" s="1553">
        <f t="shared" si="21"/>
        <v>20</v>
      </c>
      <c r="T101" s="1580"/>
    </row>
    <row r="102" spans="1:20">
      <c r="A102" s="1568">
        <v>47</v>
      </c>
      <c r="B102" s="1569" t="s">
        <v>1859</v>
      </c>
      <c r="C102" s="1568" t="s">
        <v>462</v>
      </c>
      <c r="D102" s="1570" t="s">
        <v>389</v>
      </c>
      <c r="E102" s="1570" t="s">
        <v>417</v>
      </c>
      <c r="F102" s="1593">
        <v>4100</v>
      </c>
      <c r="G102" s="1593">
        <v>0</v>
      </c>
      <c r="H102" s="1593">
        <f t="shared" si="17"/>
        <v>4100</v>
      </c>
      <c r="I102" s="1532">
        <v>2.1198000000000001</v>
      </c>
      <c r="J102" s="1532">
        <v>2.1116700000000002</v>
      </c>
      <c r="K102" s="1532">
        <v>1.86381</v>
      </c>
      <c r="L102" s="1532">
        <v>2.1929099999999999</v>
      </c>
      <c r="M102" s="1532">
        <v>2.0850900000000001</v>
      </c>
      <c r="N102" s="1532">
        <v>2.1467999999999998</v>
      </c>
      <c r="O102" s="1553">
        <f t="shared" si="14"/>
        <v>12.52008</v>
      </c>
      <c r="P102" s="1158">
        <v>12.40902</v>
      </c>
      <c r="Q102" s="1553">
        <f t="shared" si="13"/>
        <v>25.400880000000001</v>
      </c>
      <c r="R102" s="1575">
        <f t="shared" si="15"/>
        <v>0.79672538392050596</v>
      </c>
      <c r="S102" s="1553">
        <f t="shared" si="21"/>
        <v>28</v>
      </c>
      <c r="T102" s="1580"/>
    </row>
    <row r="103" spans="1:20">
      <c r="A103" s="1568">
        <v>48</v>
      </c>
      <c r="B103" s="1569" t="s">
        <v>1859</v>
      </c>
      <c r="C103" s="1568" t="s">
        <v>463</v>
      </c>
      <c r="D103" s="1570" t="s">
        <v>389</v>
      </c>
      <c r="E103" s="1570" t="s">
        <v>417</v>
      </c>
      <c r="F103" s="1593">
        <v>1000</v>
      </c>
      <c r="G103" s="1593">
        <v>0</v>
      </c>
      <c r="H103" s="1593">
        <f t="shared" si="17"/>
        <v>1000</v>
      </c>
      <c r="I103" s="1532">
        <v>6.9111000000000006E-2</v>
      </c>
      <c r="J103" s="1532">
        <v>5.4189000000000001E-2</v>
      </c>
      <c r="K103" s="1532">
        <v>0.37439099999999997</v>
      </c>
      <c r="L103" s="1532">
        <v>0.241947</v>
      </c>
      <c r="M103" s="1532">
        <v>0.12734100000000001</v>
      </c>
      <c r="N103" s="1532">
        <v>0.208062</v>
      </c>
      <c r="O103" s="1553">
        <f t="shared" si="14"/>
        <v>1.0750410000000001</v>
      </c>
      <c r="P103" s="1158">
        <v>1.0644750000000001</v>
      </c>
      <c r="Q103" s="1553">
        <f t="shared" si="13"/>
        <v>2.3234130000000004</v>
      </c>
      <c r="R103" s="1575">
        <f t="shared" si="15"/>
        <v>0.29879282407407415</v>
      </c>
      <c r="S103" s="1553">
        <f t="shared" si="21"/>
        <v>3</v>
      </c>
      <c r="T103" s="1580"/>
    </row>
    <row r="104" spans="1:20">
      <c r="A104" s="1568">
        <v>49</v>
      </c>
      <c r="B104" s="1569" t="s">
        <v>1859</v>
      </c>
      <c r="C104" s="1568" t="s">
        <v>464</v>
      </c>
      <c r="D104" s="1570" t="s">
        <v>389</v>
      </c>
      <c r="E104" s="1570" t="s">
        <v>417</v>
      </c>
      <c r="F104" s="1593">
        <v>1500</v>
      </c>
      <c r="G104" s="1593">
        <v>0</v>
      </c>
      <c r="H104" s="1593">
        <f t="shared" si="17"/>
        <v>1500</v>
      </c>
      <c r="I104" s="1532">
        <v>0.562446</v>
      </c>
      <c r="J104" s="1532">
        <v>0.37220399999999998</v>
      </c>
      <c r="K104" s="1532">
        <v>0.54386100000000004</v>
      </c>
      <c r="L104" s="1532">
        <v>0.57933900000000005</v>
      </c>
      <c r="M104" s="1532">
        <v>0.56265299999999996</v>
      </c>
      <c r="N104" s="1532">
        <v>0.54491400000000001</v>
      </c>
      <c r="O104" s="1553">
        <f t="shared" si="14"/>
        <v>3.1654170000000001</v>
      </c>
      <c r="P104" s="1158">
        <v>3.1404420000000002</v>
      </c>
      <c r="Q104" s="1553">
        <f t="shared" si="13"/>
        <v>6.434901</v>
      </c>
      <c r="R104" s="1575">
        <f t="shared" si="15"/>
        <v>0.55168904320987655</v>
      </c>
      <c r="S104" s="1553">
        <f t="shared" si="21"/>
        <v>7</v>
      </c>
      <c r="T104" s="1580"/>
    </row>
    <row r="105" spans="1:20">
      <c r="A105" s="1568">
        <v>50</v>
      </c>
      <c r="B105" s="1569" t="s">
        <v>1859</v>
      </c>
      <c r="C105" s="1568" t="s">
        <v>465</v>
      </c>
      <c r="D105" s="1570" t="s">
        <v>389</v>
      </c>
      <c r="E105" s="1570" t="s">
        <v>417</v>
      </c>
      <c r="F105" s="1593">
        <v>9500</v>
      </c>
      <c r="G105" s="1593">
        <v>0</v>
      </c>
      <c r="H105" s="1593">
        <f t="shared" si="17"/>
        <v>9500</v>
      </c>
      <c r="I105" s="1532">
        <v>6.1778399999999998</v>
      </c>
      <c r="J105" s="1532">
        <v>6.5017199999999997</v>
      </c>
      <c r="K105" s="1532">
        <v>5.95932</v>
      </c>
      <c r="L105" s="1532">
        <v>6.5548799999999998</v>
      </c>
      <c r="M105" s="1532">
        <v>6.1035599999999999</v>
      </c>
      <c r="N105" s="1532">
        <v>6.2596800000000004</v>
      </c>
      <c r="O105" s="1553">
        <f t="shared" si="14"/>
        <v>37.557000000000002</v>
      </c>
      <c r="P105" s="1158">
        <v>36.894120000000001</v>
      </c>
      <c r="Q105" s="1553">
        <f t="shared" si="13"/>
        <v>75.115080000000006</v>
      </c>
      <c r="R105" s="1575">
        <f t="shared" si="15"/>
        <v>1.0168274853801171</v>
      </c>
      <c r="S105" s="1553">
        <f t="shared" si="21"/>
        <v>81</v>
      </c>
      <c r="T105" s="1580"/>
    </row>
    <row r="106" spans="1:20">
      <c r="A106" s="1568">
        <v>51</v>
      </c>
      <c r="B106" s="1569" t="s">
        <v>1859</v>
      </c>
      <c r="C106" s="1568" t="s">
        <v>466</v>
      </c>
      <c r="D106" s="1570" t="s">
        <v>389</v>
      </c>
      <c r="E106" s="1570" t="s">
        <v>417</v>
      </c>
      <c r="F106" s="1593">
        <v>3500</v>
      </c>
      <c r="G106" s="1593">
        <v>0</v>
      </c>
      <c r="H106" s="1593">
        <f t="shared" si="17"/>
        <v>3500</v>
      </c>
      <c r="I106" s="1532">
        <v>1.491547</v>
      </c>
      <c r="J106" s="1532">
        <v>1.5318670000000001</v>
      </c>
      <c r="K106" s="1532">
        <v>1.582087</v>
      </c>
      <c r="L106" s="1532">
        <v>1.5065999999999999</v>
      </c>
      <c r="M106" s="1532">
        <v>1.6920900000000001</v>
      </c>
      <c r="N106" s="1532">
        <v>1.477282</v>
      </c>
      <c r="O106" s="1553">
        <f t="shared" si="14"/>
        <v>9.2814730000000001</v>
      </c>
      <c r="P106" s="1158">
        <v>9.249053</v>
      </c>
      <c r="Q106" s="1553">
        <f t="shared" si="13"/>
        <v>18.145164999999999</v>
      </c>
      <c r="R106" s="1575">
        <f t="shared" si="15"/>
        <v>0.66670947236919453</v>
      </c>
      <c r="S106" s="1553">
        <f t="shared" si="21"/>
        <v>20</v>
      </c>
      <c r="T106" s="1580"/>
    </row>
    <row r="107" spans="1:20">
      <c r="A107" s="1568">
        <v>52</v>
      </c>
      <c r="B107" s="1569" t="s">
        <v>1859</v>
      </c>
      <c r="C107" s="1568" t="s">
        <v>467</v>
      </c>
      <c r="D107" s="1570" t="s">
        <v>389</v>
      </c>
      <c r="E107" s="1570" t="s">
        <v>417</v>
      </c>
      <c r="F107" s="1593">
        <v>4550</v>
      </c>
      <c r="G107" s="1593">
        <v>0</v>
      </c>
      <c r="H107" s="1593">
        <f t="shared" si="17"/>
        <v>4550</v>
      </c>
      <c r="I107" s="1532">
        <v>1.429465</v>
      </c>
      <c r="J107" s="1532">
        <v>1.5260701999999999</v>
      </c>
      <c r="K107" s="1532">
        <v>1.43453348</v>
      </c>
      <c r="L107" s="1532">
        <v>1.5440990961100001</v>
      </c>
      <c r="M107" s="1532">
        <v>1.5407032671800001</v>
      </c>
      <c r="N107" s="1532">
        <v>1.497163</v>
      </c>
      <c r="O107" s="1553">
        <f t="shared" si="14"/>
        <v>8.9720340432899999</v>
      </c>
      <c r="P107" s="1158">
        <v>8.9503599999999999</v>
      </c>
      <c r="Q107" s="1553">
        <f t="shared" si="13"/>
        <v>17.955012043289997</v>
      </c>
      <c r="R107" s="1575">
        <f t="shared" si="15"/>
        <v>0.5074789728691832</v>
      </c>
      <c r="S107" s="1553">
        <f t="shared" si="21"/>
        <v>20</v>
      </c>
      <c r="T107" s="1580"/>
    </row>
    <row r="108" spans="1:20">
      <c r="A108" s="1568">
        <v>53</v>
      </c>
      <c r="B108" s="1569" t="s">
        <v>1859</v>
      </c>
      <c r="C108" s="1568" t="s">
        <v>468</v>
      </c>
      <c r="D108" s="1570" t="s">
        <v>389</v>
      </c>
      <c r="E108" s="1570" t="s">
        <v>417</v>
      </c>
      <c r="F108" s="1593">
        <v>1800</v>
      </c>
      <c r="G108" s="1593">
        <v>0</v>
      </c>
      <c r="H108" s="1593">
        <f t="shared" si="17"/>
        <v>1800</v>
      </c>
      <c r="I108" s="1532">
        <v>0.26044499999999998</v>
      </c>
      <c r="J108" s="1532">
        <v>0.25333499999999998</v>
      </c>
      <c r="K108" s="1532">
        <v>0.21182999999999999</v>
      </c>
      <c r="L108" s="1532">
        <v>0.29136000000000001</v>
      </c>
      <c r="M108" s="1532">
        <v>0.30891000000000002</v>
      </c>
      <c r="N108" s="1532">
        <v>0.45874500000000001</v>
      </c>
      <c r="O108" s="1553">
        <f t="shared" si="14"/>
        <v>1.7846249999999999</v>
      </c>
      <c r="P108" s="1158">
        <v>1.7745599999999999</v>
      </c>
      <c r="Q108" s="1553">
        <f t="shared" si="13"/>
        <v>4.5370949999999999</v>
      </c>
      <c r="R108" s="1575">
        <f t="shared" si="15"/>
        <v>0.3241523062414266</v>
      </c>
      <c r="S108" s="1553">
        <f t="shared" si="21"/>
        <v>5</v>
      </c>
      <c r="T108" s="1580"/>
    </row>
    <row r="109" spans="1:20">
      <c r="A109" s="1568">
        <v>54</v>
      </c>
      <c r="B109" s="1569" t="s">
        <v>2340</v>
      </c>
      <c r="C109" s="1568" t="s">
        <v>2341</v>
      </c>
      <c r="D109" s="1570" t="s">
        <v>389</v>
      </c>
      <c r="E109" s="1570" t="s">
        <v>417</v>
      </c>
      <c r="F109" s="1593">
        <v>1200</v>
      </c>
      <c r="G109" s="1593">
        <v>0</v>
      </c>
      <c r="H109" s="1593">
        <f t="shared" si="17"/>
        <v>1200</v>
      </c>
      <c r="I109" s="1532">
        <v>0.29948399999999997</v>
      </c>
      <c r="J109" s="1532">
        <v>0.29767500000000002</v>
      </c>
      <c r="K109" s="1532">
        <v>0.30609900000000001</v>
      </c>
      <c r="L109" s="1532">
        <v>0.303813</v>
      </c>
      <c r="M109" s="1532">
        <v>0.29641499999999998</v>
      </c>
      <c r="N109" s="1532">
        <v>0.27232200000000001</v>
      </c>
      <c r="O109" s="1553">
        <f t="shared" si="14"/>
        <v>1.7758080000000001</v>
      </c>
      <c r="P109" s="1158">
        <v>1.675449</v>
      </c>
      <c r="Q109" s="1553">
        <f t="shared" si="13"/>
        <v>3.4097400000000002</v>
      </c>
      <c r="R109" s="1575">
        <f t="shared" si="15"/>
        <v>0.36541280864197528</v>
      </c>
      <c r="S109" s="1553">
        <f t="shared" si="21"/>
        <v>4</v>
      </c>
      <c r="T109" s="1580"/>
    </row>
    <row r="110" spans="1:20">
      <c r="A110" s="1568">
        <v>55</v>
      </c>
      <c r="B110" s="1569" t="s">
        <v>1859</v>
      </c>
      <c r="C110" s="1568" t="s">
        <v>1897</v>
      </c>
      <c r="D110" s="1570" t="s">
        <v>389</v>
      </c>
      <c r="E110" s="1570" t="s">
        <v>417</v>
      </c>
      <c r="F110" s="1593">
        <v>1700</v>
      </c>
      <c r="G110" s="1593">
        <v>1000</v>
      </c>
      <c r="H110" s="1593">
        <f t="shared" si="17"/>
        <v>2700</v>
      </c>
      <c r="I110" s="1532">
        <v>0.69075900000000001</v>
      </c>
      <c r="J110" s="1532">
        <v>0.70080299999999995</v>
      </c>
      <c r="K110" s="1532">
        <v>0.73261500000000002</v>
      </c>
      <c r="L110" s="1532">
        <v>0.78232500000000005</v>
      </c>
      <c r="M110" s="1532">
        <v>0.80045999999999995</v>
      </c>
      <c r="N110" s="1532">
        <v>0.84179999999999999</v>
      </c>
      <c r="O110" s="1553">
        <f t="shared" si="14"/>
        <v>4.548762</v>
      </c>
      <c r="P110" s="1158">
        <v>4.4090879999999997</v>
      </c>
      <c r="Q110" s="1553">
        <f t="shared" si="13"/>
        <v>9.5995619999999988</v>
      </c>
      <c r="R110" s="1575">
        <f t="shared" si="15"/>
        <v>0.72618327886710232</v>
      </c>
      <c r="S110" s="1553">
        <f t="shared" si="21"/>
        <v>11</v>
      </c>
      <c r="T110" s="1580"/>
    </row>
    <row r="111" spans="1:20">
      <c r="A111" s="1568">
        <v>56</v>
      </c>
      <c r="B111" s="1569" t="s">
        <v>1859</v>
      </c>
      <c r="C111" s="1568" t="s">
        <v>1898</v>
      </c>
      <c r="D111" s="1570" t="s">
        <v>389</v>
      </c>
      <c r="E111" s="1570" t="s">
        <v>417</v>
      </c>
      <c r="F111" s="1593">
        <v>1000</v>
      </c>
      <c r="G111" s="1593">
        <v>0</v>
      </c>
      <c r="H111" s="1593">
        <f t="shared" si="17"/>
        <v>1000</v>
      </c>
      <c r="I111" s="1532">
        <v>0.11279699999999999</v>
      </c>
      <c r="J111" s="1532">
        <v>0.11195099999999999</v>
      </c>
      <c r="K111" s="1532">
        <v>8.3736000000000005E-2</v>
      </c>
      <c r="L111" s="1532">
        <v>8.9567999999999995E-2</v>
      </c>
      <c r="M111" s="1532">
        <v>7.6077000000000006E-2</v>
      </c>
      <c r="N111" s="1532">
        <v>9.6785999999999997E-2</v>
      </c>
      <c r="O111" s="1553">
        <f t="shared" si="14"/>
        <v>0.57091499999999995</v>
      </c>
      <c r="P111" s="1158">
        <v>0.56284199999999995</v>
      </c>
      <c r="Q111" s="1553">
        <f t="shared" si="13"/>
        <v>1.1516310000000001</v>
      </c>
      <c r="R111" s="1575">
        <f t="shared" si="15"/>
        <v>0.14810069444444446</v>
      </c>
      <c r="S111" s="1553">
        <f t="shared" si="21"/>
        <v>2</v>
      </c>
      <c r="T111" s="1580"/>
    </row>
    <row r="112" spans="1:20">
      <c r="A112" s="1568">
        <v>57</v>
      </c>
      <c r="B112" s="1569" t="s">
        <v>1859</v>
      </c>
      <c r="C112" s="1568" t="s">
        <v>469</v>
      </c>
      <c r="D112" s="1570" t="s">
        <v>389</v>
      </c>
      <c r="E112" s="1570" t="s">
        <v>417</v>
      </c>
      <c r="F112" s="1593">
        <v>2700</v>
      </c>
      <c r="G112" s="1593">
        <v>0</v>
      </c>
      <c r="H112" s="1593">
        <f t="shared" si="17"/>
        <v>2700</v>
      </c>
      <c r="I112" s="1532">
        <v>1.552905</v>
      </c>
      <c r="J112" s="1532">
        <v>1.6210119999999999</v>
      </c>
      <c r="K112" s="1532">
        <v>1.591898</v>
      </c>
      <c r="L112" s="1532">
        <v>1.6870719999999999</v>
      </c>
      <c r="M112" s="1532">
        <v>1.6281000000000001</v>
      </c>
      <c r="N112" s="1532">
        <v>1.5780149999999999</v>
      </c>
      <c r="O112" s="1553">
        <f t="shared" si="14"/>
        <v>9.659002000000001</v>
      </c>
      <c r="P112" s="1158">
        <v>9.5477170000000005</v>
      </c>
      <c r="Q112" s="1553">
        <f t="shared" si="13"/>
        <v>19.127092000000001</v>
      </c>
      <c r="R112" s="1575">
        <f t="shared" si="15"/>
        <v>0.91102213839353763</v>
      </c>
      <c r="S112" s="1553">
        <f t="shared" si="21"/>
        <v>21</v>
      </c>
      <c r="T112" s="1580"/>
    </row>
    <row r="113" spans="1:20">
      <c r="A113" s="1568">
        <v>58</v>
      </c>
      <c r="B113" s="1569" t="s">
        <v>1859</v>
      </c>
      <c r="C113" s="1568" t="s">
        <v>470</v>
      </c>
      <c r="D113" s="1570" t="s">
        <v>389</v>
      </c>
      <c r="E113" s="1570" t="s">
        <v>417</v>
      </c>
      <c r="F113" s="1593">
        <v>3300</v>
      </c>
      <c r="G113" s="1593">
        <v>0</v>
      </c>
      <c r="H113" s="1593">
        <f t="shared" si="17"/>
        <v>3300</v>
      </c>
      <c r="I113" s="1532">
        <v>1.2647250000000001</v>
      </c>
      <c r="J113" s="1532">
        <v>1.2910729999999999</v>
      </c>
      <c r="K113" s="1532">
        <v>1.241055</v>
      </c>
      <c r="L113" s="1532">
        <v>0.628965</v>
      </c>
      <c r="M113" s="1532">
        <v>1.1830050000000001</v>
      </c>
      <c r="N113" s="1532">
        <v>1.047938</v>
      </c>
      <c r="O113" s="1553">
        <f t="shared" si="14"/>
        <v>6.6567610000000013</v>
      </c>
      <c r="P113" s="1158">
        <v>6.4720579999999996</v>
      </c>
      <c r="Q113" s="1553">
        <f t="shared" si="13"/>
        <v>12.944389000000001</v>
      </c>
      <c r="R113" s="1575">
        <f t="shared" si="15"/>
        <v>0.50444214521760822</v>
      </c>
      <c r="S113" s="1553">
        <f t="shared" si="21"/>
        <v>14</v>
      </c>
      <c r="T113" s="1580"/>
    </row>
    <row r="114" spans="1:20">
      <c r="A114" s="1568">
        <v>59</v>
      </c>
      <c r="B114" s="1569" t="s">
        <v>1859</v>
      </c>
      <c r="C114" s="1568" t="s">
        <v>471</v>
      </c>
      <c r="D114" s="1570" t="s">
        <v>389</v>
      </c>
      <c r="E114" s="1570" t="s">
        <v>417</v>
      </c>
      <c r="F114" s="1593">
        <v>3100</v>
      </c>
      <c r="G114" s="1593">
        <v>1900</v>
      </c>
      <c r="H114" s="1593">
        <f t="shared" si="17"/>
        <v>5000</v>
      </c>
      <c r="I114" s="1532">
        <v>1.2748280000000001</v>
      </c>
      <c r="J114" s="1532">
        <v>1.417567</v>
      </c>
      <c r="K114" s="1532">
        <v>1.3979029999999999</v>
      </c>
      <c r="L114" s="1532">
        <v>1.38045</v>
      </c>
      <c r="M114" s="1532">
        <v>1.4269499999999999</v>
      </c>
      <c r="N114" s="1532">
        <v>2.7148500000000002</v>
      </c>
      <c r="O114" s="1553">
        <f t="shared" si="14"/>
        <v>9.6125480000000003</v>
      </c>
      <c r="P114" s="1158">
        <v>9.5130520000000001</v>
      </c>
      <c r="Q114" s="1553">
        <f t="shared" si="13"/>
        <v>25.901648000000002</v>
      </c>
      <c r="R114" s="1575">
        <f t="shared" si="15"/>
        <v>1.0745075003318731</v>
      </c>
      <c r="S114" s="1553">
        <f t="shared" si="21"/>
        <v>28</v>
      </c>
      <c r="T114" s="1580"/>
    </row>
    <row r="115" spans="1:20">
      <c r="A115" s="1568">
        <v>60</v>
      </c>
      <c r="B115" s="1569" t="s">
        <v>1859</v>
      </c>
      <c r="C115" s="1568" t="s">
        <v>472</v>
      </c>
      <c r="D115" s="1570" t="s">
        <v>389</v>
      </c>
      <c r="E115" s="1570" t="s">
        <v>417</v>
      </c>
      <c r="F115" s="1593">
        <v>2700</v>
      </c>
      <c r="G115" s="1593">
        <v>0</v>
      </c>
      <c r="H115" s="1593">
        <f t="shared" si="17"/>
        <v>2700</v>
      </c>
      <c r="I115" s="1532">
        <v>0.37138500000000002</v>
      </c>
      <c r="J115" s="1532">
        <v>0.34683000000000003</v>
      </c>
      <c r="K115" s="1532">
        <v>0.48975000000000002</v>
      </c>
      <c r="L115" s="1532">
        <v>0.53966999999999998</v>
      </c>
      <c r="M115" s="1532">
        <v>0.55271999999999999</v>
      </c>
      <c r="N115" s="1532">
        <v>0.28904999999999997</v>
      </c>
      <c r="O115" s="1553">
        <f t="shared" si="14"/>
        <v>2.5894050000000002</v>
      </c>
      <c r="P115" s="1158">
        <v>2.5153650000000001</v>
      </c>
      <c r="Q115" s="1553">
        <f t="shared" si="13"/>
        <v>4.3237050000000004</v>
      </c>
      <c r="R115" s="1575">
        <f t="shared" si="15"/>
        <v>0.20593778577960678</v>
      </c>
      <c r="S115" s="1553">
        <f t="shared" si="21"/>
        <v>5</v>
      </c>
      <c r="T115" s="1580"/>
    </row>
    <row r="116" spans="1:20">
      <c r="A116" s="1568">
        <v>61</v>
      </c>
      <c r="B116" s="1569" t="s">
        <v>1859</v>
      </c>
      <c r="C116" s="1568" t="s">
        <v>473</v>
      </c>
      <c r="D116" s="1570" t="s">
        <v>389</v>
      </c>
      <c r="E116" s="1570" t="s">
        <v>417</v>
      </c>
      <c r="F116" s="1593">
        <v>1000</v>
      </c>
      <c r="G116" s="1593">
        <v>0</v>
      </c>
      <c r="H116" s="1593">
        <f t="shared" si="17"/>
        <v>1000</v>
      </c>
      <c r="I116" s="1532">
        <v>0.39574799999999999</v>
      </c>
      <c r="J116" s="1532">
        <v>0.42287999999999998</v>
      </c>
      <c r="K116" s="1532">
        <v>0.40543800000000002</v>
      </c>
      <c r="L116" s="1532">
        <v>0.45609</v>
      </c>
      <c r="M116" s="1532">
        <v>0.42935400000000001</v>
      </c>
      <c r="N116" s="1532">
        <v>0.43669200000000002</v>
      </c>
      <c r="O116" s="1553">
        <f t="shared" si="14"/>
        <v>2.5462019999999996</v>
      </c>
      <c r="P116" s="1158">
        <v>2.5440839999999998</v>
      </c>
      <c r="Q116" s="1553">
        <f t="shared" si="13"/>
        <v>5.1663540000000001</v>
      </c>
      <c r="R116" s="1575">
        <f t="shared" si="15"/>
        <v>0.66439737654320996</v>
      </c>
      <c r="S116" s="1553">
        <f t="shared" si="21"/>
        <v>6</v>
      </c>
      <c r="T116" s="1580"/>
    </row>
    <row r="117" spans="1:20">
      <c r="A117" s="1568">
        <v>62</v>
      </c>
      <c r="B117" s="1569" t="s">
        <v>1859</v>
      </c>
      <c r="C117" s="1568" t="s">
        <v>474</v>
      </c>
      <c r="D117" s="1570" t="s">
        <v>389</v>
      </c>
      <c r="E117" s="1570" t="s">
        <v>417</v>
      </c>
      <c r="F117" s="1593">
        <v>3000</v>
      </c>
      <c r="G117" s="1593">
        <v>0</v>
      </c>
      <c r="H117" s="1593">
        <f t="shared" si="17"/>
        <v>3000</v>
      </c>
      <c r="I117" s="1532">
        <v>0.74265700000000001</v>
      </c>
      <c r="J117" s="1532">
        <v>0.73214999999999997</v>
      </c>
      <c r="K117" s="1532">
        <v>0.67929700000000004</v>
      </c>
      <c r="L117" s="1532">
        <v>0.81135000000000002</v>
      </c>
      <c r="M117" s="1532">
        <v>0.73572700000000002</v>
      </c>
      <c r="N117" s="1532">
        <v>0.58338000000000001</v>
      </c>
      <c r="O117" s="1553">
        <f t="shared" si="14"/>
        <v>4.2845610000000001</v>
      </c>
      <c r="P117" s="1158">
        <v>4.2558990000000003</v>
      </c>
      <c r="Q117" s="1553">
        <f t="shared" si="13"/>
        <v>7.7848410000000001</v>
      </c>
      <c r="R117" s="1575">
        <f t="shared" si="15"/>
        <v>0.33371231995884776</v>
      </c>
      <c r="S117" s="1553">
        <f t="shared" si="21"/>
        <v>9</v>
      </c>
      <c r="T117" s="1580"/>
    </row>
    <row r="118" spans="1:20">
      <c r="A118" s="1568">
        <v>63</v>
      </c>
      <c r="B118" s="1569" t="s">
        <v>1859</v>
      </c>
      <c r="C118" s="1568" t="s">
        <v>475</v>
      </c>
      <c r="D118" s="1570" t="s">
        <v>389</v>
      </c>
      <c r="E118" s="1570" t="s">
        <v>417</v>
      </c>
      <c r="F118" s="1593">
        <v>3300</v>
      </c>
      <c r="G118" s="1593">
        <v>0</v>
      </c>
      <c r="H118" s="1593">
        <f t="shared" si="17"/>
        <v>3300</v>
      </c>
      <c r="I118" s="1532">
        <v>1.139243</v>
      </c>
      <c r="J118" s="1532">
        <v>1.129748</v>
      </c>
      <c r="K118" s="1532">
        <v>0.97724200000000006</v>
      </c>
      <c r="L118" s="1532">
        <v>1.357245</v>
      </c>
      <c r="M118" s="1532">
        <v>1.3293680000000001</v>
      </c>
      <c r="N118" s="1532">
        <v>0.81139499999999998</v>
      </c>
      <c r="O118" s="1553">
        <f t="shared" si="14"/>
        <v>6.7442409999999997</v>
      </c>
      <c r="P118" s="1158">
        <v>6.5569290000000002</v>
      </c>
      <c r="Q118" s="1553">
        <f t="shared" si="13"/>
        <v>11.612610999999999</v>
      </c>
      <c r="R118" s="1575">
        <f t="shared" si="15"/>
        <v>0.45254282797106871</v>
      </c>
      <c r="S118" s="1553">
        <f t="shared" si="21"/>
        <v>13</v>
      </c>
      <c r="T118" s="1580"/>
    </row>
    <row r="119" spans="1:20" ht="16.5" customHeight="1">
      <c r="A119" s="1568">
        <v>64</v>
      </c>
      <c r="B119" s="1569" t="s">
        <v>1859</v>
      </c>
      <c r="C119" s="1568" t="s">
        <v>1899</v>
      </c>
      <c r="D119" s="1570" t="s">
        <v>389</v>
      </c>
      <c r="E119" s="1570" t="s">
        <v>417</v>
      </c>
      <c r="F119" s="1593">
        <v>3100</v>
      </c>
      <c r="G119" s="1593">
        <v>0</v>
      </c>
      <c r="H119" s="1593">
        <f t="shared" si="17"/>
        <v>3100</v>
      </c>
      <c r="I119" s="1532">
        <v>1.61172</v>
      </c>
      <c r="J119" s="1532">
        <v>1.3248</v>
      </c>
      <c r="K119" s="1532">
        <v>1.857712</v>
      </c>
      <c r="L119" s="1532">
        <v>2.078055</v>
      </c>
      <c r="M119" s="1532">
        <v>2.0297700000000001</v>
      </c>
      <c r="N119" s="1532">
        <v>1.9557230000000001</v>
      </c>
      <c r="O119" s="1553">
        <f t="shared" si="14"/>
        <v>10.85778</v>
      </c>
      <c r="P119" s="1158">
        <v>10.71162</v>
      </c>
      <c r="Q119" s="1553">
        <f t="shared" si="13"/>
        <v>22.592117999999999</v>
      </c>
      <c r="R119" s="1575">
        <f t="shared" si="15"/>
        <v>0.93721450617283952</v>
      </c>
      <c r="S119" s="1553">
        <f t="shared" si="21"/>
        <v>25</v>
      </c>
      <c r="T119" s="1580"/>
    </row>
    <row r="120" spans="1:20" ht="16.5" customHeight="1">
      <c r="A120" s="1568">
        <v>65</v>
      </c>
      <c r="B120" s="1569" t="s">
        <v>1859</v>
      </c>
      <c r="C120" s="1568" t="s">
        <v>1900</v>
      </c>
      <c r="D120" s="1570" t="s">
        <v>389</v>
      </c>
      <c r="E120" s="1570" t="s">
        <v>417</v>
      </c>
      <c r="F120" s="1593">
        <v>1500</v>
      </c>
      <c r="G120" s="1593">
        <v>0</v>
      </c>
      <c r="H120" s="1593">
        <f t="shared" si="17"/>
        <v>1500</v>
      </c>
      <c r="I120" s="1532">
        <v>0.33882299999999999</v>
      </c>
      <c r="J120" s="1532">
        <v>0.39212999999999998</v>
      </c>
      <c r="K120" s="1532">
        <v>0.43858799999999998</v>
      </c>
      <c r="L120" s="1532">
        <v>0.48141</v>
      </c>
      <c r="M120" s="1532">
        <v>0.41288399999999997</v>
      </c>
      <c r="N120" s="1532">
        <v>0.38492100000000001</v>
      </c>
      <c r="O120" s="1553">
        <f t="shared" si="14"/>
        <v>2.4487559999999999</v>
      </c>
      <c r="P120" s="1158">
        <v>2.404989</v>
      </c>
      <c r="Q120" s="1553">
        <f t="shared" si="13"/>
        <v>4.7582819999999995</v>
      </c>
      <c r="R120" s="1575">
        <f t="shared" si="15"/>
        <v>0.40794598765432094</v>
      </c>
      <c r="S120" s="1553">
        <f t="shared" si="21"/>
        <v>6</v>
      </c>
      <c r="T120" s="1580"/>
    </row>
    <row r="121" spans="1:20" ht="16.5" customHeight="1">
      <c r="A121" s="1568">
        <v>66</v>
      </c>
      <c r="B121" s="1569" t="s">
        <v>1871</v>
      </c>
      <c r="C121" s="1568" t="s">
        <v>476</v>
      </c>
      <c r="D121" s="1570" t="s">
        <v>389</v>
      </c>
      <c r="E121" s="1570" t="s">
        <v>417</v>
      </c>
      <c r="F121" s="1593">
        <v>4000</v>
      </c>
      <c r="G121" s="1593">
        <v>0</v>
      </c>
      <c r="H121" s="1593">
        <f t="shared" si="17"/>
        <v>4000</v>
      </c>
      <c r="I121" s="1532">
        <v>0.97805200000000003</v>
      </c>
      <c r="J121" s="1532">
        <v>1.03959</v>
      </c>
      <c r="K121" s="1532">
        <v>0.96637499999999998</v>
      </c>
      <c r="L121" s="1532">
        <v>1.027328</v>
      </c>
      <c r="M121" s="1532">
        <v>0.99270000000000003</v>
      </c>
      <c r="N121" s="1532">
        <v>0.93309699999999995</v>
      </c>
      <c r="O121" s="1553">
        <f t="shared" ref="O121:O174" si="22">SUM(I121:N121)</f>
        <v>5.9371419999999997</v>
      </c>
      <c r="P121" s="1158">
        <v>5.8279490000000003</v>
      </c>
      <c r="Q121" s="1553">
        <f t="shared" ref="Q121:Q160" si="23">O121+N121*6</f>
        <v>11.535723999999998</v>
      </c>
      <c r="R121" s="1575">
        <f t="shared" ref="R121:R159" si="24">Q121/((F121*24*30*12*0.9)/1000000)</f>
        <v>0.37087590020576128</v>
      </c>
      <c r="S121" s="1553">
        <f t="shared" si="21"/>
        <v>13</v>
      </c>
      <c r="T121" s="1580"/>
    </row>
    <row r="122" spans="1:20" ht="16.5" customHeight="1">
      <c r="A122" s="1568">
        <v>67</v>
      </c>
      <c r="B122" s="1569" t="s">
        <v>1871</v>
      </c>
      <c r="C122" s="1568" t="s">
        <v>477</v>
      </c>
      <c r="D122" s="1570" t="s">
        <v>389</v>
      </c>
      <c r="E122" s="1570" t="s">
        <v>417</v>
      </c>
      <c r="F122" s="1593">
        <v>2800</v>
      </c>
      <c r="G122" s="1593">
        <v>-800</v>
      </c>
      <c r="H122" s="1593">
        <f t="shared" si="17"/>
        <v>2000</v>
      </c>
      <c r="I122" s="1532">
        <v>0.10194594</v>
      </c>
      <c r="J122" s="1532">
        <v>0.13152</v>
      </c>
      <c r="K122" s="1532">
        <v>0.13364000000000001</v>
      </c>
      <c r="L122" s="1532">
        <v>0.21506</v>
      </c>
      <c r="M122" s="1532">
        <v>0.1139</v>
      </c>
      <c r="N122" s="1532">
        <v>0.20022000000000001</v>
      </c>
      <c r="O122" s="1553">
        <f t="shared" si="22"/>
        <v>0.89628594000000006</v>
      </c>
      <c r="P122" s="1158">
        <v>0.83455999999999997</v>
      </c>
      <c r="Q122" s="1553">
        <f t="shared" si="23"/>
        <v>2.0976059400000002</v>
      </c>
      <c r="R122" s="1575">
        <f t="shared" si="24"/>
        <v>9.6340660824515006E-2</v>
      </c>
      <c r="S122" s="1553">
        <f t="shared" si="21"/>
        <v>3</v>
      </c>
      <c r="T122" s="1580"/>
    </row>
    <row r="123" spans="1:20">
      <c r="A123" s="1568">
        <v>68</v>
      </c>
      <c r="B123" s="1569" t="s">
        <v>1871</v>
      </c>
      <c r="C123" s="1568" t="s">
        <v>2344</v>
      </c>
      <c r="D123" s="1570" t="s">
        <v>389</v>
      </c>
      <c r="E123" s="1570" t="s">
        <v>417</v>
      </c>
      <c r="F123" s="1593">
        <v>18000</v>
      </c>
      <c r="G123" s="1593">
        <v>0</v>
      </c>
      <c r="H123" s="1593">
        <f t="shared" ref="H123:H174" si="25">F123+G123</f>
        <v>18000</v>
      </c>
      <c r="I123" s="1532">
        <v>8.9319600000000001</v>
      </c>
      <c r="J123" s="1532">
        <v>9.0230399999999999</v>
      </c>
      <c r="K123" s="1532">
        <v>10.01436</v>
      </c>
      <c r="L123" s="1532">
        <v>10.58832</v>
      </c>
      <c r="M123" s="1532">
        <v>10.76112</v>
      </c>
      <c r="N123" s="1532">
        <v>10.17816</v>
      </c>
      <c r="O123" s="1553">
        <f t="shared" si="22"/>
        <v>59.496959999999994</v>
      </c>
      <c r="P123" s="1158">
        <v>59.130719999999997</v>
      </c>
      <c r="Q123" s="1553">
        <f t="shared" si="23"/>
        <v>120.56592000000001</v>
      </c>
      <c r="R123" s="1575">
        <f t="shared" si="24"/>
        <v>0.8613820301783266</v>
      </c>
      <c r="S123" s="1553">
        <f t="shared" si="21"/>
        <v>130</v>
      </c>
      <c r="T123" s="1580"/>
    </row>
    <row r="124" spans="1:20">
      <c r="A124" s="1568">
        <v>69</v>
      </c>
      <c r="B124" s="1569" t="s">
        <v>1871</v>
      </c>
      <c r="C124" s="1568" t="s">
        <v>478</v>
      </c>
      <c r="D124" s="1570" t="s">
        <v>389</v>
      </c>
      <c r="E124" s="1570" t="s">
        <v>417</v>
      </c>
      <c r="F124" s="1593">
        <v>2700</v>
      </c>
      <c r="G124" s="1593">
        <v>2800</v>
      </c>
      <c r="H124" s="1593">
        <f t="shared" si="25"/>
        <v>5500</v>
      </c>
      <c r="I124" s="1532">
        <v>1.13824937</v>
      </c>
      <c r="J124" s="1532">
        <v>0.73925529000000001</v>
      </c>
      <c r="K124" s="1532">
        <v>1.0417522190000001</v>
      </c>
      <c r="L124" s="1532">
        <v>1.3743543300000001</v>
      </c>
      <c r="M124" s="1532">
        <v>1.39397456</v>
      </c>
      <c r="N124" s="1532">
        <v>1.4454096299999999</v>
      </c>
      <c r="O124" s="1553">
        <f t="shared" si="22"/>
        <v>7.1329953990000003</v>
      </c>
      <c r="P124" s="1158">
        <v>7.0076689999999999</v>
      </c>
      <c r="Q124" s="1553">
        <f t="shared" si="23"/>
        <v>15.805453178999999</v>
      </c>
      <c r="R124" s="1575">
        <f t="shared" si="24"/>
        <v>0.75281269904549608</v>
      </c>
      <c r="S124" s="1553">
        <f>ROUNDUP(Q124*1.07,0)+((G124*0.9*0.3*24*30*6)/1000000)</f>
        <v>20.265920000000001</v>
      </c>
      <c r="T124" s="1580"/>
    </row>
    <row r="125" spans="1:20">
      <c r="A125" s="1568">
        <v>70</v>
      </c>
      <c r="B125" s="1569">
        <v>8140</v>
      </c>
      <c r="C125" s="1568" t="s">
        <v>1920</v>
      </c>
      <c r="D125" s="1570" t="s">
        <v>389</v>
      </c>
      <c r="E125" s="1570" t="s">
        <v>415</v>
      </c>
      <c r="F125" s="1593">
        <v>1100</v>
      </c>
      <c r="G125" s="1593">
        <v>0</v>
      </c>
      <c r="H125" s="1593">
        <f t="shared" si="25"/>
        <v>1100</v>
      </c>
      <c r="I125" s="1532">
        <v>1.2574999999999999E-2</v>
      </c>
      <c r="J125" s="1532">
        <v>1.1931000000000001E-2</v>
      </c>
      <c r="K125" s="1532">
        <v>2.8830999999999999E-2</v>
      </c>
      <c r="L125" s="1532">
        <v>4.2506000000000002E-2</v>
      </c>
      <c r="M125" s="1532">
        <v>5.4462999999999998E-2</v>
      </c>
      <c r="N125" s="1532">
        <v>8.8575000000000001E-2</v>
      </c>
      <c r="O125" s="1553">
        <f t="shared" si="22"/>
        <v>0.23888100000000001</v>
      </c>
      <c r="P125" s="1158">
        <v>0.224495</v>
      </c>
      <c r="Q125" s="1553">
        <f t="shared" si="23"/>
        <v>0.77033099999999999</v>
      </c>
      <c r="R125" s="1575">
        <f t="shared" si="24"/>
        <v>9.0059273288439962E-2</v>
      </c>
      <c r="S125" s="1553">
        <f t="shared" si="21"/>
        <v>1</v>
      </c>
      <c r="T125" s="1580"/>
    </row>
    <row r="126" spans="1:20" ht="16.5" customHeight="1">
      <c r="A126" s="1568">
        <v>71</v>
      </c>
      <c r="B126" s="1569" t="s">
        <v>1859</v>
      </c>
      <c r="C126" s="1568" t="s">
        <v>1901</v>
      </c>
      <c r="D126" s="1570" t="s">
        <v>389</v>
      </c>
      <c r="E126" s="1570" t="s">
        <v>417</v>
      </c>
      <c r="F126" s="1593">
        <v>3000</v>
      </c>
      <c r="G126" s="1593">
        <v>0</v>
      </c>
      <c r="H126" s="1593">
        <f t="shared" si="25"/>
        <v>3000</v>
      </c>
      <c r="I126" s="1532">
        <v>2.0382127269999999</v>
      </c>
      <c r="J126" s="1532">
        <v>1.7834613359999998</v>
      </c>
      <c r="K126" s="1532">
        <v>1.0826427359999999</v>
      </c>
      <c r="L126" s="1532">
        <v>2.4508543359999999</v>
      </c>
      <c r="M126" s="1532">
        <v>2.0969585199999998</v>
      </c>
      <c r="N126" s="1532">
        <v>2.090675976</v>
      </c>
      <c r="O126" s="1553">
        <f t="shared" si="22"/>
        <v>11.542805631</v>
      </c>
      <c r="P126" s="1158">
        <v>11.447923207000001</v>
      </c>
      <c r="Q126" s="1553">
        <f t="shared" si="23"/>
        <v>24.086861487</v>
      </c>
      <c r="R126" s="1575">
        <f t="shared" si="24"/>
        <v>1.0325300706018519</v>
      </c>
      <c r="S126" s="1553">
        <f t="shared" si="21"/>
        <v>26</v>
      </c>
      <c r="T126" s="1580"/>
    </row>
    <row r="127" spans="1:20" ht="16.5" customHeight="1">
      <c r="A127" s="1568">
        <v>72</v>
      </c>
      <c r="B127" s="1569" t="s">
        <v>1868</v>
      </c>
      <c r="C127" s="1568" t="s">
        <v>479</v>
      </c>
      <c r="D127" s="1570" t="s">
        <v>1940</v>
      </c>
      <c r="E127" s="1570" t="s">
        <v>417</v>
      </c>
      <c r="F127" s="1593">
        <v>43500</v>
      </c>
      <c r="G127" s="1593">
        <v>0</v>
      </c>
      <c r="H127" s="1593">
        <f t="shared" si="25"/>
        <v>43500</v>
      </c>
      <c r="I127" s="1532">
        <v>27.304510000000001</v>
      </c>
      <c r="J127" s="1532">
        <v>28.811509999999998</v>
      </c>
      <c r="K127" s="1532">
        <v>27.401990000000001</v>
      </c>
      <c r="L127" s="1532">
        <v>27.711400000000001</v>
      </c>
      <c r="M127" s="1532">
        <v>27.87133</v>
      </c>
      <c r="N127" s="1532">
        <v>26.902840000000001</v>
      </c>
      <c r="O127" s="1553">
        <f t="shared" si="22"/>
        <v>166.00358</v>
      </c>
      <c r="P127" s="1158">
        <v>165.96313000000001</v>
      </c>
      <c r="Q127" s="1553">
        <f t="shared" si="23"/>
        <v>327.42061999999999</v>
      </c>
      <c r="R127" s="1575">
        <f t="shared" si="24"/>
        <v>0.96796692445958099</v>
      </c>
      <c r="S127" s="1553">
        <f>ROUNDUP(Q127*1.0492,0)</f>
        <v>344</v>
      </c>
      <c r="T127" s="1580"/>
    </row>
    <row r="128" spans="1:20" ht="16.5" customHeight="1">
      <c r="A128" s="1568">
        <v>73</v>
      </c>
      <c r="B128" s="1569" t="s">
        <v>1859</v>
      </c>
      <c r="C128" s="1568" t="s">
        <v>480</v>
      </c>
      <c r="D128" s="1570" t="s">
        <v>1940</v>
      </c>
      <c r="E128" s="1570" t="s">
        <v>417</v>
      </c>
      <c r="F128" s="1593">
        <v>6000</v>
      </c>
      <c r="G128" s="1593">
        <v>0</v>
      </c>
      <c r="H128" s="1593">
        <f t="shared" si="25"/>
        <v>6000</v>
      </c>
      <c r="I128" s="1532">
        <v>2.2148099999999999</v>
      </c>
      <c r="J128" s="1532">
        <v>2.3280750000000001</v>
      </c>
      <c r="K128" s="1532">
        <v>2.2430249999999998</v>
      </c>
      <c r="L128" s="1532">
        <v>2.15883</v>
      </c>
      <c r="M128" s="1532">
        <v>2.3891399999999998</v>
      </c>
      <c r="N128" s="1532">
        <v>2.3907150000000001</v>
      </c>
      <c r="O128" s="1553">
        <f t="shared" si="22"/>
        <v>13.724594999999999</v>
      </c>
      <c r="P128" s="1158">
        <v>13.278465000000001</v>
      </c>
      <c r="Q128" s="1553">
        <f t="shared" si="23"/>
        <v>28.068885000000002</v>
      </c>
      <c r="R128" s="1575">
        <f t="shared" si="24"/>
        <v>0.60161361882716058</v>
      </c>
      <c r="S128" s="1553">
        <f t="shared" ref="S128:S139" si="26">ROUNDUP(Q128*1.0492,0)</f>
        <v>30</v>
      </c>
      <c r="T128" s="1580"/>
    </row>
    <row r="129" spans="1:20" ht="16.5" customHeight="1">
      <c r="A129" s="1568">
        <v>74</v>
      </c>
      <c r="B129" s="1569" t="s">
        <v>1859</v>
      </c>
      <c r="C129" s="1568" t="s">
        <v>1902</v>
      </c>
      <c r="D129" s="1570" t="s">
        <v>1940</v>
      </c>
      <c r="E129" s="1570" t="s">
        <v>417</v>
      </c>
      <c r="F129" s="1593">
        <v>2500</v>
      </c>
      <c r="G129" s="1593">
        <v>0</v>
      </c>
      <c r="H129" s="1593">
        <f t="shared" si="25"/>
        <v>2500</v>
      </c>
      <c r="I129" s="1532">
        <v>0.60538499999999995</v>
      </c>
      <c r="J129" s="1532">
        <v>0.57802500000000001</v>
      </c>
      <c r="K129" s="1532">
        <v>1.1690100000000001</v>
      </c>
      <c r="L129" s="1532">
        <v>0.67401</v>
      </c>
      <c r="M129" s="1532">
        <v>0.55345500000000003</v>
      </c>
      <c r="N129" s="1532">
        <v>0.60394499999999995</v>
      </c>
      <c r="O129" s="1553">
        <f t="shared" si="22"/>
        <v>4.1838300000000004</v>
      </c>
      <c r="P129" s="1158">
        <v>4.21767</v>
      </c>
      <c r="Q129" s="1553">
        <f t="shared" si="23"/>
        <v>7.8075000000000001</v>
      </c>
      <c r="R129" s="1575">
        <f t="shared" si="24"/>
        <v>0.40162037037037035</v>
      </c>
      <c r="S129" s="1553">
        <f t="shared" si="26"/>
        <v>9</v>
      </c>
      <c r="T129" s="1580"/>
    </row>
    <row r="130" spans="1:20" ht="16.5" customHeight="1">
      <c r="A130" s="1568">
        <v>75</v>
      </c>
      <c r="B130" s="1569" t="s">
        <v>1859</v>
      </c>
      <c r="C130" s="1568" t="s">
        <v>481</v>
      </c>
      <c r="D130" s="1570" t="s">
        <v>1940</v>
      </c>
      <c r="E130" s="1570" t="s">
        <v>417</v>
      </c>
      <c r="F130" s="1593">
        <v>2850</v>
      </c>
      <c r="G130" s="1593">
        <v>0</v>
      </c>
      <c r="H130" s="1593">
        <f t="shared" si="25"/>
        <v>2850</v>
      </c>
      <c r="I130" s="1532">
        <v>1.6076699999999999</v>
      </c>
      <c r="J130" s="1532">
        <v>1.51146</v>
      </c>
      <c r="K130" s="1532">
        <v>1.543185</v>
      </c>
      <c r="L130" s="1532">
        <v>1.2586949999999999</v>
      </c>
      <c r="M130" s="1532">
        <v>1.5560780000000001</v>
      </c>
      <c r="N130" s="1532">
        <v>1.476067</v>
      </c>
      <c r="O130" s="1553">
        <f t="shared" si="22"/>
        <v>8.9531550000000006</v>
      </c>
      <c r="P130" s="1158">
        <v>8.8988399999999999</v>
      </c>
      <c r="Q130" s="1553">
        <f t="shared" si="23"/>
        <v>17.809556999999998</v>
      </c>
      <c r="R130" s="1575">
        <f>Q130/((H130*24*30*12*0.9)/1000000)</f>
        <v>0.80362234676196653</v>
      </c>
      <c r="S130" s="1553">
        <f t="shared" si="26"/>
        <v>19</v>
      </c>
      <c r="T130" s="1580"/>
    </row>
    <row r="131" spans="1:20" ht="16.5" customHeight="1">
      <c r="A131" s="1568">
        <v>76</v>
      </c>
      <c r="B131" s="1569" t="s">
        <v>1859</v>
      </c>
      <c r="C131" s="1568" t="s">
        <v>1903</v>
      </c>
      <c r="D131" s="1570" t="s">
        <v>1940</v>
      </c>
      <c r="E131" s="1570" t="s">
        <v>417</v>
      </c>
      <c r="F131" s="1593">
        <v>4900</v>
      </c>
      <c r="G131" s="1593">
        <v>0</v>
      </c>
      <c r="H131" s="1593">
        <f t="shared" si="25"/>
        <v>4900</v>
      </c>
      <c r="I131" s="1532">
        <v>1.221E-2</v>
      </c>
      <c r="J131" s="1532">
        <v>1.2359999999999999E-2</v>
      </c>
      <c r="K131" s="1532">
        <v>1.221E-2</v>
      </c>
      <c r="L131" s="1532">
        <v>1.281E-2</v>
      </c>
      <c r="M131" s="1532">
        <v>1.137E-2</v>
      </c>
      <c r="N131" s="1532">
        <v>1.107E-2</v>
      </c>
      <c r="O131" s="1553">
        <f t="shared" si="22"/>
        <v>7.2029999999999997E-2</v>
      </c>
      <c r="P131" s="1158">
        <v>7.2029999999999997E-2</v>
      </c>
      <c r="Q131" s="1553">
        <f t="shared" si="23"/>
        <v>0.13845000000000002</v>
      </c>
      <c r="R131" s="1575">
        <f t="shared" si="24"/>
        <v>3.6336293776769971E-3</v>
      </c>
      <c r="S131" s="1553">
        <f t="shared" si="26"/>
        <v>1</v>
      </c>
      <c r="T131" s="1580"/>
    </row>
    <row r="132" spans="1:20" ht="16.5" customHeight="1">
      <c r="A132" s="1568">
        <v>77</v>
      </c>
      <c r="B132" s="1569" t="s">
        <v>1859</v>
      </c>
      <c r="C132" s="1568" t="s">
        <v>1904</v>
      </c>
      <c r="D132" s="1570" t="s">
        <v>1940</v>
      </c>
      <c r="E132" s="1570" t="s">
        <v>417</v>
      </c>
      <c r="F132" s="1593">
        <v>3300</v>
      </c>
      <c r="G132" s="1593">
        <v>0</v>
      </c>
      <c r="H132" s="1593">
        <f t="shared" si="25"/>
        <v>3300</v>
      </c>
      <c r="I132" s="1532">
        <v>1.8221849999999999</v>
      </c>
      <c r="J132" s="1532">
        <v>1.9131069999999999</v>
      </c>
      <c r="K132" s="1532">
        <v>1.759838</v>
      </c>
      <c r="L132" s="1532">
        <v>1.89621</v>
      </c>
      <c r="M132" s="1532">
        <v>1.822163</v>
      </c>
      <c r="N132" s="1532">
        <v>1.779773</v>
      </c>
      <c r="O132" s="1553">
        <f t="shared" si="22"/>
        <v>10.993276</v>
      </c>
      <c r="P132" s="1158">
        <v>10.947307</v>
      </c>
      <c r="Q132" s="1553">
        <f t="shared" si="23"/>
        <v>21.671914000000001</v>
      </c>
      <c r="R132" s="1575">
        <f t="shared" si="24"/>
        <v>0.84455332647462289</v>
      </c>
      <c r="S132" s="1553">
        <f t="shared" si="26"/>
        <v>23</v>
      </c>
      <c r="T132" s="1580"/>
    </row>
    <row r="133" spans="1:20" ht="16.5" customHeight="1">
      <c r="A133" s="1568">
        <v>78</v>
      </c>
      <c r="B133" s="1569" t="s">
        <v>1859</v>
      </c>
      <c r="C133" s="1568" t="s">
        <v>482</v>
      </c>
      <c r="D133" s="1570" t="s">
        <v>1940</v>
      </c>
      <c r="E133" s="1570" t="s">
        <v>417</v>
      </c>
      <c r="F133" s="1593">
        <v>15000</v>
      </c>
      <c r="G133" s="1593">
        <v>0</v>
      </c>
      <c r="H133" s="1593">
        <f t="shared" si="25"/>
        <v>15000</v>
      </c>
      <c r="I133" s="1532">
        <v>7.1138399999999997</v>
      </c>
      <c r="J133" s="1532">
        <v>7.3247999999999998</v>
      </c>
      <c r="K133" s="1532">
        <v>7.13232</v>
      </c>
      <c r="L133" s="1532">
        <v>7.1006400000000003</v>
      </c>
      <c r="M133" s="1532">
        <v>2.9059200000000001</v>
      </c>
      <c r="N133" s="1532">
        <v>7.6319999999999997</v>
      </c>
      <c r="O133" s="1553">
        <f t="shared" si="22"/>
        <v>39.209519999999998</v>
      </c>
      <c r="P133" s="1158">
        <v>38.802720000000001</v>
      </c>
      <c r="Q133" s="1553">
        <f t="shared" si="23"/>
        <v>85.001519999999999</v>
      </c>
      <c r="R133" s="1575">
        <f t="shared" si="24"/>
        <v>0.72875102880658438</v>
      </c>
      <c r="S133" s="1553">
        <f t="shared" si="26"/>
        <v>90</v>
      </c>
      <c r="T133" s="1580"/>
    </row>
    <row r="134" spans="1:20" ht="16.5" customHeight="1">
      <c r="A134" s="1568">
        <v>79</v>
      </c>
      <c r="B134" s="1569" t="s">
        <v>1859</v>
      </c>
      <c r="C134" s="1568" t="s">
        <v>483</v>
      </c>
      <c r="D134" s="1570" t="s">
        <v>1940</v>
      </c>
      <c r="E134" s="1570" t="s">
        <v>417</v>
      </c>
      <c r="F134" s="1593">
        <v>2900</v>
      </c>
      <c r="G134" s="1593">
        <v>0</v>
      </c>
      <c r="H134" s="1593">
        <f t="shared" si="25"/>
        <v>2900</v>
      </c>
      <c r="I134" s="1532">
        <v>1.645583</v>
      </c>
      <c r="J134" s="1532">
        <v>1.6785669999999999</v>
      </c>
      <c r="K134" s="1532">
        <v>1.483088</v>
      </c>
      <c r="L134" s="1532">
        <v>1.6470899999999999</v>
      </c>
      <c r="M134" s="1532">
        <v>1.692968</v>
      </c>
      <c r="N134" s="1532">
        <v>1.6437820000000001</v>
      </c>
      <c r="O134" s="1553">
        <f t="shared" si="22"/>
        <v>9.7910780000000006</v>
      </c>
      <c r="P134" s="1158">
        <v>9.6336680000000001</v>
      </c>
      <c r="Q134" s="1553">
        <f t="shared" si="23"/>
        <v>19.653770000000002</v>
      </c>
      <c r="R134" s="1575">
        <f t="shared" si="24"/>
        <v>0.87154861998013344</v>
      </c>
      <c r="S134" s="1553">
        <f t="shared" si="26"/>
        <v>21</v>
      </c>
      <c r="T134" s="1580"/>
    </row>
    <row r="135" spans="1:20" ht="16.5" customHeight="1">
      <c r="A135" s="1568">
        <v>80</v>
      </c>
      <c r="B135" s="1569" t="s">
        <v>1859</v>
      </c>
      <c r="C135" s="1568" t="s">
        <v>484</v>
      </c>
      <c r="D135" s="1570" t="s">
        <v>1940</v>
      </c>
      <c r="E135" s="1570" t="s">
        <v>417</v>
      </c>
      <c r="F135" s="1593">
        <v>2500</v>
      </c>
      <c r="G135" s="1593">
        <v>2750</v>
      </c>
      <c r="H135" s="1593">
        <f t="shared" si="25"/>
        <v>5250</v>
      </c>
      <c r="I135" s="1532">
        <v>1.4771019999999999</v>
      </c>
      <c r="J135" s="1532">
        <v>1.5211570000000001</v>
      </c>
      <c r="K135" s="1532">
        <v>1.486553</v>
      </c>
      <c r="L135" s="1532">
        <v>1.5181199999999999</v>
      </c>
      <c r="M135" s="1532">
        <v>1.5588219999999999</v>
      </c>
      <c r="N135" s="1532">
        <v>1.5583050000000001</v>
      </c>
      <c r="O135" s="1553">
        <f t="shared" si="22"/>
        <v>9.1200589999999995</v>
      </c>
      <c r="P135" s="1158">
        <v>9.0559580000000004</v>
      </c>
      <c r="Q135" s="1553">
        <f t="shared" si="23"/>
        <v>18.469889000000002</v>
      </c>
      <c r="R135" s="1575">
        <f t="shared" si="24"/>
        <v>0.95009717078189304</v>
      </c>
      <c r="S135" s="1553">
        <f>ROUNDUP(Q135*1.0492,0)+((G135*0.9*0.3*24*30*6)/1000000)</f>
        <v>23.207599999999999</v>
      </c>
      <c r="T135" s="1580"/>
    </row>
    <row r="136" spans="1:20" ht="16.5" customHeight="1">
      <c r="A136" s="1568">
        <v>81</v>
      </c>
      <c r="B136" s="1569" t="s">
        <v>1859</v>
      </c>
      <c r="C136" s="1568" t="s">
        <v>1905</v>
      </c>
      <c r="D136" s="1570" t="s">
        <v>1940</v>
      </c>
      <c r="E136" s="1570" t="s">
        <v>417</v>
      </c>
      <c r="F136" s="1593">
        <v>2800</v>
      </c>
      <c r="G136" s="1593">
        <v>0</v>
      </c>
      <c r="H136" s="1593">
        <f t="shared" si="25"/>
        <v>2800</v>
      </c>
      <c r="I136" s="1532">
        <v>1.673465</v>
      </c>
      <c r="J136" s="1532">
        <v>1.7523569999999999</v>
      </c>
      <c r="K136" s="1532">
        <v>1.663537</v>
      </c>
      <c r="L136" s="1532">
        <v>1.6986049999999999</v>
      </c>
      <c r="M136" s="1532">
        <v>1.7457560000000001</v>
      </c>
      <c r="N136" s="1532">
        <v>1.625848</v>
      </c>
      <c r="O136" s="1553">
        <f t="shared" si="22"/>
        <v>10.159567999999998</v>
      </c>
      <c r="P136" s="1158">
        <v>10.154610999999999</v>
      </c>
      <c r="Q136" s="1553">
        <f t="shared" si="23"/>
        <v>19.914656000000001</v>
      </c>
      <c r="R136" s="1575">
        <f t="shared" si="24"/>
        <v>0.91465755437977658</v>
      </c>
      <c r="S136" s="1553">
        <f t="shared" si="26"/>
        <v>21</v>
      </c>
      <c r="T136" s="1580"/>
    </row>
    <row r="137" spans="1:20" ht="16.5" customHeight="1">
      <c r="A137" s="1568">
        <v>82</v>
      </c>
      <c r="B137" s="1569" t="s">
        <v>1859</v>
      </c>
      <c r="C137" s="1568" t="s">
        <v>485</v>
      </c>
      <c r="D137" s="1570" t="s">
        <v>1940</v>
      </c>
      <c r="E137" s="1570" t="s">
        <v>417</v>
      </c>
      <c r="F137" s="1593">
        <v>1800</v>
      </c>
      <c r="G137" s="1593">
        <v>0</v>
      </c>
      <c r="H137" s="1593">
        <f t="shared" si="25"/>
        <v>1800</v>
      </c>
      <c r="I137" s="1532">
        <v>0.25280999999999998</v>
      </c>
      <c r="J137" s="1532">
        <v>0.23264499999999999</v>
      </c>
      <c r="K137" s="1532">
        <v>0.228135</v>
      </c>
      <c r="L137" s="1532">
        <v>0.16594500000000001</v>
      </c>
      <c r="M137" s="1532">
        <v>0.22525500000000001</v>
      </c>
      <c r="N137" s="1532">
        <v>0.15679499999999999</v>
      </c>
      <c r="O137" s="1553">
        <f t="shared" si="22"/>
        <v>1.261585</v>
      </c>
      <c r="P137" s="1158">
        <v>1.2119549999999999</v>
      </c>
      <c r="Q137" s="1553">
        <f t="shared" si="23"/>
        <v>2.2023549999999998</v>
      </c>
      <c r="R137" s="1575">
        <f t="shared" si="24"/>
        <v>0.15734703646547782</v>
      </c>
      <c r="S137" s="1553">
        <f t="shared" si="26"/>
        <v>3</v>
      </c>
      <c r="T137" s="1580"/>
    </row>
    <row r="138" spans="1:20" ht="16.5" customHeight="1">
      <c r="A138" s="1568">
        <v>83</v>
      </c>
      <c r="B138" s="1569" t="s">
        <v>1859</v>
      </c>
      <c r="C138" s="1568" t="s">
        <v>486</v>
      </c>
      <c r="D138" s="1570" t="s">
        <v>1940</v>
      </c>
      <c r="E138" s="1570" t="s">
        <v>417</v>
      </c>
      <c r="F138" s="1593">
        <v>2500</v>
      </c>
      <c r="G138" s="1593">
        <v>0</v>
      </c>
      <c r="H138" s="1593">
        <f t="shared" si="25"/>
        <v>2500</v>
      </c>
      <c r="I138" s="1532">
        <v>1.470615</v>
      </c>
      <c r="J138" s="1532">
        <v>1.4089499999999999</v>
      </c>
      <c r="K138" s="1532">
        <v>1.2678149999999999</v>
      </c>
      <c r="L138" s="1532">
        <v>1.48356</v>
      </c>
      <c r="M138" s="1532">
        <v>1.4373149999999999</v>
      </c>
      <c r="N138" s="1532">
        <v>1.4095949999999999</v>
      </c>
      <c r="O138" s="1553">
        <f t="shared" si="22"/>
        <v>8.4778500000000001</v>
      </c>
      <c r="P138" s="1158">
        <v>8.4569399999999995</v>
      </c>
      <c r="Q138" s="1553">
        <f t="shared" si="23"/>
        <v>16.935420000000001</v>
      </c>
      <c r="R138" s="1575">
        <f t="shared" si="24"/>
        <v>0.87116358024691354</v>
      </c>
      <c r="S138" s="1553">
        <f t="shared" si="26"/>
        <v>18</v>
      </c>
      <c r="T138" s="1580"/>
    </row>
    <row r="139" spans="1:20" ht="16.5" customHeight="1">
      <c r="A139" s="1568">
        <v>84</v>
      </c>
      <c r="B139" s="1569" t="s">
        <v>1859</v>
      </c>
      <c r="C139" s="1568" t="s">
        <v>1906</v>
      </c>
      <c r="D139" s="1570" t="s">
        <v>1940</v>
      </c>
      <c r="E139" s="1570" t="s">
        <v>417</v>
      </c>
      <c r="F139" s="1593">
        <v>5000</v>
      </c>
      <c r="G139" s="1593">
        <v>0</v>
      </c>
      <c r="H139" s="1593">
        <f t="shared" si="25"/>
        <v>5000</v>
      </c>
      <c r="I139" s="1532">
        <v>2.6375491099999997</v>
      </c>
      <c r="J139" s="1532">
        <v>2.74905306</v>
      </c>
      <c r="K139" s="1532">
        <v>2.477760178</v>
      </c>
      <c r="L139" s="1532">
        <v>2.8019736699999997</v>
      </c>
      <c r="M139" s="1532">
        <v>2.8400381800000001</v>
      </c>
      <c r="N139" s="1532">
        <v>2.7252116000000002</v>
      </c>
      <c r="O139" s="1553">
        <f t="shared" si="22"/>
        <v>16.231585798000001</v>
      </c>
      <c r="P139" s="1158">
        <v>15.880201</v>
      </c>
      <c r="Q139" s="1553">
        <f t="shared" si="23"/>
        <v>32.582855398000007</v>
      </c>
      <c r="R139" s="1575">
        <f t="shared" si="24"/>
        <v>0.8380364042695474</v>
      </c>
      <c r="S139" s="1553">
        <f t="shared" si="26"/>
        <v>35</v>
      </c>
      <c r="T139" s="1580"/>
    </row>
    <row r="140" spans="1:20" ht="16.5" customHeight="1">
      <c r="A140" s="1568">
        <v>85</v>
      </c>
      <c r="B140" s="1569" t="s">
        <v>1866</v>
      </c>
      <c r="C140" s="1568" t="s">
        <v>487</v>
      </c>
      <c r="D140" s="1570" t="s">
        <v>408</v>
      </c>
      <c r="E140" s="1570" t="s">
        <v>417</v>
      </c>
      <c r="F140" s="1593">
        <v>4500</v>
      </c>
      <c r="G140" s="1593">
        <v>0</v>
      </c>
      <c r="H140" s="1593">
        <f t="shared" si="25"/>
        <v>4500</v>
      </c>
      <c r="I140" s="1532">
        <v>1.04928</v>
      </c>
      <c r="J140" s="1532">
        <v>0.75107999999999997</v>
      </c>
      <c r="K140" s="1532">
        <v>0.82823999999999998</v>
      </c>
      <c r="L140" s="1532">
        <v>1.2402</v>
      </c>
      <c r="M140" s="1532">
        <v>0.6492</v>
      </c>
      <c r="N140" s="1532">
        <v>0.89393999999999996</v>
      </c>
      <c r="O140" s="1553">
        <f t="shared" si="22"/>
        <v>5.4119400000000004</v>
      </c>
      <c r="P140" s="1158">
        <v>5.3398199999999996</v>
      </c>
      <c r="Q140" s="1553">
        <f>O140+N140*6</f>
        <v>10.775580000000001</v>
      </c>
      <c r="R140" s="1575">
        <f t="shared" si="24"/>
        <v>0.30794410150891638</v>
      </c>
      <c r="S140" s="1553">
        <f>ROUNDUP(Q140*1.0222,0)</f>
        <v>12</v>
      </c>
      <c r="T140" s="1580"/>
    </row>
    <row r="141" spans="1:20" ht="16.5" customHeight="1">
      <c r="A141" s="1568">
        <v>86</v>
      </c>
      <c r="B141" s="1569" t="s">
        <v>1859</v>
      </c>
      <c r="C141" s="1568" t="s">
        <v>488</v>
      </c>
      <c r="D141" s="1570" t="s">
        <v>408</v>
      </c>
      <c r="E141" s="1570" t="s">
        <v>417</v>
      </c>
      <c r="F141" s="1593">
        <v>5500</v>
      </c>
      <c r="G141" s="1593">
        <v>0</v>
      </c>
      <c r="H141" s="1593">
        <f t="shared" si="25"/>
        <v>5500</v>
      </c>
      <c r="I141" s="1532">
        <v>2.6682899999999998</v>
      </c>
      <c r="J141" s="1532">
        <v>2.67618</v>
      </c>
      <c r="K141" s="1532">
        <v>2.6259899999999998</v>
      </c>
      <c r="L141" s="1532">
        <v>2.7046800000000002</v>
      </c>
      <c r="M141" s="1532">
        <v>2.6588699999999998</v>
      </c>
      <c r="N141" s="1532">
        <v>2.7747600000000001</v>
      </c>
      <c r="O141" s="1553">
        <f t="shared" si="22"/>
        <v>16.10877</v>
      </c>
      <c r="P141" s="1158">
        <v>16.044060000000002</v>
      </c>
      <c r="Q141" s="1553">
        <f t="shared" si="23"/>
        <v>32.757329999999996</v>
      </c>
      <c r="R141" s="1575">
        <f t="shared" si="24"/>
        <v>0.76593083613916935</v>
      </c>
      <c r="S141" s="1553">
        <f t="shared" ref="S141:S144" si="27">ROUNDUP(Q141*1.0222,0)</f>
        <v>34</v>
      </c>
      <c r="T141" s="1580"/>
    </row>
    <row r="142" spans="1:20" ht="16.5" customHeight="1">
      <c r="A142" s="1568">
        <v>87</v>
      </c>
      <c r="B142" s="1569" t="s">
        <v>1859</v>
      </c>
      <c r="C142" s="1568" t="s">
        <v>489</v>
      </c>
      <c r="D142" s="1570" t="s">
        <v>408</v>
      </c>
      <c r="E142" s="1570" t="s">
        <v>417</v>
      </c>
      <c r="F142" s="1593">
        <v>9800</v>
      </c>
      <c r="G142" s="1593">
        <v>0</v>
      </c>
      <c r="H142" s="1593">
        <f t="shared" si="25"/>
        <v>9800</v>
      </c>
      <c r="I142" s="1532">
        <v>5.6982600000000003</v>
      </c>
      <c r="J142" s="1532">
        <v>5.7943600000000002</v>
      </c>
      <c r="K142" s="1532">
        <v>5.3821000000000003</v>
      </c>
      <c r="L142" s="1532">
        <v>5.4298000000000002</v>
      </c>
      <c r="M142" s="1532">
        <v>6.0902399999999997</v>
      </c>
      <c r="N142" s="1532">
        <v>6.0336800000000004</v>
      </c>
      <c r="O142" s="1553">
        <f t="shared" si="22"/>
        <v>34.428439999999995</v>
      </c>
      <c r="P142" s="1158">
        <v>33.659759999999999</v>
      </c>
      <c r="Q142" s="1553">
        <f t="shared" si="23"/>
        <v>70.63051999999999</v>
      </c>
      <c r="R142" s="1575">
        <f t="shared" si="24"/>
        <v>0.92685132695053307</v>
      </c>
      <c r="S142" s="1553">
        <f t="shared" si="27"/>
        <v>73</v>
      </c>
      <c r="T142" s="1580"/>
    </row>
    <row r="143" spans="1:20" ht="16.5" customHeight="1">
      <c r="A143" s="1568">
        <v>88</v>
      </c>
      <c r="B143" s="1569" t="s">
        <v>1859</v>
      </c>
      <c r="C143" s="1568" t="s">
        <v>490</v>
      </c>
      <c r="D143" s="1570" t="s">
        <v>408</v>
      </c>
      <c r="E143" s="1570" t="s">
        <v>417</v>
      </c>
      <c r="F143" s="1593">
        <v>9700</v>
      </c>
      <c r="G143" s="1593">
        <v>3000</v>
      </c>
      <c r="H143" s="1593">
        <f t="shared" si="25"/>
        <v>12700</v>
      </c>
      <c r="I143" s="1532">
        <v>5.3579999999999997</v>
      </c>
      <c r="J143" s="1532">
        <v>5.43</v>
      </c>
      <c r="K143" s="1532">
        <v>5.3316499999999998</v>
      </c>
      <c r="L143" s="1532">
        <v>5.1144999999999996</v>
      </c>
      <c r="M143" s="1532">
        <v>6.0542999999999996</v>
      </c>
      <c r="N143" s="1532">
        <v>6.0414000000000003</v>
      </c>
      <c r="O143" s="1553">
        <f t="shared" si="22"/>
        <v>33.32985</v>
      </c>
      <c r="P143" s="1158">
        <v>33.167850000000001</v>
      </c>
      <c r="Q143" s="1553">
        <f t="shared" si="23"/>
        <v>69.578249999999997</v>
      </c>
      <c r="R143" s="1575">
        <f t="shared" si="24"/>
        <v>0.92245569237622504</v>
      </c>
      <c r="S143" s="1553">
        <f>ROUNDUP(Q143*1.0222,0)+((G143*0.9*0.3*24*30*6)/1000000)</f>
        <v>75.499200000000002</v>
      </c>
      <c r="T143" s="1580"/>
    </row>
    <row r="144" spans="1:20" ht="16.5" customHeight="1">
      <c r="A144" s="1568">
        <v>89</v>
      </c>
      <c r="B144" s="1569" t="s">
        <v>1859</v>
      </c>
      <c r="C144" s="1568" t="s">
        <v>2342</v>
      </c>
      <c r="D144" s="1570" t="s">
        <v>408</v>
      </c>
      <c r="E144" s="1570" t="s">
        <v>417</v>
      </c>
      <c r="F144" s="1593">
        <v>12000</v>
      </c>
      <c r="G144" s="1593">
        <v>0</v>
      </c>
      <c r="H144" s="1593">
        <f t="shared" si="25"/>
        <v>12000</v>
      </c>
      <c r="I144" s="1532">
        <v>3.915</v>
      </c>
      <c r="J144" s="1532">
        <v>6.4394400000000003</v>
      </c>
      <c r="K144" s="1532">
        <v>7.7267999999999999</v>
      </c>
      <c r="L144" s="1532">
        <v>7.9656000000000002</v>
      </c>
      <c r="M144" s="1532">
        <v>7.3282800000000003</v>
      </c>
      <c r="N144" s="1532">
        <v>7.8356399999999997</v>
      </c>
      <c r="O144" s="1553">
        <f t="shared" si="22"/>
        <v>41.210760000000001</v>
      </c>
      <c r="P144" s="1158">
        <v>41.129040000000003</v>
      </c>
      <c r="Q144" s="1553">
        <f t="shared" si="23"/>
        <v>88.224600000000009</v>
      </c>
      <c r="R144" s="1575">
        <f t="shared" si="24"/>
        <v>0.94547968106995894</v>
      </c>
      <c r="S144" s="1553">
        <f t="shared" si="27"/>
        <v>91</v>
      </c>
      <c r="T144" s="1580"/>
    </row>
    <row r="145" spans="1:20" ht="16.5" customHeight="1">
      <c r="A145" s="1568">
        <v>90</v>
      </c>
      <c r="B145" s="1569" t="s">
        <v>1869</v>
      </c>
      <c r="C145" s="1568" t="s">
        <v>418</v>
      </c>
      <c r="D145" s="1570" t="s">
        <v>1870</v>
      </c>
      <c r="E145" s="1568" t="s">
        <v>433</v>
      </c>
      <c r="F145" s="1568">
        <v>13500</v>
      </c>
      <c r="G145" s="1568">
        <v>0</v>
      </c>
      <c r="H145" s="1568">
        <f t="shared" si="25"/>
        <v>13500</v>
      </c>
      <c r="I145" s="1157">
        <v>2.97630281</v>
      </c>
      <c r="J145" s="1157">
        <v>1.3324000600000001</v>
      </c>
      <c r="K145" s="1157">
        <v>2.6499999999999999E-2</v>
      </c>
      <c r="L145" s="1157">
        <v>3.5060216299999998</v>
      </c>
      <c r="M145" s="1157">
        <v>4.4127428159999997</v>
      </c>
      <c r="N145" s="1157">
        <v>4.83600280879</v>
      </c>
      <c r="O145" s="1553">
        <f t="shared" ref="O145" si="28">SUM(I145:N145)</f>
        <v>17.08997012479</v>
      </c>
      <c r="P145" s="1158">
        <v>17.0793</v>
      </c>
      <c r="Q145" s="1553">
        <f t="shared" si="23"/>
        <v>46.105986977530002</v>
      </c>
      <c r="R145" s="1575">
        <f t="shared" si="24"/>
        <v>0.43920502760183283</v>
      </c>
      <c r="S145" s="1553">
        <f>ROUNDUP(Q145*1.0625,0)</f>
        <v>49</v>
      </c>
      <c r="T145" s="1580"/>
    </row>
    <row r="146" spans="1:20" ht="16.5" customHeight="1">
      <c r="A146" s="1568">
        <v>91</v>
      </c>
      <c r="B146" s="1569" t="s">
        <v>1856</v>
      </c>
      <c r="C146" s="1568" t="s">
        <v>418</v>
      </c>
      <c r="D146" s="1570" t="s">
        <v>1870</v>
      </c>
      <c r="E146" s="1570" t="s">
        <v>417</v>
      </c>
      <c r="F146" s="1593">
        <v>3945</v>
      </c>
      <c r="G146" s="1593">
        <v>0</v>
      </c>
      <c r="H146" s="1593">
        <f t="shared" si="25"/>
        <v>3945</v>
      </c>
      <c r="I146" s="1532">
        <v>1.932E-2</v>
      </c>
      <c r="J146" s="1532">
        <v>1.839E-2</v>
      </c>
      <c r="K146" s="1532">
        <v>1.4970000000000001E-2</v>
      </c>
      <c r="L146" s="1532">
        <v>0.22494</v>
      </c>
      <c r="M146" s="1532">
        <v>0.70179000000000002</v>
      </c>
      <c r="N146" s="1532">
        <v>0.33212999999999998</v>
      </c>
      <c r="O146" s="1553">
        <f t="shared" si="22"/>
        <v>1.3115399999999999</v>
      </c>
      <c r="P146" s="1158">
        <v>1.23753</v>
      </c>
      <c r="Q146" s="1553">
        <f t="shared" si="23"/>
        <v>3.3043199999999997</v>
      </c>
      <c r="R146" s="1575">
        <f t="shared" si="24"/>
        <v>0.10771565820150525</v>
      </c>
      <c r="S146" s="1553">
        <f t="shared" ref="S146:S174" si="29">ROUNDUP(Q146*1.0625,0)</f>
        <v>4</v>
      </c>
      <c r="T146" s="1580"/>
    </row>
    <row r="147" spans="1:20" ht="16.5" customHeight="1">
      <c r="A147" s="1568">
        <v>92</v>
      </c>
      <c r="B147" s="1569" t="s">
        <v>1907</v>
      </c>
      <c r="C147" s="1568" t="s">
        <v>418</v>
      </c>
      <c r="D147" s="1570" t="s">
        <v>1870</v>
      </c>
      <c r="E147" s="1570" t="s">
        <v>417</v>
      </c>
      <c r="F147" s="1593">
        <v>4045</v>
      </c>
      <c r="G147" s="1593">
        <v>0</v>
      </c>
      <c r="H147" s="1593">
        <f t="shared" si="25"/>
        <v>4045</v>
      </c>
      <c r="I147" s="1532">
        <v>1.443E-2</v>
      </c>
      <c r="J147" s="1532">
        <v>6.5100000000000002E-3</v>
      </c>
      <c r="K147" s="1532">
        <v>6.5700000000000003E-3</v>
      </c>
      <c r="L147" s="1532">
        <v>0.17055000000000001</v>
      </c>
      <c r="M147" s="1532">
        <v>0.41210999999999998</v>
      </c>
      <c r="N147" s="1532">
        <v>0.16581000000000001</v>
      </c>
      <c r="O147" s="1553">
        <f t="shared" si="22"/>
        <v>0.77598</v>
      </c>
      <c r="P147" s="1158">
        <v>0.75473999999999997</v>
      </c>
      <c r="Q147" s="1553">
        <f t="shared" si="23"/>
        <v>1.7708400000000002</v>
      </c>
      <c r="R147" s="1575">
        <f t="shared" si="24"/>
        <v>5.6299500984297035E-2</v>
      </c>
      <c r="S147" s="1553">
        <f t="shared" si="29"/>
        <v>2</v>
      </c>
      <c r="T147" s="1580"/>
    </row>
    <row r="148" spans="1:20" ht="16.5" customHeight="1">
      <c r="A148" s="1568">
        <v>93</v>
      </c>
      <c r="B148" s="1569" t="s">
        <v>1907</v>
      </c>
      <c r="C148" s="1568" t="s">
        <v>418</v>
      </c>
      <c r="D148" s="1570" t="s">
        <v>1870</v>
      </c>
      <c r="E148" s="1570" t="s">
        <v>417</v>
      </c>
      <c r="F148" s="1593">
        <v>2720</v>
      </c>
      <c r="G148" s="1593">
        <v>0</v>
      </c>
      <c r="H148" s="1593">
        <f t="shared" si="25"/>
        <v>2720</v>
      </c>
      <c r="I148" s="1532">
        <v>3.5400000000000001E-2</v>
      </c>
      <c r="J148" s="1532">
        <v>2.3640000000000001E-2</v>
      </c>
      <c r="K148" s="1532">
        <v>4.0499999999999998E-3</v>
      </c>
      <c r="L148" s="1532">
        <v>5.5199999999999997E-3</v>
      </c>
      <c r="M148" s="1532">
        <v>0.14721000000000001</v>
      </c>
      <c r="N148" s="1532">
        <v>0.17082</v>
      </c>
      <c r="O148" s="1553">
        <f t="shared" si="22"/>
        <v>0.38663999999999998</v>
      </c>
      <c r="P148" s="1158">
        <v>0.33648</v>
      </c>
      <c r="Q148" s="1553">
        <f t="shared" si="23"/>
        <v>1.4115600000000001</v>
      </c>
      <c r="R148" s="1575">
        <f t="shared" si="24"/>
        <v>6.6738153594771255E-2</v>
      </c>
      <c r="S148" s="1553">
        <f t="shared" si="29"/>
        <v>2</v>
      </c>
      <c r="T148" s="1580"/>
    </row>
    <row r="149" spans="1:20" ht="16.5" customHeight="1">
      <c r="A149" s="1568">
        <v>94</v>
      </c>
      <c r="B149" s="1569" t="s">
        <v>1907</v>
      </c>
      <c r="C149" s="1568" t="s">
        <v>418</v>
      </c>
      <c r="D149" s="1570" t="s">
        <v>1870</v>
      </c>
      <c r="E149" s="1570" t="s">
        <v>417</v>
      </c>
      <c r="F149" s="1593">
        <v>5200</v>
      </c>
      <c r="G149" s="1593">
        <v>0</v>
      </c>
      <c r="H149" s="1593">
        <f t="shared" si="25"/>
        <v>5200</v>
      </c>
      <c r="I149" s="1532">
        <v>0.15975</v>
      </c>
      <c r="J149" s="1532">
        <v>2.649E-2</v>
      </c>
      <c r="K149" s="1532">
        <v>7.1700000000000002E-3</v>
      </c>
      <c r="L149" s="1532">
        <v>1.7520000000000001E-2</v>
      </c>
      <c r="M149" s="1532">
        <v>0.27923999999999999</v>
      </c>
      <c r="N149" s="1532">
        <v>0.48054000000000002</v>
      </c>
      <c r="O149" s="1553">
        <f t="shared" si="22"/>
        <v>0.97070999999999996</v>
      </c>
      <c r="P149" s="1158">
        <v>0.92178000000000004</v>
      </c>
      <c r="Q149" s="1553">
        <f t="shared" si="23"/>
        <v>3.8539500000000002</v>
      </c>
      <c r="R149" s="1575">
        <f t="shared" si="24"/>
        <v>9.5311758072174735E-2</v>
      </c>
      <c r="S149" s="1553">
        <f t="shared" si="29"/>
        <v>5</v>
      </c>
      <c r="T149" s="1580"/>
    </row>
    <row r="150" spans="1:20" ht="16.5" customHeight="1">
      <c r="A150" s="1568">
        <v>95</v>
      </c>
      <c r="B150" s="1569" t="s">
        <v>1864</v>
      </c>
      <c r="C150" s="1568" t="s">
        <v>419</v>
      </c>
      <c r="D150" s="1570" t="s">
        <v>1870</v>
      </c>
      <c r="E150" s="1570" t="s">
        <v>417</v>
      </c>
      <c r="F150" s="1593">
        <v>1397</v>
      </c>
      <c r="G150" s="1593">
        <v>0</v>
      </c>
      <c r="H150" s="1593">
        <f t="shared" si="25"/>
        <v>1397</v>
      </c>
      <c r="I150" s="1532">
        <v>2.6099999999999999E-3</v>
      </c>
      <c r="J150" s="1532">
        <v>2.3700000000000001E-3</v>
      </c>
      <c r="K150" s="1532">
        <v>1.1999999999999999E-3</v>
      </c>
      <c r="L150" s="1532">
        <v>3.9269999999999999E-2</v>
      </c>
      <c r="M150" s="1532">
        <v>7.6799999999999993E-2</v>
      </c>
      <c r="N150" s="1532">
        <v>2.5260000000000001E-2</v>
      </c>
      <c r="O150" s="1553">
        <f t="shared" si="22"/>
        <v>0.14751</v>
      </c>
      <c r="P150" s="1158">
        <v>0.14063999999999999</v>
      </c>
      <c r="Q150" s="1553">
        <f t="shared" si="23"/>
        <v>0.29907</v>
      </c>
      <c r="R150" s="1575">
        <f t="shared" si="24"/>
        <v>2.753088629072881E-2</v>
      </c>
      <c r="S150" s="1553">
        <f t="shared" si="29"/>
        <v>1</v>
      </c>
      <c r="T150" s="1580"/>
    </row>
    <row r="151" spans="1:20" ht="16.5" customHeight="1">
      <c r="A151" s="1568">
        <v>96</v>
      </c>
      <c r="B151" s="1569" t="s">
        <v>1864</v>
      </c>
      <c r="C151" s="1568" t="s">
        <v>420</v>
      </c>
      <c r="D151" s="1570" t="s">
        <v>1870</v>
      </c>
      <c r="E151" s="1570" t="s">
        <v>417</v>
      </c>
      <c r="F151" s="1593">
        <v>3791</v>
      </c>
      <c r="G151" s="1593">
        <v>0</v>
      </c>
      <c r="H151" s="1593">
        <f t="shared" si="25"/>
        <v>3791</v>
      </c>
      <c r="I151" s="1532">
        <v>0.50580000000000003</v>
      </c>
      <c r="J151" s="1532">
        <v>6.6600000000000006E-2</v>
      </c>
      <c r="K151" s="1532">
        <v>6.96E-3</v>
      </c>
      <c r="L151" s="1532">
        <v>7.92E-3</v>
      </c>
      <c r="M151" s="1532">
        <v>6.9959999999999994E-2</v>
      </c>
      <c r="N151" s="1532">
        <v>0.16331999999999999</v>
      </c>
      <c r="O151" s="1553">
        <f t="shared" si="22"/>
        <v>0.82056000000000007</v>
      </c>
      <c r="P151" s="1158">
        <v>0.73956</v>
      </c>
      <c r="Q151" s="1553">
        <f t="shared" si="23"/>
        <v>1.8004799999999999</v>
      </c>
      <c r="R151" s="1575">
        <f t="shared" si="24"/>
        <v>6.1077079893575102E-2</v>
      </c>
      <c r="S151" s="1553">
        <f t="shared" si="29"/>
        <v>2</v>
      </c>
      <c r="T151" s="1580"/>
    </row>
    <row r="152" spans="1:20" ht="16.5" customHeight="1">
      <c r="A152" s="1568">
        <v>97</v>
      </c>
      <c r="B152" s="1569" t="s">
        <v>1857</v>
      </c>
      <c r="C152" s="1568" t="s">
        <v>1908</v>
      </c>
      <c r="D152" s="1570" t="s">
        <v>1870</v>
      </c>
      <c r="E152" s="1570" t="s">
        <v>417</v>
      </c>
      <c r="F152" s="1593">
        <v>3962</v>
      </c>
      <c r="G152" s="1593">
        <v>0</v>
      </c>
      <c r="H152" s="1593">
        <f t="shared" si="25"/>
        <v>3962</v>
      </c>
      <c r="I152" s="1532">
        <v>8.6700000000000006E-3</v>
      </c>
      <c r="J152" s="1532">
        <v>6.5399999999999998E-3</v>
      </c>
      <c r="K152" s="1532">
        <v>5.0699999999999999E-3</v>
      </c>
      <c r="L152" s="1532">
        <v>2.9729999999999999E-2</v>
      </c>
      <c r="M152" s="1532">
        <v>9.0810000000000002E-2</v>
      </c>
      <c r="N152" s="1532">
        <v>0.11169</v>
      </c>
      <c r="O152" s="1553">
        <f t="shared" si="22"/>
        <v>0.25251000000000001</v>
      </c>
      <c r="P152" s="1158">
        <v>0.2457</v>
      </c>
      <c r="Q152" s="1553">
        <f t="shared" si="23"/>
        <v>0.92264999999999997</v>
      </c>
      <c r="R152" s="1575">
        <f t="shared" si="24"/>
        <v>2.9947892322745088E-2</v>
      </c>
      <c r="S152" s="1553">
        <f t="shared" si="29"/>
        <v>1</v>
      </c>
      <c r="T152" s="1580"/>
    </row>
    <row r="153" spans="1:20" ht="16.5" customHeight="1">
      <c r="A153" s="1568">
        <v>98</v>
      </c>
      <c r="B153" s="1569" t="s">
        <v>1865</v>
      </c>
      <c r="C153" s="1568" t="s">
        <v>421</v>
      </c>
      <c r="D153" s="1570" t="s">
        <v>1870</v>
      </c>
      <c r="E153" s="1570" t="s">
        <v>417</v>
      </c>
      <c r="F153" s="1593">
        <v>2501</v>
      </c>
      <c r="G153" s="1593">
        <v>0</v>
      </c>
      <c r="H153" s="1593">
        <f t="shared" si="25"/>
        <v>2501</v>
      </c>
      <c r="I153" s="1532">
        <v>2.0999999999999999E-3</v>
      </c>
      <c r="J153" s="1532">
        <v>0</v>
      </c>
      <c r="K153" s="1532">
        <v>6.0000000000000002E-5</v>
      </c>
      <c r="L153" s="1532">
        <v>1.5E-3</v>
      </c>
      <c r="M153" s="1532">
        <v>0.2586</v>
      </c>
      <c r="N153" s="1532">
        <v>0.24306</v>
      </c>
      <c r="O153" s="1553">
        <f t="shared" si="22"/>
        <v>0.50531999999999999</v>
      </c>
      <c r="P153" s="1158">
        <v>0.49049999999999999</v>
      </c>
      <c r="Q153" s="1553">
        <f t="shared" si="23"/>
        <v>1.9636799999999999</v>
      </c>
      <c r="R153" s="1575">
        <f t="shared" si="24"/>
        <v>0.10097195689625384</v>
      </c>
      <c r="S153" s="1553">
        <f t="shared" si="29"/>
        <v>3</v>
      </c>
      <c r="T153" s="1580"/>
    </row>
    <row r="154" spans="1:20" ht="16.5" customHeight="1">
      <c r="A154" s="1568">
        <v>99</v>
      </c>
      <c r="B154" s="1569" t="s">
        <v>1865</v>
      </c>
      <c r="C154" s="1568" t="s">
        <v>422</v>
      </c>
      <c r="D154" s="1570" t="s">
        <v>1870</v>
      </c>
      <c r="E154" s="1570" t="s">
        <v>417</v>
      </c>
      <c r="F154" s="1593">
        <v>1213</v>
      </c>
      <c r="G154" s="1593">
        <v>0</v>
      </c>
      <c r="H154" s="1593">
        <f t="shared" si="25"/>
        <v>1213</v>
      </c>
      <c r="I154" s="1532">
        <v>1.1999999999999999E-3</v>
      </c>
      <c r="J154" s="1532">
        <v>5.4000000000000001E-4</v>
      </c>
      <c r="K154" s="1532">
        <v>6.4499999999999996E-4</v>
      </c>
      <c r="L154" s="1532">
        <v>2.1000000000000001E-4</v>
      </c>
      <c r="M154" s="1532">
        <v>0</v>
      </c>
      <c r="N154" s="1532">
        <v>6.1260000000000002E-2</v>
      </c>
      <c r="O154" s="1553">
        <f t="shared" si="22"/>
        <v>6.3854999999999995E-2</v>
      </c>
      <c r="P154" s="1158">
        <v>6.2219999999999998E-2</v>
      </c>
      <c r="Q154" s="1553">
        <f t="shared" si="23"/>
        <v>0.43141499999999999</v>
      </c>
      <c r="R154" s="1575">
        <f t="shared" si="24"/>
        <v>4.5738107233366923E-2</v>
      </c>
      <c r="S154" s="1553">
        <f t="shared" si="29"/>
        <v>1</v>
      </c>
      <c r="T154" s="1580"/>
    </row>
    <row r="155" spans="1:20" ht="16.5" customHeight="1">
      <c r="A155" s="1568">
        <v>100</v>
      </c>
      <c r="B155" s="1569" t="s">
        <v>1868</v>
      </c>
      <c r="C155" s="1568" t="s">
        <v>418</v>
      </c>
      <c r="D155" s="1570" t="s">
        <v>1870</v>
      </c>
      <c r="E155" s="1570" t="s">
        <v>417</v>
      </c>
      <c r="F155" s="1593">
        <v>1854</v>
      </c>
      <c r="G155" s="1593">
        <v>0</v>
      </c>
      <c r="H155" s="1593">
        <f t="shared" si="25"/>
        <v>1854</v>
      </c>
      <c r="I155" s="1532">
        <v>5.1599999999999997E-3</v>
      </c>
      <c r="J155" s="1532">
        <v>6.7799999999999996E-3</v>
      </c>
      <c r="K155" s="1532">
        <v>5.2500000000000003E-3</v>
      </c>
      <c r="L155" s="1532">
        <v>6.0299999999999998E-3</v>
      </c>
      <c r="M155" s="1532">
        <v>7.8570000000000001E-2</v>
      </c>
      <c r="N155" s="1532">
        <v>0.17144999999999999</v>
      </c>
      <c r="O155" s="1553">
        <f t="shared" si="22"/>
        <v>0.27323999999999998</v>
      </c>
      <c r="P155" s="1158">
        <v>0.26577000000000001</v>
      </c>
      <c r="Q155" s="1553">
        <f t="shared" si="23"/>
        <v>1.3019399999999999</v>
      </c>
      <c r="R155" s="1575">
        <f t="shared" si="24"/>
        <v>9.0307743018099004E-2</v>
      </c>
      <c r="S155" s="1553">
        <f t="shared" si="29"/>
        <v>2</v>
      </c>
      <c r="T155" s="1580"/>
    </row>
    <row r="156" spans="1:20" ht="16.5" customHeight="1">
      <c r="A156" s="1568">
        <v>101</v>
      </c>
      <c r="B156" s="1569" t="s">
        <v>1868</v>
      </c>
      <c r="C156" s="1568" t="s">
        <v>1909</v>
      </c>
      <c r="D156" s="1570" t="s">
        <v>1870</v>
      </c>
      <c r="E156" s="1570" t="s">
        <v>417</v>
      </c>
      <c r="F156" s="1593">
        <v>4237</v>
      </c>
      <c r="G156" s="1593">
        <v>0</v>
      </c>
      <c r="H156" s="1593">
        <f t="shared" si="25"/>
        <v>4237</v>
      </c>
      <c r="I156" s="1532">
        <v>1.166564E-2</v>
      </c>
      <c r="J156" s="1532">
        <v>1.0967040000000001E-2</v>
      </c>
      <c r="K156" s="1532">
        <v>1.0080180000000001E-2</v>
      </c>
      <c r="L156" s="1532">
        <v>6.2731999999999996E-2</v>
      </c>
      <c r="M156" s="1532">
        <v>0.32330871</v>
      </c>
      <c r="N156" s="1532">
        <v>0.28553998999999997</v>
      </c>
      <c r="O156" s="1553">
        <f t="shared" si="22"/>
        <v>0.70429355999999999</v>
      </c>
      <c r="P156" s="1158">
        <v>0.67811999999999995</v>
      </c>
      <c r="Q156" s="1553">
        <f t="shared" si="23"/>
        <v>2.4175334999999998</v>
      </c>
      <c r="R156" s="1575">
        <f t="shared" si="24"/>
        <v>7.3376633901228741E-2</v>
      </c>
      <c r="S156" s="1553">
        <f t="shared" si="29"/>
        <v>3</v>
      </c>
      <c r="T156" s="1580"/>
    </row>
    <row r="157" spans="1:20" ht="16.5" customHeight="1">
      <c r="A157" s="1568">
        <v>102</v>
      </c>
      <c r="B157" s="1569" t="s">
        <v>1858</v>
      </c>
      <c r="C157" s="1568" t="s">
        <v>423</v>
      </c>
      <c r="D157" s="1570" t="s">
        <v>1870</v>
      </c>
      <c r="E157" s="1570" t="s">
        <v>417</v>
      </c>
      <c r="F157" s="1593">
        <v>5832</v>
      </c>
      <c r="G157" s="1593">
        <v>0</v>
      </c>
      <c r="H157" s="1593">
        <f t="shared" si="25"/>
        <v>5832</v>
      </c>
      <c r="I157" s="1532">
        <v>1.3140000000000001E-2</v>
      </c>
      <c r="J157" s="1532">
        <v>1.4189999999999999E-2</v>
      </c>
      <c r="K157" s="1532">
        <v>1.0019999999999999E-2</v>
      </c>
      <c r="L157" s="1532">
        <v>1.158E-2</v>
      </c>
      <c r="M157" s="1532">
        <v>7.7700000000000005E-2</v>
      </c>
      <c r="N157" s="1532">
        <v>0.13650000000000001</v>
      </c>
      <c r="O157" s="1553">
        <f t="shared" si="22"/>
        <v>0.26313000000000003</v>
      </c>
      <c r="P157" s="1158">
        <v>0.26129999999999998</v>
      </c>
      <c r="Q157" s="1553">
        <f t="shared" si="23"/>
        <v>1.08213</v>
      </c>
      <c r="R157" s="1575">
        <f t="shared" si="24"/>
        <v>2.3861935638198786E-2</v>
      </c>
      <c r="S157" s="1553">
        <f t="shared" si="29"/>
        <v>2</v>
      </c>
      <c r="T157" s="1580"/>
    </row>
    <row r="158" spans="1:20" ht="16.5" customHeight="1">
      <c r="A158" s="1568">
        <v>103</v>
      </c>
      <c r="B158" s="1569" t="s">
        <v>1858</v>
      </c>
      <c r="C158" s="1568" t="s">
        <v>424</v>
      </c>
      <c r="D158" s="1570" t="s">
        <v>1870</v>
      </c>
      <c r="E158" s="1570" t="s">
        <v>417</v>
      </c>
      <c r="F158" s="1593">
        <v>3800</v>
      </c>
      <c r="G158" s="1593">
        <v>0</v>
      </c>
      <c r="H158" s="1593">
        <f t="shared" si="25"/>
        <v>3800</v>
      </c>
      <c r="I158" s="1532">
        <v>1.9293999999999999E-2</v>
      </c>
      <c r="J158" s="1532">
        <v>2.0194E-2</v>
      </c>
      <c r="K158" s="1532">
        <v>1.8315000000000001E-2</v>
      </c>
      <c r="L158" s="1532">
        <v>2.9475000000000001E-2</v>
      </c>
      <c r="M158" s="1532">
        <v>5.6453000000000003E-2</v>
      </c>
      <c r="N158" s="1532">
        <v>8.3935999999999997E-2</v>
      </c>
      <c r="O158" s="1553">
        <f t="shared" si="22"/>
        <v>0.22766700000000001</v>
      </c>
      <c r="P158" s="1158">
        <v>0.17029</v>
      </c>
      <c r="Q158" s="1553">
        <f t="shared" si="23"/>
        <v>0.73128299999999991</v>
      </c>
      <c r="R158" s="1575">
        <f t="shared" si="24"/>
        <v>2.4748314652371668E-2</v>
      </c>
      <c r="S158" s="1553">
        <f t="shared" si="29"/>
        <v>1</v>
      </c>
      <c r="T158" s="1580"/>
    </row>
    <row r="159" spans="1:20" ht="16.5" customHeight="1">
      <c r="A159" s="1568">
        <v>104</v>
      </c>
      <c r="B159" s="1569" t="s">
        <v>1858</v>
      </c>
      <c r="C159" s="1568" t="s">
        <v>425</v>
      </c>
      <c r="D159" s="1570" t="s">
        <v>1870</v>
      </c>
      <c r="E159" s="1570" t="s">
        <v>417</v>
      </c>
      <c r="F159" s="1593">
        <v>1150</v>
      </c>
      <c r="G159" s="1593">
        <v>0</v>
      </c>
      <c r="H159" s="1593">
        <f t="shared" si="25"/>
        <v>1150</v>
      </c>
      <c r="I159" s="1532">
        <v>9.0600000000000003E-3</v>
      </c>
      <c r="J159" s="1532">
        <v>1.005E-2</v>
      </c>
      <c r="K159" s="1532">
        <v>8.3700000000000007E-3</v>
      </c>
      <c r="L159" s="1532">
        <v>3.9780000000000003E-2</v>
      </c>
      <c r="M159" s="1532">
        <v>0.12306</v>
      </c>
      <c r="N159" s="1532">
        <v>0.11124000000000001</v>
      </c>
      <c r="O159" s="1553">
        <f t="shared" si="22"/>
        <v>0.30156000000000005</v>
      </c>
      <c r="P159" s="1158">
        <v>0.26840999999999998</v>
      </c>
      <c r="Q159" s="1553">
        <f t="shared" si="23"/>
        <v>0.96900000000000008</v>
      </c>
      <c r="R159" s="1575">
        <f t="shared" si="24"/>
        <v>0.10836017176596889</v>
      </c>
      <c r="S159" s="1553">
        <f t="shared" si="29"/>
        <v>2</v>
      </c>
      <c r="T159" s="1580"/>
    </row>
    <row r="160" spans="1:20" ht="16.5" customHeight="1">
      <c r="A160" s="1568">
        <v>105</v>
      </c>
      <c r="B160" s="1569" t="s">
        <v>1858</v>
      </c>
      <c r="C160" s="1568" t="s">
        <v>1910</v>
      </c>
      <c r="D160" s="1570" t="s">
        <v>1870</v>
      </c>
      <c r="E160" s="1570" t="s">
        <v>417</v>
      </c>
      <c r="F160" s="1593">
        <v>11400</v>
      </c>
      <c r="G160" s="1593">
        <v>0</v>
      </c>
      <c r="H160" s="1593">
        <f t="shared" si="25"/>
        <v>11400</v>
      </c>
      <c r="I160" s="1532">
        <v>2.0639999999999999E-2</v>
      </c>
      <c r="J160" s="1532">
        <v>2.4479999999999998E-2</v>
      </c>
      <c r="K160" s="1532">
        <v>2.2679999999999999E-2</v>
      </c>
      <c r="L160" s="1532">
        <v>2.4719999999999999E-2</v>
      </c>
      <c r="M160" s="1532">
        <v>6.2399999999999997E-2</v>
      </c>
      <c r="N160" s="1532">
        <v>0.16175999999999999</v>
      </c>
      <c r="O160" s="1553">
        <f t="shared" si="22"/>
        <v>0.31667999999999996</v>
      </c>
      <c r="P160" s="1158">
        <v>0.31380000000000002</v>
      </c>
      <c r="Q160" s="1553">
        <f t="shared" si="23"/>
        <v>1.2872399999999997</v>
      </c>
      <c r="R160" s="1575">
        <f t="shared" ref="R160" si="30">Q160/((F160*24*30*12*0.9)/1000000)</f>
        <v>1.4521063461121938E-2</v>
      </c>
      <c r="S160" s="1553">
        <f t="shared" si="29"/>
        <v>2</v>
      </c>
      <c r="T160" s="1580"/>
    </row>
    <row r="161" spans="1:20" ht="16.5" customHeight="1">
      <c r="A161" s="1568">
        <v>106</v>
      </c>
      <c r="B161" s="1569" t="s">
        <v>1859</v>
      </c>
      <c r="C161" s="1568" t="s">
        <v>426</v>
      </c>
      <c r="D161" s="1570" t="s">
        <v>1870</v>
      </c>
      <c r="E161" s="1570" t="s">
        <v>417</v>
      </c>
      <c r="F161" s="1593">
        <v>1976</v>
      </c>
      <c r="G161" s="1593">
        <v>0</v>
      </c>
      <c r="H161" s="1593">
        <f t="shared" si="25"/>
        <v>1976</v>
      </c>
      <c r="I161" s="1532">
        <v>1.257E-2</v>
      </c>
      <c r="J161" s="1532">
        <v>1.251E-2</v>
      </c>
      <c r="K161" s="1532">
        <v>1.206E-2</v>
      </c>
      <c r="L161" s="1532">
        <v>4.2869999999999998E-2</v>
      </c>
      <c r="M161" s="1532">
        <v>0.11583</v>
      </c>
      <c r="N161" s="1532">
        <v>0.16872000000000001</v>
      </c>
      <c r="O161" s="1553">
        <f t="shared" si="22"/>
        <v>0.36456</v>
      </c>
      <c r="P161" s="1158">
        <v>0.32840999999999998</v>
      </c>
      <c r="Q161" s="1553">
        <f t="shared" ref="Q161:Q174" si="31">O161+N161*6</f>
        <v>1.3768800000000001</v>
      </c>
      <c r="R161" s="1575">
        <f t="shared" ref="R161:R174" si="32">Q161/((F161*24*30*12*0.9)/1000000)</f>
        <v>8.9609261758384573E-2</v>
      </c>
      <c r="S161" s="1553">
        <f t="shared" si="29"/>
        <v>2</v>
      </c>
      <c r="T161" s="1580"/>
    </row>
    <row r="162" spans="1:20" ht="16.5" customHeight="1">
      <c r="A162" s="1568">
        <v>107</v>
      </c>
      <c r="B162" s="1569" t="s">
        <v>1859</v>
      </c>
      <c r="C162" s="1568" t="s">
        <v>1911</v>
      </c>
      <c r="D162" s="1570" t="s">
        <v>1870</v>
      </c>
      <c r="E162" s="1570" t="s">
        <v>417</v>
      </c>
      <c r="F162" s="1593">
        <v>1843</v>
      </c>
      <c r="G162" s="1593">
        <v>0</v>
      </c>
      <c r="H162" s="1593">
        <f t="shared" si="25"/>
        <v>1843</v>
      </c>
      <c r="I162" s="1532">
        <v>7.4999999999999997E-3</v>
      </c>
      <c r="J162" s="1532">
        <v>6.8999999999999999E-3</v>
      </c>
      <c r="K162" s="1532">
        <v>6.7499999999999999E-3</v>
      </c>
      <c r="L162" s="1532">
        <v>8.7899999999999992E-3</v>
      </c>
      <c r="M162" s="1532">
        <v>2.8920000000000001E-2</v>
      </c>
      <c r="N162" s="1532">
        <v>3.3149999999999999E-2</v>
      </c>
      <c r="O162" s="1553">
        <f t="shared" si="22"/>
        <v>9.2009999999999995E-2</v>
      </c>
      <c r="P162" s="1158">
        <v>9.1289999999999996E-2</v>
      </c>
      <c r="Q162" s="1553">
        <f t="shared" si="31"/>
        <v>0.29091</v>
      </c>
      <c r="R162" s="1575">
        <f t="shared" si="32"/>
        <v>2.0299113093922284E-2</v>
      </c>
      <c r="S162" s="1553">
        <f t="shared" si="29"/>
        <v>1</v>
      </c>
      <c r="T162" s="1580"/>
    </row>
    <row r="163" spans="1:20" ht="16.5" customHeight="1">
      <c r="A163" s="1568">
        <v>108</v>
      </c>
      <c r="B163" s="1569" t="s">
        <v>1859</v>
      </c>
      <c r="C163" s="1568" t="s">
        <v>1912</v>
      </c>
      <c r="D163" s="1570" t="s">
        <v>1870</v>
      </c>
      <c r="E163" s="1570" t="s">
        <v>417</v>
      </c>
      <c r="F163" s="1593">
        <v>3800</v>
      </c>
      <c r="G163" s="1593">
        <v>5500</v>
      </c>
      <c r="H163" s="1593">
        <f t="shared" si="25"/>
        <v>9300</v>
      </c>
      <c r="I163" s="1532">
        <v>1.9439999999999999E-2</v>
      </c>
      <c r="J163" s="1532">
        <v>2.7E-2</v>
      </c>
      <c r="K163" s="1532">
        <v>2.3519999999999999E-2</v>
      </c>
      <c r="L163" s="1532">
        <v>7.9079999999999998E-2</v>
      </c>
      <c r="M163" s="1532">
        <v>0.22559999999999999</v>
      </c>
      <c r="N163" s="1532">
        <v>0.37463999999999997</v>
      </c>
      <c r="O163" s="1553">
        <f t="shared" si="22"/>
        <v>0.74927999999999995</v>
      </c>
      <c r="P163" s="1158">
        <v>0.73019999999999996</v>
      </c>
      <c r="Q163" s="1553">
        <f t="shared" si="31"/>
        <v>2.9971199999999998</v>
      </c>
      <c r="R163" s="1575">
        <f t="shared" si="32"/>
        <v>0.10142949967511371</v>
      </c>
      <c r="S163" s="1553">
        <f>ROUNDUP(Q163*1.0625,0)++((G163*0.9*0.3*24*30*6)/1000000)</f>
        <v>10.415199999999999</v>
      </c>
      <c r="T163" s="1580"/>
    </row>
    <row r="164" spans="1:20" ht="16.5" customHeight="1">
      <c r="A164" s="1568">
        <v>109</v>
      </c>
      <c r="B164" s="1569" t="s">
        <v>1871</v>
      </c>
      <c r="C164" s="1568" t="s">
        <v>427</v>
      </c>
      <c r="D164" s="1570" t="s">
        <v>1870</v>
      </c>
      <c r="E164" s="1570" t="s">
        <v>417</v>
      </c>
      <c r="F164" s="1593">
        <v>1665</v>
      </c>
      <c r="G164" s="1593">
        <v>0</v>
      </c>
      <c r="H164" s="1593">
        <f t="shared" si="25"/>
        <v>1665</v>
      </c>
      <c r="I164" s="1532">
        <v>1.4400000000000001E-3</v>
      </c>
      <c r="J164" s="1532">
        <v>3.8400000000000001E-3</v>
      </c>
      <c r="K164" s="1532">
        <v>1.98E-3</v>
      </c>
      <c r="L164" s="1532">
        <v>0.10062</v>
      </c>
      <c r="M164" s="1532">
        <v>0.16098000000000001</v>
      </c>
      <c r="N164" s="1532">
        <v>8.8928478259999999E-2</v>
      </c>
      <c r="O164" s="1553">
        <f t="shared" si="22"/>
        <v>0.35778847825999999</v>
      </c>
      <c r="P164" s="1158">
        <v>0.348916</v>
      </c>
      <c r="Q164" s="1553">
        <f t="shared" si="31"/>
        <v>0.89135934781999993</v>
      </c>
      <c r="R164" s="1575">
        <f t="shared" si="32"/>
        <v>6.8846574029276186E-2</v>
      </c>
      <c r="S164" s="1553">
        <f t="shared" si="29"/>
        <v>1</v>
      </c>
      <c r="T164" s="1580"/>
    </row>
    <row r="165" spans="1:20" ht="16.5" customHeight="1">
      <c r="A165" s="1568">
        <v>110</v>
      </c>
      <c r="B165" s="1569" t="s">
        <v>1860</v>
      </c>
      <c r="C165" s="1568" t="s">
        <v>428</v>
      </c>
      <c r="D165" s="1570" t="s">
        <v>1870</v>
      </c>
      <c r="E165" s="1570" t="s">
        <v>417</v>
      </c>
      <c r="F165" s="1593">
        <v>1805</v>
      </c>
      <c r="G165" s="1593">
        <v>0</v>
      </c>
      <c r="H165" s="1593">
        <f t="shared" si="25"/>
        <v>1805</v>
      </c>
      <c r="I165" s="1532">
        <v>3.4199999999999999E-3</v>
      </c>
      <c r="J165" s="1532">
        <v>4.47E-3</v>
      </c>
      <c r="K165" s="1532">
        <v>6.6E-3</v>
      </c>
      <c r="L165" s="1532">
        <v>3.0540000000000001E-2</v>
      </c>
      <c r="M165" s="1532">
        <v>2.3400000000000001E-2</v>
      </c>
      <c r="N165" s="1532">
        <v>4.02E-2</v>
      </c>
      <c r="O165" s="1553">
        <f t="shared" si="22"/>
        <v>0.10863</v>
      </c>
      <c r="P165" s="1158">
        <v>0.10488</v>
      </c>
      <c r="Q165" s="1553">
        <f t="shared" si="31"/>
        <v>0.34982999999999997</v>
      </c>
      <c r="R165" s="1575">
        <f t="shared" si="32"/>
        <v>2.4924335693033754E-2</v>
      </c>
      <c r="S165" s="1553">
        <f t="shared" si="29"/>
        <v>1</v>
      </c>
      <c r="T165" s="1580"/>
    </row>
    <row r="166" spans="1:20" ht="16.5" customHeight="1">
      <c r="A166" s="1568">
        <v>111</v>
      </c>
      <c r="B166" s="1569" t="s">
        <v>1860</v>
      </c>
      <c r="C166" s="1568" t="s">
        <v>429</v>
      </c>
      <c r="D166" s="1570" t="s">
        <v>1870</v>
      </c>
      <c r="E166" s="1570" t="s">
        <v>417</v>
      </c>
      <c r="F166" s="1593">
        <v>9610</v>
      </c>
      <c r="G166" s="1593">
        <v>0</v>
      </c>
      <c r="H166" s="1593">
        <f t="shared" si="25"/>
        <v>9610</v>
      </c>
      <c r="I166" s="1532">
        <v>2.3040000000000001E-2</v>
      </c>
      <c r="J166" s="1532">
        <v>1.95E-2</v>
      </c>
      <c r="K166" s="1532">
        <v>2.3939999999999999E-2</v>
      </c>
      <c r="L166" s="1532">
        <v>1.0369200000000001</v>
      </c>
      <c r="M166" s="1532">
        <v>2.0028600000000001</v>
      </c>
      <c r="N166" s="1532">
        <v>1.7853000000000001</v>
      </c>
      <c r="O166" s="1553">
        <f t="shared" si="22"/>
        <v>4.8915600000000001</v>
      </c>
      <c r="P166" s="1158">
        <v>4.7976000000000001</v>
      </c>
      <c r="Q166" s="1553">
        <f t="shared" si="31"/>
        <v>15.60336</v>
      </c>
      <c r="R166" s="1575">
        <f t="shared" si="32"/>
        <v>0.20880384373273725</v>
      </c>
      <c r="S166" s="1553">
        <f t="shared" si="29"/>
        <v>17</v>
      </c>
      <c r="T166" s="1580"/>
    </row>
    <row r="167" spans="1:20" ht="16.5" customHeight="1">
      <c r="A167" s="1568">
        <v>112</v>
      </c>
      <c r="B167" s="1569" t="s">
        <v>1860</v>
      </c>
      <c r="C167" s="1568" t="s">
        <v>1913</v>
      </c>
      <c r="D167" s="1570" t="s">
        <v>1870</v>
      </c>
      <c r="E167" s="1570" t="s">
        <v>417</v>
      </c>
      <c r="F167" s="1593">
        <v>1842.2222222222222</v>
      </c>
      <c r="G167" s="1593">
        <v>0</v>
      </c>
      <c r="H167" s="1593">
        <f t="shared" si="25"/>
        <v>1842.2222222222222</v>
      </c>
      <c r="I167" s="1532">
        <v>0</v>
      </c>
      <c r="J167" s="1532">
        <v>2.7599999999999999E-3</v>
      </c>
      <c r="K167" s="1532">
        <v>3.1050000000000001E-3</v>
      </c>
      <c r="L167" s="1532">
        <v>5.0400000000000002E-3</v>
      </c>
      <c r="M167" s="1532">
        <v>6.6750000000000004E-3</v>
      </c>
      <c r="N167" s="1532">
        <v>7.92E-3</v>
      </c>
      <c r="O167" s="1553">
        <f t="shared" si="22"/>
        <v>2.5500000000000002E-2</v>
      </c>
      <c r="P167" s="1158">
        <v>2.5305000000000001E-2</v>
      </c>
      <c r="Q167" s="1553">
        <f t="shared" si="31"/>
        <v>7.3020000000000002E-2</v>
      </c>
      <c r="R167" s="1575">
        <f t="shared" si="32"/>
        <v>5.0973394987267138E-3</v>
      </c>
      <c r="S167" s="1553">
        <f t="shared" si="29"/>
        <v>1</v>
      </c>
      <c r="T167" s="1580"/>
    </row>
    <row r="168" spans="1:20" ht="16.5" customHeight="1">
      <c r="A168" s="1568">
        <v>113</v>
      </c>
      <c r="B168" s="1569" t="s">
        <v>1872</v>
      </c>
      <c r="C168" s="1568" t="s">
        <v>1914</v>
      </c>
      <c r="D168" s="1570" t="s">
        <v>1870</v>
      </c>
      <c r="E168" s="1570" t="s">
        <v>417</v>
      </c>
      <c r="F168" s="1593">
        <v>2370</v>
      </c>
      <c r="G168" s="1593">
        <v>0</v>
      </c>
      <c r="H168" s="1593">
        <f t="shared" si="25"/>
        <v>2370</v>
      </c>
      <c r="I168" s="1532">
        <v>5.9999999999999995E-4</v>
      </c>
      <c r="J168" s="1532">
        <v>5.9999999999999995E-4</v>
      </c>
      <c r="K168" s="1532">
        <v>4.4999999999999999E-4</v>
      </c>
      <c r="L168" s="1532">
        <v>4.2499999999999998E-4</v>
      </c>
      <c r="M168" s="1532">
        <v>2.3699999999999999E-2</v>
      </c>
      <c r="N168" s="1532">
        <v>3.9E-2</v>
      </c>
      <c r="O168" s="1553">
        <f t="shared" si="22"/>
        <v>6.4774999999999999E-2</v>
      </c>
      <c r="P168" s="1158">
        <v>6.3994999999999996E-2</v>
      </c>
      <c r="Q168" s="1553">
        <f t="shared" si="31"/>
        <v>0.29877500000000001</v>
      </c>
      <c r="R168" s="1575">
        <f t="shared" si="32"/>
        <v>1.6212114306054765E-2</v>
      </c>
      <c r="S168" s="1553">
        <f t="shared" si="29"/>
        <v>1</v>
      </c>
      <c r="T168" s="1580"/>
    </row>
    <row r="169" spans="1:20" ht="16.5" customHeight="1">
      <c r="A169" s="1568">
        <v>114</v>
      </c>
      <c r="B169" s="1569" t="s">
        <v>1872</v>
      </c>
      <c r="C169" s="1568" t="s">
        <v>1915</v>
      </c>
      <c r="D169" s="1570" t="s">
        <v>1870</v>
      </c>
      <c r="E169" s="1570" t="s">
        <v>417</v>
      </c>
      <c r="F169" s="1593">
        <v>1695</v>
      </c>
      <c r="G169" s="1593">
        <v>0</v>
      </c>
      <c r="H169" s="1593">
        <f t="shared" si="25"/>
        <v>1695</v>
      </c>
      <c r="I169" s="1532">
        <v>1.9350000000000001E-3</v>
      </c>
      <c r="J169" s="1532">
        <v>2.6549999999999998E-3</v>
      </c>
      <c r="K169" s="1532">
        <v>2.4750000000000002E-3</v>
      </c>
      <c r="L169" s="1532">
        <v>1.482E-2</v>
      </c>
      <c r="M169" s="1532">
        <v>3.1185000000000001E-2</v>
      </c>
      <c r="N169" s="1532">
        <v>2.0295000000000001E-2</v>
      </c>
      <c r="O169" s="1553">
        <f t="shared" si="22"/>
        <v>7.3365000000000014E-2</v>
      </c>
      <c r="P169" s="1158">
        <v>7.0455000000000004E-2</v>
      </c>
      <c r="Q169" s="1553">
        <f t="shared" si="31"/>
        <v>0.195135</v>
      </c>
      <c r="R169" s="1575">
        <f t="shared" si="32"/>
        <v>1.4805027495538803E-2</v>
      </c>
      <c r="S169" s="1553">
        <f t="shared" si="29"/>
        <v>1</v>
      </c>
      <c r="T169" s="1580"/>
    </row>
    <row r="170" spans="1:20" ht="16.5" customHeight="1">
      <c r="A170" s="1568">
        <v>115</v>
      </c>
      <c r="B170" s="1569" t="s">
        <v>1872</v>
      </c>
      <c r="C170" s="1568" t="s">
        <v>1916</v>
      </c>
      <c r="D170" s="1570" t="s">
        <v>1870</v>
      </c>
      <c r="E170" s="1570" t="s">
        <v>417</v>
      </c>
      <c r="F170" s="1593">
        <v>1855</v>
      </c>
      <c r="G170" s="1593">
        <v>0</v>
      </c>
      <c r="H170" s="1593">
        <f t="shared" si="25"/>
        <v>1855</v>
      </c>
      <c r="I170" s="1532">
        <v>4.4999999999999997E-3</v>
      </c>
      <c r="J170" s="1532">
        <v>3.7499999999999999E-3</v>
      </c>
      <c r="K170" s="1532">
        <v>6.0000000000000001E-3</v>
      </c>
      <c r="L170" s="1532">
        <v>3.9249999999999997E-3</v>
      </c>
      <c r="M170" s="1532">
        <v>6.3E-3</v>
      </c>
      <c r="N170" s="1532">
        <v>9.0600000000000003E-3</v>
      </c>
      <c r="O170" s="1553">
        <f t="shared" si="22"/>
        <v>3.3535000000000002E-2</v>
      </c>
      <c r="P170" s="1158">
        <v>3.2875000000000001E-2</v>
      </c>
      <c r="Q170" s="1553">
        <f t="shared" si="31"/>
        <v>8.7895000000000001E-2</v>
      </c>
      <c r="R170" s="1575">
        <f t="shared" si="32"/>
        <v>6.0934605614899112E-3</v>
      </c>
      <c r="S170" s="1553">
        <f t="shared" si="29"/>
        <v>1</v>
      </c>
      <c r="T170" s="1580"/>
    </row>
    <row r="171" spans="1:20" ht="16.5" customHeight="1">
      <c r="A171" s="1568">
        <v>116</v>
      </c>
      <c r="B171" s="1569" t="s">
        <v>1873</v>
      </c>
      <c r="C171" s="1568" t="s">
        <v>430</v>
      </c>
      <c r="D171" s="1570" t="s">
        <v>1870</v>
      </c>
      <c r="E171" s="1570" t="s">
        <v>417</v>
      </c>
      <c r="F171" s="1593">
        <v>1000</v>
      </c>
      <c r="G171" s="1593">
        <v>0</v>
      </c>
      <c r="H171" s="1593">
        <f t="shared" si="25"/>
        <v>1000</v>
      </c>
      <c r="I171" s="1532">
        <v>5.2950000000000002E-3</v>
      </c>
      <c r="J171" s="1532">
        <v>5.7000000000000002E-3</v>
      </c>
      <c r="K171" s="1532">
        <v>5.1900000000000002E-3</v>
      </c>
      <c r="L171" s="1532">
        <v>4.8285000000000002E-2</v>
      </c>
      <c r="M171" s="1532">
        <v>0.26122499999999998</v>
      </c>
      <c r="N171" s="1532">
        <v>0.27210000000000001</v>
      </c>
      <c r="O171" s="1553">
        <f t="shared" si="22"/>
        <v>0.59779499999999997</v>
      </c>
      <c r="P171" s="1158">
        <v>0.571245</v>
      </c>
      <c r="Q171" s="1553">
        <f t="shared" si="31"/>
        <v>2.2303950000000001</v>
      </c>
      <c r="R171" s="1575">
        <f t="shared" si="32"/>
        <v>0.28683063271604942</v>
      </c>
      <c r="S171" s="1553">
        <f t="shared" si="29"/>
        <v>3</v>
      </c>
      <c r="T171" s="1580"/>
    </row>
    <row r="172" spans="1:20" ht="16.5" customHeight="1">
      <c r="A172" s="1568">
        <v>117</v>
      </c>
      <c r="B172" s="1569" t="s">
        <v>1873</v>
      </c>
      <c r="C172" s="1568" t="s">
        <v>431</v>
      </c>
      <c r="D172" s="1570" t="s">
        <v>1870</v>
      </c>
      <c r="E172" s="1570" t="s">
        <v>417</v>
      </c>
      <c r="F172" s="1593">
        <v>3428</v>
      </c>
      <c r="G172" s="1593">
        <v>0</v>
      </c>
      <c r="H172" s="1593">
        <f t="shared" si="25"/>
        <v>3428</v>
      </c>
      <c r="I172" s="1532">
        <v>9.5399999999999999E-3</v>
      </c>
      <c r="J172" s="1532">
        <v>1.008E-2</v>
      </c>
      <c r="K172" s="1532">
        <v>1.0019999999999999E-2</v>
      </c>
      <c r="L172" s="1532">
        <v>0.16836000000000001</v>
      </c>
      <c r="M172" s="1532">
        <v>0.33534000000000003</v>
      </c>
      <c r="N172" s="1532">
        <v>0.33888000000000001</v>
      </c>
      <c r="O172" s="1553">
        <f t="shared" si="22"/>
        <v>0.87222</v>
      </c>
      <c r="P172" s="1158">
        <v>0.84689999999999999</v>
      </c>
      <c r="Q172" s="1553">
        <f t="shared" si="31"/>
        <v>2.9055</v>
      </c>
      <c r="R172" s="1575">
        <f t="shared" si="32"/>
        <v>0.10899932653384618</v>
      </c>
      <c r="S172" s="1553">
        <f t="shared" si="29"/>
        <v>4</v>
      </c>
      <c r="T172" s="1580"/>
    </row>
    <row r="173" spans="1:20" ht="16.5" customHeight="1">
      <c r="A173" s="1568">
        <v>118</v>
      </c>
      <c r="B173" s="1569" t="s">
        <v>1873</v>
      </c>
      <c r="C173" s="1568" t="s">
        <v>432</v>
      </c>
      <c r="D173" s="1570" t="s">
        <v>1870</v>
      </c>
      <c r="E173" s="1570" t="s">
        <v>417</v>
      </c>
      <c r="F173" s="1593">
        <v>11028</v>
      </c>
      <c r="G173" s="1593">
        <v>0</v>
      </c>
      <c r="H173" s="1593">
        <f t="shared" si="25"/>
        <v>11028</v>
      </c>
      <c r="I173" s="1532">
        <v>2.1239999999999998E-2</v>
      </c>
      <c r="J173" s="1532">
        <v>2.4899999999999999E-2</v>
      </c>
      <c r="K173" s="1532">
        <v>1.8419999999999999E-2</v>
      </c>
      <c r="L173" s="1532">
        <v>0.86297999999999997</v>
      </c>
      <c r="M173" s="1532">
        <v>1.6878</v>
      </c>
      <c r="N173" s="1532">
        <v>1.0698000000000001</v>
      </c>
      <c r="O173" s="1553">
        <f t="shared" si="22"/>
        <v>3.6851399999999996</v>
      </c>
      <c r="P173" s="1158">
        <v>3.6324000000000001</v>
      </c>
      <c r="Q173" s="1553">
        <f t="shared" si="31"/>
        <v>10.103940000000001</v>
      </c>
      <c r="R173" s="1575">
        <f t="shared" si="32"/>
        <v>0.11782508161044616</v>
      </c>
      <c r="S173" s="1553">
        <f t="shared" si="29"/>
        <v>11</v>
      </c>
      <c r="T173" s="1580"/>
    </row>
    <row r="174" spans="1:20" ht="16.5" customHeight="1">
      <c r="A174" s="1568">
        <v>119</v>
      </c>
      <c r="B174" s="1568">
        <v>9150</v>
      </c>
      <c r="C174" s="1568" t="s">
        <v>2343</v>
      </c>
      <c r="D174" s="1570" t="s">
        <v>1870</v>
      </c>
      <c r="E174" s="1570" t="s">
        <v>417</v>
      </c>
      <c r="F174" s="1593">
        <v>4738</v>
      </c>
      <c r="G174" s="1568">
        <v>0</v>
      </c>
      <c r="H174" s="1593">
        <f t="shared" si="25"/>
        <v>4738</v>
      </c>
      <c r="I174" s="1532">
        <v>0</v>
      </c>
      <c r="J174" s="1532">
        <v>1.0919999999999999E-2</v>
      </c>
      <c r="K174" s="1532">
        <v>1.0529999999999999E-2</v>
      </c>
      <c r="L174" s="1532">
        <v>4.5269999999999998E-2</v>
      </c>
      <c r="M174" s="1532">
        <v>0.12164999999999999</v>
      </c>
      <c r="N174" s="1532">
        <v>0.25358999999999998</v>
      </c>
      <c r="O174" s="1553">
        <f t="shared" si="22"/>
        <v>0.44195999999999996</v>
      </c>
      <c r="P174" s="1158">
        <v>0.42984</v>
      </c>
      <c r="Q174" s="1553">
        <f t="shared" si="31"/>
        <v>1.9634999999999998</v>
      </c>
      <c r="R174" s="1575">
        <f t="shared" si="32"/>
        <v>5.3294157038704659E-2</v>
      </c>
      <c r="S174" s="1553">
        <f t="shared" si="29"/>
        <v>3</v>
      </c>
      <c r="T174" s="1580"/>
    </row>
    <row r="175" spans="1:20" s="1567" customFormat="1">
      <c r="A175" s="1568"/>
      <c r="B175" s="1562" t="s">
        <v>1917</v>
      </c>
      <c r="C175" s="1562"/>
      <c r="D175" s="1563"/>
      <c r="E175" s="1563"/>
      <c r="F175" s="1562"/>
      <c r="G175" s="1562"/>
      <c r="H175" s="1562"/>
      <c r="I175" s="1564"/>
      <c r="J175" s="1564"/>
      <c r="K175" s="1564"/>
      <c r="L175" s="1564"/>
      <c r="M175" s="1564"/>
      <c r="N175" s="1564"/>
      <c r="O175" s="1564"/>
      <c r="P175" s="1564"/>
      <c r="Q175" s="1585"/>
      <c r="R175" s="1575"/>
      <c r="S175" s="1564"/>
      <c r="T175" s="1580"/>
    </row>
    <row r="176" spans="1:20">
      <c r="A176" s="1568"/>
      <c r="B176" s="1569"/>
      <c r="C176" s="1568"/>
      <c r="D176" s="1570"/>
      <c r="E176" s="1570"/>
      <c r="F176" s="1593"/>
      <c r="G176" s="1568"/>
      <c r="H176" s="1593"/>
      <c r="I176" s="1553"/>
      <c r="J176" s="1553"/>
      <c r="K176" s="1533"/>
      <c r="L176" s="1533"/>
      <c r="M176" s="1158"/>
      <c r="N176" s="1158"/>
      <c r="O176" s="1553"/>
      <c r="P176" s="1158"/>
      <c r="Q176" s="1553"/>
      <c r="R176" s="1575"/>
      <c r="S176" s="1553"/>
      <c r="T176" s="1580"/>
    </row>
    <row r="177" spans="1:20">
      <c r="A177" s="1570">
        <v>1</v>
      </c>
      <c r="B177" s="1569"/>
      <c r="C177" s="1556" t="s">
        <v>2544</v>
      </c>
      <c r="D177" s="1570" t="s">
        <v>1889</v>
      </c>
      <c r="E177" s="1570" t="s">
        <v>417</v>
      </c>
      <c r="F177" s="1594"/>
      <c r="G177" s="483">
        <v>7400</v>
      </c>
      <c r="H177" s="1593">
        <f>F177+G177</f>
        <v>7400</v>
      </c>
      <c r="I177" s="1553"/>
      <c r="J177" s="1553"/>
      <c r="K177" s="1158"/>
      <c r="L177" s="1158"/>
      <c r="M177" s="1158"/>
      <c r="N177" s="1533"/>
      <c r="O177" s="1553"/>
      <c r="P177" s="1533"/>
      <c r="Q177" s="1553"/>
      <c r="R177" s="1575"/>
      <c r="S177" s="1553">
        <f>(H177*24*30*0.9*0.3*3)/1000000</f>
        <v>4.3156800000000004</v>
      </c>
      <c r="T177" s="1580"/>
    </row>
    <row r="178" spans="1:20">
      <c r="A178" s="1570">
        <v>2</v>
      </c>
      <c r="B178" s="1569"/>
      <c r="C178" s="1556" t="s">
        <v>2550</v>
      </c>
      <c r="D178" s="1570" t="s">
        <v>1889</v>
      </c>
      <c r="E178" s="1570" t="s">
        <v>417</v>
      </c>
      <c r="F178" s="1594"/>
      <c r="G178" s="483">
        <v>3000</v>
      </c>
      <c r="H178" s="1593">
        <f t="shared" ref="H178:H208" si="33">F178+G178</f>
        <v>3000</v>
      </c>
      <c r="I178" s="1553"/>
      <c r="J178" s="1553"/>
      <c r="K178" s="1158"/>
      <c r="L178" s="1158"/>
      <c r="M178" s="1158"/>
      <c r="N178" s="1533"/>
      <c r="O178" s="1553"/>
      <c r="P178" s="1533"/>
      <c r="Q178" s="1553"/>
      <c r="R178" s="1575"/>
      <c r="S178" s="1553">
        <f t="shared" ref="S178:S208" si="34">(H178*24*30*0.9*0.3*3)/1000000</f>
        <v>1.7496</v>
      </c>
      <c r="T178" s="1580"/>
    </row>
    <row r="179" spans="1:20">
      <c r="A179" s="1570">
        <v>3</v>
      </c>
      <c r="B179" s="1569"/>
      <c r="C179" s="1556" t="s">
        <v>2556</v>
      </c>
      <c r="D179" s="1570" t="s">
        <v>1889</v>
      </c>
      <c r="E179" s="1570" t="s">
        <v>417</v>
      </c>
      <c r="F179" s="1594"/>
      <c r="G179" s="483">
        <v>2000</v>
      </c>
      <c r="H179" s="1593">
        <f t="shared" si="33"/>
        <v>2000</v>
      </c>
      <c r="I179" s="1553"/>
      <c r="J179" s="1553"/>
      <c r="K179" s="1158"/>
      <c r="L179" s="1158"/>
      <c r="M179" s="1158"/>
      <c r="N179" s="1533"/>
      <c r="O179" s="1553"/>
      <c r="P179" s="1533"/>
      <c r="Q179" s="1553"/>
      <c r="R179" s="1575"/>
      <c r="S179" s="1553">
        <f t="shared" si="34"/>
        <v>1.1664000000000001</v>
      </c>
      <c r="T179" s="1580"/>
    </row>
    <row r="180" spans="1:20">
      <c r="A180" s="1570">
        <v>4</v>
      </c>
      <c r="B180" s="1569"/>
      <c r="C180" s="1556" t="s">
        <v>2559</v>
      </c>
      <c r="D180" s="1570" t="s">
        <v>1889</v>
      </c>
      <c r="E180" s="1570" t="s">
        <v>417</v>
      </c>
      <c r="F180" s="1594"/>
      <c r="G180" s="483">
        <v>1600</v>
      </c>
      <c r="H180" s="1593">
        <f t="shared" si="33"/>
        <v>1600</v>
      </c>
      <c r="I180" s="1553"/>
      <c r="J180" s="1553"/>
      <c r="K180" s="1158"/>
      <c r="L180" s="1158"/>
      <c r="M180" s="1158"/>
      <c r="N180" s="1533"/>
      <c r="O180" s="1553"/>
      <c r="P180" s="1533"/>
      <c r="Q180" s="1553"/>
      <c r="R180" s="1575"/>
      <c r="S180" s="1553">
        <f t="shared" si="34"/>
        <v>0.93311999999999995</v>
      </c>
      <c r="T180" s="1580"/>
    </row>
    <row r="181" spans="1:20">
      <c r="A181" s="1570">
        <v>5</v>
      </c>
      <c r="B181" s="1569"/>
      <c r="C181" s="1556" t="s">
        <v>2551</v>
      </c>
      <c r="D181" s="1570" t="s">
        <v>435</v>
      </c>
      <c r="E181" s="1570" t="s">
        <v>417</v>
      </c>
      <c r="F181" s="1594"/>
      <c r="G181" s="483">
        <v>2950</v>
      </c>
      <c r="H181" s="1593">
        <f t="shared" si="33"/>
        <v>2950</v>
      </c>
      <c r="I181" s="1553"/>
      <c r="J181" s="1553"/>
      <c r="K181" s="1158"/>
      <c r="L181" s="1158"/>
      <c r="M181" s="1158"/>
      <c r="N181" s="1533"/>
      <c r="O181" s="1553"/>
      <c r="P181" s="1533"/>
      <c r="Q181" s="1553"/>
      <c r="R181" s="1575"/>
      <c r="S181" s="1553">
        <f t="shared" si="34"/>
        <v>1.72044</v>
      </c>
      <c r="T181" s="1580"/>
    </row>
    <row r="182" spans="1:20">
      <c r="A182" s="1570">
        <v>6</v>
      </c>
      <c r="B182" s="1569"/>
      <c r="C182" s="1556" t="s">
        <v>2557</v>
      </c>
      <c r="D182" s="1570" t="s">
        <v>435</v>
      </c>
      <c r="E182" s="1570" t="s">
        <v>417</v>
      </c>
      <c r="F182" s="1594"/>
      <c r="G182" s="483">
        <v>1769</v>
      </c>
      <c r="H182" s="1593">
        <f t="shared" si="33"/>
        <v>1769</v>
      </c>
      <c r="I182" s="1553"/>
      <c r="J182" s="1553"/>
      <c r="K182" s="1158"/>
      <c r="L182" s="1158"/>
      <c r="M182" s="1158"/>
      <c r="N182" s="1533"/>
      <c r="O182" s="1553"/>
      <c r="P182" s="1533"/>
      <c r="Q182" s="1553"/>
      <c r="R182" s="1575"/>
      <c r="S182" s="1553">
        <f t="shared" si="34"/>
        <v>1.0316808</v>
      </c>
      <c r="T182" s="1580"/>
    </row>
    <row r="183" spans="1:20">
      <c r="A183" s="1570">
        <v>7</v>
      </c>
      <c r="B183" s="1569"/>
      <c r="C183" s="1556" t="s">
        <v>2569</v>
      </c>
      <c r="D183" s="1570" t="s">
        <v>435</v>
      </c>
      <c r="E183" s="1570" t="s">
        <v>417</v>
      </c>
      <c r="F183" s="1594"/>
      <c r="G183" s="1233">
        <v>1238.9000000000001</v>
      </c>
      <c r="H183" s="1593">
        <f t="shared" si="33"/>
        <v>1238.9000000000001</v>
      </c>
      <c r="I183" s="1553"/>
      <c r="J183" s="1553"/>
      <c r="K183" s="1158"/>
      <c r="L183" s="1158"/>
      <c r="M183" s="1158"/>
      <c r="N183" s="1533"/>
      <c r="O183" s="1553"/>
      <c r="P183" s="1533"/>
      <c r="Q183" s="1553"/>
      <c r="R183" s="1575"/>
      <c r="S183" s="1553">
        <f t="shared" si="34"/>
        <v>0.72252647999999997</v>
      </c>
      <c r="T183" s="1580"/>
    </row>
    <row r="184" spans="1:20">
      <c r="A184" s="1570">
        <v>8</v>
      </c>
      <c r="B184" s="1569"/>
      <c r="C184" s="1556" t="s">
        <v>2548</v>
      </c>
      <c r="D184" s="1570" t="s">
        <v>1890</v>
      </c>
      <c r="E184" s="1570" t="s">
        <v>417</v>
      </c>
      <c r="F184" s="1594"/>
      <c r="G184" s="483">
        <v>4667</v>
      </c>
      <c r="H184" s="1593">
        <f t="shared" si="33"/>
        <v>4667</v>
      </c>
      <c r="I184" s="1553"/>
      <c r="J184" s="1553"/>
      <c r="K184" s="1158"/>
      <c r="L184" s="1158"/>
      <c r="M184" s="1158"/>
      <c r="N184" s="1533"/>
      <c r="O184" s="1553"/>
      <c r="P184" s="1533"/>
      <c r="Q184" s="1553"/>
      <c r="R184" s="1575"/>
      <c r="S184" s="1553">
        <f t="shared" si="34"/>
        <v>2.7217943999999998</v>
      </c>
      <c r="T184" s="1580"/>
    </row>
    <row r="185" spans="1:20">
      <c r="A185" s="1570">
        <v>9</v>
      </c>
      <c r="B185" s="1569"/>
      <c r="C185" s="1556" t="s">
        <v>2558</v>
      </c>
      <c r="D185" s="1570" t="s">
        <v>1890</v>
      </c>
      <c r="E185" s="1570" t="s">
        <v>417</v>
      </c>
      <c r="F185" s="1594"/>
      <c r="G185" s="483">
        <v>1680</v>
      </c>
      <c r="H185" s="1593">
        <f t="shared" si="33"/>
        <v>1680</v>
      </c>
      <c r="I185" s="1553"/>
      <c r="J185" s="1553"/>
      <c r="K185" s="1158"/>
      <c r="L185" s="1158"/>
      <c r="M185" s="1158"/>
      <c r="N185" s="1533"/>
      <c r="O185" s="1553"/>
      <c r="P185" s="1533"/>
      <c r="Q185" s="1553"/>
      <c r="R185" s="1575"/>
      <c r="S185" s="1553">
        <f t="shared" si="34"/>
        <v>0.97977599999999998</v>
      </c>
      <c r="T185" s="1580"/>
    </row>
    <row r="186" spans="1:20">
      <c r="A186" s="1570">
        <v>10</v>
      </c>
      <c r="B186" s="1569"/>
      <c r="C186" s="1556" t="s">
        <v>2560</v>
      </c>
      <c r="D186" s="1570" t="s">
        <v>1890</v>
      </c>
      <c r="E186" s="1570" t="s">
        <v>417</v>
      </c>
      <c r="F186" s="1594"/>
      <c r="G186" s="483">
        <v>1557</v>
      </c>
      <c r="H186" s="1593">
        <f t="shared" si="33"/>
        <v>1557</v>
      </c>
      <c r="I186" s="1553"/>
      <c r="J186" s="1553"/>
      <c r="K186" s="1158"/>
      <c r="L186" s="1158"/>
      <c r="M186" s="1158"/>
      <c r="N186" s="1533"/>
      <c r="O186" s="1553"/>
      <c r="P186" s="1533"/>
      <c r="Q186" s="1553"/>
      <c r="R186" s="1575"/>
      <c r="S186" s="1553">
        <f t="shared" si="34"/>
        <v>0.90804239999999992</v>
      </c>
      <c r="T186" s="1580"/>
    </row>
    <row r="187" spans="1:20">
      <c r="A187" s="1570">
        <v>11</v>
      </c>
      <c r="B187" s="1569"/>
      <c r="C187" s="1556" t="s">
        <v>2563</v>
      </c>
      <c r="D187" s="1570" t="s">
        <v>1890</v>
      </c>
      <c r="E187" s="1570" t="s">
        <v>417</v>
      </c>
      <c r="F187" s="1594"/>
      <c r="G187" s="483">
        <v>1500</v>
      </c>
      <c r="H187" s="1593">
        <f t="shared" si="33"/>
        <v>1500</v>
      </c>
      <c r="I187" s="1553"/>
      <c r="J187" s="1553"/>
      <c r="K187" s="1158"/>
      <c r="L187" s="1158"/>
      <c r="M187" s="1158"/>
      <c r="N187" s="1533"/>
      <c r="O187" s="1553"/>
      <c r="P187" s="1533"/>
      <c r="Q187" s="1553"/>
      <c r="R187" s="1575"/>
      <c r="S187" s="1553">
        <f t="shared" si="34"/>
        <v>0.87480000000000002</v>
      </c>
      <c r="T187" s="1580"/>
    </row>
    <row r="188" spans="1:20">
      <c r="A188" s="1570">
        <v>12</v>
      </c>
      <c r="B188" s="1569"/>
      <c r="C188" s="1556" t="s">
        <v>2566</v>
      </c>
      <c r="D188" s="1570" t="s">
        <v>1890</v>
      </c>
      <c r="E188" s="1570" t="s">
        <v>417</v>
      </c>
      <c r="F188" s="1594"/>
      <c r="G188" s="1233">
        <v>1392.5</v>
      </c>
      <c r="H188" s="1593">
        <f t="shared" si="33"/>
        <v>1392.5</v>
      </c>
      <c r="I188" s="1553"/>
      <c r="J188" s="1553"/>
      <c r="K188" s="1158"/>
      <c r="L188" s="1158"/>
      <c r="M188" s="1158"/>
      <c r="N188" s="1533"/>
      <c r="O188" s="1553"/>
      <c r="P188" s="1533"/>
      <c r="Q188" s="1553"/>
      <c r="R188" s="1575"/>
      <c r="S188" s="1553">
        <f t="shared" si="34"/>
        <v>0.81210599999999999</v>
      </c>
      <c r="T188" s="1580"/>
    </row>
    <row r="189" spans="1:20">
      <c r="A189" s="1570">
        <v>13</v>
      </c>
      <c r="B189" s="1569"/>
      <c r="C189" s="1556" t="s">
        <v>2567</v>
      </c>
      <c r="D189" s="1570" t="s">
        <v>1890</v>
      </c>
      <c r="E189" s="1570" t="s">
        <v>417</v>
      </c>
      <c r="F189" s="1594"/>
      <c r="G189" s="483">
        <v>1376</v>
      </c>
      <c r="H189" s="1593">
        <f t="shared" si="33"/>
        <v>1376</v>
      </c>
      <c r="I189" s="1553"/>
      <c r="J189" s="1553"/>
      <c r="K189" s="1158"/>
      <c r="L189" s="1158"/>
      <c r="M189" s="1158"/>
      <c r="N189" s="1533"/>
      <c r="O189" s="1553"/>
      <c r="P189" s="1533"/>
      <c r="Q189" s="1553"/>
      <c r="R189" s="1575"/>
      <c r="S189" s="1553">
        <f t="shared" si="34"/>
        <v>0.80248319999999995</v>
      </c>
      <c r="T189" s="1580"/>
    </row>
    <row r="190" spans="1:20">
      <c r="A190" s="1570">
        <v>14</v>
      </c>
      <c r="B190" s="1569"/>
      <c r="C190" s="1556" t="s">
        <v>2568</v>
      </c>
      <c r="D190" s="1570" t="s">
        <v>1890</v>
      </c>
      <c r="E190" s="1570" t="s">
        <v>417</v>
      </c>
      <c r="F190" s="1594"/>
      <c r="G190" s="483">
        <v>1363</v>
      </c>
      <c r="H190" s="1593">
        <f t="shared" si="33"/>
        <v>1363</v>
      </c>
      <c r="I190" s="1553"/>
      <c r="J190" s="1553"/>
      <c r="K190" s="1158"/>
      <c r="L190" s="1158"/>
      <c r="M190" s="1158"/>
      <c r="N190" s="1533"/>
      <c r="O190" s="1553"/>
      <c r="P190" s="1533"/>
      <c r="Q190" s="1553"/>
      <c r="R190" s="1575"/>
      <c r="S190" s="1553">
        <f t="shared" si="34"/>
        <v>0.7949016000000001</v>
      </c>
      <c r="T190" s="1580"/>
    </row>
    <row r="191" spans="1:20">
      <c r="A191" s="1570">
        <v>15</v>
      </c>
      <c r="B191" s="1569"/>
      <c r="C191" s="1556" t="s">
        <v>2570</v>
      </c>
      <c r="D191" s="1570" t="s">
        <v>1890</v>
      </c>
      <c r="E191" s="1570" t="s">
        <v>417</v>
      </c>
      <c r="F191" s="1594"/>
      <c r="G191" s="1233">
        <v>1179.44</v>
      </c>
      <c r="H191" s="1593">
        <f t="shared" si="33"/>
        <v>1179.44</v>
      </c>
      <c r="I191" s="1553"/>
      <c r="J191" s="1553"/>
      <c r="K191" s="1158"/>
      <c r="L191" s="1158"/>
      <c r="M191" s="1158"/>
      <c r="N191" s="1533"/>
      <c r="O191" s="1553"/>
      <c r="P191" s="1533"/>
      <c r="Q191" s="1553"/>
      <c r="R191" s="1575"/>
      <c r="S191" s="1553">
        <f t="shared" si="34"/>
        <v>0.68784940800000005</v>
      </c>
      <c r="T191" s="1580"/>
    </row>
    <row r="192" spans="1:20">
      <c r="A192" s="1570">
        <v>16</v>
      </c>
      <c r="B192" s="1569"/>
      <c r="C192" s="1556" t="s">
        <v>2560</v>
      </c>
      <c r="D192" s="1570" t="s">
        <v>1890</v>
      </c>
      <c r="E192" s="1570" t="s">
        <v>417</v>
      </c>
      <c r="F192" s="1594"/>
      <c r="G192" s="483">
        <v>1151</v>
      </c>
      <c r="H192" s="1593">
        <f t="shared" si="33"/>
        <v>1151</v>
      </c>
      <c r="I192" s="1553"/>
      <c r="J192" s="1553"/>
      <c r="K192" s="1158"/>
      <c r="L192" s="1158"/>
      <c r="M192" s="1158"/>
      <c r="N192" s="1533"/>
      <c r="O192" s="1553"/>
      <c r="P192" s="1533"/>
      <c r="Q192" s="1553"/>
      <c r="R192" s="1575"/>
      <c r="S192" s="1553">
        <f t="shared" si="34"/>
        <v>0.67126319999999995</v>
      </c>
      <c r="T192" s="1580"/>
    </row>
    <row r="193" spans="1:20">
      <c r="A193" s="1570">
        <v>17</v>
      </c>
      <c r="B193" s="1569"/>
      <c r="C193" s="1556" t="s">
        <v>2546</v>
      </c>
      <c r="D193" s="1570" t="s">
        <v>389</v>
      </c>
      <c r="E193" s="1570" t="s">
        <v>417</v>
      </c>
      <c r="F193" s="1594"/>
      <c r="G193" s="483">
        <v>6111</v>
      </c>
      <c r="H193" s="1593">
        <f t="shared" si="33"/>
        <v>6111</v>
      </c>
      <c r="I193" s="1553"/>
      <c r="J193" s="1553"/>
      <c r="K193" s="1158"/>
      <c r="L193" s="1158"/>
      <c r="M193" s="1158"/>
      <c r="N193" s="1533"/>
      <c r="O193" s="1553"/>
      <c r="P193" s="1533"/>
      <c r="Q193" s="1553"/>
      <c r="R193" s="1575"/>
      <c r="S193" s="1553">
        <f t="shared" si="34"/>
        <v>3.5639351999999995</v>
      </c>
      <c r="T193" s="1580"/>
    </row>
    <row r="194" spans="1:20">
      <c r="A194" s="1570">
        <v>18</v>
      </c>
      <c r="B194" s="1569"/>
      <c r="C194" s="1556" t="s">
        <v>2547</v>
      </c>
      <c r="D194" s="1570" t="s">
        <v>389</v>
      </c>
      <c r="E194" s="1570" t="s">
        <v>417</v>
      </c>
      <c r="F194" s="1594"/>
      <c r="G194" s="483">
        <v>5720</v>
      </c>
      <c r="H194" s="1593">
        <f t="shared" si="33"/>
        <v>5720</v>
      </c>
      <c r="I194" s="1553"/>
      <c r="J194" s="1553"/>
      <c r="K194" s="1158"/>
      <c r="L194" s="1158"/>
      <c r="M194" s="1158"/>
      <c r="N194" s="1533"/>
      <c r="O194" s="1553"/>
      <c r="P194" s="1533"/>
      <c r="Q194" s="1553"/>
      <c r="R194" s="1575"/>
      <c r="S194" s="1553">
        <f t="shared" si="34"/>
        <v>3.3359040000000002</v>
      </c>
      <c r="T194" s="1580"/>
    </row>
    <row r="195" spans="1:20">
      <c r="A195" s="1570">
        <v>19</v>
      </c>
      <c r="B195" s="1569"/>
      <c r="C195" s="1556" t="s">
        <v>2549</v>
      </c>
      <c r="D195" s="1570" t="s">
        <v>389</v>
      </c>
      <c r="E195" s="1570" t="s">
        <v>417</v>
      </c>
      <c r="F195" s="1594"/>
      <c r="G195" s="483">
        <v>4000</v>
      </c>
      <c r="H195" s="1593">
        <f t="shared" si="33"/>
        <v>4000</v>
      </c>
      <c r="I195" s="1553"/>
      <c r="J195" s="1553"/>
      <c r="K195" s="1158"/>
      <c r="L195" s="1158"/>
      <c r="M195" s="1158"/>
      <c r="N195" s="1533"/>
      <c r="O195" s="1553"/>
      <c r="P195" s="1533"/>
      <c r="Q195" s="1553"/>
      <c r="R195" s="1575"/>
      <c r="S195" s="1553">
        <f t="shared" si="34"/>
        <v>2.3328000000000002</v>
      </c>
      <c r="T195" s="1580"/>
    </row>
    <row r="196" spans="1:20">
      <c r="A196" s="1570">
        <v>20</v>
      </c>
      <c r="B196" s="1569"/>
      <c r="C196" s="1556" t="s">
        <v>2552</v>
      </c>
      <c r="D196" s="1570" t="s">
        <v>389</v>
      </c>
      <c r="E196" s="1570" t="s">
        <v>417</v>
      </c>
      <c r="F196" s="1594"/>
      <c r="G196" s="483">
        <v>2946</v>
      </c>
      <c r="H196" s="1593">
        <f t="shared" si="33"/>
        <v>2946</v>
      </c>
      <c r="I196" s="1553"/>
      <c r="J196" s="1553"/>
      <c r="K196" s="1158"/>
      <c r="L196" s="1158"/>
      <c r="M196" s="1158"/>
      <c r="N196" s="1533"/>
      <c r="O196" s="1553"/>
      <c r="P196" s="1533"/>
      <c r="Q196" s="1553"/>
      <c r="R196" s="1575"/>
      <c r="S196" s="1553">
        <f t="shared" si="34"/>
        <v>1.7181072000000002</v>
      </c>
      <c r="T196" s="1580"/>
    </row>
    <row r="197" spans="1:20">
      <c r="A197" s="1570">
        <v>21</v>
      </c>
      <c r="B197" s="1569"/>
      <c r="C197" s="1556" t="s">
        <v>2553</v>
      </c>
      <c r="D197" s="1570" t="s">
        <v>389</v>
      </c>
      <c r="E197" s="1570" t="s">
        <v>417</v>
      </c>
      <c r="F197" s="1594"/>
      <c r="G197" s="483">
        <v>2500</v>
      </c>
      <c r="H197" s="1593">
        <f t="shared" si="33"/>
        <v>2500</v>
      </c>
      <c r="I197" s="1553"/>
      <c r="J197" s="1553"/>
      <c r="K197" s="1158"/>
      <c r="L197" s="1158"/>
      <c r="M197" s="1158"/>
      <c r="N197" s="1533"/>
      <c r="O197" s="1553"/>
      <c r="P197" s="1533"/>
      <c r="Q197" s="1553"/>
      <c r="R197" s="1575"/>
      <c r="S197" s="1553">
        <f t="shared" si="34"/>
        <v>1.458</v>
      </c>
      <c r="T197" s="1580"/>
    </row>
    <row r="198" spans="1:20">
      <c r="A198" s="1570">
        <v>22</v>
      </c>
      <c r="B198" s="1569"/>
      <c r="C198" s="1556" t="s">
        <v>2554</v>
      </c>
      <c r="D198" s="1570" t="s">
        <v>389</v>
      </c>
      <c r="E198" s="1570" t="s">
        <v>417</v>
      </c>
      <c r="F198" s="1594"/>
      <c r="G198" s="483">
        <v>2000</v>
      </c>
      <c r="H198" s="1593">
        <f t="shared" si="33"/>
        <v>2000</v>
      </c>
      <c r="I198" s="1553"/>
      <c r="J198" s="1553"/>
      <c r="K198" s="1158"/>
      <c r="L198" s="1158"/>
      <c r="M198" s="1158"/>
      <c r="N198" s="1533"/>
      <c r="O198" s="1553"/>
      <c r="P198" s="1533"/>
      <c r="Q198" s="1553"/>
      <c r="R198" s="1575"/>
      <c r="S198" s="1553">
        <f t="shared" si="34"/>
        <v>1.1664000000000001</v>
      </c>
      <c r="T198" s="1580"/>
    </row>
    <row r="199" spans="1:20">
      <c r="A199" s="1570">
        <v>23</v>
      </c>
      <c r="B199" s="1569"/>
      <c r="C199" s="1556" t="s">
        <v>2555</v>
      </c>
      <c r="D199" s="1570" t="s">
        <v>389</v>
      </c>
      <c r="E199" s="1570" t="s">
        <v>417</v>
      </c>
      <c r="F199" s="1594"/>
      <c r="G199" s="483">
        <v>2000</v>
      </c>
      <c r="H199" s="1593">
        <f t="shared" si="33"/>
        <v>2000</v>
      </c>
      <c r="I199" s="1553"/>
      <c r="J199" s="1553"/>
      <c r="K199" s="1158"/>
      <c r="L199" s="1158"/>
      <c r="M199" s="1158"/>
      <c r="N199" s="1533"/>
      <c r="O199" s="1553"/>
      <c r="P199" s="1533"/>
      <c r="Q199" s="1553"/>
      <c r="R199" s="1575"/>
      <c r="S199" s="1553">
        <f t="shared" si="34"/>
        <v>1.1664000000000001</v>
      </c>
      <c r="T199" s="1580"/>
    </row>
    <row r="200" spans="1:20">
      <c r="A200" s="1570">
        <v>24</v>
      </c>
      <c r="B200" s="1569"/>
      <c r="C200" s="1556" t="s">
        <v>2561</v>
      </c>
      <c r="D200" s="1570" t="s">
        <v>389</v>
      </c>
      <c r="E200" s="1570" t="s">
        <v>417</v>
      </c>
      <c r="F200" s="1594"/>
      <c r="G200" s="483">
        <v>1500</v>
      </c>
      <c r="H200" s="1593">
        <f t="shared" si="33"/>
        <v>1500</v>
      </c>
      <c r="I200" s="1553"/>
      <c r="J200" s="1553"/>
      <c r="K200" s="1158"/>
      <c r="L200" s="1158"/>
      <c r="M200" s="1158"/>
      <c r="N200" s="1533"/>
      <c r="O200" s="1553"/>
      <c r="P200" s="1533"/>
      <c r="Q200" s="1553"/>
      <c r="R200" s="1575"/>
      <c r="S200" s="1553">
        <f t="shared" si="34"/>
        <v>0.87480000000000002</v>
      </c>
      <c r="T200" s="1580"/>
    </row>
    <row r="201" spans="1:20">
      <c r="A201" s="1570">
        <v>25</v>
      </c>
      <c r="B201" s="1569"/>
      <c r="C201" s="1556" t="s">
        <v>2562</v>
      </c>
      <c r="D201" s="1570" t="s">
        <v>389</v>
      </c>
      <c r="E201" s="1570" t="s">
        <v>417</v>
      </c>
      <c r="F201" s="1594"/>
      <c r="G201" s="483">
        <v>1500</v>
      </c>
      <c r="H201" s="1593">
        <f t="shared" si="33"/>
        <v>1500</v>
      </c>
      <c r="I201" s="1553"/>
      <c r="J201" s="1553"/>
      <c r="K201" s="1158"/>
      <c r="L201" s="1158"/>
      <c r="M201" s="1158"/>
      <c r="N201" s="1533"/>
      <c r="O201" s="1553"/>
      <c r="P201" s="1533"/>
      <c r="Q201" s="1553"/>
      <c r="R201" s="1575"/>
      <c r="S201" s="1553">
        <f t="shared" si="34"/>
        <v>0.87480000000000002</v>
      </c>
      <c r="T201" s="1580"/>
    </row>
    <row r="202" spans="1:20">
      <c r="A202" s="1570">
        <v>26</v>
      </c>
      <c r="B202" s="1569"/>
      <c r="C202" s="1556" t="s">
        <v>2564</v>
      </c>
      <c r="D202" s="1570" t="s">
        <v>389</v>
      </c>
      <c r="E202" s="1570" t="s">
        <v>417</v>
      </c>
      <c r="F202" s="1594"/>
      <c r="G202" s="483">
        <v>1500</v>
      </c>
      <c r="H202" s="1593">
        <f t="shared" si="33"/>
        <v>1500</v>
      </c>
      <c r="I202" s="1553"/>
      <c r="J202" s="1553"/>
      <c r="K202" s="1158"/>
      <c r="L202" s="1158"/>
      <c r="M202" s="1158"/>
      <c r="N202" s="1533"/>
      <c r="O202" s="1553"/>
      <c r="P202" s="1533"/>
      <c r="Q202" s="1553"/>
      <c r="R202" s="1575"/>
      <c r="S202" s="1553">
        <f t="shared" si="34"/>
        <v>0.87480000000000002</v>
      </c>
      <c r="T202" s="1580"/>
    </row>
    <row r="203" spans="1:20">
      <c r="A203" s="1570">
        <v>27</v>
      </c>
      <c r="B203" s="1569"/>
      <c r="C203" s="1556" t="s">
        <v>2571</v>
      </c>
      <c r="D203" s="1570" t="s">
        <v>389</v>
      </c>
      <c r="E203" s="1570" t="s">
        <v>417</v>
      </c>
      <c r="F203" s="1594"/>
      <c r="G203" s="483">
        <v>1000</v>
      </c>
      <c r="H203" s="1593">
        <f t="shared" si="33"/>
        <v>1000</v>
      </c>
      <c r="I203" s="1553"/>
      <c r="J203" s="1553"/>
      <c r="K203" s="1158"/>
      <c r="L203" s="1158"/>
      <c r="M203" s="1158"/>
      <c r="N203" s="1533"/>
      <c r="O203" s="1553"/>
      <c r="P203" s="1533"/>
      <c r="Q203" s="1553"/>
      <c r="R203" s="1575"/>
      <c r="S203" s="1553">
        <f t="shared" si="34"/>
        <v>0.58320000000000005</v>
      </c>
      <c r="T203" s="1580"/>
    </row>
    <row r="204" spans="1:20">
      <c r="A204" s="1570">
        <v>28</v>
      </c>
      <c r="B204" s="1569"/>
      <c r="C204" s="1556" t="s">
        <v>2572</v>
      </c>
      <c r="D204" s="1570" t="s">
        <v>389</v>
      </c>
      <c r="E204" s="1570" t="s">
        <v>417</v>
      </c>
      <c r="F204" s="1594"/>
      <c r="G204" s="483">
        <v>1000</v>
      </c>
      <c r="H204" s="1593">
        <f t="shared" si="33"/>
        <v>1000</v>
      </c>
      <c r="I204" s="1553"/>
      <c r="J204" s="1553"/>
      <c r="K204" s="1158"/>
      <c r="L204" s="1158"/>
      <c r="M204" s="1158"/>
      <c r="N204" s="1533"/>
      <c r="O204" s="1553"/>
      <c r="P204" s="1533"/>
      <c r="Q204" s="1553"/>
      <c r="R204" s="1575"/>
      <c r="S204" s="1553">
        <f t="shared" si="34"/>
        <v>0.58320000000000005</v>
      </c>
      <c r="T204" s="1580"/>
    </row>
    <row r="205" spans="1:20">
      <c r="A205" s="1570">
        <v>29</v>
      </c>
      <c r="B205" s="1569"/>
      <c r="C205" s="1556" t="s">
        <v>2542</v>
      </c>
      <c r="D205" s="1570" t="s">
        <v>1870</v>
      </c>
      <c r="E205" s="1570" t="s">
        <v>417</v>
      </c>
      <c r="F205" s="1594"/>
      <c r="G205" s="1233">
        <v>12199.68</v>
      </c>
      <c r="H205" s="1593">
        <f t="shared" si="33"/>
        <v>12199.68</v>
      </c>
      <c r="I205" s="1553"/>
      <c r="J205" s="1553"/>
      <c r="K205" s="1158"/>
      <c r="L205" s="1158"/>
      <c r="M205" s="1158"/>
      <c r="N205" s="1533"/>
      <c r="O205" s="1553"/>
      <c r="P205" s="1533"/>
      <c r="Q205" s="1553"/>
      <c r="R205" s="1575"/>
      <c r="S205" s="1553">
        <f t="shared" si="34"/>
        <v>7.1148533760000001</v>
      </c>
      <c r="T205" s="1580"/>
    </row>
    <row r="206" spans="1:20">
      <c r="A206" s="1570">
        <v>30</v>
      </c>
      <c r="B206" s="1569"/>
      <c r="C206" s="1556" t="s">
        <v>2543</v>
      </c>
      <c r="D206" s="1570" t="s">
        <v>1870</v>
      </c>
      <c r="E206" s="1570" t="s">
        <v>417</v>
      </c>
      <c r="F206" s="1594"/>
      <c r="G206" s="483">
        <v>8500</v>
      </c>
      <c r="H206" s="1593">
        <f t="shared" si="33"/>
        <v>8500</v>
      </c>
      <c r="I206" s="1553"/>
      <c r="J206" s="1553"/>
      <c r="K206" s="1158"/>
      <c r="L206" s="1158"/>
      <c r="M206" s="1158"/>
      <c r="N206" s="1533"/>
      <c r="O206" s="1553"/>
      <c r="P206" s="1533"/>
      <c r="Q206" s="1553"/>
      <c r="R206" s="1575"/>
      <c r="S206" s="1553">
        <f t="shared" si="34"/>
        <v>4.9572000000000003</v>
      </c>
      <c r="T206" s="1580"/>
    </row>
    <row r="207" spans="1:20">
      <c r="A207" s="1570">
        <v>31</v>
      </c>
      <c r="B207" s="1569"/>
      <c r="C207" s="1556" t="s">
        <v>2545</v>
      </c>
      <c r="D207" s="1570" t="s">
        <v>1870</v>
      </c>
      <c r="E207" s="1570" t="s">
        <v>417</v>
      </c>
      <c r="F207" s="1594"/>
      <c r="G207" s="483">
        <v>6400</v>
      </c>
      <c r="H207" s="1593">
        <f t="shared" si="33"/>
        <v>6400</v>
      </c>
      <c r="I207" s="1553"/>
      <c r="J207" s="1553"/>
      <c r="K207" s="1158"/>
      <c r="L207" s="1158"/>
      <c r="M207" s="1158"/>
      <c r="N207" s="1533"/>
      <c r="O207" s="1553"/>
      <c r="P207" s="1533"/>
      <c r="Q207" s="1553"/>
      <c r="R207" s="1575"/>
      <c r="S207" s="1553">
        <f t="shared" si="34"/>
        <v>3.7324799999999998</v>
      </c>
      <c r="T207" s="1580"/>
    </row>
    <row r="208" spans="1:20">
      <c r="A208" s="1570">
        <v>32</v>
      </c>
      <c r="B208" s="1569"/>
      <c r="C208" s="1556" t="s">
        <v>2565</v>
      </c>
      <c r="D208" s="1570" t="s">
        <v>1870</v>
      </c>
      <c r="E208" s="1570" t="s">
        <v>417</v>
      </c>
      <c r="F208" s="1594"/>
      <c r="G208" s="483">
        <v>1394</v>
      </c>
      <c r="H208" s="1593">
        <f t="shared" si="33"/>
        <v>1394</v>
      </c>
      <c r="I208" s="1593"/>
      <c r="J208" s="1593"/>
      <c r="K208" s="1158"/>
      <c r="L208" s="1158"/>
      <c r="M208" s="1158"/>
      <c r="N208" s="1158"/>
      <c r="O208" s="1553"/>
      <c r="P208" s="1158"/>
      <c r="Q208" s="1553"/>
      <c r="R208" s="1575"/>
      <c r="S208" s="1553">
        <f t="shared" si="34"/>
        <v>0.81298079999999995</v>
      </c>
      <c r="T208" s="1580"/>
    </row>
    <row r="209" spans="1:19">
      <c r="A209" s="1570"/>
      <c r="B209" s="1568"/>
      <c r="C209" s="1568"/>
      <c r="D209" s="1563" t="s">
        <v>492</v>
      </c>
      <c r="E209" s="1570"/>
      <c r="F209" s="1585">
        <f t="shared" ref="F209:Q209" si="35">SUM(F56:F208)</f>
        <v>450231.22222222225</v>
      </c>
      <c r="G209" s="1585">
        <f t="shared" si="35"/>
        <v>112342.51999999999</v>
      </c>
      <c r="H209" s="1585">
        <f t="shared" si="35"/>
        <v>562573.74222222238</v>
      </c>
      <c r="I209" s="1564">
        <f t="shared" si="35"/>
        <v>140.15220725479992</v>
      </c>
      <c r="J209" s="1564">
        <f t="shared" si="35"/>
        <v>143.11037545379997</v>
      </c>
      <c r="K209" s="1564">
        <f t="shared" si="35"/>
        <v>141.36804952029996</v>
      </c>
      <c r="L209" s="1564">
        <f t="shared" si="35"/>
        <v>153.01493708040996</v>
      </c>
      <c r="M209" s="1564">
        <f t="shared" si="35"/>
        <v>151.70158662857995</v>
      </c>
      <c r="N209" s="1564">
        <f t="shared" si="35"/>
        <v>155.80785378525005</v>
      </c>
      <c r="O209" s="1564">
        <f t="shared" si="35"/>
        <v>885.15500972314021</v>
      </c>
      <c r="P209" s="1564">
        <f t="shared" si="35"/>
        <v>873.96500190660015</v>
      </c>
      <c r="Q209" s="1564">
        <f t="shared" si="35"/>
        <v>1820.0021324346399</v>
      </c>
      <c r="R209" s="1595"/>
      <c r="S209" s="1564">
        <f>SUM(S56:S208)</f>
        <v>2055.1798440640005</v>
      </c>
    </row>
    <row r="210" spans="1:19">
      <c r="A210" s="1570"/>
      <c r="B210" s="1562"/>
      <c r="C210" s="1562"/>
      <c r="D210" s="1563" t="s">
        <v>493</v>
      </c>
      <c r="E210" s="1563"/>
      <c r="F210" s="1585">
        <f t="shared" ref="F210:Q210" si="36">F53+F209</f>
        <v>1688454.2222222222</v>
      </c>
      <c r="G210" s="1585">
        <f t="shared" si="36"/>
        <v>332842.52</v>
      </c>
      <c r="H210" s="1585">
        <f t="shared" si="36"/>
        <v>2021296.7422222225</v>
      </c>
      <c r="I210" s="1564">
        <f t="shared" si="36"/>
        <v>501.68449737551992</v>
      </c>
      <c r="J210" s="1564">
        <f t="shared" si="36"/>
        <v>597.28135459828002</v>
      </c>
      <c r="K210" s="1564">
        <f t="shared" si="36"/>
        <v>512.57838473443985</v>
      </c>
      <c r="L210" s="1564">
        <f t="shared" si="36"/>
        <v>601.71621591163989</v>
      </c>
      <c r="M210" s="1564">
        <f t="shared" si="36"/>
        <v>561.48479496102004</v>
      </c>
      <c r="N210" s="1564">
        <f t="shared" si="36"/>
        <v>607.70879231986009</v>
      </c>
      <c r="O210" s="1564">
        <f t="shared" si="36"/>
        <v>3382.4540399007597</v>
      </c>
      <c r="P210" s="1564">
        <f t="shared" si="36"/>
        <v>3295.7623501393</v>
      </c>
      <c r="Q210" s="1564">
        <f t="shared" si="36"/>
        <v>6812.3381615872004</v>
      </c>
      <c r="R210" s="1595"/>
      <c r="S210" s="1564">
        <f>S53+S209</f>
        <v>5535.1798440640005</v>
      </c>
    </row>
    <row r="211" spans="1:19">
      <c r="A211" s="1594"/>
      <c r="Q211" s="1573"/>
      <c r="R211" s="1573"/>
      <c r="S211" s="1573"/>
    </row>
    <row r="212" spans="1:19">
      <c r="A212" s="1597"/>
      <c r="F212" s="1598"/>
      <c r="G212" s="1598"/>
      <c r="H212" s="1598"/>
      <c r="I212" s="1598"/>
      <c r="J212" s="1598"/>
      <c r="K212" s="1598"/>
      <c r="L212" s="1598"/>
      <c r="M212" s="1598"/>
      <c r="N212" s="1598"/>
      <c r="P212" s="1598"/>
    </row>
    <row r="213" spans="1:19">
      <c r="F213" s="1598"/>
      <c r="G213" s="1598"/>
      <c r="H213" s="1598"/>
      <c r="I213" s="1598"/>
      <c r="J213" s="1598"/>
      <c r="K213" s="1598"/>
      <c r="L213" s="1598"/>
      <c r="M213" s="1598"/>
      <c r="N213" s="1598"/>
      <c r="P213" s="1598"/>
      <c r="Q213" s="1573"/>
      <c r="R213" s="1573"/>
      <c r="S213" s="1573"/>
    </row>
    <row r="221" spans="1:19">
      <c r="E221" s="1599"/>
      <c r="F221" s="1599"/>
    </row>
  </sheetData>
  <mergeCells count="13">
    <mergeCell ref="Q3:Q4"/>
    <mergeCell ref="R3:R4"/>
    <mergeCell ref="S3:S4"/>
    <mergeCell ref="A2:S2"/>
    <mergeCell ref="A3:A4"/>
    <mergeCell ref="B3:B4"/>
    <mergeCell ref="C3:C4"/>
    <mergeCell ref="D3:D4"/>
    <mergeCell ref="E3:E4"/>
    <mergeCell ref="F3:F4"/>
    <mergeCell ref="G3:G4"/>
    <mergeCell ref="H3:H4"/>
    <mergeCell ref="I3:O3"/>
  </mergeCells>
  <phoneticPr fontId="25" type="noConversion"/>
  <printOptions horizontalCentered="1" verticalCentered="1" gridLines="1"/>
  <pageMargins left="0" right="0" top="0" bottom="0" header="0" footer="0"/>
  <pageSetup paperSize="9" scale="61" fitToHeight="7" orientation="landscape" blackAndWhite="1" r:id="rId1"/>
  <rowBreaks count="2" manualBreakCount="2">
    <brk id="53" max="18" man="1"/>
    <brk id="154"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Q43"/>
  <sheetViews>
    <sheetView showGridLines="0" view="pageBreakPreview" topLeftCell="A8" zoomScale="85" zoomScaleSheetLayoutView="85" workbookViewId="0">
      <selection activeCell="L17" sqref="L17"/>
    </sheetView>
  </sheetViews>
  <sheetFormatPr defaultColWidth="14.7265625" defaultRowHeight="12.5"/>
  <cols>
    <col min="1" max="1" width="7.26953125" customWidth="1"/>
    <col min="2" max="2" width="27.81640625" customWidth="1"/>
    <col min="3" max="3" width="14.7265625" customWidth="1"/>
    <col min="4" max="4" width="14.81640625" customWidth="1"/>
    <col min="5" max="5" width="12.7265625" customWidth="1"/>
    <col min="6" max="6" width="16.26953125" customWidth="1"/>
    <col min="7" max="16" width="14.7265625" customWidth="1"/>
    <col min="17" max="17" width="14.7265625" hidden="1" customWidth="1"/>
  </cols>
  <sheetData>
    <row r="1" spans="1:6" ht="13">
      <c r="A1" s="20" t="s">
        <v>104</v>
      </c>
      <c r="E1" s="3" t="s">
        <v>494</v>
      </c>
    </row>
    <row r="2" spans="1:6" ht="15.5">
      <c r="A2" s="2" t="s">
        <v>495</v>
      </c>
      <c r="B2" s="22"/>
      <c r="C2" s="22"/>
      <c r="D2" s="22"/>
    </row>
    <row r="3" spans="1:6" ht="13.5" thickBot="1">
      <c r="E3" s="2" t="s">
        <v>496</v>
      </c>
    </row>
    <row r="4" spans="1:6" ht="93.5" thickBot="1">
      <c r="A4" s="957" t="s">
        <v>2035</v>
      </c>
      <c r="B4" s="958" t="s">
        <v>735</v>
      </c>
      <c r="C4" s="959" t="s">
        <v>2226</v>
      </c>
      <c r="D4" s="959" t="s">
        <v>2227</v>
      </c>
      <c r="E4" s="960" t="s">
        <v>2228</v>
      </c>
    </row>
    <row r="5" spans="1:6" ht="15.5">
      <c r="A5" s="961"/>
      <c r="B5" s="962"/>
      <c r="C5" s="963"/>
      <c r="D5" s="963"/>
      <c r="E5" s="964"/>
    </row>
    <row r="6" spans="1:6" ht="15.5">
      <c r="A6" s="965"/>
      <c r="B6" s="962"/>
      <c r="C6" s="963"/>
      <c r="D6" s="963"/>
      <c r="E6" s="966"/>
    </row>
    <row r="7" spans="1:6" ht="15.5">
      <c r="A7" s="967" t="s">
        <v>107</v>
      </c>
      <c r="B7" s="968" t="s">
        <v>497</v>
      </c>
      <c r="C7" s="969"/>
      <c r="D7" s="23"/>
      <c r="E7" s="269"/>
    </row>
    <row r="8" spans="1:6">
      <c r="A8" s="970"/>
      <c r="B8" s="23"/>
      <c r="C8" s="23"/>
      <c r="D8" s="23"/>
      <c r="E8" s="269"/>
    </row>
    <row r="9" spans="1:6">
      <c r="A9" s="970"/>
      <c r="B9" s="23" t="s">
        <v>498</v>
      </c>
      <c r="C9" s="23"/>
      <c r="D9" s="23"/>
      <c r="E9" s="269"/>
    </row>
    <row r="10" spans="1:6">
      <c r="A10" s="970"/>
      <c r="B10" s="24" t="s">
        <v>499</v>
      </c>
      <c r="C10" s="23"/>
      <c r="D10" s="36"/>
      <c r="E10" s="289"/>
    </row>
    <row r="11" spans="1:6">
      <c r="A11" s="970"/>
      <c r="B11" s="24" t="s">
        <v>500</v>
      </c>
      <c r="C11" s="23"/>
      <c r="D11" s="36"/>
      <c r="E11" s="289"/>
    </row>
    <row r="12" spans="1:6" ht="15.5">
      <c r="A12" s="970"/>
      <c r="B12" s="968" t="s">
        <v>501</v>
      </c>
      <c r="C12" s="243">
        <f>820178869.04/10^5</f>
        <v>8201.7886903999988</v>
      </c>
      <c r="D12" s="36">
        <f>'F-21'!C23</f>
        <v>299584.76742719999</v>
      </c>
      <c r="E12" s="289">
        <f>'F-21'!D23</f>
        <v>390689.23461809289</v>
      </c>
    </row>
    <row r="13" spans="1:6">
      <c r="A13" s="970"/>
      <c r="B13" s="23" t="s">
        <v>502</v>
      </c>
      <c r="C13" s="36"/>
      <c r="E13" s="289"/>
    </row>
    <row r="14" spans="1:6">
      <c r="A14" s="970"/>
      <c r="B14" s="24" t="s">
        <v>499</v>
      </c>
      <c r="C14" s="36"/>
      <c r="D14" s="36"/>
      <c r="E14" s="289"/>
    </row>
    <row r="15" spans="1:6">
      <c r="A15" s="970"/>
      <c r="B15" s="24" t="s">
        <v>500</v>
      </c>
      <c r="C15" s="36"/>
      <c r="D15" s="36"/>
      <c r="E15" s="289"/>
    </row>
    <row r="16" spans="1:6" ht="15.5">
      <c r="A16" s="970"/>
      <c r="B16" s="968" t="s">
        <v>501</v>
      </c>
      <c r="C16" s="243">
        <f>CWIP!B45</f>
        <v>8201.7946205999979</v>
      </c>
      <c r="D16" s="36">
        <f>'F-21'!C28</f>
        <v>24251.915773812747</v>
      </c>
      <c r="E16" s="289">
        <f>'F-21'!D28</f>
        <v>25949.926522200003</v>
      </c>
      <c r="F16" s="9"/>
    </row>
    <row r="17" spans="1:14">
      <c r="A17" s="970"/>
      <c r="B17" s="23"/>
      <c r="C17" s="36"/>
      <c r="D17" s="36"/>
      <c r="E17" s="289"/>
    </row>
    <row r="18" spans="1:14" ht="15.5">
      <c r="A18" s="967" t="s">
        <v>135</v>
      </c>
      <c r="B18" s="968" t="s">
        <v>503</v>
      </c>
      <c r="C18" s="36"/>
      <c r="D18" s="36"/>
      <c r="E18" s="289"/>
    </row>
    <row r="19" spans="1:14">
      <c r="A19" s="970"/>
      <c r="B19" s="23"/>
      <c r="C19" s="36"/>
      <c r="D19" s="36"/>
      <c r="E19" s="289"/>
      <c r="N19" s="347"/>
    </row>
    <row r="20" spans="1:14">
      <c r="A20" s="970"/>
      <c r="B20" s="23" t="s">
        <v>498</v>
      </c>
      <c r="C20" s="36"/>
      <c r="D20" s="36"/>
      <c r="E20" s="289"/>
      <c r="N20" s="347"/>
    </row>
    <row r="21" spans="1:14">
      <c r="A21" s="970"/>
      <c r="B21" s="24" t="s">
        <v>499</v>
      </c>
      <c r="C21" s="36"/>
      <c r="D21" s="36"/>
      <c r="E21" s="289"/>
    </row>
    <row r="22" spans="1:14">
      <c r="A22" s="970"/>
      <c r="B22" s="24" t="s">
        <v>500</v>
      </c>
      <c r="C22" s="36"/>
      <c r="D22" s="36"/>
      <c r="E22" s="289"/>
    </row>
    <row r="23" spans="1:14" ht="15.5">
      <c r="A23" s="970"/>
      <c r="B23" s="968" t="s">
        <v>501</v>
      </c>
      <c r="C23" s="36">
        <f>D12-C12</f>
        <v>291382.97873679997</v>
      </c>
      <c r="D23" s="36">
        <f>E12-D12</f>
        <v>91104.467190892901</v>
      </c>
      <c r="E23" s="289">
        <f>'F-21'!E23-E12</f>
        <v>87645.3916014774</v>
      </c>
    </row>
    <row r="24" spans="1:14">
      <c r="A24" s="970"/>
      <c r="B24" s="23" t="s">
        <v>502</v>
      </c>
      <c r="C24" s="36"/>
      <c r="D24" s="36"/>
      <c r="E24" s="289"/>
    </row>
    <row r="25" spans="1:14">
      <c r="A25" s="970"/>
      <c r="B25" s="24" t="s">
        <v>499</v>
      </c>
      <c r="C25" s="36"/>
      <c r="D25" s="36"/>
      <c r="E25" s="289"/>
    </row>
    <row r="26" spans="1:14">
      <c r="A26" s="970"/>
      <c r="B26" s="24" t="s">
        <v>500</v>
      </c>
      <c r="C26" s="36"/>
      <c r="D26" s="36"/>
      <c r="E26" s="289"/>
    </row>
    <row r="27" spans="1:14" ht="15.5">
      <c r="A27" s="970"/>
      <c r="B27" s="968" t="s">
        <v>501</v>
      </c>
      <c r="C27" s="36">
        <f>D16-C16</f>
        <v>16050.121153212749</v>
      </c>
      <c r="D27" s="36">
        <f>E16-D16</f>
        <v>1698.0107483872562</v>
      </c>
      <c r="E27" s="289">
        <f>'F-21'!E28-E16</f>
        <v>4058.8294325439929</v>
      </c>
    </row>
    <row r="28" spans="1:14">
      <c r="A28" s="970"/>
      <c r="B28" s="23"/>
      <c r="C28" s="36"/>
      <c r="D28" s="36"/>
      <c r="E28" s="289"/>
    </row>
    <row r="29" spans="1:14" ht="15.5">
      <c r="A29" s="967" t="s">
        <v>504</v>
      </c>
      <c r="B29" s="968" t="s">
        <v>505</v>
      </c>
      <c r="C29" s="36">
        <v>0</v>
      </c>
      <c r="D29" s="36">
        <v>0</v>
      </c>
      <c r="E29" s="289">
        <v>0</v>
      </c>
    </row>
    <row r="30" spans="1:14" ht="15.5">
      <c r="A30" s="967"/>
      <c r="B30" s="968"/>
      <c r="C30" s="36"/>
      <c r="D30" s="36"/>
      <c r="E30" s="289"/>
    </row>
    <row r="31" spans="1:14" ht="15.5">
      <c r="A31" s="967" t="s">
        <v>506</v>
      </c>
      <c r="B31" s="968" t="s">
        <v>507</v>
      </c>
      <c r="C31" s="36"/>
      <c r="D31" s="36"/>
      <c r="E31" s="289"/>
    </row>
    <row r="32" spans="1:14" ht="15.5">
      <c r="A32" s="967"/>
      <c r="B32" s="968" t="s">
        <v>508</v>
      </c>
      <c r="C32" s="36">
        <f>'F-21'!C23</f>
        <v>299584.76742719999</v>
      </c>
      <c r="D32" s="36">
        <f>'F-21'!D23</f>
        <v>390689.23461809289</v>
      </c>
      <c r="E32" s="289">
        <f>'F-21'!E23</f>
        <v>478334.62621957029</v>
      </c>
    </row>
    <row r="33" spans="1:7" ht="15.5">
      <c r="A33" s="970"/>
      <c r="B33" s="968" t="s">
        <v>509</v>
      </c>
      <c r="C33" s="36">
        <f>'F-21'!C28</f>
        <v>24251.915773812747</v>
      </c>
      <c r="D33" s="36">
        <f>'F-21'!D28</f>
        <v>25949.926522200003</v>
      </c>
      <c r="E33" s="289">
        <f>'F-21'!E28</f>
        <v>30008.755954743996</v>
      </c>
    </row>
    <row r="34" spans="1:7" ht="15.5">
      <c r="A34" s="970"/>
      <c r="B34" s="968"/>
      <c r="C34" s="36"/>
      <c r="D34" s="36"/>
      <c r="E34" s="289"/>
    </row>
    <row r="35" spans="1:7" ht="15.5">
      <c r="A35" s="970"/>
      <c r="B35" s="968" t="s">
        <v>510</v>
      </c>
      <c r="C35" s="36">
        <f>C29+C27+C16</f>
        <v>24251.915773812747</v>
      </c>
      <c r="D35" s="36">
        <f>D29+D27+D16</f>
        <v>25949.926522200003</v>
      </c>
      <c r="E35" s="289">
        <f>E29+E27+E16</f>
        <v>30008.755954743996</v>
      </c>
      <c r="F35" s="9"/>
      <c r="G35" s="9"/>
    </row>
    <row r="36" spans="1:7">
      <c r="A36" s="88"/>
      <c r="E36" s="86"/>
    </row>
    <row r="37" spans="1:7" ht="15.5">
      <c r="A37" s="971" t="s">
        <v>511</v>
      </c>
      <c r="B37" t="s">
        <v>512</v>
      </c>
      <c r="E37" s="86"/>
    </row>
    <row r="38" spans="1:7">
      <c r="A38" s="88"/>
      <c r="B38" t="s">
        <v>513</v>
      </c>
      <c r="E38" s="86"/>
    </row>
    <row r="39" spans="1:7" ht="13" thickBot="1">
      <c r="A39" s="90"/>
      <c r="B39" s="972" t="s">
        <v>514</v>
      </c>
      <c r="C39" s="972"/>
      <c r="D39" s="972"/>
      <c r="E39" s="973"/>
    </row>
    <row r="40" spans="1:7">
      <c r="C40" s="7">
        <f>CWIP!L45</f>
        <v>24251.915773812747</v>
      </c>
      <c r="D40" s="7">
        <f>CWIP!W45</f>
        <v>25949.926522200003</v>
      </c>
      <c r="E40" s="7">
        <f>CWIP!AH45</f>
        <v>30008.755954743996</v>
      </c>
    </row>
    <row r="41" spans="1:7">
      <c r="C41" s="7"/>
    </row>
    <row r="42" spans="1:7">
      <c r="C42" s="7"/>
    </row>
    <row r="43" spans="1:7">
      <c r="C43" s="7"/>
    </row>
  </sheetData>
  <phoneticPr fontId="0" type="noConversion"/>
  <printOptions horizontalCentered="1" gridLines="1"/>
  <pageMargins left="0.74803149606299213" right="0.74803149606299213" top="1.2598425196850394" bottom="1.2598425196850394" header="0.51181102362204722" footer="0.51181102362204722"/>
  <pageSetup paperSize="9" orientation="portrait" r:id="rId1"/>
  <headerFooter alignWithMargins="0">
    <oddFooter>&amp;ROERC FORM-&amp;A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97FB2-E2FA-4C9D-AD53-0A9771960314}">
  <sheetPr>
    <pageSetUpPr fitToPage="1"/>
  </sheetPr>
  <dimension ref="A1:N19"/>
  <sheetViews>
    <sheetView showGridLines="0" view="pageBreakPreview" zoomScale="110" zoomScaleSheetLayoutView="110" workbookViewId="0">
      <selection activeCell="L17" sqref="L17"/>
    </sheetView>
  </sheetViews>
  <sheetFormatPr defaultColWidth="14.7265625" defaultRowHeight="12.5"/>
  <cols>
    <col min="1" max="1" width="7.26953125" style="489" customWidth="1"/>
    <col min="2" max="2" width="31.453125" style="886" customWidth="1"/>
    <col min="3" max="3" width="14.7265625" style="489" customWidth="1"/>
    <col min="4" max="4" width="14.81640625" style="489" customWidth="1"/>
    <col min="5" max="5" width="16.81640625" style="489" bestFit="1" customWidth="1"/>
    <col min="6" max="13" width="14.7265625" customWidth="1"/>
    <col min="14" max="14" width="14.7265625" hidden="1" customWidth="1"/>
  </cols>
  <sheetData>
    <row r="1" spans="1:5" ht="13">
      <c r="A1" s="890" t="s">
        <v>104</v>
      </c>
      <c r="E1" s="737" t="s">
        <v>2115</v>
      </c>
    </row>
    <row r="2" spans="1:5" ht="15.5">
      <c r="A2" s="891" t="s">
        <v>495</v>
      </c>
      <c r="B2" s="887"/>
      <c r="C2" s="889"/>
      <c r="D2" s="889"/>
    </row>
    <row r="3" spans="1:5" ht="13">
      <c r="E3" s="737" t="s">
        <v>496</v>
      </c>
    </row>
    <row r="4" spans="1:5" ht="15.65" customHeight="1">
      <c r="A4" s="1970" t="s">
        <v>2117</v>
      </c>
      <c r="B4" s="1970"/>
      <c r="C4" s="1970"/>
      <c r="D4" s="1970"/>
      <c r="E4" s="1970"/>
    </row>
    <row r="5" spans="1:5" ht="26">
      <c r="A5" s="656" t="s">
        <v>2035</v>
      </c>
      <c r="B5" s="892" t="s">
        <v>735</v>
      </c>
      <c r="C5" s="618" t="s">
        <v>2223</v>
      </c>
      <c r="D5" s="618" t="s">
        <v>2224</v>
      </c>
      <c r="E5" s="618" t="s">
        <v>2225</v>
      </c>
    </row>
    <row r="6" spans="1:5" ht="13">
      <c r="A6" s="656"/>
      <c r="B6" s="892" t="s">
        <v>2198</v>
      </c>
      <c r="C6" s="1257">
        <f>582.18*100</f>
        <v>58217.999999999993</v>
      </c>
      <c r="D6" s="1257">
        <f>398.84*100</f>
        <v>39884</v>
      </c>
      <c r="E6" s="1257">
        <v>57196</v>
      </c>
    </row>
    <row r="7" spans="1:5">
      <c r="A7" s="893">
        <v>1</v>
      </c>
      <c r="B7" s="894" t="s">
        <v>2199</v>
      </c>
      <c r="C7" s="1259">
        <f>477.72*100</f>
        <v>47772</v>
      </c>
      <c r="D7" s="1253">
        <f>381.91*100</f>
        <v>38191</v>
      </c>
      <c r="E7" s="1253"/>
    </row>
    <row r="8" spans="1:5">
      <c r="A8" s="893">
        <v>2</v>
      </c>
      <c r="B8" s="864" t="s">
        <v>2118</v>
      </c>
      <c r="C8" s="1077">
        <f>SUM(CWIP!K30:K34)</f>
        <v>43989.06946470002</v>
      </c>
      <c r="D8" s="1077">
        <f>SUM(CWIP!U30:V34)</f>
        <v>63699.595037733307</v>
      </c>
      <c r="E8" s="904">
        <f>SUM(CWIP!AF30:AG34)</f>
        <v>58378.882933333341</v>
      </c>
    </row>
    <row r="9" spans="1:5" ht="16" customHeight="1">
      <c r="A9" s="893">
        <v>3</v>
      </c>
      <c r="B9" s="864" t="s">
        <v>2119</v>
      </c>
      <c r="C9" s="1077">
        <f>SUM(CWIP!L30:L34)</f>
        <v>7841.5073043999764</v>
      </c>
      <c r="D9" s="1077">
        <f>SUM(CWIP!W30:W34)</f>
        <v>9807.3095999999987</v>
      </c>
      <c r="E9" s="904">
        <f>SUM(CWIP!AH30:AH34)</f>
        <v>11804.559999999992</v>
      </c>
    </row>
    <row r="10" spans="1:5" ht="13">
      <c r="A10" s="893"/>
      <c r="B10" s="892" t="s">
        <v>2200</v>
      </c>
      <c r="C10" s="1253"/>
      <c r="D10" s="904"/>
      <c r="E10" s="904"/>
    </row>
    <row r="11" spans="1:5">
      <c r="A11" s="893">
        <v>4</v>
      </c>
      <c r="B11" s="864" t="s">
        <v>2202</v>
      </c>
      <c r="C11" s="718">
        <f>'loan&amp;int'!E50</f>
        <v>17379.36249</v>
      </c>
      <c r="D11" s="718">
        <f>'loan&amp;int'!F50</f>
        <v>20000</v>
      </c>
      <c r="E11" s="718">
        <f>'loan&amp;int'!G50</f>
        <v>35000</v>
      </c>
    </row>
    <row r="12" spans="1:5">
      <c r="A12" s="893">
        <v>5</v>
      </c>
      <c r="B12" s="484" t="s">
        <v>2201</v>
      </c>
      <c r="C12" s="718">
        <v>6131.8320000000003</v>
      </c>
      <c r="D12" s="718">
        <f>'F-23 CASHFLOW'!B10*0.51</f>
        <v>9746.0380407731955</v>
      </c>
      <c r="E12" s="718">
        <f>'F-23 CASHFLOW'!C10*0.51</f>
        <v>8931.9690888000005</v>
      </c>
    </row>
    <row r="13" spans="1:5">
      <c r="A13" s="893">
        <v>6</v>
      </c>
      <c r="B13" s="864" t="s">
        <v>2203</v>
      </c>
      <c r="C13" s="718">
        <v>5891.3680000000004</v>
      </c>
      <c r="D13" s="718">
        <f>'F-23 CASHFLOW'!B10*0.49</f>
        <v>9363.8404705467965</v>
      </c>
      <c r="E13" s="718">
        <f>'F-23 CASHFLOW'!C10*0.49</f>
        <v>8581.6957911999998</v>
      </c>
    </row>
    <row r="14" spans="1:5">
      <c r="A14" s="893">
        <v>7</v>
      </c>
      <c r="B14" s="484" t="s">
        <v>2116</v>
      </c>
      <c r="C14" s="1260"/>
      <c r="D14" s="718"/>
      <c r="E14" s="718">
        <v>5000</v>
      </c>
    </row>
    <row r="15" spans="1:5" ht="13">
      <c r="A15" s="656">
        <v>8</v>
      </c>
      <c r="B15" s="892" t="s">
        <v>2120</v>
      </c>
      <c r="C15" s="738">
        <f>SUM(C11:C14)</f>
        <v>29402.562490000004</v>
      </c>
      <c r="D15" s="738">
        <f>SUM(D11:D14)</f>
        <v>39109.878511319992</v>
      </c>
      <c r="E15" s="738">
        <f>SUM(E11:E14)</f>
        <v>57513.664880000004</v>
      </c>
    </row>
    <row r="16" spans="1:5" ht="15.5">
      <c r="B16" s="888"/>
      <c r="C16" s="668"/>
      <c r="D16" s="668"/>
      <c r="E16" s="668"/>
    </row>
    <row r="17" spans="3:3">
      <c r="C17" s="668"/>
    </row>
    <row r="18" spans="3:3">
      <c r="C18" s="668"/>
    </row>
    <row r="19" spans="3:3">
      <c r="C19" s="668"/>
    </row>
  </sheetData>
  <mergeCells count="1">
    <mergeCell ref="A4:E4"/>
  </mergeCells>
  <printOptions horizontalCentered="1" gridLines="1"/>
  <pageMargins left="0.74803149606299213" right="0.74803149606299213" top="1.2598425196850394" bottom="1.2598425196850394" header="0.51181102362204722" footer="0.51181102362204722"/>
  <pageSetup paperSize="9" orientation="portrait" r:id="rId1"/>
  <headerFooter alignWithMargins="0">
    <oddFooter>&amp;ROERC FORM-&amp;A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T41"/>
  <sheetViews>
    <sheetView showGridLines="0" view="pageBreakPreview" zoomScale="85" zoomScaleSheetLayoutView="85" workbookViewId="0">
      <pane xSplit="2" ySplit="6" topLeftCell="D15" activePane="bottomRight" state="frozen"/>
      <selection activeCell="L17" sqref="L17"/>
      <selection pane="topRight" activeCell="L17" sqref="L17"/>
      <selection pane="bottomLeft" activeCell="L17" sqref="L17"/>
      <selection pane="bottomRight" activeCell="L17" sqref="L17"/>
    </sheetView>
  </sheetViews>
  <sheetFormatPr defaultColWidth="14.7265625" defaultRowHeight="12.5"/>
  <cols>
    <col min="1" max="1" width="5.7265625" customWidth="1"/>
    <col min="2" max="2" width="26.1796875" customWidth="1"/>
    <col min="3" max="3" width="9" customWidth="1"/>
    <col min="4" max="4" width="9.54296875" customWidth="1"/>
    <col min="5" max="5" width="10.1796875" customWidth="1"/>
    <col min="6" max="6" width="8.81640625" customWidth="1"/>
    <col min="7" max="7" width="9.1796875" customWidth="1"/>
    <col min="8" max="8" width="10.1796875" customWidth="1"/>
    <col min="9" max="10" width="10.453125" customWidth="1"/>
    <col min="11" max="12" width="10.26953125" customWidth="1"/>
    <col min="13" max="13" width="11.7265625" customWidth="1"/>
    <col min="14" max="14" width="10.26953125" customWidth="1"/>
    <col min="15" max="15" width="10.1796875" customWidth="1"/>
    <col min="16" max="16" width="10" customWidth="1"/>
    <col min="17" max="18" width="10.81640625" customWidth="1"/>
    <col min="19" max="19" width="14.7265625" customWidth="1"/>
    <col min="20" max="20" width="14.7265625" hidden="1" customWidth="1"/>
  </cols>
  <sheetData>
    <row r="1" spans="1:18" ht="13">
      <c r="A1" s="20" t="s">
        <v>104</v>
      </c>
      <c r="Q1" s="3" t="s">
        <v>0</v>
      </c>
      <c r="R1" s="974" t="s">
        <v>515</v>
      </c>
    </row>
    <row r="2" spans="1:18" ht="18">
      <c r="A2" s="975" t="s">
        <v>516</v>
      </c>
      <c r="B2" s="976"/>
      <c r="C2" s="976"/>
      <c r="D2" s="976"/>
      <c r="E2" s="976"/>
      <c r="F2" s="976"/>
      <c r="G2" s="975"/>
    </row>
    <row r="3" spans="1:18" ht="15.5">
      <c r="G3" s="977" t="s">
        <v>517</v>
      </c>
    </row>
    <row r="4" spans="1:18" ht="15.5">
      <c r="A4" s="29"/>
      <c r="B4" s="29"/>
      <c r="C4" s="1971" t="s">
        <v>2229</v>
      </c>
      <c r="D4" s="1971"/>
      <c r="E4" s="1971"/>
      <c r="F4" s="1971"/>
      <c r="G4" s="1971"/>
      <c r="H4" s="1971"/>
      <c r="I4" s="1971" t="s">
        <v>2230</v>
      </c>
      <c r="J4" s="1971"/>
      <c r="K4" s="1971"/>
      <c r="L4" s="1971"/>
      <c r="M4" s="1971"/>
      <c r="N4" s="1971" t="s">
        <v>2231</v>
      </c>
      <c r="O4" s="1971"/>
      <c r="P4" s="1971"/>
      <c r="Q4" s="1971"/>
      <c r="R4" s="1971"/>
    </row>
    <row r="5" spans="1:18" ht="52">
      <c r="A5" s="618" t="s">
        <v>518</v>
      </c>
      <c r="B5" s="618" t="s">
        <v>519</v>
      </c>
      <c r="C5" s="618" t="s">
        <v>2232</v>
      </c>
      <c r="D5" s="618" t="s">
        <v>520</v>
      </c>
      <c r="E5" s="618" t="s">
        <v>521</v>
      </c>
      <c r="F5" s="618" t="s">
        <v>522</v>
      </c>
      <c r="G5" s="618" t="s">
        <v>523</v>
      </c>
      <c r="H5" s="618" t="s">
        <v>524</v>
      </c>
      <c r="I5" s="618" t="s">
        <v>520</v>
      </c>
      <c r="J5" s="618" t="s">
        <v>521</v>
      </c>
      <c r="K5" s="618" t="s">
        <v>522</v>
      </c>
      <c r="L5" s="618" t="s">
        <v>523</v>
      </c>
      <c r="M5" s="618" t="s">
        <v>1950</v>
      </c>
      <c r="N5" s="618" t="s">
        <v>520</v>
      </c>
      <c r="O5" s="618" t="s">
        <v>521</v>
      </c>
      <c r="P5" s="618" t="s">
        <v>522</v>
      </c>
      <c r="Q5" s="618" t="s">
        <v>523</v>
      </c>
      <c r="R5" s="618" t="s">
        <v>2233</v>
      </c>
    </row>
    <row r="6" spans="1:18" ht="13">
      <c r="A6" s="35">
        <v>1</v>
      </c>
      <c r="B6" s="35">
        <v>2</v>
      </c>
      <c r="C6" s="35">
        <v>3</v>
      </c>
      <c r="D6" s="35">
        <v>4</v>
      </c>
      <c r="E6" s="35">
        <v>5</v>
      </c>
      <c r="F6" s="35">
        <v>6</v>
      </c>
      <c r="G6" s="35">
        <v>7</v>
      </c>
      <c r="H6" s="35">
        <v>8</v>
      </c>
      <c r="I6" s="35">
        <v>9</v>
      </c>
      <c r="J6" s="35">
        <v>10</v>
      </c>
      <c r="K6" s="35">
        <v>11</v>
      </c>
      <c r="L6" s="35">
        <v>12</v>
      </c>
      <c r="M6" s="35">
        <v>13</v>
      </c>
      <c r="N6" s="35">
        <v>14</v>
      </c>
      <c r="O6" s="35">
        <v>15</v>
      </c>
      <c r="P6" s="35">
        <v>16</v>
      </c>
      <c r="Q6" s="35">
        <v>17</v>
      </c>
      <c r="R6" s="35">
        <v>18</v>
      </c>
    </row>
    <row r="7" spans="1:18">
      <c r="A7" s="23"/>
      <c r="B7" s="23"/>
      <c r="C7" s="23"/>
      <c r="D7" s="23"/>
      <c r="E7" s="23"/>
      <c r="F7" s="23"/>
      <c r="G7" s="23"/>
      <c r="H7" s="23"/>
      <c r="I7" s="23"/>
      <c r="J7" s="23"/>
      <c r="K7" s="23"/>
      <c r="L7" s="23"/>
      <c r="M7" s="23"/>
      <c r="N7" s="23"/>
      <c r="O7" s="23"/>
      <c r="P7" s="23"/>
      <c r="Q7" s="23"/>
      <c r="R7" s="23"/>
    </row>
    <row r="8" spans="1:18" ht="13">
      <c r="A8" s="23"/>
      <c r="B8" s="343" t="s">
        <v>525</v>
      </c>
      <c r="C8" s="36">
        <f>CWIP!B11</f>
        <v>0</v>
      </c>
      <c r="D8" s="36">
        <f>CWIP!H11</f>
        <v>0</v>
      </c>
      <c r="E8" s="36">
        <f>CWIP!I11</f>
        <v>0</v>
      </c>
      <c r="F8" s="36"/>
      <c r="G8" s="36">
        <f>CWIP!K11</f>
        <v>0</v>
      </c>
      <c r="H8" s="37">
        <f>C8+D8+E8-G8</f>
        <v>0</v>
      </c>
      <c r="I8" s="36">
        <f>CWIP!R11</f>
        <v>0</v>
      </c>
      <c r="J8" s="36"/>
      <c r="K8" s="36"/>
      <c r="L8" s="36">
        <f>CWIP!U11+CWIP!V11</f>
        <v>0</v>
      </c>
      <c r="M8" s="37">
        <f>H8+I8+J8-L8</f>
        <v>0</v>
      </c>
      <c r="N8" s="36">
        <f>CWIP!AC11</f>
        <v>0</v>
      </c>
      <c r="O8" s="36"/>
      <c r="P8" s="36"/>
      <c r="Q8" s="36">
        <f>CWIP!AF11+CWIP!AG11</f>
        <v>0</v>
      </c>
      <c r="R8" s="36">
        <f>M8+N8+O8-Q8</f>
        <v>0</v>
      </c>
    </row>
    <row r="9" spans="1:18" ht="13">
      <c r="A9" s="23"/>
      <c r="B9" s="343" t="s">
        <v>526</v>
      </c>
      <c r="C9" s="36">
        <f>CWIP!B12</f>
        <v>73.887720000000542</v>
      </c>
      <c r="D9" s="36">
        <f>CWIP!H12</f>
        <v>28.66</v>
      </c>
      <c r="E9" s="36">
        <f>CWIP!I12</f>
        <v>0</v>
      </c>
      <c r="F9" s="36"/>
      <c r="G9" s="36">
        <f>CWIP!K12</f>
        <v>78.120220000000245</v>
      </c>
      <c r="H9" s="37">
        <f>C9+D9+E9-G9</f>
        <v>24.427500000000293</v>
      </c>
      <c r="I9" s="36">
        <f>CWIP!R12</f>
        <v>0</v>
      </c>
      <c r="J9" s="36"/>
      <c r="K9" s="36"/>
      <c r="L9" s="36">
        <f>CWIP!U12+CWIP!V12</f>
        <v>24.427500000000293</v>
      </c>
      <c r="M9" s="37">
        <f>H9+I9+J9-L9</f>
        <v>0</v>
      </c>
      <c r="N9" s="36">
        <f>CWIP!AC12</f>
        <v>0</v>
      </c>
      <c r="O9" s="36"/>
      <c r="P9" s="36"/>
      <c r="Q9" s="36">
        <f>CWIP!AF12+CWIP!AG12</f>
        <v>0</v>
      </c>
      <c r="R9" s="36">
        <f>M9+N9+O9-Q9</f>
        <v>0</v>
      </c>
    </row>
    <row r="10" spans="1:18" ht="13">
      <c r="A10" s="23"/>
      <c r="B10" s="74" t="s">
        <v>527</v>
      </c>
      <c r="C10" s="23"/>
      <c r="D10" s="36">
        <f>CWIP!H37</f>
        <v>0</v>
      </c>
      <c r="E10" s="36">
        <f>CWIP!I37</f>
        <v>0</v>
      </c>
      <c r="F10" s="36"/>
      <c r="G10" s="36">
        <f>CWIP!K37</f>
        <v>0</v>
      </c>
      <c r="H10" s="37">
        <f>C10+D10+E10-G10</f>
        <v>0</v>
      </c>
      <c r="I10" s="36">
        <f>CWIP!R37</f>
        <v>100</v>
      </c>
      <c r="J10" s="36"/>
      <c r="K10" s="36"/>
      <c r="L10" s="36">
        <f>CWIP!U37+CWIP!V37</f>
        <v>100</v>
      </c>
      <c r="M10" s="37">
        <f>H10+I10+J10-L10</f>
        <v>0</v>
      </c>
      <c r="N10" s="36">
        <f>CWIP!AC37</f>
        <v>120</v>
      </c>
      <c r="O10" s="36"/>
      <c r="P10" s="36"/>
      <c r="Q10" s="36">
        <f>CWIP!AF37+CWIP!AG37</f>
        <v>120</v>
      </c>
      <c r="R10" s="36">
        <f>M10+N10+O10-Q10</f>
        <v>0</v>
      </c>
    </row>
    <row r="11" spans="1:18" ht="13">
      <c r="A11" s="23"/>
      <c r="B11" s="74" t="s">
        <v>528</v>
      </c>
      <c r="C11" s="23"/>
      <c r="D11" s="36">
        <f>CWIP!H38</f>
        <v>0</v>
      </c>
      <c r="E11" s="36">
        <f>CWIP!I38</f>
        <v>0</v>
      </c>
      <c r="F11" s="36"/>
      <c r="G11" s="36">
        <f>CWIP!K38</f>
        <v>0</v>
      </c>
      <c r="H11" s="37">
        <f>C11+D11+E11-G11</f>
        <v>0</v>
      </c>
      <c r="I11" s="36">
        <f>CWIP!R38</f>
        <v>50</v>
      </c>
      <c r="J11" s="36"/>
      <c r="K11" s="36"/>
      <c r="L11" s="36">
        <f>CWIP!U38+CWIP!V38</f>
        <v>50</v>
      </c>
      <c r="M11" s="37">
        <f>H11+I11+J11-L11</f>
        <v>0</v>
      </c>
      <c r="N11" s="36">
        <f>CWIP!AC38</f>
        <v>60</v>
      </c>
      <c r="O11" s="36"/>
      <c r="P11" s="36"/>
      <c r="Q11" s="36">
        <f>CWIP!AF38+CWIP!AG38</f>
        <v>60</v>
      </c>
      <c r="R11" s="36">
        <f>M11+N11+O11-Q11</f>
        <v>0</v>
      </c>
    </row>
    <row r="12" spans="1:18" ht="13">
      <c r="A12" s="23"/>
      <c r="B12" s="23" t="s">
        <v>529</v>
      </c>
      <c r="C12" s="36">
        <f>CWIP!B39</f>
        <v>3.1806000000074164E-3</v>
      </c>
      <c r="D12" s="36">
        <f>CWIP!H39</f>
        <v>0</v>
      </c>
      <c r="E12" s="36">
        <f>CWIP!I39</f>
        <v>0</v>
      </c>
      <c r="F12" s="36"/>
      <c r="G12" s="36">
        <f>CWIP!K39</f>
        <v>0</v>
      </c>
      <c r="H12" s="37">
        <f>C12+D12+E12-G12</f>
        <v>3.1806000000074164E-3</v>
      </c>
      <c r="I12" s="36">
        <f>CWIP!R39</f>
        <v>80</v>
      </c>
      <c r="J12" s="36"/>
      <c r="K12" s="36"/>
      <c r="L12" s="36">
        <f>CWIP!U39+CWIP!V39</f>
        <v>80.003180600000007</v>
      </c>
      <c r="M12" s="37">
        <f>H12+I12+J12-L12</f>
        <v>0</v>
      </c>
      <c r="N12" s="36">
        <f>CWIP!AC39</f>
        <v>100</v>
      </c>
      <c r="O12" s="36"/>
      <c r="P12" s="36"/>
      <c r="Q12" s="36">
        <f>CWIP!AF39+CWIP!AG39</f>
        <v>100</v>
      </c>
      <c r="R12" s="36">
        <f>M12+N12+O12-Q12</f>
        <v>0</v>
      </c>
    </row>
    <row r="13" spans="1:18" ht="13">
      <c r="A13" s="23"/>
      <c r="B13" s="71" t="s">
        <v>145</v>
      </c>
      <c r="C13" s="37">
        <f t="shared" ref="C13:H13" si="0">SUM(C8:C12)</f>
        <v>73.890900600000549</v>
      </c>
      <c r="D13" s="37">
        <f t="shared" si="0"/>
        <v>28.66</v>
      </c>
      <c r="E13" s="37">
        <f t="shared" si="0"/>
        <v>0</v>
      </c>
      <c r="F13" s="37">
        <f t="shared" si="0"/>
        <v>0</v>
      </c>
      <c r="G13" s="37">
        <f t="shared" si="0"/>
        <v>78.120220000000245</v>
      </c>
      <c r="H13" s="37">
        <f t="shared" si="0"/>
        <v>24.430680600000301</v>
      </c>
      <c r="I13" s="37">
        <f t="shared" ref="I13:R13" si="1">SUM(I8:I12)</f>
        <v>230</v>
      </c>
      <c r="J13" s="37">
        <f t="shared" si="1"/>
        <v>0</v>
      </c>
      <c r="K13" s="37">
        <f t="shared" si="1"/>
        <v>0</v>
      </c>
      <c r="L13" s="37">
        <f t="shared" si="1"/>
        <v>254.4306806000003</v>
      </c>
      <c r="M13" s="37">
        <f t="shared" si="1"/>
        <v>0</v>
      </c>
      <c r="N13" s="37">
        <f t="shared" si="1"/>
        <v>280</v>
      </c>
      <c r="O13" s="37">
        <f t="shared" si="1"/>
        <v>0</v>
      </c>
      <c r="P13" s="37">
        <f t="shared" si="1"/>
        <v>0</v>
      </c>
      <c r="Q13" s="37">
        <f t="shared" si="1"/>
        <v>280</v>
      </c>
      <c r="R13" s="37">
        <f t="shared" si="1"/>
        <v>0</v>
      </c>
    </row>
    <row r="14" spans="1:18" ht="13">
      <c r="A14" s="23">
        <v>1</v>
      </c>
      <c r="B14" s="534" t="s">
        <v>530</v>
      </c>
      <c r="C14" s="37"/>
      <c r="D14" s="37"/>
      <c r="E14" s="37"/>
      <c r="F14" s="37"/>
      <c r="G14" s="37"/>
      <c r="H14" s="37"/>
      <c r="I14" s="37"/>
      <c r="J14" s="37"/>
      <c r="K14" s="37"/>
      <c r="L14" s="37"/>
      <c r="M14" s="37"/>
      <c r="N14" s="37"/>
      <c r="O14" s="37"/>
      <c r="P14" s="37"/>
      <c r="Q14" s="37"/>
      <c r="R14" s="37"/>
    </row>
    <row r="15" spans="1:18" ht="13">
      <c r="A15" s="23">
        <v>2</v>
      </c>
      <c r="B15" s="436" t="s">
        <v>531</v>
      </c>
      <c r="C15" s="36">
        <f>CWIP!B25</f>
        <v>0</v>
      </c>
      <c r="D15" s="36">
        <f>CWIP!H25</f>
        <v>0</v>
      </c>
      <c r="E15" s="36">
        <f>CWIP!I25</f>
        <v>0</v>
      </c>
      <c r="F15" s="36"/>
      <c r="G15" s="36">
        <f>CWIP!K25</f>
        <v>0</v>
      </c>
      <c r="H15" s="37">
        <f t="shared" ref="H15:H20" si="2">C15+D15+E15-G15</f>
        <v>0</v>
      </c>
      <c r="I15" s="36">
        <f>CWIP!R25</f>
        <v>0</v>
      </c>
      <c r="J15" s="36">
        <f>CWIP!S25</f>
        <v>0</v>
      </c>
      <c r="K15" s="36"/>
      <c r="L15" s="36">
        <f>CWIP!U25+CWIP!V25</f>
        <v>0</v>
      </c>
      <c r="M15" s="37">
        <f t="shared" ref="M15:M22" si="3">H15+I15+J15-L15</f>
        <v>0</v>
      </c>
      <c r="N15" s="36">
        <f>CWIP!AC25</f>
        <v>0</v>
      </c>
      <c r="O15" s="36">
        <f>CWIP!AD25</f>
        <v>0</v>
      </c>
      <c r="P15" s="36"/>
      <c r="Q15" s="36">
        <f>CWIP!AF25+CWIP!AG25</f>
        <v>0</v>
      </c>
      <c r="R15" s="36">
        <f t="shared" ref="R15:R22" si="4">M15+N15+O15-Q15</f>
        <v>0</v>
      </c>
    </row>
    <row r="16" spans="1:18" ht="13">
      <c r="A16" s="23">
        <v>3</v>
      </c>
      <c r="B16" s="436" t="s">
        <v>532</v>
      </c>
      <c r="C16" s="36">
        <f>CWIP!B22</f>
        <v>0</v>
      </c>
      <c r="D16" s="36">
        <f>CWIP!H22</f>
        <v>0</v>
      </c>
      <c r="E16" s="36">
        <f>CWIP!I22</f>
        <v>0</v>
      </c>
      <c r="F16" s="36"/>
      <c r="G16" s="243">
        <f>CWIP!K22</f>
        <v>0</v>
      </c>
      <c r="H16" s="37">
        <f t="shared" si="2"/>
        <v>0</v>
      </c>
      <c r="I16" s="243">
        <f>CWIP!R22</f>
        <v>0</v>
      </c>
      <c r="J16" s="36"/>
      <c r="K16" s="36"/>
      <c r="L16" s="243">
        <f>CWIP!U22+CWIP!V22</f>
        <v>0</v>
      </c>
      <c r="M16" s="37">
        <f t="shared" si="3"/>
        <v>0</v>
      </c>
      <c r="N16" s="37">
        <f>CWIP!AC22</f>
        <v>0</v>
      </c>
      <c r="O16" s="36"/>
      <c r="P16" s="36"/>
      <c r="Q16" s="37">
        <f>CWIP!AF22+CWIP!AG22</f>
        <v>0</v>
      </c>
      <c r="R16" s="36">
        <f t="shared" si="4"/>
        <v>0</v>
      </c>
    </row>
    <row r="17" spans="1:18" ht="13">
      <c r="A17" s="23">
        <v>4</v>
      </c>
      <c r="B17" s="436" t="s">
        <v>533</v>
      </c>
      <c r="C17" s="36">
        <f>CWIP!B19</f>
        <v>505.90923999999904</v>
      </c>
      <c r="D17" s="243">
        <f>CWIP!H19</f>
        <v>12694.97031071277</v>
      </c>
      <c r="E17" s="243">
        <f>CWIP!I19</f>
        <v>0</v>
      </c>
      <c r="F17" s="36"/>
      <c r="G17" s="243">
        <f>CWIP!K19</f>
        <v>11348.26441</v>
      </c>
      <c r="H17" s="37">
        <f t="shared" si="2"/>
        <v>1852.6151407127691</v>
      </c>
      <c r="I17" s="243">
        <f>CWIP!R19</f>
        <v>18491.2</v>
      </c>
      <c r="J17" s="37"/>
      <c r="K17" s="37"/>
      <c r="L17" s="243">
        <f>CWIP!U19+CWIP!V19</f>
        <v>11098.215140712769</v>
      </c>
      <c r="M17" s="37">
        <f t="shared" si="3"/>
        <v>9245.6</v>
      </c>
      <c r="N17" s="37">
        <f>CWIP!AC19</f>
        <v>18491.2</v>
      </c>
      <c r="O17" s="37"/>
      <c r="P17" s="37"/>
      <c r="Q17" s="37">
        <f>CWIP!AF19+CWIP!AG19</f>
        <v>18491.2</v>
      </c>
      <c r="R17" s="36">
        <f t="shared" si="4"/>
        <v>9245.6000000000022</v>
      </c>
    </row>
    <row r="18" spans="1:18" ht="13">
      <c r="A18" s="23">
        <v>5</v>
      </c>
      <c r="B18" s="978" t="s">
        <v>534</v>
      </c>
      <c r="C18" s="36">
        <f>CWIP!B26</f>
        <v>0</v>
      </c>
      <c r="D18" s="36">
        <f>CWIP!H26</f>
        <v>0</v>
      </c>
      <c r="E18" s="36">
        <f>CWIP!I26</f>
        <v>0</v>
      </c>
      <c r="F18" s="36"/>
      <c r="G18" s="36">
        <f>CWIP!K26</f>
        <v>0</v>
      </c>
      <c r="H18" s="37">
        <f t="shared" si="2"/>
        <v>0</v>
      </c>
      <c r="I18" s="36">
        <f>CWIP!R26</f>
        <v>0</v>
      </c>
      <c r="J18" s="36">
        <f>CWIP!S26</f>
        <v>0</v>
      </c>
      <c r="K18" s="36"/>
      <c r="L18" s="36">
        <f>CWIP!U26+CWIP!V26</f>
        <v>0</v>
      </c>
      <c r="M18" s="37">
        <f t="shared" si="3"/>
        <v>0</v>
      </c>
      <c r="N18" s="36">
        <f>CWIP!AC26</f>
        <v>0</v>
      </c>
      <c r="O18" s="36">
        <f>CWIP!AD26</f>
        <v>0</v>
      </c>
      <c r="P18" s="36"/>
      <c r="Q18" s="36">
        <f>CWIP!AF26+CWIP!AG26</f>
        <v>0</v>
      </c>
      <c r="R18" s="36">
        <f t="shared" si="4"/>
        <v>0</v>
      </c>
    </row>
    <row r="19" spans="1:18" ht="13">
      <c r="A19" s="23">
        <v>6</v>
      </c>
      <c r="B19" s="436" t="s">
        <v>535</v>
      </c>
      <c r="C19" s="36">
        <f>CWIP!B20+CWIP!B21</f>
        <v>0</v>
      </c>
      <c r="D19" s="36">
        <f>CWIP!H20+CWIP!H21</f>
        <v>5379.7070776999999</v>
      </c>
      <c r="E19" s="36">
        <f>CWIP!I20+CWIP!I21</f>
        <v>0</v>
      </c>
      <c r="F19" s="36"/>
      <c r="G19" s="243">
        <f>CWIP!K20+CWIP!K21</f>
        <v>3132.3381380999999</v>
      </c>
      <c r="H19" s="37">
        <f t="shared" si="2"/>
        <v>2247.3689396</v>
      </c>
      <c r="I19" s="243">
        <f>CWIP!R20+CWIP!R21</f>
        <v>4064</v>
      </c>
      <c r="J19" s="36"/>
      <c r="K19" s="36"/>
      <c r="L19" s="243">
        <f>CWIP!U20+CWIP!V20+CWIP!U21+CWIP!V21</f>
        <v>6311.3689396</v>
      </c>
      <c r="M19" s="37">
        <f t="shared" si="3"/>
        <v>0</v>
      </c>
      <c r="N19" s="37">
        <f>CWIP!AC20+CWIP!AC21</f>
        <v>2307</v>
      </c>
      <c r="O19" s="36"/>
      <c r="P19" s="36"/>
      <c r="Q19" s="37">
        <f>CWIP!AF20+CWIP!AG20+CWIP!AF21+CWIP!AG21</f>
        <v>1153.5</v>
      </c>
      <c r="R19" s="36">
        <f t="shared" si="4"/>
        <v>1153.5</v>
      </c>
    </row>
    <row r="20" spans="1:18" ht="13">
      <c r="A20" s="23">
        <v>7</v>
      </c>
      <c r="B20" s="978" t="s">
        <v>536</v>
      </c>
      <c r="C20" s="36">
        <f>CWIP!B17+CWIP!B18</f>
        <v>0</v>
      </c>
      <c r="D20" s="36">
        <f>CWIP!H17+CWIP!H18</f>
        <v>0</v>
      </c>
      <c r="E20" s="36">
        <f>CWIP!I17+CWIP!I18</f>
        <v>0</v>
      </c>
      <c r="F20" s="36"/>
      <c r="G20" s="36">
        <f>CWIP!K17+CWIP!K18</f>
        <v>0</v>
      </c>
      <c r="H20" s="37">
        <f t="shared" si="2"/>
        <v>0</v>
      </c>
      <c r="I20" s="36">
        <f>CWIP!R17+CWIP!R18</f>
        <v>754.03384440000013</v>
      </c>
      <c r="J20" s="36">
        <f>CWIP!S17</f>
        <v>0</v>
      </c>
      <c r="K20" s="36"/>
      <c r="L20" s="36">
        <f>CWIP!U17+CWIP!V17+CWIP!U18+CWIP!V18</f>
        <v>377.01692220000007</v>
      </c>
      <c r="M20" s="37">
        <f t="shared" si="3"/>
        <v>377.01692220000007</v>
      </c>
      <c r="N20" s="36">
        <f>CWIP!AC17+CWIP!AC18</f>
        <v>766.19190948800019</v>
      </c>
      <c r="O20" s="36">
        <f>CWIP!AD17</f>
        <v>0</v>
      </c>
      <c r="P20" s="36"/>
      <c r="Q20" s="36">
        <f>CWIP!AF17+CWIP!AG17+CWIP!AF18+CWIP!AG18</f>
        <v>760.11287694400016</v>
      </c>
      <c r="R20" s="36">
        <f t="shared" si="4"/>
        <v>383.09595474400021</v>
      </c>
    </row>
    <row r="21" spans="1:18" ht="13">
      <c r="A21" s="23">
        <v>8</v>
      </c>
      <c r="B21" s="978" t="s">
        <v>537</v>
      </c>
      <c r="C21" s="36"/>
      <c r="D21" s="36"/>
      <c r="E21" s="36"/>
      <c r="F21" s="36"/>
      <c r="G21" s="36"/>
      <c r="H21" s="37">
        <f t="shared" ref="H21:H31" si="5">C21+D21+E21-G21</f>
        <v>0</v>
      </c>
      <c r="I21" s="36">
        <f>CWIP!R23</f>
        <v>0</v>
      </c>
      <c r="J21" s="36">
        <f>CWIP!S23</f>
        <v>0</v>
      </c>
      <c r="K21" s="36"/>
      <c r="L21" s="36">
        <f>CWIP!U23+CWIP!V23</f>
        <v>0</v>
      </c>
      <c r="M21" s="37">
        <f t="shared" si="3"/>
        <v>0</v>
      </c>
      <c r="N21" s="36">
        <f>CWIP!AC23</f>
        <v>0</v>
      </c>
      <c r="O21" s="36">
        <f>CWIP!AD23</f>
        <v>0</v>
      </c>
      <c r="P21" s="36"/>
      <c r="Q21" s="36">
        <f>CWIP!AF23+CWIP!AG23</f>
        <v>0</v>
      </c>
      <c r="R21" s="36">
        <f t="shared" si="4"/>
        <v>0</v>
      </c>
    </row>
    <row r="22" spans="1:18" ht="13">
      <c r="A22" s="23">
        <v>9</v>
      </c>
      <c r="B22" s="978" t="s">
        <v>538</v>
      </c>
      <c r="C22" s="36">
        <f>CWIP!B24</f>
        <v>0</v>
      </c>
      <c r="D22" s="36">
        <f>CWIP!H24</f>
        <v>0</v>
      </c>
      <c r="E22" s="36">
        <f>CWIP!I24</f>
        <v>0</v>
      </c>
      <c r="F22" s="36"/>
      <c r="G22" s="36">
        <f>CWIP!K24</f>
        <v>0</v>
      </c>
      <c r="H22" s="37">
        <f t="shared" si="5"/>
        <v>0</v>
      </c>
      <c r="I22" s="36">
        <f>CWIP!R24</f>
        <v>0</v>
      </c>
      <c r="J22" s="36">
        <f>CWIP!S24</f>
        <v>0</v>
      </c>
      <c r="K22" s="36"/>
      <c r="L22" s="36">
        <f>CWIP!U24+CWIP!V24</f>
        <v>0</v>
      </c>
      <c r="M22" s="37">
        <f t="shared" si="3"/>
        <v>0</v>
      </c>
      <c r="N22" s="36">
        <f>CWIP!AC24</f>
        <v>0</v>
      </c>
      <c r="O22" s="36">
        <f>CWIP!AD24</f>
        <v>0</v>
      </c>
      <c r="P22" s="36"/>
      <c r="Q22" s="36">
        <f>CWIP!AF24+CWIP!AG24</f>
        <v>0</v>
      </c>
      <c r="R22" s="36">
        <f t="shared" si="4"/>
        <v>0</v>
      </c>
    </row>
    <row r="23" spans="1:18" ht="13">
      <c r="A23" s="23">
        <v>10</v>
      </c>
      <c r="B23" s="978" t="s">
        <v>539</v>
      </c>
      <c r="C23" s="36">
        <f>CWIP!B29</f>
        <v>0</v>
      </c>
      <c r="D23" s="36">
        <f>CWIP!H29</f>
        <v>0</v>
      </c>
      <c r="E23" s="36">
        <f>CWIP!I29</f>
        <v>0</v>
      </c>
      <c r="F23" s="36"/>
      <c r="G23" s="36">
        <f>CWIP!K29</f>
        <v>0</v>
      </c>
      <c r="H23" s="37">
        <f t="shared" si="5"/>
        <v>0</v>
      </c>
      <c r="I23" s="36">
        <f>CWIP!R29</f>
        <v>0</v>
      </c>
      <c r="J23" s="36">
        <f>CWIP!S29</f>
        <v>0</v>
      </c>
      <c r="K23" s="36"/>
      <c r="L23" s="36">
        <f>CWIP!U29+CWIP!V29</f>
        <v>0</v>
      </c>
      <c r="M23" s="37">
        <f>H23+I23+J23-L23</f>
        <v>0</v>
      </c>
      <c r="N23" s="36">
        <f>CWIP!AC29</f>
        <v>0</v>
      </c>
      <c r="O23" s="36">
        <f>CWIP!AD29</f>
        <v>0</v>
      </c>
      <c r="P23" s="36"/>
      <c r="Q23" s="36">
        <f>CWIP!AF29+CWIP!AG29</f>
        <v>0</v>
      </c>
      <c r="R23" s="36">
        <f>M23+N23+O23-Q23</f>
        <v>0</v>
      </c>
    </row>
    <row r="24" spans="1:18" ht="13">
      <c r="A24" s="23">
        <v>11</v>
      </c>
      <c r="B24" s="978" t="s">
        <v>540</v>
      </c>
      <c r="C24" s="36"/>
      <c r="D24" s="36"/>
      <c r="E24" s="36"/>
      <c r="F24" s="36"/>
      <c r="G24" s="36"/>
      <c r="H24" s="37">
        <f t="shared" si="5"/>
        <v>0</v>
      </c>
      <c r="I24" s="36">
        <f>CWIP!R28</f>
        <v>0</v>
      </c>
      <c r="J24" s="36">
        <f>CWIP!S28</f>
        <v>0</v>
      </c>
      <c r="K24" s="36"/>
      <c r="L24" s="36">
        <f>CWIP!U28+CWIP!V28</f>
        <v>0</v>
      </c>
      <c r="M24" s="37">
        <f>H24+I24+J24-L24</f>
        <v>0</v>
      </c>
      <c r="N24" s="36">
        <f>CWIP!AC28</f>
        <v>0</v>
      </c>
      <c r="O24" s="36">
        <f>CWIP!AD28</f>
        <v>0</v>
      </c>
      <c r="P24" s="36"/>
      <c r="Q24" s="36">
        <f>CWIP!AF28+CWIP!AG28</f>
        <v>0</v>
      </c>
      <c r="R24" s="36">
        <f>M24+N24+O24-Q24</f>
        <v>0</v>
      </c>
    </row>
    <row r="25" spans="1:18" ht="13">
      <c r="A25" s="23">
        <v>12</v>
      </c>
      <c r="B25" s="978" t="s">
        <v>541</v>
      </c>
      <c r="C25" s="36">
        <f>CWIP!B27</f>
        <v>0</v>
      </c>
      <c r="D25" s="36">
        <f>CWIP!H27</f>
        <v>5893</v>
      </c>
      <c r="E25" s="36">
        <f>CWIP!I27</f>
        <v>0</v>
      </c>
      <c r="F25" s="36"/>
      <c r="G25" s="36">
        <f>CWIP!K27</f>
        <v>5893</v>
      </c>
      <c r="H25" s="37">
        <f t="shared" si="5"/>
        <v>0</v>
      </c>
      <c r="I25" s="36">
        <f>CWIP!R27</f>
        <v>9363.8404705467965</v>
      </c>
      <c r="J25" s="36">
        <f>CWIP!S27</f>
        <v>0</v>
      </c>
      <c r="K25" s="36"/>
      <c r="L25" s="36">
        <f>CWIP!U27+CWIP!V27</f>
        <v>9363.8404705467965</v>
      </c>
      <c r="M25" s="37">
        <f>H25+I25+J25-L25</f>
        <v>0</v>
      </c>
      <c r="N25" s="36">
        <f>CWIP!AC27</f>
        <v>8581.6957911999998</v>
      </c>
      <c r="O25" s="36">
        <f>CWIP!AD27</f>
        <v>0</v>
      </c>
      <c r="P25" s="36"/>
      <c r="Q25" s="36">
        <f>CWIP!AF27+CWIP!AG27</f>
        <v>8581.6957911999998</v>
      </c>
      <c r="R25" s="36">
        <f>M25+N25+O25-Q25</f>
        <v>0</v>
      </c>
    </row>
    <row r="26" spans="1:18" ht="13">
      <c r="A26" s="23">
        <v>13</v>
      </c>
      <c r="B26" s="979" t="s">
        <v>542</v>
      </c>
      <c r="C26" s="36">
        <f>CWIP!B16+CWIP!B15</f>
        <v>0</v>
      </c>
      <c r="D26" s="36">
        <f>CWIP!H14+CWIP!H16+CWIP!H15</f>
        <v>0</v>
      </c>
      <c r="E26" s="36">
        <f>CWIP!I14+CWIP!I16+CWIP!I15</f>
        <v>0</v>
      </c>
      <c r="F26" s="36"/>
      <c r="G26" s="36">
        <f>CWIP!K15+CWIP!K16</f>
        <v>0</v>
      </c>
      <c r="H26" s="37">
        <f t="shared" si="5"/>
        <v>0</v>
      </c>
      <c r="I26" s="36">
        <f>CWIP!R14+CWIP!R16+CWIP!R15</f>
        <v>0</v>
      </c>
      <c r="J26" s="36"/>
      <c r="K26" s="36"/>
      <c r="L26" s="36">
        <f>CWIP!U14+CWIP!V14+CWIP!U16+CWIP!V16+CWIP!U15+CWIP!V15</f>
        <v>0</v>
      </c>
      <c r="M26" s="37">
        <f>H26+I26+J26-L26</f>
        <v>0</v>
      </c>
      <c r="N26" s="36">
        <f>CWIP!AC15+CWIP!AC14+CWIP!AC16</f>
        <v>0</v>
      </c>
      <c r="O26" s="36"/>
      <c r="P26" s="36"/>
      <c r="Q26" s="36">
        <f>CWIP!AF14+CWIP!AG14+CWIP!AF16+CWIP!AG16+CWIP!AF15+CWIP!AG15</f>
        <v>0</v>
      </c>
      <c r="R26" s="36">
        <f>M26+N26+O26-Q26</f>
        <v>0</v>
      </c>
    </row>
    <row r="27" spans="1:18" ht="13">
      <c r="A27" s="23">
        <v>14</v>
      </c>
      <c r="B27" s="979" t="s">
        <v>543</v>
      </c>
      <c r="C27" s="36">
        <f>CWIP!B30</f>
        <v>345.98089530000016</v>
      </c>
      <c r="D27" s="36">
        <f>CWIP!H30</f>
        <v>9515.6352303780113</v>
      </c>
      <c r="E27" s="36">
        <f>CWIP!I30</f>
        <v>49.443967621755299</v>
      </c>
      <c r="F27" s="36"/>
      <c r="G27" s="36">
        <f>CWIP!K30</f>
        <v>8863.6253015997663</v>
      </c>
      <c r="H27" s="37">
        <f>C27+D27+E27-G27</f>
        <v>1047.4347916999996</v>
      </c>
      <c r="I27" s="36">
        <f>CWIP!R30</f>
        <v>7056.768</v>
      </c>
      <c r="J27" s="36">
        <f>CWIP!S30</f>
        <v>28.227072000000003</v>
      </c>
      <c r="K27" s="36"/>
      <c r="L27" s="36">
        <f>CWIP!U30+CWIP!V30</f>
        <v>7073.9146637000003</v>
      </c>
      <c r="M27" s="37">
        <f t="shared" ref="M27:M31" si="6">H27+I27+J27-L27</f>
        <v>1058.5151999999989</v>
      </c>
      <c r="N27" s="36">
        <f>CWIP!AC30</f>
        <v>5035.9939999999997</v>
      </c>
      <c r="O27" s="36">
        <f>CWIP!AD30</f>
        <v>70.50391599999999</v>
      </c>
      <c r="P27" s="36"/>
      <c r="Q27" s="36">
        <f>CWIP!AF30+CWIP!AG30</f>
        <v>5157.814316</v>
      </c>
      <c r="R27" s="36">
        <f t="shared" ref="R27:R31" si="7">M27+N27+O27-Q27</f>
        <v>1007.1987999999983</v>
      </c>
    </row>
    <row r="28" spans="1:18" ht="13">
      <c r="A28" s="23">
        <v>15</v>
      </c>
      <c r="B28" s="979" t="s">
        <v>544</v>
      </c>
      <c r="C28" s="36">
        <f>CWIP!B31</f>
        <v>249.0741238999999</v>
      </c>
      <c r="D28" s="36">
        <f>CWIP!H31</f>
        <v>8077.011953334837</v>
      </c>
      <c r="E28" s="36">
        <f>CWIP!I31</f>
        <v>41.968771167928999</v>
      </c>
      <c r="F28" s="36"/>
      <c r="G28" s="36">
        <f>CWIP!K31</f>
        <v>6757.8191587627671</v>
      </c>
      <c r="H28" s="37">
        <f t="shared" si="5"/>
        <v>1610.2356896399988</v>
      </c>
      <c r="I28" s="36">
        <f>CWIP!R31</f>
        <v>8293.98</v>
      </c>
      <c r="J28" s="36">
        <f>CWIP!S31</f>
        <v>33.175919999999998</v>
      </c>
      <c r="K28" s="36"/>
      <c r="L28" s="36">
        <f>CWIP!U31+CWIP!V31</f>
        <v>8693.2946096399974</v>
      </c>
      <c r="M28" s="37">
        <f>H28+I28+J28-L28</f>
        <v>1244.0969999999998</v>
      </c>
      <c r="N28" s="36">
        <f>CWIP!AC31</f>
        <v>5693.3140000000003</v>
      </c>
      <c r="O28" s="36">
        <f>CWIP!AD31</f>
        <v>79.706395999999998</v>
      </c>
      <c r="P28" s="36"/>
      <c r="Q28" s="36">
        <f>CWIP!AF31+CWIP!AG31</f>
        <v>5878.4545959999996</v>
      </c>
      <c r="R28" s="36">
        <f t="shared" si="7"/>
        <v>1138.6628000000001</v>
      </c>
    </row>
    <row r="29" spans="1:18" ht="13">
      <c r="A29" s="23">
        <v>16</v>
      </c>
      <c r="B29" s="979" t="s">
        <v>545</v>
      </c>
      <c r="C29" s="36">
        <f>CWIP!B32</f>
        <v>60.320547299999987</v>
      </c>
      <c r="D29" s="36">
        <f>CWIP!H32</f>
        <v>8505.1563378896499</v>
      </c>
      <c r="E29" s="36">
        <f>CWIP!I32</f>
        <v>44.1934420989651</v>
      </c>
      <c r="F29" s="36"/>
      <c r="G29" s="36">
        <f>CWIP!K32</f>
        <v>6647.3373569286168</v>
      </c>
      <c r="H29" s="37">
        <f t="shared" si="5"/>
        <v>1962.3329703599984</v>
      </c>
      <c r="I29" s="36">
        <f>CWIP!R32</f>
        <v>15353.882</v>
      </c>
      <c r="J29" s="36">
        <f>CWIP!S32</f>
        <v>61.415528000000002</v>
      </c>
      <c r="K29" s="36"/>
      <c r="L29" s="36">
        <f>CWIP!U32+CWIP!V32</f>
        <v>15074.548198359998</v>
      </c>
      <c r="M29" s="37">
        <f t="shared" si="6"/>
        <v>2303.0823</v>
      </c>
      <c r="N29" s="36">
        <f>CWIP!AC32</f>
        <v>12456.304</v>
      </c>
      <c r="O29" s="36">
        <f>CWIP!AD32</f>
        <v>174.38825599999998</v>
      </c>
      <c r="P29" s="36"/>
      <c r="Q29" s="36">
        <f>CWIP!AF32+CWIP!AG32</f>
        <v>12442.513756</v>
      </c>
      <c r="R29" s="36">
        <f t="shared" si="7"/>
        <v>2491.2608</v>
      </c>
    </row>
    <row r="30" spans="1:18" ht="13">
      <c r="A30" s="23">
        <v>17</v>
      </c>
      <c r="B30" s="979" t="s">
        <v>546</v>
      </c>
      <c r="C30" s="36">
        <f>CWIP!B33</f>
        <v>1260.5773460999999</v>
      </c>
      <c r="D30" s="36">
        <f>CWIP!H33</f>
        <v>11303.336981491229</v>
      </c>
      <c r="E30" s="36">
        <f>CWIP!I33</f>
        <v>58.733002495351002</v>
      </c>
      <c r="F30" s="36"/>
      <c r="G30" s="36">
        <f>CWIP!K33</f>
        <v>11309.5571265866</v>
      </c>
      <c r="H30" s="37">
        <f t="shared" si="5"/>
        <v>1313.0902034999799</v>
      </c>
      <c r="I30" s="36">
        <f>CWIP!R33</f>
        <v>15186.138000000001</v>
      </c>
      <c r="J30" s="36">
        <f>CWIP!S33</f>
        <v>60.744552000000006</v>
      </c>
      <c r="K30" s="36"/>
      <c r="L30" s="36">
        <f>CWIP!U33+CWIP!V33</f>
        <v>14282.052055499982</v>
      </c>
      <c r="M30" s="37">
        <f t="shared" si="6"/>
        <v>2277.9206999999988</v>
      </c>
      <c r="N30" s="36">
        <f>CWIP!AC33</f>
        <v>20134.789999999997</v>
      </c>
      <c r="O30" s="36">
        <f>CWIP!AD33</f>
        <v>281.88705999999996</v>
      </c>
      <c r="P30" s="36"/>
      <c r="Q30" s="36">
        <f>CWIP!AF33+CWIP!AG33</f>
        <v>18667.639760000002</v>
      </c>
      <c r="R30" s="36">
        <f t="shared" si="7"/>
        <v>4026.9579999999951</v>
      </c>
    </row>
    <row r="31" spans="1:18" ht="13">
      <c r="A31" s="23">
        <v>18</v>
      </c>
      <c r="B31" s="979" t="s">
        <v>547</v>
      </c>
      <c r="C31" s="36">
        <f>CWIP!B34</f>
        <v>1199.6942848999988</v>
      </c>
      <c r="D31" s="36">
        <f>CWIP!H34</f>
        <v>11061.97103850627</v>
      </c>
      <c r="E31" s="36">
        <f>CWIP!I34</f>
        <v>57.478846615999501</v>
      </c>
      <c r="F31" s="36"/>
      <c r="G31" s="36">
        <f>CWIP!K34</f>
        <v>10410.73052082227</v>
      </c>
      <c r="H31" s="37">
        <f t="shared" si="5"/>
        <v>1908.413649199998</v>
      </c>
      <c r="I31" s="36">
        <f>CWIP!R34</f>
        <v>19491.296000000002</v>
      </c>
      <c r="J31" s="36">
        <f>CWIP!S34</f>
        <v>99.770261333333366</v>
      </c>
      <c r="K31" s="36"/>
      <c r="L31" s="36">
        <f>CWIP!U34+CWIP!V34</f>
        <v>18575.785510533336</v>
      </c>
      <c r="M31" s="37">
        <f t="shared" si="6"/>
        <v>2923.6943999999967</v>
      </c>
      <c r="N31" s="36">
        <f>CWIP!AC34</f>
        <v>15702.397999999999</v>
      </c>
      <c r="O31" s="36">
        <f>CWIP!AD34</f>
        <v>746.84770533333335</v>
      </c>
      <c r="P31" s="36"/>
      <c r="Q31" s="36">
        <f>CWIP!AF34+CWIP!AG34</f>
        <v>16232.460505333333</v>
      </c>
      <c r="R31" s="36">
        <f t="shared" si="7"/>
        <v>3140.4795999999951</v>
      </c>
    </row>
    <row r="32" spans="1:18">
      <c r="A32" s="23"/>
      <c r="B32" s="980" t="s">
        <v>548</v>
      </c>
      <c r="C32" s="36">
        <f>SUM(C14:C31)</f>
        <v>3621.5564374999976</v>
      </c>
      <c r="D32" s="36">
        <f>SUM(D14:D31)</f>
        <v>72430.788930012757</v>
      </c>
      <c r="E32" s="36">
        <f>SUM(E14:E31)</f>
        <v>251.81802999999991</v>
      </c>
      <c r="F32" s="36">
        <f t="shared" ref="F32:R32" si="8">SUM(F14:F31)</f>
        <v>0</v>
      </c>
      <c r="G32" s="36">
        <f t="shared" si="8"/>
        <v>64362.672012800023</v>
      </c>
      <c r="H32" s="36">
        <f t="shared" si="8"/>
        <v>11941.491384712743</v>
      </c>
      <c r="I32" s="36">
        <f t="shared" si="8"/>
        <v>98055.138314946802</v>
      </c>
      <c r="J32" s="36">
        <f t="shared" si="8"/>
        <v>283.33333333333337</v>
      </c>
      <c r="K32" s="36">
        <f t="shared" si="8"/>
        <v>0</v>
      </c>
      <c r="L32" s="36">
        <f t="shared" si="8"/>
        <v>90850.036510792881</v>
      </c>
      <c r="M32" s="36">
        <f t="shared" si="8"/>
        <v>19429.926522199996</v>
      </c>
      <c r="N32" s="36">
        <f t="shared" si="8"/>
        <v>89168.887700687992</v>
      </c>
      <c r="O32" s="36">
        <f t="shared" si="8"/>
        <v>1353.3333333333333</v>
      </c>
      <c r="P32" s="36">
        <f t="shared" si="8"/>
        <v>0</v>
      </c>
      <c r="Q32" s="36">
        <f t="shared" si="8"/>
        <v>87365.391601477342</v>
      </c>
      <c r="R32" s="36">
        <f t="shared" si="8"/>
        <v>22586.755954743992</v>
      </c>
    </row>
    <row r="33" spans="1:18">
      <c r="A33" s="23"/>
      <c r="B33" s="980"/>
      <c r="C33" s="36"/>
      <c r="D33" s="36"/>
      <c r="E33" s="36"/>
      <c r="F33" s="36"/>
      <c r="G33" s="36"/>
      <c r="H33" s="36"/>
      <c r="I33" s="36"/>
      <c r="J33" s="36"/>
      <c r="K33" s="36"/>
      <c r="L33" s="36"/>
      <c r="M33" s="36"/>
      <c r="N33" s="36"/>
      <c r="O33" s="36"/>
      <c r="P33" s="36"/>
      <c r="Q33" s="36"/>
      <c r="R33" s="36"/>
    </row>
    <row r="34" spans="1:18" ht="13">
      <c r="A34" s="23"/>
      <c r="B34" s="23" t="s">
        <v>549</v>
      </c>
      <c r="C34" s="36">
        <f>CWIP!B42</f>
        <v>628.39329999999995</v>
      </c>
      <c r="D34" s="36"/>
      <c r="E34" s="36"/>
      <c r="F34" s="36"/>
      <c r="G34" s="36"/>
      <c r="H34" s="37">
        <f>CWIP!L42</f>
        <v>313.74452159999998</v>
      </c>
      <c r="I34" s="36"/>
      <c r="J34" s="36"/>
      <c r="K34" s="36"/>
      <c r="L34" s="36"/>
      <c r="M34" s="37">
        <f>CWIP!W42</f>
        <v>500</v>
      </c>
      <c r="N34" s="36"/>
      <c r="O34" s="36"/>
      <c r="P34" s="36"/>
      <c r="Q34" s="36"/>
      <c r="R34" s="36">
        <f>CWIP!AH42</f>
        <v>800</v>
      </c>
    </row>
    <row r="35" spans="1:18" ht="13">
      <c r="A35" s="23"/>
      <c r="B35" s="23" t="s">
        <v>550</v>
      </c>
      <c r="C35" s="36">
        <f>CWIP!B43</f>
        <v>3877.9539825000002</v>
      </c>
      <c r="D35" s="36"/>
      <c r="E35" s="36"/>
      <c r="F35" s="36"/>
      <c r="G35" s="36"/>
      <c r="H35" s="37">
        <f>CWIP!L43</f>
        <v>11972.2491869</v>
      </c>
      <c r="I35" s="36"/>
      <c r="J35" s="36"/>
      <c r="K35" s="36"/>
      <c r="L35" s="36"/>
      <c r="M35" s="37">
        <f>CWIP!W43</f>
        <v>6020</v>
      </c>
      <c r="N35" s="36"/>
      <c r="O35" s="36"/>
      <c r="P35" s="36"/>
      <c r="Q35" s="36"/>
      <c r="R35" s="36">
        <f>CWIP!AH43</f>
        <v>6622</v>
      </c>
    </row>
    <row r="36" spans="1:18" ht="18">
      <c r="A36" s="23"/>
      <c r="B36" s="981" t="s">
        <v>551</v>
      </c>
      <c r="C36" s="37">
        <f t="shared" ref="C36:R36" si="9">C13+SUM(C32:C35)</f>
        <v>8201.7946205999979</v>
      </c>
      <c r="D36" s="37">
        <f t="shared" si="9"/>
        <v>72459.448930012761</v>
      </c>
      <c r="E36" s="37">
        <f t="shared" si="9"/>
        <v>251.81802999999991</v>
      </c>
      <c r="F36" s="37">
        <f t="shared" si="9"/>
        <v>0</v>
      </c>
      <c r="G36" s="37">
        <f t="shared" si="9"/>
        <v>64440.79223280002</v>
      </c>
      <c r="H36" s="37">
        <f t="shared" si="9"/>
        <v>24251.915773812743</v>
      </c>
      <c r="I36" s="37">
        <f t="shared" si="9"/>
        <v>98285.138314946802</v>
      </c>
      <c r="J36" s="37">
        <f t="shared" si="9"/>
        <v>283.33333333333337</v>
      </c>
      <c r="K36" s="37">
        <f t="shared" si="9"/>
        <v>0</v>
      </c>
      <c r="L36" s="37">
        <f t="shared" si="9"/>
        <v>91104.467191392876</v>
      </c>
      <c r="M36" s="37">
        <f t="shared" si="9"/>
        <v>25949.926522199996</v>
      </c>
      <c r="N36" s="37">
        <f t="shared" si="9"/>
        <v>89448.887700687992</v>
      </c>
      <c r="O36" s="37">
        <f t="shared" si="9"/>
        <v>1353.3333333333333</v>
      </c>
      <c r="P36" s="37">
        <f t="shared" si="9"/>
        <v>0</v>
      </c>
      <c r="Q36" s="37">
        <f t="shared" si="9"/>
        <v>87645.391601477342</v>
      </c>
      <c r="R36" s="37">
        <f t="shared" si="9"/>
        <v>30008.755954743992</v>
      </c>
    </row>
    <row r="37" spans="1:18">
      <c r="D37" s="7"/>
      <c r="H37" s="7"/>
      <c r="L37" s="7"/>
    </row>
    <row r="38" spans="1:18">
      <c r="E38" s="7"/>
      <c r="F38" s="7"/>
      <c r="H38" s="7"/>
      <c r="L38" s="7"/>
    </row>
    <row r="39" spans="1:18" ht="13">
      <c r="B39" s="145" t="s">
        <v>552</v>
      </c>
      <c r="C39" s="145"/>
      <c r="D39" s="145"/>
      <c r="E39" s="145"/>
      <c r="F39" s="145"/>
      <c r="G39" s="145"/>
      <c r="H39" s="146">
        <f>'F-21'!C28</f>
        <v>24251.915773812747</v>
      </c>
      <c r="I39" s="145"/>
      <c r="J39" s="145"/>
      <c r="K39" s="145"/>
      <c r="L39" s="145"/>
      <c r="M39" s="146">
        <f>'F-21'!D28</f>
        <v>25949.926522200003</v>
      </c>
      <c r="N39" s="145"/>
      <c r="O39" s="145"/>
      <c r="P39" s="145"/>
      <c r="Q39" s="145"/>
      <c r="R39" s="146">
        <f>'F-21'!E28</f>
        <v>30008.755954743996</v>
      </c>
    </row>
    <row r="40" spans="1:18">
      <c r="C40" s="7"/>
      <c r="D40" s="7"/>
      <c r="E40" s="7"/>
      <c r="F40" s="7"/>
      <c r="G40" s="7"/>
      <c r="H40" s="7"/>
      <c r="I40" s="7"/>
      <c r="J40" s="7"/>
      <c r="K40" s="7"/>
      <c r="L40" s="7"/>
      <c r="M40" s="7"/>
      <c r="N40" s="7"/>
      <c r="O40" s="7"/>
      <c r="P40" s="7"/>
      <c r="Q40" s="7"/>
      <c r="R40" s="7"/>
    </row>
    <row r="41" spans="1:18">
      <c r="H41" s="7">
        <f>H39-H36</f>
        <v>0</v>
      </c>
      <c r="I41" s="7"/>
      <c r="J41" s="7"/>
      <c r="K41" s="7"/>
      <c r="L41" s="7"/>
      <c r="M41" s="7">
        <f>M39-M36</f>
        <v>0</v>
      </c>
      <c r="N41" s="7"/>
      <c r="O41" s="7"/>
      <c r="P41" s="7"/>
      <c r="Q41" s="7"/>
      <c r="R41" s="7">
        <f>R39-R36</f>
        <v>0</v>
      </c>
    </row>
  </sheetData>
  <mergeCells count="3">
    <mergeCell ref="C4:H4"/>
    <mergeCell ref="I4:M4"/>
    <mergeCell ref="N4:R4"/>
  </mergeCells>
  <phoneticPr fontId="0" type="noConversion"/>
  <printOptions horizontalCentered="1" gridLines="1"/>
  <pageMargins left="0.23622047244094491" right="0" top="0.98425196850393704" bottom="0.74803149606299213" header="0.23622047244094491" footer="0.23622047244094491"/>
  <pageSetup paperSize="9" scale="75" orientation="landscape" r:id="rId1"/>
  <headerFooter alignWithMargins="0">
    <oddFooter>&amp;ROERC FORM-&amp;A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T34"/>
  <sheetViews>
    <sheetView showGridLines="0" view="pageBreakPreview" topLeftCell="A10" zoomScale="85" zoomScaleSheetLayoutView="85" workbookViewId="0">
      <selection activeCell="L17" sqref="L17"/>
    </sheetView>
  </sheetViews>
  <sheetFormatPr defaultColWidth="14.7265625" defaultRowHeight="12.5"/>
  <cols>
    <col min="1" max="1" width="42.81640625" customWidth="1"/>
    <col min="2" max="2" width="12.54296875" customWidth="1"/>
    <col min="3" max="3" width="10.26953125" customWidth="1"/>
    <col min="4" max="4" width="10.7265625" customWidth="1"/>
    <col min="5" max="5" width="14.26953125" customWidth="1"/>
    <col min="6" max="6" width="11" customWidth="1"/>
    <col min="7" max="7" width="11.54296875" customWidth="1"/>
    <col min="8" max="8" width="14" customWidth="1"/>
    <col min="9" max="9" width="11.7265625" customWidth="1"/>
    <col min="10" max="10" width="14.453125" customWidth="1"/>
    <col min="11" max="11" width="16" customWidth="1"/>
    <col min="12" max="12" width="11.26953125" customWidth="1"/>
    <col min="13" max="19" width="14.7265625" customWidth="1"/>
    <col min="20" max="20" width="14.7265625" hidden="1" customWidth="1"/>
  </cols>
  <sheetData>
    <row r="1" spans="1:12" ht="13">
      <c r="A1" s="20" t="s">
        <v>104</v>
      </c>
      <c r="B1" s="20"/>
      <c r="C1" s="20"/>
      <c r="D1" s="20"/>
      <c r="J1" s="3" t="s">
        <v>553</v>
      </c>
      <c r="K1" s="20"/>
    </row>
    <row r="2" spans="1:12" ht="15.5">
      <c r="A2" s="5" t="s">
        <v>554</v>
      </c>
      <c r="B2" s="5"/>
      <c r="C2" s="5"/>
      <c r="D2" s="5"/>
      <c r="E2" s="26"/>
      <c r="F2" s="26"/>
      <c r="G2" s="26"/>
      <c r="H2" s="26"/>
      <c r="I2" s="26"/>
      <c r="J2" s="26"/>
      <c r="K2" s="26"/>
      <c r="L2" s="26"/>
    </row>
    <row r="3" spans="1:12" ht="13">
      <c r="A3" s="2" t="s">
        <v>555</v>
      </c>
      <c r="B3" s="2"/>
      <c r="C3" s="2"/>
      <c r="D3" s="2"/>
    </row>
    <row r="5" spans="1:12" ht="73.5">
      <c r="A5" s="586" t="s">
        <v>556</v>
      </c>
      <c r="B5" s="586" t="s">
        <v>2234</v>
      </c>
      <c r="C5" s="586" t="s">
        <v>2235</v>
      </c>
      <c r="D5" s="586" t="s">
        <v>2236</v>
      </c>
      <c r="E5" s="586" t="s">
        <v>2237</v>
      </c>
      <c r="F5" s="586" t="s">
        <v>2238</v>
      </c>
      <c r="G5" s="586" t="s">
        <v>2239</v>
      </c>
      <c r="H5" s="586" t="s">
        <v>2240</v>
      </c>
      <c r="I5" s="586" t="s">
        <v>2241</v>
      </c>
      <c r="J5" s="586" t="s">
        <v>2242</v>
      </c>
      <c r="K5" s="586" t="s">
        <v>2243</v>
      </c>
      <c r="L5" s="586" t="s">
        <v>557</v>
      </c>
    </row>
    <row r="6" spans="1:12">
      <c r="A6" s="29"/>
      <c r="B6" s="29"/>
      <c r="C6" s="29"/>
      <c r="D6" s="29"/>
      <c r="E6" s="29"/>
      <c r="F6" s="29"/>
      <c r="G6" s="29"/>
      <c r="H6" s="29"/>
      <c r="I6" s="29"/>
      <c r="J6" s="29"/>
      <c r="K6" s="29"/>
      <c r="L6" s="29"/>
    </row>
    <row r="7" spans="1:12" ht="13">
      <c r="A7" s="28" t="s">
        <v>558</v>
      </c>
      <c r="B7" s="36">
        <f>'loan&amp;int'!E7</f>
        <v>0</v>
      </c>
      <c r="C7" s="36">
        <f>'loan&amp;int'!E8</f>
        <v>0</v>
      </c>
      <c r="D7" s="36">
        <f>'loan&amp;int'!E9</f>
        <v>0</v>
      </c>
      <c r="E7" s="36">
        <f>'loan&amp;int'!E10</f>
        <v>0</v>
      </c>
      <c r="F7" s="36">
        <f>'loan&amp;int'!F8</f>
        <v>0</v>
      </c>
      <c r="G7" s="36">
        <f>'loan&amp;int'!F9</f>
        <v>0</v>
      </c>
      <c r="H7" s="36">
        <f>E7+F7-G7</f>
        <v>0</v>
      </c>
      <c r="I7" s="36">
        <f>'loan&amp;int'!G8</f>
        <v>0</v>
      </c>
      <c r="J7" s="36">
        <f>'loan&amp;int'!G9</f>
        <v>0</v>
      </c>
      <c r="K7" s="36">
        <f>H7+I7-J7</f>
        <v>0</v>
      </c>
      <c r="L7" s="98">
        <f>'loan&amp;int'!E5</f>
        <v>0</v>
      </c>
    </row>
    <row r="8" spans="1:12">
      <c r="A8" s="23"/>
      <c r="B8" s="23"/>
      <c r="C8" s="23"/>
      <c r="D8" s="23"/>
      <c r="E8" s="36"/>
      <c r="F8" s="36"/>
      <c r="G8" s="36"/>
      <c r="H8" s="36"/>
      <c r="I8" s="36"/>
      <c r="J8" s="36"/>
      <c r="K8" s="36"/>
      <c r="L8" s="221"/>
    </row>
    <row r="9" spans="1:12" ht="13">
      <c r="A9" s="28" t="s">
        <v>559</v>
      </c>
      <c r="B9" s="36">
        <f>'loan&amp;int'!E38</f>
        <v>0</v>
      </c>
      <c r="C9" s="36">
        <f>'loan&amp;int'!E39</f>
        <v>0</v>
      </c>
      <c r="D9" s="36">
        <f>'loan&amp;int'!E40</f>
        <v>0</v>
      </c>
      <c r="E9" s="36">
        <f>'loan&amp;int'!E41</f>
        <v>0</v>
      </c>
      <c r="F9" s="36">
        <f>'loan&amp;int'!F39</f>
        <v>0</v>
      </c>
      <c r="G9" s="36">
        <f>'loan&amp;int'!F40</f>
        <v>0</v>
      </c>
      <c r="H9" s="36">
        <f>E9+F9-G9</f>
        <v>0</v>
      </c>
      <c r="I9" s="36">
        <f>'loan&amp;int'!G39</f>
        <v>0</v>
      </c>
      <c r="J9" s="36">
        <f>'loan&amp;int'!G40</f>
        <v>0</v>
      </c>
      <c r="K9" s="36">
        <f>H9+I9-J9</f>
        <v>0</v>
      </c>
      <c r="L9" s="221">
        <f>'loan&amp;int'!E37</f>
        <v>0</v>
      </c>
    </row>
    <row r="10" spans="1:12">
      <c r="A10" s="23" t="s">
        <v>560</v>
      </c>
      <c r="B10" s="23"/>
      <c r="C10" s="23"/>
      <c r="D10" s="23"/>
      <c r="E10" s="36"/>
      <c r="F10" s="36"/>
      <c r="G10" s="36"/>
      <c r="H10" s="36"/>
      <c r="I10" s="36"/>
      <c r="J10" s="36"/>
      <c r="K10" s="36"/>
      <c r="L10" s="221"/>
    </row>
    <row r="11" spans="1:12">
      <c r="A11" s="23"/>
      <c r="B11" s="23"/>
      <c r="C11" s="23"/>
      <c r="D11" s="23"/>
      <c r="E11" s="36"/>
      <c r="F11" s="36"/>
      <c r="G11" s="36"/>
      <c r="H11" s="36"/>
      <c r="I11" s="36"/>
      <c r="J11" s="36"/>
      <c r="K11" s="36"/>
      <c r="L11" s="221"/>
    </row>
    <row r="12" spans="1:12" ht="13">
      <c r="A12" s="28" t="s">
        <v>2100</v>
      </c>
      <c r="B12" s="36">
        <f>'loan&amp;int'!E49</f>
        <v>5000</v>
      </c>
      <c r="C12" s="36">
        <f>'loan&amp;int'!E50</f>
        <v>17379.36249</v>
      </c>
      <c r="D12" s="36">
        <f>'loan&amp;int'!E51</f>
        <v>0</v>
      </c>
      <c r="E12" s="36">
        <f>'loan&amp;int'!E52</f>
        <v>22379.36249</v>
      </c>
      <c r="F12" s="36">
        <f>'loan&amp;int'!F50</f>
        <v>20000</v>
      </c>
      <c r="G12" s="36">
        <f>'loan&amp;int'!F51</f>
        <v>6713.808747</v>
      </c>
      <c r="H12" s="36">
        <f>E12+F12-G12</f>
        <v>35665.553742999997</v>
      </c>
      <c r="I12" s="36">
        <f>'loan&amp;int'!G50</f>
        <v>35000</v>
      </c>
      <c r="J12" s="36">
        <f>'loan&amp;int'!G51</f>
        <v>10699.666122899998</v>
      </c>
      <c r="K12" s="36">
        <f>H12+I12-J12</f>
        <v>59965.887620099995</v>
      </c>
      <c r="L12" s="221">
        <f>'loan&amp;int'!F48</f>
        <v>8.5000000000000006E-2</v>
      </c>
    </row>
    <row r="13" spans="1:12" ht="13">
      <c r="A13" s="28"/>
      <c r="B13" s="28"/>
      <c r="C13" s="28"/>
      <c r="D13" s="28"/>
      <c r="E13" s="36"/>
      <c r="F13" s="36"/>
      <c r="G13" s="36"/>
      <c r="H13" s="36"/>
      <c r="I13" s="36"/>
      <c r="J13" s="36"/>
      <c r="K13" s="36"/>
      <c r="L13" s="221"/>
    </row>
    <row r="14" spans="1:12" ht="13">
      <c r="A14" s="28" t="s">
        <v>562</v>
      </c>
      <c r="B14" s="36">
        <f>'loan&amp;int'!E61</f>
        <v>0</v>
      </c>
      <c r="C14" s="36">
        <f>'loan&amp;int'!E62</f>
        <v>0</v>
      </c>
      <c r="D14" s="36">
        <f>'loan&amp;int'!E63</f>
        <v>0</v>
      </c>
      <c r="E14" s="36">
        <f>'loan&amp;int'!E64</f>
        <v>0</v>
      </c>
      <c r="F14" s="36">
        <f>'loan&amp;int'!F62</f>
        <v>0</v>
      </c>
      <c r="G14" s="36">
        <f>'loan&amp;int'!F63</f>
        <v>0</v>
      </c>
      <c r="H14" s="36">
        <f>E14+F14-G14</f>
        <v>0</v>
      </c>
      <c r="I14" s="36">
        <f>'loan&amp;int'!G62</f>
        <v>0</v>
      </c>
      <c r="J14" s="36">
        <f>'loan&amp;int'!G63</f>
        <v>0</v>
      </c>
      <c r="K14" s="36">
        <f>H14+I14-J14</f>
        <v>0</v>
      </c>
      <c r="L14" s="221">
        <f>'loan&amp;int'!E60</f>
        <v>0</v>
      </c>
    </row>
    <row r="15" spans="1:12" ht="13">
      <c r="A15" s="28"/>
      <c r="B15" s="28"/>
      <c r="C15" s="28"/>
      <c r="D15" s="28"/>
      <c r="E15" s="36"/>
      <c r="F15" s="36"/>
      <c r="G15" s="36"/>
      <c r="H15" s="36"/>
      <c r="I15" s="36"/>
      <c r="J15" s="36"/>
      <c r="K15" s="36"/>
      <c r="L15" s="221"/>
    </row>
    <row r="16" spans="1:12" ht="13">
      <c r="A16" s="28" t="s">
        <v>563</v>
      </c>
      <c r="B16" s="36">
        <f>'loan&amp;int'!E28</f>
        <v>0</v>
      </c>
      <c r="C16" s="36">
        <f>'loan&amp;int'!E29</f>
        <v>0</v>
      </c>
      <c r="D16" s="36">
        <f>'loan&amp;int'!E30</f>
        <v>0</v>
      </c>
      <c r="E16" s="36">
        <f>'loan&amp;int'!E31</f>
        <v>0</v>
      </c>
      <c r="F16" s="36">
        <f>'loan&amp;int'!F29</f>
        <v>0</v>
      </c>
      <c r="G16" s="36">
        <f>'loan&amp;int'!F30</f>
        <v>0</v>
      </c>
      <c r="H16" s="36">
        <f>'loan&amp;int'!F31</f>
        <v>0</v>
      </c>
      <c r="I16" s="36">
        <f>'loan&amp;int'!G29</f>
        <v>0</v>
      </c>
      <c r="J16" s="36">
        <f>'loan&amp;int'!G30</f>
        <v>0</v>
      </c>
      <c r="K16" s="36">
        <f>'loan&amp;int'!G31</f>
        <v>0</v>
      </c>
      <c r="L16" s="982">
        <v>0</v>
      </c>
    </row>
    <row r="17" spans="1:17" ht="13">
      <c r="A17" s="28"/>
      <c r="B17" s="36"/>
      <c r="C17" s="36"/>
      <c r="D17" s="36"/>
      <c r="E17" s="36"/>
      <c r="F17" s="36"/>
      <c r="G17" s="36"/>
      <c r="H17" s="36"/>
      <c r="I17" s="36"/>
      <c r="J17" s="36"/>
      <c r="K17" s="36"/>
      <c r="L17" s="982"/>
    </row>
    <row r="18" spans="1:17" ht="13">
      <c r="A18" s="28" t="s">
        <v>564</v>
      </c>
      <c r="B18" s="36">
        <f>'loan&amp;int'!E17</f>
        <v>0.91788000000000003</v>
      </c>
      <c r="C18" s="36">
        <f>'loan&amp;int'!E18</f>
        <v>0</v>
      </c>
      <c r="D18" s="36">
        <f>'loan&amp;int'!E19</f>
        <v>0</v>
      </c>
      <c r="E18" s="36">
        <f>'loan&amp;int'!E20</f>
        <v>0.91788000000000003</v>
      </c>
      <c r="F18" s="36">
        <f>'loan&amp;int'!F18</f>
        <v>0</v>
      </c>
      <c r="G18" s="36">
        <f>'loan&amp;int'!F19</f>
        <v>0</v>
      </c>
      <c r="H18" s="36">
        <f>'loan&amp;int'!F20</f>
        <v>0.91788000000000003</v>
      </c>
      <c r="I18" s="36">
        <f>'loan&amp;int'!G18</f>
        <v>0</v>
      </c>
      <c r="J18" s="36">
        <f>'loan&amp;int'!G19</f>
        <v>0</v>
      </c>
      <c r="K18" s="36">
        <f>'loan&amp;int'!G20</f>
        <v>0.91788000000000003</v>
      </c>
      <c r="L18" s="221">
        <f>'loan&amp;int'!E16</f>
        <v>0</v>
      </c>
    </row>
    <row r="19" spans="1:17" ht="13">
      <c r="A19" s="28"/>
      <c r="B19" s="28"/>
      <c r="C19" s="28"/>
      <c r="D19" s="28"/>
      <c r="E19" s="36"/>
      <c r="F19" s="36"/>
      <c r="G19" s="36"/>
      <c r="H19" s="36"/>
      <c r="I19" s="36"/>
      <c r="J19" s="36"/>
      <c r="K19" s="36"/>
      <c r="L19" s="221"/>
    </row>
    <row r="20" spans="1:17" ht="13">
      <c r="A20" s="28" t="s">
        <v>565</v>
      </c>
      <c r="B20" s="36">
        <f>'loan&amp;int'!E83</f>
        <v>0</v>
      </c>
      <c r="C20" s="36">
        <f>'loan&amp;int'!E84</f>
        <v>0</v>
      </c>
      <c r="D20" s="36">
        <f>'loan&amp;int'!E85</f>
        <v>0</v>
      </c>
      <c r="E20" s="36">
        <f>'loan&amp;int'!E86</f>
        <v>0</v>
      </c>
      <c r="F20" s="36">
        <f>'loan&amp;int'!F84</f>
        <v>0</v>
      </c>
      <c r="G20" s="36">
        <f>'loan&amp;int'!F85</f>
        <v>0</v>
      </c>
      <c r="H20" s="36">
        <f>E20+F20-G20</f>
        <v>0</v>
      </c>
      <c r="I20" s="36">
        <f>'loan&amp;int'!G84</f>
        <v>0</v>
      </c>
      <c r="J20" s="36">
        <f>'loan&amp;int'!G85</f>
        <v>0</v>
      </c>
      <c r="K20" s="36">
        <f>H20+I20-J20</f>
        <v>0</v>
      </c>
      <c r="L20" s="221">
        <f>'loan&amp;int'!E82</f>
        <v>0</v>
      </c>
    </row>
    <row r="21" spans="1:17" ht="13">
      <c r="A21" s="28"/>
      <c r="B21" s="28"/>
      <c r="C21" s="28"/>
      <c r="D21" s="28"/>
      <c r="E21" s="36"/>
      <c r="F21" s="36"/>
      <c r="G21" s="36"/>
      <c r="H21" s="36"/>
      <c r="I21" s="36"/>
      <c r="J21" s="36"/>
      <c r="K21" s="36"/>
      <c r="L21" s="221"/>
    </row>
    <row r="22" spans="1:17" ht="13">
      <c r="A22" s="28" t="s">
        <v>566</v>
      </c>
      <c r="B22" s="36">
        <f>'loan&amp;int'!E72</f>
        <v>0</v>
      </c>
      <c r="C22" s="36">
        <f>'loan&amp;int'!E73</f>
        <v>0</v>
      </c>
      <c r="D22" s="36">
        <f>'loan&amp;int'!E74</f>
        <v>0</v>
      </c>
      <c r="E22" s="36">
        <f>'loan&amp;int'!E75</f>
        <v>0</v>
      </c>
      <c r="F22" s="36">
        <f>'loan&amp;int'!F73</f>
        <v>0</v>
      </c>
      <c r="G22" s="36">
        <f>'loan&amp;int'!F74</f>
        <v>0</v>
      </c>
      <c r="H22" s="36">
        <f>E22+F22-G22</f>
        <v>0</v>
      </c>
      <c r="I22" s="36">
        <f>'loan&amp;int'!G73</f>
        <v>0</v>
      </c>
      <c r="J22" s="36">
        <f>'loan&amp;int'!G74</f>
        <v>0</v>
      </c>
      <c r="K22" s="36">
        <f>H22+I22-J22</f>
        <v>0</v>
      </c>
      <c r="L22" s="221">
        <f>'loan&amp;int'!E71</f>
        <v>0</v>
      </c>
    </row>
    <row r="23" spans="1:17" ht="13">
      <c r="A23" s="28"/>
      <c r="B23" s="28"/>
      <c r="C23" s="28"/>
      <c r="D23" s="28"/>
      <c r="E23" s="36"/>
      <c r="F23" s="36"/>
      <c r="G23" s="36"/>
      <c r="H23" s="36"/>
      <c r="I23" s="36"/>
      <c r="J23" s="36"/>
      <c r="K23" s="36"/>
      <c r="L23" s="221"/>
    </row>
    <row r="24" spans="1:17" ht="13">
      <c r="A24" s="28" t="s">
        <v>2099</v>
      </c>
      <c r="B24" s="36">
        <f>'loan&amp;int'!E94</f>
        <v>13023.5691747</v>
      </c>
      <c r="C24" s="36">
        <f>'loan&amp;int'!E95</f>
        <v>0</v>
      </c>
      <c r="D24" s="36">
        <f>'loan&amp;int'!E96</f>
        <v>13023.5691747</v>
      </c>
      <c r="E24" s="36">
        <f>'loan&amp;int'!E97</f>
        <v>0</v>
      </c>
      <c r="F24" s="36">
        <f>'loan&amp;int'!F94</f>
        <v>55571.372555150083</v>
      </c>
      <c r="G24" s="36">
        <f>'loan&amp;int'!F96</f>
        <v>40000</v>
      </c>
      <c r="H24" s="36">
        <f>E24+F24-G24</f>
        <v>15571.372555150083</v>
      </c>
      <c r="I24" s="36">
        <f>'loan&amp;int'!G94</f>
        <v>47420.240903648541</v>
      </c>
      <c r="J24" s="36">
        <f>'loan&amp;int'!G96</f>
        <v>40000</v>
      </c>
      <c r="K24" s="36">
        <f>H24+I24-J24</f>
        <v>22991.613458798623</v>
      </c>
      <c r="L24" s="221">
        <f>'loan&amp;int'!E93</f>
        <v>0.1055</v>
      </c>
    </row>
    <row r="25" spans="1:17" ht="13">
      <c r="A25" s="71" t="s">
        <v>145</v>
      </c>
      <c r="B25" s="37">
        <f t="shared" ref="B25" si="0">SUM(B6:B24)</f>
        <v>18024.487054699999</v>
      </c>
      <c r="C25" s="71"/>
      <c r="D25" s="71"/>
      <c r="E25" s="37">
        <f t="shared" ref="E25:K25" si="1">SUM(E6:E24)</f>
        <v>22380.28037</v>
      </c>
      <c r="F25" s="37">
        <f t="shared" si="1"/>
        <v>75571.372555150083</v>
      </c>
      <c r="G25" s="37">
        <f t="shared" si="1"/>
        <v>46713.808747000003</v>
      </c>
      <c r="H25" s="37">
        <f t="shared" si="1"/>
        <v>51237.844178150081</v>
      </c>
      <c r="I25" s="37">
        <f t="shared" si="1"/>
        <v>82420.240903648548</v>
      </c>
      <c r="J25" s="37">
        <f t="shared" si="1"/>
        <v>50699.666122900002</v>
      </c>
      <c r="K25" s="37">
        <f t="shared" si="1"/>
        <v>82958.418958898619</v>
      </c>
      <c r="L25" s="28"/>
      <c r="Q25" s="347"/>
    </row>
    <row r="26" spans="1:17" ht="13">
      <c r="A26" s="2" t="s">
        <v>567</v>
      </c>
      <c r="B26" s="2"/>
      <c r="C26" s="2"/>
      <c r="D26" s="2"/>
    </row>
    <row r="27" spans="1:17" ht="13">
      <c r="A27" s="2" t="s">
        <v>568</v>
      </c>
      <c r="B27" s="2"/>
      <c r="C27" s="2"/>
      <c r="D27" s="12"/>
    </row>
    <row r="28" spans="1:17" ht="13">
      <c r="A28" s="2"/>
      <c r="B28" s="2"/>
      <c r="C28" s="2"/>
      <c r="D28" s="2"/>
    </row>
    <row r="29" spans="1:17" ht="13">
      <c r="A29" s="2"/>
      <c r="B29" s="2"/>
      <c r="C29" s="2"/>
      <c r="D29" s="2"/>
    </row>
    <row r="30" spans="1:17" ht="13">
      <c r="A30" s="145" t="s">
        <v>569</v>
      </c>
      <c r="B30" s="145"/>
      <c r="C30" s="145"/>
      <c r="D30" s="145"/>
      <c r="E30" s="146">
        <f>'F-21'!C15</f>
        <v>22380.28037</v>
      </c>
      <c r="F30" s="145"/>
      <c r="G30" s="145"/>
      <c r="H30" s="146">
        <f>'F-21'!D15</f>
        <v>51237.844178150088</v>
      </c>
      <c r="I30" s="145"/>
      <c r="J30" s="145"/>
      <c r="K30" s="146">
        <f>'F-21'!E15</f>
        <v>82958.418958898634</v>
      </c>
    </row>
    <row r="31" spans="1:17" ht="13">
      <c r="A31" s="145"/>
      <c r="B31" s="145"/>
      <c r="C31" s="145"/>
      <c r="D31" s="145"/>
      <c r="E31" s="1195">
        <f>E30-E25</f>
        <v>0</v>
      </c>
      <c r="F31" s="1195"/>
      <c r="G31" s="1195"/>
      <c r="H31" s="1195">
        <f>H30-H25</f>
        <v>0</v>
      </c>
      <c r="I31" s="1195"/>
      <c r="J31" s="1195"/>
      <c r="K31" s="1195">
        <f>K30-K25</f>
        <v>0</v>
      </c>
    </row>
    <row r="32" spans="1:17" ht="13">
      <c r="E32" s="621"/>
      <c r="F32" s="621"/>
      <c r="G32" s="621"/>
      <c r="H32" s="621"/>
      <c r="I32" s="621"/>
      <c r="J32" s="621"/>
      <c r="K32" s="621"/>
    </row>
    <row r="33" spans="5:8">
      <c r="E33" s="7"/>
      <c r="H33" s="7"/>
    </row>
    <row r="34" spans="5:8">
      <c r="H34" s="7"/>
    </row>
  </sheetData>
  <phoneticPr fontId="0" type="noConversion"/>
  <printOptions horizontalCentered="1" gridLines="1"/>
  <pageMargins left="0.23622047244094491" right="0.23622047244094491" top="0.98425196850393704" bottom="0.98425196850393704" header="0.51181102362204722" footer="0.51181102362204722"/>
  <pageSetup paperSize="9" scale="80" orientation="landscape" r:id="rId1"/>
  <headerFooter alignWithMargins="0">
    <oddFooter xml:space="preserve">&amp;ROERC FORM-&amp;A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E160"/>
  <sheetViews>
    <sheetView showGridLines="0" view="pageBreakPreview" zoomScale="85" zoomScaleNormal="75" zoomScaleSheetLayoutView="80" workbookViewId="0">
      <pane xSplit="2" ySplit="4" topLeftCell="I39" activePane="bottomRight" state="frozen"/>
      <selection activeCell="L17" sqref="L17"/>
      <selection pane="topRight" activeCell="L17" sqref="L17"/>
      <selection pane="bottomLeft" activeCell="L17" sqref="L17"/>
      <selection pane="bottomRight" activeCell="L17" sqref="L17"/>
    </sheetView>
  </sheetViews>
  <sheetFormatPr defaultColWidth="14.7265625" defaultRowHeight="25"/>
  <cols>
    <col min="1" max="1" width="6.453125" style="38" customWidth="1"/>
    <col min="2" max="2" width="43.54296875" style="38" customWidth="1"/>
    <col min="3" max="3" width="12.54296875" style="62" customWidth="1"/>
    <col min="4" max="4" width="11.81640625" style="38" bestFit="1" customWidth="1"/>
    <col min="5" max="5" width="12.81640625" style="38" customWidth="1"/>
    <col min="6" max="6" width="7.1796875" style="38" bestFit="1" customWidth="1"/>
    <col min="7" max="7" width="13" style="38" customWidth="1"/>
    <col min="8" max="8" width="9.81640625" style="38" customWidth="1"/>
    <col min="9" max="9" width="12.54296875" style="38" customWidth="1"/>
    <col min="10" max="10" width="9.453125" style="38" customWidth="1"/>
    <col min="11" max="11" width="14.7265625" style="156" customWidth="1"/>
    <col min="12" max="12" width="33.81640625" style="38" bestFit="1" customWidth="1"/>
    <col min="13" max="13" width="14.7265625" style="38"/>
    <col min="14" max="14" width="15.453125" style="38" customWidth="1"/>
    <col min="15" max="16384" width="14.7265625" style="38"/>
  </cols>
  <sheetData>
    <row r="1" spans="1:83" ht="16.5" customHeight="1">
      <c r="B1" s="60" t="s">
        <v>104</v>
      </c>
      <c r="C1" s="274"/>
    </row>
    <row r="2" spans="1:83" ht="21" customHeight="1" thickBot="1">
      <c r="B2" s="287" t="s">
        <v>570</v>
      </c>
      <c r="C2" s="282"/>
      <c r="I2" s="3" t="s">
        <v>571</v>
      </c>
      <c r="J2" s="40"/>
    </row>
    <row r="3" spans="1:83" ht="52.5" customHeight="1">
      <c r="A3" s="861" t="s">
        <v>2035</v>
      </c>
      <c r="B3" s="860" t="s">
        <v>735</v>
      </c>
      <c r="C3" s="1972" t="s">
        <v>157</v>
      </c>
      <c r="D3" s="1972"/>
      <c r="E3" s="1972" t="s">
        <v>572</v>
      </c>
      <c r="F3" s="1972"/>
      <c r="G3" s="1972" t="s">
        <v>573</v>
      </c>
      <c r="H3" s="1972"/>
      <c r="I3" s="1972" t="s">
        <v>574</v>
      </c>
      <c r="J3" s="1973"/>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row>
    <row r="4" spans="1:83" ht="18.75" customHeight="1" thickBot="1">
      <c r="A4" s="852"/>
      <c r="B4" s="837"/>
      <c r="C4" s="837" t="s">
        <v>268</v>
      </c>
      <c r="D4" s="858" t="s">
        <v>369</v>
      </c>
      <c r="E4" s="837" t="s">
        <v>268</v>
      </c>
      <c r="F4" s="858" t="s">
        <v>369</v>
      </c>
      <c r="G4" s="837" t="s">
        <v>268</v>
      </c>
      <c r="H4" s="858" t="s">
        <v>369</v>
      </c>
      <c r="I4" s="837" t="s">
        <v>268</v>
      </c>
      <c r="J4" s="859" t="s">
        <v>369</v>
      </c>
      <c r="L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row>
    <row r="5" spans="1:83" ht="18.75" customHeight="1">
      <c r="A5" s="853"/>
      <c r="B5" s="1272" t="s">
        <v>575</v>
      </c>
      <c r="C5" s="854"/>
      <c r="D5" s="855"/>
      <c r="E5" s="855"/>
      <c r="F5" s="856"/>
      <c r="G5" s="856"/>
      <c r="H5" s="856"/>
      <c r="I5" s="856"/>
      <c r="J5" s="857"/>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row>
    <row r="6" spans="1:83" ht="20.149999999999999" customHeight="1">
      <c r="A6" s="836">
        <v>1</v>
      </c>
      <c r="B6" s="1273" t="s">
        <v>166</v>
      </c>
      <c r="C6" s="1261">
        <f>'T-1'!G19</f>
        <v>1600.4080641971404</v>
      </c>
      <c r="D6" s="1262">
        <f>C6/$C$42*100</f>
        <v>15.120124085150163</v>
      </c>
      <c r="E6" s="1261">
        <f>'T-1'!K19</f>
        <v>1070.0443682390389</v>
      </c>
      <c r="F6" s="1262">
        <f>E6/$E$42*100</f>
        <v>20.441340970104164</v>
      </c>
      <c r="G6" s="1261">
        <f>'T-1'!N19-E6</f>
        <v>1163.9556317609611</v>
      </c>
      <c r="H6" s="1262">
        <f>G6/$G$42*100</f>
        <v>21.240869787468437</v>
      </c>
      <c r="I6" s="1261">
        <f>'T-1'!S19</f>
        <v>2359.9999999999995</v>
      </c>
      <c r="J6" s="1263">
        <f>I6/$I$42*100</f>
        <v>24.547279511436887</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row>
    <row r="7" spans="1:83" ht="20.149999999999999" customHeight="1">
      <c r="A7" s="836">
        <v>2</v>
      </c>
      <c r="B7" s="1273" t="s">
        <v>172</v>
      </c>
      <c r="C7" s="1261">
        <f>'T-1'!G25</f>
        <v>421.25538262262097</v>
      </c>
      <c r="D7" s="1262">
        <f t="shared" ref="D7:D41" si="0">C7/$C$42*100</f>
        <v>3.9798810061524685</v>
      </c>
      <c r="E7" s="1261">
        <f>'T-1'!K25</f>
        <v>250.44584627417981</v>
      </c>
      <c r="F7" s="1262">
        <f t="shared" ref="F7:F41" si="1">E7/$E$42*100</f>
        <v>4.7843333325157582</v>
      </c>
      <c r="G7" s="1261">
        <f>'T-1'!N25-E7</f>
        <v>264.55415372582019</v>
      </c>
      <c r="H7" s="1262">
        <f t="shared" ref="H7:H41" si="2">G7/$G$42*100</f>
        <v>4.8278131723306865</v>
      </c>
      <c r="I7" s="1261">
        <f>'T-1'!S25</f>
        <v>550</v>
      </c>
      <c r="J7" s="1263">
        <f t="shared" ref="J7:J41" si="3">I7/$I$42*100</f>
        <v>5.7207642929196147</v>
      </c>
      <c r="K7" s="210"/>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row>
    <row r="8" spans="1:83" ht="20.149999999999999" customHeight="1">
      <c r="A8" s="836">
        <v>3</v>
      </c>
      <c r="B8" s="1273" t="s">
        <v>62</v>
      </c>
      <c r="C8" s="1261">
        <f>'T-1'!G26</f>
        <v>309.98265355926839</v>
      </c>
      <c r="D8" s="1262">
        <f t="shared" si="0"/>
        <v>2.9286132024156717</v>
      </c>
      <c r="E8" s="1261">
        <f>'T-1'!K26</f>
        <v>150.60125000000002</v>
      </c>
      <c r="F8" s="1262">
        <f t="shared" si="1"/>
        <v>2.8769755658264358</v>
      </c>
      <c r="G8" s="1261">
        <f>'T-1'!N26-E8</f>
        <v>179.79874999999996</v>
      </c>
      <c r="H8" s="1262">
        <f t="shared" si="2"/>
        <v>3.2811232082116906</v>
      </c>
      <c r="I8" s="1261">
        <f>'T-1'!S26</f>
        <v>360</v>
      </c>
      <c r="J8" s="1263">
        <f t="shared" si="3"/>
        <v>3.7445002644564749</v>
      </c>
      <c r="K8" s="210"/>
      <c r="L8" s="276"/>
      <c r="M8" s="276"/>
      <c r="N8" s="276"/>
      <c r="O8" s="27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row>
    <row r="9" spans="1:83" ht="20.149999999999999" customHeight="1">
      <c r="A9" s="836">
        <v>4</v>
      </c>
      <c r="B9" s="1273" t="s">
        <v>63</v>
      </c>
      <c r="C9" s="1261">
        <f>'T-1'!G27</f>
        <v>8.9870999999999999</v>
      </c>
      <c r="D9" s="1262">
        <f t="shared" si="0"/>
        <v>8.4907137251786807E-2</v>
      </c>
      <c r="E9" s="1261">
        <f>'T-1'!K27</f>
        <v>5.2224000000000004</v>
      </c>
      <c r="F9" s="1262">
        <f t="shared" si="1"/>
        <v>9.976489036426972E-2</v>
      </c>
      <c r="G9" s="1261">
        <f>'T-1'!N27-E9</f>
        <v>5.2775999999999996</v>
      </c>
      <c r="H9" s="1262">
        <f t="shared" si="2"/>
        <v>9.6310212633057904E-2</v>
      </c>
      <c r="I9" s="1261">
        <f>'T-1'!S27</f>
        <v>11</v>
      </c>
      <c r="J9" s="1263">
        <f t="shared" si="3"/>
        <v>0.11441528585839229</v>
      </c>
      <c r="K9" s="210"/>
      <c r="L9" s="276"/>
      <c r="M9" s="276"/>
      <c r="N9" s="276"/>
      <c r="O9" s="27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row>
    <row r="10" spans="1:83" ht="20.149999999999999" customHeight="1">
      <c r="A10" s="836">
        <v>5</v>
      </c>
      <c r="B10" s="1273" t="s">
        <v>64</v>
      </c>
      <c r="C10" s="1261">
        <f>'T-1'!G28</f>
        <v>2.4552084000000001</v>
      </c>
      <c r="D10" s="1262">
        <f t="shared" si="0"/>
        <v>2.3195993880177134E-2</v>
      </c>
      <c r="E10" s="1261">
        <f>'T-1'!K28</f>
        <v>1.6664000000000001</v>
      </c>
      <c r="F10" s="1262">
        <f t="shared" si="1"/>
        <v>3.1833680549750894E-2</v>
      </c>
      <c r="G10" s="1261">
        <f>'T-1'!N28-E10</f>
        <v>0.8335999999999999</v>
      </c>
      <c r="H10" s="1262">
        <f t="shared" si="2"/>
        <v>1.5212254291897279E-2</v>
      </c>
      <c r="I10" s="1261">
        <f>'T-1'!S28</f>
        <v>3</v>
      </c>
      <c r="J10" s="1263">
        <f t="shared" si="3"/>
        <v>3.1204168870470627E-2</v>
      </c>
      <c r="K10" s="210"/>
      <c r="L10" s="276"/>
      <c r="M10" s="276"/>
      <c r="N10" s="276"/>
      <c r="O10" s="27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row>
    <row r="11" spans="1:83" ht="20.149999999999999" customHeight="1">
      <c r="A11" s="836">
        <v>6</v>
      </c>
      <c r="B11" s="1273" t="s">
        <v>65</v>
      </c>
      <c r="C11" s="1261">
        <f>'T-1'!G29</f>
        <v>49.295755</v>
      </c>
      <c r="D11" s="1262">
        <f t="shared" si="0"/>
        <v>0.46572992797626106</v>
      </c>
      <c r="E11" s="1261">
        <f>'T-1'!K29</f>
        <v>23.185760000000002</v>
      </c>
      <c r="F11" s="1262">
        <f t="shared" si="1"/>
        <v>0.44292371408016817</v>
      </c>
      <c r="G11" s="1261">
        <f>'T-1'!N29-E11</f>
        <v>26.814239999999998</v>
      </c>
      <c r="H11" s="1262">
        <f t="shared" si="2"/>
        <v>0.48932945960168384</v>
      </c>
      <c r="I11" s="1261">
        <f>'T-1'!S29</f>
        <v>52</v>
      </c>
      <c r="J11" s="1263">
        <f t="shared" si="3"/>
        <v>0.54087226042149084</v>
      </c>
      <c r="K11" s="210"/>
      <c r="L11" s="407"/>
      <c r="M11" s="407"/>
      <c r="N11" s="407"/>
      <c r="O11" s="407"/>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row>
    <row r="12" spans="1:83" ht="20.149999999999999" customHeight="1">
      <c r="A12" s="836">
        <v>7</v>
      </c>
      <c r="B12" s="1273" t="s">
        <v>174</v>
      </c>
      <c r="C12" s="1261">
        <f>'T-1'!G30</f>
        <v>19.8373609</v>
      </c>
      <c r="D12" s="1262">
        <f t="shared" si="0"/>
        <v>0.18741680015238832</v>
      </c>
      <c r="E12" s="1261">
        <f>'T-1'!K30</f>
        <v>8.1945899999999998</v>
      </c>
      <c r="F12" s="1262">
        <f t="shared" si="1"/>
        <v>0.15654342312540998</v>
      </c>
      <c r="G12" s="1261">
        <f>'T-1'!N30-E12</f>
        <v>11.80541</v>
      </c>
      <c r="H12" s="1262">
        <f t="shared" si="2"/>
        <v>0.2154353394195142</v>
      </c>
      <c r="I12" s="1261">
        <f>'T-1'!S30</f>
        <v>21</v>
      </c>
      <c r="J12" s="1263">
        <f t="shared" si="3"/>
        <v>0.21842918209329437</v>
      </c>
      <c r="K12" s="210"/>
      <c r="L12"/>
      <c r="M12"/>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row>
    <row r="13" spans="1:83" ht="20.149999999999999" customHeight="1">
      <c r="A13" s="836">
        <v>8</v>
      </c>
      <c r="B13" s="1273" t="s">
        <v>175</v>
      </c>
      <c r="C13" s="1261">
        <f>'T-1'!G31</f>
        <v>58.311154000000002</v>
      </c>
      <c r="D13" s="1262">
        <f t="shared" si="0"/>
        <v>0.55090442478531199</v>
      </c>
      <c r="E13" s="1261">
        <f>'T-1'!K31</f>
        <v>26.499207999999999</v>
      </c>
      <c r="F13" s="1262">
        <f t="shared" si="1"/>
        <v>0.50622138879824974</v>
      </c>
      <c r="G13" s="1261">
        <f>'T-1'!N31-E13</f>
        <v>33.500792000000004</v>
      </c>
      <c r="H13" s="1262">
        <f t="shared" si="2"/>
        <v>0.61135144779745454</v>
      </c>
      <c r="I13" s="1261">
        <f>'T-1'!S31</f>
        <v>63</v>
      </c>
      <c r="J13" s="1263">
        <f t="shared" si="3"/>
        <v>0.65528754627988306</v>
      </c>
      <c r="K13" s="210"/>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row>
    <row r="14" spans="1:83" ht="20.149999999999999" customHeight="1">
      <c r="A14" s="836">
        <v>9</v>
      </c>
      <c r="B14" s="1273" t="s">
        <v>176</v>
      </c>
      <c r="C14" s="1261">
        <f>'T-1'!G32</f>
        <v>56.459928300000001</v>
      </c>
      <c r="D14" s="1262">
        <f t="shared" si="0"/>
        <v>0.53341465894383533</v>
      </c>
      <c r="E14" s="1261">
        <f>'T-1'!K32</f>
        <v>30.602579999999996</v>
      </c>
      <c r="F14" s="1262">
        <f t="shared" si="1"/>
        <v>0.58460919090146157</v>
      </c>
      <c r="G14" s="1261">
        <f>'T-1'!N32-E14</f>
        <v>30.397420000000004</v>
      </c>
      <c r="H14" s="1262">
        <f t="shared" si="2"/>
        <v>0.55471842953167494</v>
      </c>
      <c r="I14" s="1261">
        <f>'T-1'!S32</f>
        <v>64</v>
      </c>
      <c r="J14" s="1263">
        <f t="shared" si="3"/>
        <v>0.6656889359033733</v>
      </c>
      <c r="K14" s="210"/>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row>
    <row r="15" spans="1:83" ht="20.149999999999999" customHeight="1">
      <c r="A15" s="836">
        <v>10</v>
      </c>
      <c r="B15" s="1273" t="s">
        <v>177</v>
      </c>
      <c r="C15" s="1261">
        <f>'T-1'!G33</f>
        <v>54.902704999999997</v>
      </c>
      <c r="D15" s="1262">
        <f t="shared" si="0"/>
        <v>0.51870253017429002</v>
      </c>
      <c r="E15" s="1261">
        <f>'T-1'!K33</f>
        <v>28.47852</v>
      </c>
      <c r="F15" s="1262">
        <f t="shared" si="1"/>
        <v>0.54403271015944055</v>
      </c>
      <c r="G15" s="1261">
        <f>'T-1'!N33-E15</f>
        <v>28.52148</v>
      </c>
      <c r="H15" s="1262">
        <f t="shared" si="2"/>
        <v>0.52048465276063149</v>
      </c>
      <c r="I15" s="1261">
        <f>'T-1'!S33</f>
        <v>60</v>
      </c>
      <c r="J15" s="1263">
        <f t="shared" si="3"/>
        <v>0.62408337740941255</v>
      </c>
      <c r="K15" s="210"/>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row>
    <row r="16" spans="1:83" ht="20.149999999999999" customHeight="1">
      <c r="A16" s="836">
        <v>11</v>
      </c>
      <c r="B16" s="1273" t="s">
        <v>178</v>
      </c>
      <c r="C16" s="1261">
        <f>'T-1'!G34</f>
        <v>8.8902700000000001E-2</v>
      </c>
      <c r="D16" s="1262">
        <f t="shared" si="0"/>
        <v>8.3992319557526097E-4</v>
      </c>
      <c r="E16" s="1261">
        <f>'T-1'!K34</f>
        <v>1.714E-3</v>
      </c>
      <c r="F16" s="1262">
        <f t="shared" si="1"/>
        <v>3.2742995956716891E-5</v>
      </c>
      <c r="G16" s="1261">
        <f>'T-1'!N34-E16</f>
        <v>9.8286000000000012E-2</v>
      </c>
      <c r="H16" s="1262">
        <f t="shared" si="2"/>
        <v>1.7936079958414302E-3</v>
      </c>
      <c r="I16" s="1261">
        <f>'T-1'!S34</f>
        <v>0.1</v>
      </c>
      <c r="J16" s="1263">
        <f t="shared" si="3"/>
        <v>1.0401389623490209E-3</v>
      </c>
      <c r="K16" s="210"/>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row>
    <row r="17" spans="1:83" ht="20.149999999999999" customHeight="1">
      <c r="A17" s="836">
        <v>12</v>
      </c>
      <c r="B17" s="1274" t="s">
        <v>179</v>
      </c>
      <c r="C17" s="1261">
        <f>'T-1'!G35</f>
        <v>0</v>
      </c>
      <c r="D17" s="1262">
        <f t="shared" si="0"/>
        <v>0</v>
      </c>
      <c r="E17" s="1261">
        <f>'T-1'!K35</f>
        <v>0</v>
      </c>
      <c r="F17" s="1262">
        <f t="shared" si="1"/>
        <v>0</v>
      </c>
      <c r="G17" s="1261">
        <f>'T-1'!N35-E17</f>
        <v>0</v>
      </c>
      <c r="H17" s="1262">
        <f t="shared" si="2"/>
        <v>0</v>
      </c>
      <c r="I17" s="1261">
        <f>'T-1'!S35</f>
        <v>0</v>
      </c>
      <c r="J17" s="1263">
        <f t="shared" si="3"/>
        <v>0</v>
      </c>
      <c r="K17" s="210"/>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row>
    <row r="18" spans="1:83" ht="20.149999999999999" customHeight="1">
      <c r="A18" s="836">
        <v>13</v>
      </c>
      <c r="B18" s="1274" t="s">
        <v>72</v>
      </c>
      <c r="C18" s="1261">
        <f>'T-1'!G36</f>
        <v>0</v>
      </c>
      <c r="D18" s="1262">
        <f t="shared" si="0"/>
        <v>0</v>
      </c>
      <c r="E18" s="1261">
        <f>'T-1'!K36</f>
        <v>0</v>
      </c>
      <c r="F18" s="1262">
        <f t="shared" si="1"/>
        <v>0</v>
      </c>
      <c r="G18" s="1261">
        <f>'T-1'!N36-E18</f>
        <v>0</v>
      </c>
      <c r="H18" s="1262">
        <f t="shared" si="2"/>
        <v>0</v>
      </c>
      <c r="I18" s="1261">
        <f>'T-1'!S36</f>
        <v>0</v>
      </c>
      <c r="J18" s="1263">
        <f t="shared" si="3"/>
        <v>0</v>
      </c>
      <c r="K18" s="210"/>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row>
    <row r="19" spans="1:83" ht="20.149999999999999" customHeight="1">
      <c r="A19" s="836">
        <v>14</v>
      </c>
      <c r="B19" s="1274" t="s">
        <v>75</v>
      </c>
      <c r="C19" s="1261">
        <f>'T-1'!G39</f>
        <v>17.100010000000001</v>
      </c>
      <c r="D19" s="1262">
        <f t="shared" si="0"/>
        <v>0.16155521759821601</v>
      </c>
      <c r="E19" s="1261">
        <f>'T-1'!K39</f>
        <v>10.65917</v>
      </c>
      <c r="F19" s="1262">
        <f t="shared" si="1"/>
        <v>0.20362494761491132</v>
      </c>
      <c r="G19" s="1261">
        <f>'T-1'!N39-E19</f>
        <v>11.34083</v>
      </c>
      <c r="H19" s="1262">
        <f t="shared" si="2"/>
        <v>0.20695728147933951</v>
      </c>
      <c r="I19" s="1261">
        <f>'T-1'!S39</f>
        <v>23</v>
      </c>
      <c r="J19" s="1263">
        <f t="shared" si="3"/>
        <v>0.23923196134027477</v>
      </c>
      <c r="K19" s="210"/>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row>
    <row r="20" spans="1:83" ht="20.149999999999999" customHeight="1">
      <c r="A20" s="836">
        <v>15</v>
      </c>
      <c r="B20" s="1274" t="s">
        <v>62</v>
      </c>
      <c r="C20" s="1261">
        <f>'T-1'!G40</f>
        <v>58.088250000000002</v>
      </c>
      <c r="D20" s="1262">
        <f t="shared" si="0"/>
        <v>0.54879850179324874</v>
      </c>
      <c r="E20" s="1261">
        <f>'T-1'!K40</f>
        <v>37.688050000000004</v>
      </c>
      <c r="F20" s="1262">
        <f t="shared" si="1"/>
        <v>0.71996480091396975</v>
      </c>
      <c r="G20" s="1261">
        <f>'T-1'!N40-E20</f>
        <v>42.311949999999996</v>
      </c>
      <c r="H20" s="1262">
        <f t="shared" si="2"/>
        <v>0.77214508515600166</v>
      </c>
      <c r="I20" s="1261">
        <f>'T-1'!S40</f>
        <v>85</v>
      </c>
      <c r="J20" s="1263">
        <f t="shared" si="3"/>
        <v>0.88411811799666773</v>
      </c>
      <c r="K20" s="210"/>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row>
    <row r="21" spans="1:83" ht="20.149999999999999" customHeight="1">
      <c r="A21" s="836">
        <v>16</v>
      </c>
      <c r="B21" s="1274" t="s">
        <v>63</v>
      </c>
      <c r="C21" s="1261">
        <f>'T-1'!G41</f>
        <v>3.7300589999999998</v>
      </c>
      <c r="D21" s="1262">
        <f t="shared" si="0"/>
        <v>3.5240359122549282E-2</v>
      </c>
      <c r="E21" s="1261">
        <f>'T-1'!K41</f>
        <v>2.4935099999999997</v>
      </c>
      <c r="F21" s="1262">
        <f t="shared" si="1"/>
        <v>4.7634181941676269E-2</v>
      </c>
      <c r="G21" s="1261">
        <f>'T-1'!N41-E21</f>
        <v>3.0064900000000003</v>
      </c>
      <c r="H21" s="1262">
        <f t="shared" si="2"/>
        <v>5.4865031677118828E-2</v>
      </c>
      <c r="I21" s="1261">
        <f>'T-1'!S41</f>
        <v>5.6</v>
      </c>
      <c r="J21" s="1263">
        <f t="shared" si="3"/>
        <v>5.8247781891545156E-2</v>
      </c>
      <c r="K21" s="210"/>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row>
    <row r="22" spans="1:83" ht="20.149999999999999" customHeight="1">
      <c r="A22" s="836">
        <v>17</v>
      </c>
      <c r="B22" s="1274" t="s">
        <v>64</v>
      </c>
      <c r="C22" s="1261">
        <f>'T-1'!G42</f>
        <v>5.6606499999999995</v>
      </c>
      <c r="D22" s="1262">
        <f t="shared" si="0"/>
        <v>5.3479941970638691E-2</v>
      </c>
      <c r="E22" s="1261">
        <f>'T-1'!K42</f>
        <v>3.9461399999999998</v>
      </c>
      <c r="F22" s="1262">
        <f t="shared" si="1"/>
        <v>7.5384157563966631E-2</v>
      </c>
      <c r="G22" s="1261">
        <f>'T-1'!N42-E22</f>
        <v>4.0538600000000002</v>
      </c>
      <c r="H22" s="1262">
        <f t="shared" si="2"/>
        <v>7.3978345949796909E-2</v>
      </c>
      <c r="I22" s="1261">
        <f>'T-1'!S42</f>
        <v>8.1999999999999993</v>
      </c>
      <c r="J22" s="1263">
        <f t="shared" si="3"/>
        <v>8.5291394912619695E-2</v>
      </c>
      <c r="K22" s="210"/>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row>
    <row r="23" spans="1:83" ht="20.149999999999999" customHeight="1">
      <c r="A23" s="836">
        <v>18</v>
      </c>
      <c r="B23" s="1274" t="s">
        <v>77</v>
      </c>
      <c r="C23" s="1261">
        <f>'T-1'!G43</f>
        <v>31.391390000000001</v>
      </c>
      <c r="D23" s="1262">
        <f t="shared" si="0"/>
        <v>0.29657543136878062</v>
      </c>
      <c r="E23" s="1261">
        <f>'T-1'!K43</f>
        <v>22.242190000000004</v>
      </c>
      <c r="F23" s="1262">
        <f t="shared" si="1"/>
        <v>0.42489844646355251</v>
      </c>
      <c r="G23" s="1261">
        <f>'T-1'!N43-E23</f>
        <v>22.757809999999996</v>
      </c>
      <c r="H23" s="1262">
        <f t="shared" si="2"/>
        <v>0.41530421406751772</v>
      </c>
      <c r="I23" s="1261">
        <f>'T-1'!S43</f>
        <v>47</v>
      </c>
      <c r="J23" s="1263">
        <f t="shared" si="3"/>
        <v>0.48886531230403979</v>
      </c>
      <c r="K23" s="210"/>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row>
    <row r="24" spans="1:83" ht="20.149999999999999" customHeight="1">
      <c r="A24" s="836">
        <v>19</v>
      </c>
      <c r="B24" s="1274" t="s">
        <v>181</v>
      </c>
      <c r="C24" s="1261">
        <f>'T-1'!G44</f>
        <v>0</v>
      </c>
      <c r="D24" s="1262">
        <f t="shared" si="0"/>
        <v>0</v>
      </c>
      <c r="E24" s="1261">
        <f>'T-1'!K44</f>
        <v>0</v>
      </c>
      <c r="F24" s="1262">
        <f t="shared" si="1"/>
        <v>0</v>
      </c>
      <c r="G24" s="1261">
        <f>'T-1'!N44-E24</f>
        <v>0</v>
      </c>
      <c r="H24" s="1262">
        <f t="shared" si="2"/>
        <v>0</v>
      </c>
      <c r="I24" s="1261">
        <f>'T-1'!S44</f>
        <v>0</v>
      </c>
      <c r="J24" s="1263">
        <f t="shared" si="3"/>
        <v>0</v>
      </c>
      <c r="K24" s="210"/>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row>
    <row r="25" spans="1:83" ht="20.149999999999999" customHeight="1">
      <c r="A25" s="836">
        <v>20</v>
      </c>
      <c r="B25" s="1274" t="s">
        <v>182</v>
      </c>
      <c r="C25" s="1261">
        <f>'T-1'!G45</f>
        <v>161.92072999999999</v>
      </c>
      <c r="D25" s="1262">
        <f t="shared" si="0"/>
        <v>1.5297733024022782</v>
      </c>
      <c r="E25" s="1261">
        <f>'T-1'!K45</f>
        <v>96.745469999999997</v>
      </c>
      <c r="F25" s="1262">
        <f t="shared" si="1"/>
        <v>1.848154336663171</v>
      </c>
      <c r="G25" s="1261">
        <f>'T-1'!N45-E25</f>
        <v>93.254530000000003</v>
      </c>
      <c r="H25" s="1262">
        <f t="shared" si="2"/>
        <v>1.7017893764771637</v>
      </c>
      <c r="I25" s="1261">
        <f>'T-1'!S45</f>
        <v>195</v>
      </c>
      <c r="J25" s="1263">
        <f t="shared" si="3"/>
        <v>2.0282709765805906</v>
      </c>
      <c r="K25" s="210"/>
      <c r="L25" s="346"/>
      <c r="M25" s="346"/>
      <c r="N25" s="346"/>
      <c r="O25" s="40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row>
    <row r="26" spans="1:83" ht="20.149999999999999" customHeight="1">
      <c r="A26" s="836">
        <v>21</v>
      </c>
      <c r="B26" s="1274" t="s">
        <v>183</v>
      </c>
      <c r="C26" s="1261">
        <f>'T-1'!G46</f>
        <v>0</v>
      </c>
      <c r="D26" s="1262">
        <f t="shared" si="0"/>
        <v>0</v>
      </c>
      <c r="E26" s="1261">
        <f>'T-1'!K46</f>
        <v>0</v>
      </c>
      <c r="F26" s="1262">
        <f t="shared" si="1"/>
        <v>0</v>
      </c>
      <c r="G26" s="1261">
        <f>'T-1'!N46-E26</f>
        <v>0</v>
      </c>
      <c r="H26" s="1262">
        <f t="shared" si="2"/>
        <v>0</v>
      </c>
      <c r="I26" s="1261">
        <f>'T-1'!S46</f>
        <v>0</v>
      </c>
      <c r="J26" s="1263">
        <f t="shared" si="3"/>
        <v>0</v>
      </c>
      <c r="K26" s="210"/>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row>
    <row r="27" spans="1:83" ht="20.149999999999999" customHeight="1">
      <c r="A27" s="836">
        <v>22</v>
      </c>
      <c r="B27" s="1274" t="s">
        <v>184</v>
      </c>
      <c r="C27" s="1261">
        <f>'T-1'!G47</f>
        <v>45.505510000000001</v>
      </c>
      <c r="D27" s="1262">
        <f t="shared" si="0"/>
        <v>0.42992095150633208</v>
      </c>
      <c r="E27" s="1261">
        <f>'T-1'!K47</f>
        <v>25.114879999999999</v>
      </c>
      <c r="F27" s="1262">
        <f t="shared" si="1"/>
        <v>0.47977620437189611</v>
      </c>
      <c r="G27" s="1261">
        <f>'T-1'!N47-E27</f>
        <v>25.885120000000001</v>
      </c>
      <c r="H27" s="1262">
        <f t="shared" si="2"/>
        <v>0.47237407367595496</v>
      </c>
      <c r="I27" s="1261">
        <f>'T-1'!S47</f>
        <v>52</v>
      </c>
      <c r="J27" s="1263">
        <f t="shared" si="3"/>
        <v>0.54087226042149084</v>
      </c>
      <c r="K27" s="210"/>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row>
    <row r="28" spans="1:83" ht="20.149999999999999" customHeight="1">
      <c r="A28" s="836">
        <v>23</v>
      </c>
      <c r="B28" s="1274" t="s">
        <v>72</v>
      </c>
      <c r="C28" s="1261">
        <f>'T-1'!G48+'T-1'!G49</f>
        <v>1078.4844275</v>
      </c>
      <c r="D28" s="1262">
        <f t="shared" si="0"/>
        <v>10.189162834469098</v>
      </c>
      <c r="E28" s="1261">
        <f>'T-1'!K48+'T-1'!K49</f>
        <v>605.07792662618897</v>
      </c>
      <c r="F28" s="1262">
        <f t="shared" si="1"/>
        <v>11.558963888576399</v>
      </c>
      <c r="G28" s="1261">
        <f>'T-1'!N48+'T-1'!N49-E28</f>
        <v>595.42207337381103</v>
      </c>
      <c r="H28" s="1262">
        <f t="shared" si="2"/>
        <v>10.865777340656351</v>
      </c>
      <c r="I28" s="1261">
        <f>'T-1'!S48+'T-1'!S49</f>
        <v>1297</v>
      </c>
      <c r="J28" s="1263">
        <f t="shared" si="3"/>
        <v>13.490602341666799</v>
      </c>
      <c r="K28" s="210"/>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row>
    <row r="29" spans="1:83" ht="20.149999999999999" customHeight="1">
      <c r="A29" s="836">
        <v>24</v>
      </c>
      <c r="B29" s="1274" t="s">
        <v>82</v>
      </c>
      <c r="C29" s="1261">
        <f>'T-1'!G50</f>
        <v>589.09063000000003</v>
      </c>
      <c r="D29" s="1262">
        <f t="shared" si="0"/>
        <v>5.5655327052276666</v>
      </c>
      <c r="E29" s="1261">
        <f>'T-1'!K50</f>
        <v>298.64850999999999</v>
      </c>
      <c r="F29" s="1262">
        <f t="shared" si="1"/>
        <v>5.7051615842529309</v>
      </c>
      <c r="G29" s="1261">
        <f>'T-1'!N50-E29</f>
        <v>311.35149000000001</v>
      </c>
      <c r="H29" s="1262">
        <f t="shared" si="2"/>
        <v>5.6818114683794541</v>
      </c>
      <c r="I29" s="1261">
        <f>'T-1'!S50</f>
        <v>640</v>
      </c>
      <c r="J29" s="1263">
        <f t="shared" si="3"/>
        <v>6.6568893590337339</v>
      </c>
      <c r="K29" s="210"/>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row>
    <row r="30" spans="1:83" ht="20.149999999999999" customHeight="1">
      <c r="A30" s="836">
        <v>25</v>
      </c>
      <c r="B30" s="1274" t="s">
        <v>92</v>
      </c>
      <c r="C30" s="1261">
        <f>'T-1'!G51</f>
        <v>167.39267999999998</v>
      </c>
      <c r="D30" s="1262">
        <f t="shared" si="0"/>
        <v>1.5814704694177686</v>
      </c>
      <c r="E30" s="1261">
        <f>'T-1'!K51</f>
        <v>111.21718</v>
      </c>
      <c r="F30" s="1262">
        <f t="shared" si="1"/>
        <v>2.1246112456577917</v>
      </c>
      <c r="G30" s="1261">
        <f>'T-1'!N51-E30</f>
        <v>113.78282</v>
      </c>
      <c r="H30" s="1262">
        <f t="shared" si="2"/>
        <v>2.076407379905441</v>
      </c>
      <c r="I30" s="1261">
        <f>'T-1'!S51</f>
        <v>230</v>
      </c>
      <c r="J30" s="1263">
        <f t="shared" si="3"/>
        <v>2.3923196134027478</v>
      </c>
      <c r="K30" s="210"/>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row>
    <row r="31" spans="1:83" ht="20.149999999999999" customHeight="1">
      <c r="A31" s="836">
        <v>26</v>
      </c>
      <c r="B31" s="1274" t="s">
        <v>84</v>
      </c>
      <c r="C31" s="1261">
        <f>'T-1'!G52</f>
        <v>0</v>
      </c>
      <c r="D31" s="1262">
        <f t="shared" si="0"/>
        <v>0</v>
      </c>
      <c r="E31" s="1261">
        <f>'T-1'!K52</f>
        <v>0</v>
      </c>
      <c r="F31" s="1262">
        <f t="shared" si="1"/>
        <v>0</v>
      </c>
      <c r="G31" s="1261">
        <f>'T-1'!N52-E31</f>
        <v>0</v>
      </c>
      <c r="H31" s="1262">
        <f t="shared" si="2"/>
        <v>0</v>
      </c>
      <c r="I31" s="1261">
        <f>'T-1'!S52</f>
        <v>9.9999999999999995E-7</v>
      </c>
      <c r="J31" s="1263">
        <f t="shared" si="3"/>
        <v>1.0401389623490207E-8</v>
      </c>
      <c r="K31" s="210"/>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row>
    <row r="32" spans="1:83" ht="20.149999999999999" customHeight="1">
      <c r="A32" s="836">
        <v>27</v>
      </c>
      <c r="B32" s="1274" t="s">
        <v>85</v>
      </c>
      <c r="C32" s="1261">
        <f>'T-1'!G53</f>
        <v>0</v>
      </c>
      <c r="D32" s="1262">
        <f t="shared" si="0"/>
        <v>0</v>
      </c>
      <c r="E32" s="1261">
        <f>'T-1'!K53</f>
        <v>0</v>
      </c>
      <c r="F32" s="1262">
        <f t="shared" si="1"/>
        <v>0</v>
      </c>
      <c r="G32" s="1261">
        <f>'T-1'!N53-E32</f>
        <v>0</v>
      </c>
      <c r="H32" s="1262">
        <f t="shared" si="2"/>
        <v>0</v>
      </c>
      <c r="I32" s="1261">
        <f>'T-1'!S53</f>
        <v>9.9999999999999995E-7</v>
      </c>
      <c r="J32" s="1263">
        <f t="shared" si="3"/>
        <v>1.0401389623490207E-8</v>
      </c>
      <c r="K32" s="210"/>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row>
    <row r="33" spans="1:83" ht="20.149999999999999" customHeight="1">
      <c r="A33" s="836">
        <v>28</v>
      </c>
      <c r="B33" s="1274" t="s">
        <v>86</v>
      </c>
      <c r="C33" s="1261">
        <f>'T-1'!G54</f>
        <v>6.5770049999999998</v>
      </c>
      <c r="D33" s="1262">
        <f t="shared" si="0"/>
        <v>6.2137359798009162E-2</v>
      </c>
      <c r="E33" s="1261">
        <f>'T-1'!K54</f>
        <v>3.7869655500000006</v>
      </c>
      <c r="F33" s="1262">
        <f t="shared" si="1"/>
        <v>7.2343405887909093E-2</v>
      </c>
      <c r="G33" s="1261">
        <f>'T-1'!N54-E33</f>
        <v>3.2130344499999994</v>
      </c>
      <c r="H33" s="1262">
        <f t="shared" si="2"/>
        <v>5.8634233567689903E-2</v>
      </c>
      <c r="I33" s="1261">
        <f>'T-1'!S54</f>
        <v>7.2</v>
      </c>
      <c r="J33" s="1263">
        <f t="shared" si="3"/>
        <v>7.4890005289129508E-2</v>
      </c>
      <c r="K33" s="210"/>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row>
    <row r="34" spans="1:83" ht="20.149999999999999" customHeight="1">
      <c r="A34" s="836">
        <v>29</v>
      </c>
      <c r="B34" s="1274" t="s">
        <v>89</v>
      </c>
      <c r="C34" s="1261">
        <f>'T-1'!G58</f>
        <v>0.18132000000000001</v>
      </c>
      <c r="D34" s="1262">
        <f t="shared" si="0"/>
        <v>1.713051165169408E-3</v>
      </c>
      <c r="E34" s="1261">
        <f>'T-1'!K58</f>
        <v>0.27860000000000001</v>
      </c>
      <c r="F34" s="1262">
        <f t="shared" si="1"/>
        <v>5.3221695878304118E-3</v>
      </c>
      <c r="G34" s="1261">
        <f>'T-1'!N58-E34</f>
        <v>0.1714</v>
      </c>
      <c r="H34" s="1262">
        <f t="shared" si="2"/>
        <v>3.1278555489817582E-3</v>
      </c>
      <c r="I34" s="1261">
        <f>'T-1'!S58</f>
        <v>0.46</v>
      </c>
      <c r="J34" s="1263">
        <f t="shared" si="3"/>
        <v>4.7846392268054965E-3</v>
      </c>
      <c r="K34" s="210"/>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row>
    <row r="35" spans="1:83" ht="20.149999999999999" customHeight="1">
      <c r="A35" s="836">
        <v>30</v>
      </c>
      <c r="B35" s="1274" t="s">
        <v>72</v>
      </c>
      <c r="C35" s="1261">
        <f>'T-1'!G59</f>
        <v>510.81445600000001</v>
      </c>
      <c r="D35" s="1262">
        <f t="shared" si="0"/>
        <v>4.826005399493587</v>
      </c>
      <c r="E35" s="1261">
        <f>'T-1'!K59+'T-1'!K60</f>
        <v>311.43349813814763</v>
      </c>
      <c r="F35" s="1262">
        <f t="shared" si="1"/>
        <v>5.9493965987885451</v>
      </c>
      <c r="G35" s="1261">
        <f>'T-1'!N59+'T-1'!N60-E35</f>
        <v>288.56650186185237</v>
      </c>
      <c r="H35" s="1262">
        <f t="shared" si="2"/>
        <v>5.2660112841239775</v>
      </c>
      <c r="I35" s="1261">
        <f>'T-1'!S59+'T-1'!S60</f>
        <v>645</v>
      </c>
      <c r="J35" s="1263">
        <f t="shared" si="3"/>
        <v>6.7088963071511838</v>
      </c>
      <c r="K35" s="210"/>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row>
    <row r="36" spans="1:83" ht="20.149999999999999" customHeight="1">
      <c r="A36" s="836">
        <v>31</v>
      </c>
      <c r="B36" s="1274" t="s">
        <v>84</v>
      </c>
      <c r="C36" s="1261">
        <f>'T-1'!G61</f>
        <v>824.50970999999993</v>
      </c>
      <c r="D36" s="1262">
        <f t="shared" si="0"/>
        <v>7.7896940183597527</v>
      </c>
      <c r="E36" s="1261">
        <f>'T-1'!K61</f>
        <v>425.06859000000003</v>
      </c>
      <c r="F36" s="1262">
        <f t="shared" si="1"/>
        <v>8.120197855132643</v>
      </c>
      <c r="G36" s="1261">
        <f>'T-1'!N61-E36</f>
        <v>474.93140999999997</v>
      </c>
      <c r="H36" s="1262">
        <f t="shared" si="2"/>
        <v>8.6669594291378669</v>
      </c>
      <c r="I36" s="1261">
        <f>'T-1'!S61</f>
        <v>945</v>
      </c>
      <c r="J36" s="1263">
        <f t="shared" si="3"/>
        <v>9.8293131941982477</v>
      </c>
      <c r="K36" s="210"/>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row>
    <row r="37" spans="1:83" ht="20.149999999999999" customHeight="1">
      <c r="A37" s="836">
        <v>32</v>
      </c>
      <c r="B37" s="1274" t="s">
        <v>91</v>
      </c>
      <c r="C37" s="1261">
        <f>'T-1'!G62</f>
        <v>685.86205240000004</v>
      </c>
      <c r="D37" s="1262">
        <f t="shared" si="0"/>
        <v>6.4797969777702482</v>
      </c>
      <c r="E37" s="1261">
        <f>'T-1'!K62</f>
        <v>117.01655899999999</v>
      </c>
      <c r="F37" s="1262">
        <f t="shared" si="1"/>
        <v>2.235398318673234</v>
      </c>
      <c r="G37" s="1261">
        <f>'T-1'!N62-E37</f>
        <v>132.98344100000003</v>
      </c>
      <c r="H37" s="1262">
        <f t="shared" si="2"/>
        <v>2.4267969303065247</v>
      </c>
      <c r="I37" s="1261">
        <f>'T-1'!S62</f>
        <v>262</v>
      </c>
      <c r="J37" s="1263">
        <f t="shared" si="3"/>
        <v>2.7251640813544342</v>
      </c>
      <c r="K37" s="210"/>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row>
    <row r="38" spans="1:83" ht="20.149999999999999" customHeight="1">
      <c r="A38" s="836">
        <v>33</v>
      </c>
      <c r="B38" s="1274" t="s">
        <v>82</v>
      </c>
      <c r="C38" s="1261">
        <f>'T-1'!G63+'T-1'!G64</f>
        <v>3739.9537300000002</v>
      </c>
      <c r="D38" s="1262">
        <f t="shared" si="0"/>
        <v>35.33384124672498</v>
      </c>
      <c r="E38" s="1261">
        <f>'T-1'!K63+'T-1'!K64</f>
        <v>1549.99233</v>
      </c>
      <c r="F38" s="1262">
        <f t="shared" si="1"/>
        <v>29.609913998910265</v>
      </c>
      <c r="G38" s="1261">
        <f>'T-1'!N63+'T-1'!N64-E38</f>
        <v>1592.00767</v>
      </c>
      <c r="H38" s="1262">
        <f t="shared" si="2"/>
        <v>29.052333865991947</v>
      </c>
      <c r="I38" s="1261">
        <f>'T-1'!S63+'T-1'!S64</f>
        <v>1583.94</v>
      </c>
      <c r="J38" s="1263">
        <f t="shared" si="3"/>
        <v>16.475177080231081</v>
      </c>
      <c r="K38" s="210"/>
      <c r="L38" s="196" t="s">
        <v>1953</v>
      </c>
      <c r="M38" s="1196">
        <v>45017</v>
      </c>
      <c r="N38" s="1196">
        <v>45047</v>
      </c>
      <c r="O38" s="1196">
        <v>45078</v>
      </c>
      <c r="P38" s="1196">
        <v>45108</v>
      </c>
      <c r="Q38" s="1196">
        <v>45139</v>
      </c>
      <c r="R38" s="1196">
        <v>45170</v>
      </c>
      <c r="S38" s="696" t="s">
        <v>214</v>
      </c>
      <c r="T38" s="696" t="s">
        <v>1954</v>
      </c>
      <c r="U38" s="696" t="s">
        <v>2374</v>
      </c>
      <c r="V38" s="696" t="s">
        <v>1955</v>
      </c>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row>
    <row r="39" spans="1:83" ht="20.149999999999999" customHeight="1">
      <c r="A39" s="836">
        <v>34</v>
      </c>
      <c r="B39" s="1274" t="s">
        <v>92</v>
      </c>
      <c r="C39" s="1261">
        <f>'T-1'!G65</f>
        <v>7.3120200000000004</v>
      </c>
      <c r="D39" s="1262">
        <f t="shared" si="0"/>
        <v>6.9081537506849838E-2</v>
      </c>
      <c r="E39" s="1261">
        <f>'T-1'!K65</f>
        <v>3.841634</v>
      </c>
      <c r="F39" s="1262">
        <f t="shared" si="1"/>
        <v>7.3387751767319806E-2</v>
      </c>
      <c r="G39" s="1261">
        <f>'T-1'!N65-E39</f>
        <v>3.658366</v>
      </c>
      <c r="H39" s="1262">
        <f t="shared" si="2"/>
        <v>6.6761029132474906E-2</v>
      </c>
      <c r="I39" s="1261">
        <f>'T-1'!S65</f>
        <v>7.6</v>
      </c>
      <c r="J39" s="1263">
        <f t="shared" si="3"/>
        <v>7.9050561138525571E-2</v>
      </c>
      <c r="K39" s="210"/>
      <c r="L39" s="412" t="s">
        <v>268</v>
      </c>
      <c r="M39" s="1199">
        <v>61.63</v>
      </c>
      <c r="N39" s="1199">
        <v>119.55289999999999</v>
      </c>
      <c r="O39" s="1199">
        <v>55.417949999999998</v>
      </c>
      <c r="P39" s="1199">
        <v>123.5736</v>
      </c>
      <c r="Q39" s="1199">
        <v>75.182839999999999</v>
      </c>
      <c r="R39" s="1199">
        <v>100.38509999999999</v>
      </c>
      <c r="S39" s="1200">
        <f>SUM(M39:R39)</f>
        <v>535.74239</v>
      </c>
      <c r="T39" s="1200">
        <f>121.4265+200+500</f>
        <v>821.42650000000003</v>
      </c>
      <c r="U39" s="1200">
        <f>S39+T39</f>
        <v>1357.1688899999999</v>
      </c>
      <c r="V39" s="1200">
        <f>2500-U39</f>
        <v>1142.8311100000001</v>
      </c>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346"/>
    </row>
    <row r="40" spans="1:83" ht="20.149999999999999" customHeight="1">
      <c r="A40" s="836">
        <v>35</v>
      </c>
      <c r="B40" s="1274" t="s">
        <v>85</v>
      </c>
      <c r="C40" s="1261">
        <f>'T-1'!G66</f>
        <v>5.7659099999999999</v>
      </c>
      <c r="D40" s="1262">
        <f t="shared" si="0"/>
        <v>5.4474403506297925E-2</v>
      </c>
      <c r="E40" s="1261">
        <f>'T-1'!K66</f>
        <v>0.35041</v>
      </c>
      <c r="F40" s="1262">
        <f t="shared" si="1"/>
        <v>6.6939750368688253E-3</v>
      </c>
      <c r="G40" s="1261">
        <f>'T-1'!N66-E40</f>
        <v>0.64959</v>
      </c>
      <c r="H40" s="1262">
        <f t="shared" si="2"/>
        <v>1.185428054879265E-2</v>
      </c>
      <c r="I40" s="1261">
        <f>'T-1'!S66</f>
        <v>1</v>
      </c>
      <c r="J40" s="1263">
        <f t="shared" si="3"/>
        <v>1.0401389623490208E-2</v>
      </c>
      <c r="K40" s="210"/>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row>
    <row r="41" spans="1:83" ht="20.149999999999999" customHeight="1">
      <c r="A41" s="836">
        <v>36</v>
      </c>
      <c r="B41" s="1274" t="s">
        <v>86</v>
      </c>
      <c r="C41" s="1261">
        <f>'T-1'!G67</f>
        <v>63.297799999999995</v>
      </c>
      <c r="D41" s="1262">
        <f t="shared" si="0"/>
        <v>0.59801660072060525</v>
      </c>
      <c r="E41" s="1261">
        <f>'T-1'!K67</f>
        <v>14.163051439999997</v>
      </c>
      <c r="F41" s="1262">
        <f t="shared" si="1"/>
        <v>0.27056052277403342</v>
      </c>
      <c r="G41" s="1261">
        <f>'T-1'!N67-E41</f>
        <v>14.886948560000004</v>
      </c>
      <c r="H41" s="1262">
        <f t="shared" si="2"/>
        <v>0.27166992217504088</v>
      </c>
      <c r="I41" s="1261">
        <f>'T-1'!S67</f>
        <v>35</v>
      </c>
      <c r="J41" s="1263">
        <f t="shared" si="3"/>
        <v>0.36404863682215727</v>
      </c>
      <c r="K41" s="210"/>
      <c r="L41" s="276"/>
      <c r="M41" s="424"/>
      <c r="O41" s="425"/>
      <c r="P41" s="425"/>
      <c r="Q41" s="425"/>
      <c r="R41" s="425"/>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row>
    <row r="42" spans="1:83" ht="20.149999999999999" customHeight="1">
      <c r="A42" s="836">
        <v>37</v>
      </c>
      <c r="B42" s="288" t="s">
        <v>576</v>
      </c>
      <c r="C42" s="1264">
        <f>SUM(C6:C41)</f>
        <v>10584.622554579029</v>
      </c>
      <c r="D42" s="1265">
        <f>SUM(D6:D41)</f>
        <v>100.00000000000003</v>
      </c>
      <c r="E42" s="1264">
        <f>SUM(E6:E41)</f>
        <v>5234.7073012675564</v>
      </c>
      <c r="F42" s="1265">
        <f>SUM(F6:F41)</f>
        <v>99.999999999999943</v>
      </c>
      <c r="G42" s="1264">
        <f>SUM(G6:G41)</f>
        <v>5479.7926987324445</v>
      </c>
      <c r="H42" s="1264"/>
      <c r="I42" s="1264">
        <f>SUM(I6:I41)</f>
        <v>9614.100002000001</v>
      </c>
      <c r="J42" s="1266">
        <f>SUM(J6:J41)</f>
        <v>100.00000000000001</v>
      </c>
      <c r="K42" s="210"/>
      <c r="L42" s="196" t="s">
        <v>735</v>
      </c>
      <c r="M42" s="696" t="s">
        <v>2375</v>
      </c>
      <c r="N42" s="696" t="s">
        <v>1954</v>
      </c>
      <c r="O42" s="696" t="s">
        <v>145</v>
      </c>
      <c r="P42" s="346"/>
      <c r="Q42" s="346"/>
      <c r="R42" s="346"/>
      <c r="S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row>
    <row r="43" spans="1:83" ht="20.149999999999999" customHeight="1">
      <c r="A43" s="836">
        <v>38</v>
      </c>
      <c r="B43" s="288" t="s">
        <v>577</v>
      </c>
      <c r="C43" s="694">
        <f>C44-C42</f>
        <v>2417.7824454209713</v>
      </c>
      <c r="D43" s="694"/>
      <c r="E43" s="694">
        <f>E44-E42</f>
        <v>1135.7619987324433</v>
      </c>
      <c r="F43" s="694"/>
      <c r="G43" s="694">
        <f>G44-G42</f>
        <v>1229.7380012675558</v>
      </c>
      <c r="H43" s="694"/>
      <c r="I43" s="694">
        <f>I44-I42</f>
        <v>1909.899997999999</v>
      </c>
      <c r="J43" s="1267"/>
      <c r="K43" s="210"/>
      <c r="L43" s="196" t="s">
        <v>1964</v>
      </c>
      <c r="M43" s="1974" t="s">
        <v>578</v>
      </c>
      <c r="N43" s="1974"/>
      <c r="O43" s="1974"/>
      <c r="P43" s="346"/>
      <c r="Q43" s="346"/>
      <c r="R43" s="346"/>
      <c r="S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row>
    <row r="44" spans="1:83" ht="20.149999999999999" customHeight="1">
      <c r="A44" s="836">
        <v>39</v>
      </c>
      <c r="B44" s="288" t="s">
        <v>579</v>
      </c>
      <c r="C44" s="1264">
        <f>'T-1'!G72</f>
        <v>13002.405000000001</v>
      </c>
      <c r="D44" s="1264"/>
      <c r="E44" s="1264">
        <f>'T-4 '!J5</f>
        <v>6370.4692999999997</v>
      </c>
      <c r="F44" s="1264"/>
      <c r="G44" s="1264">
        <f>'T-1'!N72-E44</f>
        <v>6709.5307000000003</v>
      </c>
      <c r="H44" s="1264"/>
      <c r="I44" s="1264">
        <f>'T-1'!S72</f>
        <v>11524</v>
      </c>
      <c r="J44" s="1267"/>
      <c r="K44" s="210"/>
      <c r="L44" s="1220" t="s">
        <v>2376</v>
      </c>
      <c r="M44" s="718">
        <f>22762255562/10^5</f>
        <v>227622.55562</v>
      </c>
      <c r="N44" s="1201">
        <f>(G48-T39)*390/10</f>
        <v>229902.27779999995</v>
      </c>
      <c r="O44" s="1202">
        <f t="shared" ref="O44:O47" si="4">N44+M44</f>
        <v>457524.83341999992</v>
      </c>
      <c r="P44" s="697"/>
      <c r="Q44" s="346"/>
      <c r="R44" s="346"/>
      <c r="S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46"/>
      <c r="CC44" s="346"/>
      <c r="CD44" s="346"/>
      <c r="CE44" s="346"/>
    </row>
    <row r="45" spans="1:83" ht="20.149999999999999" customHeight="1">
      <c r="A45" s="851" t="s">
        <v>491</v>
      </c>
      <c r="B45" s="288" t="s">
        <v>580</v>
      </c>
      <c r="C45" s="1264"/>
      <c r="D45" s="1264"/>
      <c r="E45" s="1264"/>
      <c r="F45" s="1264"/>
      <c r="G45" s="1264"/>
      <c r="H45" s="1264"/>
      <c r="I45" s="1264"/>
      <c r="J45" s="1267"/>
      <c r="K45" s="210"/>
      <c r="L45" s="1220" t="s">
        <v>2377</v>
      </c>
      <c r="M45" s="718">
        <f>(879377904+871564832)/10^5</f>
        <v>17509.427360000001</v>
      </c>
      <c r="N45" s="1201">
        <f>(G48-T39)*30/10</f>
        <v>17684.790599999997</v>
      </c>
      <c r="O45" s="1202">
        <f>N45+M45</f>
        <v>35194.217959999994</v>
      </c>
      <c r="P45" s="697"/>
      <c r="Q45" s="96">
        <v>175.09427360000001</v>
      </c>
      <c r="R45" s="408">
        <v>351.94217959999992</v>
      </c>
      <c r="S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row>
    <row r="46" spans="1:83" ht="20.149999999999999" customHeight="1">
      <c r="A46" s="851">
        <v>1</v>
      </c>
      <c r="B46" s="288" t="s">
        <v>581</v>
      </c>
      <c r="C46" s="1264">
        <f>C44-C47</f>
        <v>12995.983</v>
      </c>
      <c r="D46" s="1264"/>
      <c r="E46" s="1264">
        <f>E44-E47</f>
        <v>6367.0563000000002</v>
      </c>
      <c r="F46" s="1264"/>
      <c r="G46" s="1264">
        <f>G44+G47</f>
        <v>6712.9436999999998</v>
      </c>
      <c r="H46" s="1264"/>
      <c r="I46" s="1264">
        <f>I44-I47</f>
        <v>11516.92</v>
      </c>
      <c r="J46" s="1267"/>
      <c r="K46" s="210"/>
      <c r="L46" s="1220" t="s">
        <v>1953</v>
      </c>
      <c r="M46" s="718">
        <f>(2461440335)/10^5</f>
        <v>24614.403350000001</v>
      </c>
      <c r="N46" s="1201">
        <f>T39*455/10</f>
        <v>37374.905749999998</v>
      </c>
      <c r="O46" s="1202">
        <f t="shared" si="4"/>
        <v>61989.309099999999</v>
      </c>
      <c r="P46" s="697"/>
      <c r="Q46" s="406"/>
      <c r="R46" s="346"/>
      <c r="S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row>
    <row r="47" spans="1:83" ht="20.149999999999999" customHeight="1">
      <c r="A47" s="851">
        <v>2</v>
      </c>
      <c r="B47" s="288" t="s">
        <v>582</v>
      </c>
      <c r="C47" s="1264">
        <v>6.4219999999999997</v>
      </c>
      <c r="D47" s="1264"/>
      <c r="E47" s="1264">
        <v>3.4129999999999998</v>
      </c>
      <c r="F47" s="1264"/>
      <c r="G47" s="1264">
        <f>E47</f>
        <v>3.4129999999999998</v>
      </c>
      <c r="H47" s="694"/>
      <c r="I47" s="1264">
        <v>7.08</v>
      </c>
      <c r="J47" s="1267"/>
      <c r="K47" s="210"/>
      <c r="L47" s="1198" t="s">
        <v>2378</v>
      </c>
      <c r="M47" s="718">
        <f>1497858410/10^5</f>
        <v>14978.5841</v>
      </c>
      <c r="N47" s="1201">
        <f>G46*24/10</f>
        <v>16111.06488</v>
      </c>
      <c r="O47" s="1202">
        <f t="shared" si="4"/>
        <v>31089.648979999998</v>
      </c>
      <c r="P47" s="346"/>
      <c r="Q47" s="346"/>
      <c r="R47" s="346"/>
      <c r="S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row>
    <row r="48" spans="1:83" ht="20.149999999999999" customHeight="1">
      <c r="A48" s="851">
        <v>3</v>
      </c>
      <c r="B48" s="288" t="s">
        <v>583</v>
      </c>
      <c r="C48" s="1264">
        <f>C47+C46</f>
        <v>13002.405000000001</v>
      </c>
      <c r="D48" s="1264"/>
      <c r="E48" s="1264">
        <f>E47+E46</f>
        <v>6370.4692999999997</v>
      </c>
      <c r="F48" s="1264"/>
      <c r="G48" s="1264">
        <f>G47+G46</f>
        <v>6716.3566999999994</v>
      </c>
      <c r="H48" s="1264"/>
      <c r="I48" s="1264">
        <f>I47+I46</f>
        <v>11524</v>
      </c>
      <c r="J48" s="1267"/>
      <c r="K48" s="210"/>
      <c r="L48" s="1198" t="s">
        <v>2379</v>
      </c>
      <c r="M48" s="718">
        <f>(1713800*6)/10^5</f>
        <v>102.828</v>
      </c>
      <c r="N48" s="1203">
        <f>(1713800*6)/10^5</f>
        <v>102.828</v>
      </c>
      <c r="O48" s="1202">
        <f>N48+M48</f>
        <v>205.65600000000001</v>
      </c>
      <c r="P48" s="346"/>
      <c r="Q48" s="346"/>
      <c r="R48" s="346"/>
      <c r="S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row>
    <row r="49" spans="1:83" ht="26.5" customHeight="1">
      <c r="A49" s="836">
        <v>4</v>
      </c>
      <c r="B49" s="698" t="s">
        <v>1956</v>
      </c>
      <c r="C49" s="1264"/>
      <c r="D49" s="1264"/>
      <c r="E49" s="1262">
        <f>(M50-M49)/E46*10</f>
        <v>447.34612827280949</v>
      </c>
      <c r="F49" s="1262"/>
      <c r="G49" s="1262">
        <f>(N50-N49)/G46*10</f>
        <v>448.64947553485365</v>
      </c>
      <c r="H49" s="1262"/>
      <c r="I49" s="1262">
        <f>(M60-M59)/I46*10</f>
        <v>414.17856857562612</v>
      </c>
      <c r="J49" s="1267"/>
      <c r="K49" s="210"/>
      <c r="L49" s="867" t="s">
        <v>584</v>
      </c>
      <c r="M49" s="718">
        <f>3038461/10^5</f>
        <v>30.384609999999999</v>
      </c>
      <c r="N49" s="1203">
        <f>G47*0.89*10</f>
        <v>30.375699999999995</v>
      </c>
      <c r="O49" s="1202">
        <f>N49+M49</f>
        <v>60.76030999999999</v>
      </c>
      <c r="P49" s="346"/>
      <c r="Q49" s="346"/>
      <c r="R49" s="346"/>
      <c r="S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row>
    <row r="50" spans="1:83" ht="20.149999999999999" customHeight="1">
      <c r="A50" s="836">
        <v>5</v>
      </c>
      <c r="B50" s="288" t="s">
        <v>585</v>
      </c>
      <c r="C50" s="1264"/>
      <c r="D50" s="1264"/>
      <c r="E50" s="1262">
        <f>M49/E47*10</f>
        <v>89.026106065045411</v>
      </c>
      <c r="F50" s="1261"/>
      <c r="G50" s="1262">
        <f>N49/G47*10</f>
        <v>88.999999999999986</v>
      </c>
      <c r="H50" s="1262"/>
      <c r="I50" s="1262">
        <f>M59/I47*10</f>
        <v>89</v>
      </c>
      <c r="J50" s="1267"/>
      <c r="K50" s="210"/>
      <c r="L50" s="656" t="s">
        <v>145</v>
      </c>
      <c r="M50" s="738">
        <f>SUM(M44:M49)</f>
        <v>284858.18303999997</v>
      </c>
      <c r="N50" s="1204">
        <f>SUM(N44:N49)</f>
        <v>301206.24272999994</v>
      </c>
      <c r="O50" s="738">
        <f>SUM(O44:O49)</f>
        <v>586064.42576999986</v>
      </c>
      <c r="P50" s="346"/>
      <c r="Q50" s="346"/>
      <c r="R50" s="346"/>
      <c r="S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row>
    <row r="51" spans="1:83" ht="20.149999999999999" customHeight="1" thickBot="1">
      <c r="A51" s="852" t="s">
        <v>586</v>
      </c>
      <c r="B51" s="839" t="s">
        <v>587</v>
      </c>
      <c r="C51" s="1268"/>
      <c r="D51" s="1269"/>
      <c r="E51" s="1270">
        <f>M50</f>
        <v>284858.18303999997</v>
      </c>
      <c r="F51" s="1269"/>
      <c r="G51" s="1270">
        <f>N50</f>
        <v>301206.24272999994</v>
      </c>
      <c r="H51" s="1269"/>
      <c r="I51" s="1270">
        <f>M60</f>
        <v>477069.15600000002</v>
      </c>
      <c r="J51" s="1271"/>
      <c r="K51" s="210"/>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row>
    <row r="52" spans="1:83" ht="20.149999999999999" customHeight="1"/>
    <row r="53" spans="1:83" ht="20.149999999999999" customHeight="1">
      <c r="G53" s="96"/>
      <c r="O53" s="346"/>
    </row>
    <row r="54" spans="1:83" ht="20.149999999999999" customHeight="1">
      <c r="G54" s="96"/>
      <c r="L54" s="196" t="s">
        <v>2380</v>
      </c>
      <c r="M54" s="656" t="s">
        <v>578</v>
      </c>
    </row>
    <row r="55" spans="1:83" ht="20.149999999999999" customHeight="1">
      <c r="E55" s="487"/>
      <c r="G55" s="62"/>
      <c r="I55" s="487"/>
      <c r="L55" s="1197" t="s">
        <v>2382</v>
      </c>
      <c r="M55" s="718">
        <f>(I46-'T-1'!S64)*390/10</f>
        <v>449159.88</v>
      </c>
    </row>
    <row r="56" spans="1:83" ht="20.149999999999999" customHeight="1">
      <c r="C56" s="485"/>
      <c r="G56" s="485"/>
      <c r="L56" s="1197" t="s">
        <v>2431</v>
      </c>
      <c r="M56" s="718">
        <f>'T-1'!S64*455/10</f>
        <v>0</v>
      </c>
    </row>
    <row r="57" spans="1:83" ht="20.149999999999999" customHeight="1">
      <c r="C57" s="485"/>
      <c r="G57" s="485"/>
      <c r="L57" s="343" t="s">
        <v>2383</v>
      </c>
      <c r="M57" s="718">
        <f>I46*24/10</f>
        <v>27640.608</v>
      </c>
    </row>
    <row r="58" spans="1:83" ht="20.149999999999999" customHeight="1">
      <c r="C58" s="486"/>
      <c r="G58" s="486"/>
      <c r="L58" s="23" t="s">
        <v>588</v>
      </c>
      <c r="M58" s="718">
        <f>(1713800*12)/10^5</f>
        <v>205.65600000000001</v>
      </c>
    </row>
    <row r="59" spans="1:83" ht="20.149999999999999" customHeight="1">
      <c r="C59" s="486"/>
      <c r="G59" s="486"/>
      <c r="L59" s="23" t="s">
        <v>584</v>
      </c>
      <c r="M59" s="718">
        <f>I47*0.89*10</f>
        <v>63.012000000000008</v>
      </c>
    </row>
    <row r="60" spans="1:83" ht="20.149999999999999" customHeight="1">
      <c r="G60" s="62"/>
      <c r="L60" s="656" t="s">
        <v>145</v>
      </c>
      <c r="M60" s="738">
        <f>SUM(M55:M59)</f>
        <v>477069.15600000002</v>
      </c>
    </row>
    <row r="61" spans="1:83" ht="20.149999999999999" customHeight="1">
      <c r="G61" s="62"/>
    </row>
    <row r="62" spans="1:83" ht="20.149999999999999" customHeight="1">
      <c r="C62" s="485"/>
      <c r="G62" s="485"/>
    </row>
    <row r="63" spans="1:83" ht="20.149999999999999" customHeight="1">
      <c r="C63" s="485"/>
      <c r="G63" s="485"/>
    </row>
    <row r="64" spans="1:83" ht="20.149999999999999" customHeight="1">
      <c r="C64" s="486"/>
      <c r="G64" s="486"/>
    </row>
    <row r="65" spans="3:16" ht="20.149999999999999" customHeight="1">
      <c r="C65" s="486"/>
      <c r="G65" s="486"/>
      <c r="L65" s="196" t="s">
        <v>735</v>
      </c>
      <c r="M65" s="169" t="s">
        <v>2165</v>
      </c>
      <c r="N65" s="169" t="s">
        <v>2381</v>
      </c>
      <c r="O65" s="169" t="s">
        <v>2033</v>
      </c>
      <c r="P65" s="169" t="s">
        <v>2215</v>
      </c>
    </row>
    <row r="66" spans="3:16" ht="20.149999999999999" customHeight="1">
      <c r="L66" s="412" t="s">
        <v>2036</v>
      </c>
      <c r="M66" s="1205">
        <f>summary!B6</f>
        <v>2932.8311370000001</v>
      </c>
      <c r="N66" s="1205">
        <f>summary!K6</f>
        <v>1247.6877589999999</v>
      </c>
      <c r="O66" s="1205">
        <f>summary!M6</f>
        <v>2500</v>
      </c>
      <c r="P66" s="1205">
        <f>summary!N6</f>
        <v>0</v>
      </c>
    </row>
    <row r="67" spans="3:16" ht="20.149999999999999" customHeight="1"/>
    <row r="68" spans="3:16" ht="20.149999999999999" customHeight="1">
      <c r="K68" s="511"/>
    </row>
    <row r="69" spans="3:16" ht="20.149999999999999" customHeight="1"/>
    <row r="70" spans="3:16" ht="20.149999999999999" customHeight="1"/>
    <row r="71" spans="3:16" ht="20.149999999999999" customHeight="1"/>
    <row r="72" spans="3:16" ht="20.149999999999999" customHeight="1"/>
    <row r="73" spans="3:16" ht="20.149999999999999" customHeight="1"/>
    <row r="74" spans="3:16" ht="20.149999999999999" customHeight="1"/>
    <row r="75" spans="3:16" ht="20.149999999999999" customHeight="1">
      <c r="N75" s="96"/>
    </row>
    <row r="76" spans="3:16" ht="20.149999999999999" customHeight="1"/>
    <row r="77" spans="3:16" ht="20.149999999999999" customHeight="1"/>
    <row r="78" spans="3:16" ht="20.149999999999999" customHeight="1"/>
    <row r="79" spans="3:16" ht="20.149999999999999" customHeight="1"/>
    <row r="80" spans="3:16"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row r="158" ht="20.149999999999999" customHeight="1"/>
    <row r="159" ht="20.149999999999999" customHeight="1"/>
    <row r="160" ht="20.149999999999999" customHeight="1"/>
  </sheetData>
  <mergeCells count="5">
    <mergeCell ref="G3:H3"/>
    <mergeCell ref="I3:J3"/>
    <mergeCell ref="C3:D3"/>
    <mergeCell ref="E3:F3"/>
    <mergeCell ref="M43:O43"/>
  </mergeCells>
  <phoneticPr fontId="87" type="noConversion"/>
  <printOptions horizontalCentered="1" verticalCentered="1" gridLines="1"/>
  <pageMargins left="0.11811023622047245" right="0" top="0.23622047244094491" bottom="0.19685039370078741" header="0" footer="0.19685039370078741"/>
  <pageSetup paperSize="9" scale="90" fitToWidth="3" fitToHeight="3" orientation="landscape" r:id="rId1"/>
  <headerFooter alignWithMargins="0">
    <oddFooter>&amp;R&amp;"Arial,Bold"&amp;12OERC FORM &amp;A</oddFooter>
  </headerFooter>
  <rowBreaks count="1" manualBreakCount="1">
    <brk id="28"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0B67B-BFA9-44BC-AF13-9981093A8973}">
  <dimension ref="A1:CK157"/>
  <sheetViews>
    <sheetView showGridLines="0" view="pageBreakPreview" zoomScale="85" zoomScaleNormal="75" zoomScaleSheetLayoutView="80" workbookViewId="0">
      <pane xSplit="2" ySplit="4" topLeftCell="C54" activePane="bottomRight" state="frozen"/>
      <selection activeCell="L17" sqref="L17"/>
      <selection pane="topRight" activeCell="L17" sqref="L17"/>
      <selection pane="bottomLeft" activeCell="L17" sqref="L17"/>
      <selection pane="bottomRight" activeCell="L17" sqref="L17"/>
    </sheetView>
  </sheetViews>
  <sheetFormatPr defaultColWidth="14.7265625" defaultRowHeight="25"/>
  <cols>
    <col min="1" max="1" width="6.453125" style="38" customWidth="1"/>
    <col min="2" max="2" width="35.81640625" style="38" customWidth="1"/>
    <col min="3" max="3" width="12.54296875" style="62" customWidth="1"/>
    <col min="4" max="5" width="12.81640625" style="38" customWidth="1"/>
    <col min="6" max="6" width="10" style="38" customWidth="1"/>
    <col min="7" max="7" width="13" style="38" customWidth="1"/>
    <col min="8" max="8" width="10.453125" style="38" customWidth="1"/>
    <col min="9" max="9" width="12.54296875" style="38" customWidth="1"/>
    <col min="10" max="10" width="9.453125" style="38" customWidth="1"/>
    <col min="11" max="11" width="14.7265625" style="156" customWidth="1"/>
    <col min="12" max="16384" width="14.7265625" style="38"/>
  </cols>
  <sheetData>
    <row r="1" spans="1:89" ht="16.5" customHeight="1">
      <c r="B1" s="60" t="s">
        <v>104</v>
      </c>
      <c r="C1" s="274"/>
    </row>
    <row r="2" spans="1:89" ht="21" customHeight="1">
      <c r="B2" s="287" t="s">
        <v>570</v>
      </c>
      <c r="C2" s="282"/>
      <c r="I2" s="3" t="s">
        <v>2121</v>
      </c>
      <c r="J2" s="40"/>
    </row>
    <row r="3" spans="1:89" ht="52.5" customHeight="1">
      <c r="A3" s="896" t="s">
        <v>2035</v>
      </c>
      <c r="B3" s="897" t="s">
        <v>735</v>
      </c>
      <c r="C3" s="1975" t="s">
        <v>157</v>
      </c>
      <c r="D3" s="1975"/>
      <c r="E3" s="1975" t="s">
        <v>572</v>
      </c>
      <c r="F3" s="1975"/>
      <c r="G3" s="1975" t="s">
        <v>573</v>
      </c>
      <c r="H3" s="1975"/>
      <c r="I3" s="1975" t="s">
        <v>574</v>
      </c>
      <c r="J3" s="1975"/>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row>
    <row r="4" spans="1:89" ht="18.75" customHeight="1">
      <c r="A4" s="898"/>
      <c r="B4" s="277"/>
      <c r="C4" s="277" t="s">
        <v>268</v>
      </c>
      <c r="D4" s="197" t="s">
        <v>369</v>
      </c>
      <c r="E4" s="277" t="s">
        <v>268</v>
      </c>
      <c r="F4" s="197" t="s">
        <v>369</v>
      </c>
      <c r="G4" s="277" t="s">
        <v>268</v>
      </c>
      <c r="H4" s="197" t="s">
        <v>369</v>
      </c>
      <c r="I4" s="277" t="s">
        <v>268</v>
      </c>
      <c r="J4" s="197" t="s">
        <v>369</v>
      </c>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row>
    <row r="5" spans="1:89" ht="18.75" customHeight="1">
      <c r="A5" s="898"/>
      <c r="B5" s="1275" t="s">
        <v>41</v>
      </c>
      <c r="C5" s="1275"/>
      <c r="D5" s="1276"/>
      <c r="E5" s="1276"/>
      <c r="F5" s="1277"/>
      <c r="G5" s="1277"/>
      <c r="H5" s="1277"/>
      <c r="I5" s="1277"/>
      <c r="J5" s="1275"/>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row>
    <row r="6" spans="1:89" ht="20.149999999999999" customHeight="1">
      <c r="A6" s="275">
        <v>1</v>
      </c>
      <c r="B6" s="1274" t="s">
        <v>43</v>
      </c>
      <c r="C6" s="1261"/>
      <c r="D6" s="1262"/>
      <c r="E6" s="1261"/>
      <c r="F6" s="1262"/>
      <c r="G6" s="1261"/>
      <c r="H6" s="1262"/>
      <c r="I6" s="1261"/>
      <c r="J6" s="1262"/>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row>
    <row r="7" spans="1:89" ht="20.149999999999999" customHeight="1">
      <c r="A7" s="275" t="s">
        <v>45</v>
      </c>
      <c r="B7" s="1273" t="s">
        <v>46</v>
      </c>
      <c r="C7" s="1261">
        <f>'T-1'!G13</f>
        <v>10.155375318092499</v>
      </c>
      <c r="D7" s="1278">
        <f>C7/$C$62</f>
        <v>9.571853537531851E-4</v>
      </c>
      <c r="E7" s="1261">
        <f>'T-1'!K13</f>
        <v>5.8882555059753203</v>
      </c>
      <c r="F7" s="1278">
        <f>E7/$E$62</f>
        <v>1.1248490444822983E-3</v>
      </c>
      <c r="G7" s="1261">
        <f>'T-1'!N13</f>
        <v>11</v>
      </c>
      <c r="H7" s="1278">
        <f>G7/$G$62</f>
        <v>1.0266461337439918E-3</v>
      </c>
      <c r="I7" s="1261">
        <f>'T-1'!S13</f>
        <v>20</v>
      </c>
      <c r="J7" s="1278">
        <f>I7/$I$62</f>
        <v>2.0802779246980418E-3</v>
      </c>
      <c r="K7" s="210"/>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row>
    <row r="8" spans="1:89" ht="20.149999999999999" customHeight="1">
      <c r="A8" s="275" t="s">
        <v>48</v>
      </c>
      <c r="B8" s="1273" t="s">
        <v>49</v>
      </c>
      <c r="C8" s="1261"/>
      <c r="D8" s="1278"/>
      <c r="E8" s="1261"/>
      <c r="F8" s="1278"/>
      <c r="G8" s="1261"/>
      <c r="H8" s="1278"/>
      <c r="I8" s="1261"/>
      <c r="J8" s="1278"/>
      <c r="K8" s="210"/>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row>
    <row r="9" spans="1:89" ht="20.149999999999999" customHeight="1">
      <c r="A9" s="275"/>
      <c r="B9" s="1273" t="s">
        <v>50</v>
      </c>
      <c r="C9" s="1261">
        <f>'T-1'!G15</f>
        <v>411.77046728493838</v>
      </c>
      <c r="D9" s="1278">
        <f t="shared" ref="D9:D61" si="0">C9/$C$62</f>
        <v>3.8811038297231551E-2</v>
      </c>
      <c r="E9" s="1261">
        <f>'T-1'!K15</f>
        <v>330.41482601807866</v>
      </c>
      <c r="F9" s="1278">
        <f t="shared" ref="F9:F61" si="1">E9/$E$62</f>
        <v>6.3120019325258264E-2</v>
      </c>
      <c r="G9" s="1261">
        <f>'T-1'!N15</f>
        <v>690.22970356458995</v>
      </c>
      <c r="H9" s="1278">
        <f t="shared" ref="H9:H61" si="2">G9/$G$62</f>
        <v>6.4420150596349798E-2</v>
      </c>
      <c r="I9" s="1261">
        <f>'T-1'!S15</f>
        <v>726.55758269956834</v>
      </c>
      <c r="J9" s="1278">
        <f t="shared" ref="J9:J61" si="3">I9/$I$62</f>
        <v>7.5572085015594204E-2</v>
      </c>
      <c r="K9" s="210"/>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row>
    <row r="10" spans="1:89" ht="20.149999999999999" customHeight="1">
      <c r="A10" s="275"/>
      <c r="B10" s="1273" t="s">
        <v>52</v>
      </c>
      <c r="C10" s="1261">
        <f>'T-1'!G16</f>
        <v>632.82246395604056</v>
      </c>
      <c r="D10" s="1278">
        <f t="shared" si="0"/>
        <v>5.964608643715788E-2</v>
      </c>
      <c r="E10" s="1261">
        <f>'T-1'!K16</f>
        <v>392.80173154977115</v>
      </c>
      <c r="F10" s="1278">
        <f t="shared" si="1"/>
        <v>7.5037955122086081E-2</v>
      </c>
      <c r="G10" s="1261">
        <f>'T-1'!N16</f>
        <v>820.55465244898437</v>
      </c>
      <c r="H10" s="1278">
        <f t="shared" si="2"/>
        <v>7.6583569223854064E-2</v>
      </c>
      <c r="I10" s="1261">
        <f>'T-1'!S16</f>
        <v>863.74173941998345</v>
      </c>
      <c r="J10" s="1278">
        <f t="shared" si="3"/>
        <v>8.9841143657784006E-2</v>
      </c>
      <c r="K10" s="210"/>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row>
    <row r="11" spans="1:89" ht="20.149999999999999" customHeight="1">
      <c r="A11" s="275"/>
      <c r="B11" s="1273" t="s">
        <v>53</v>
      </c>
      <c r="C11" s="1261">
        <f>'T-1'!G17</f>
        <v>246.5514213189908</v>
      </c>
      <c r="D11" s="1278">
        <f t="shared" si="0"/>
        <v>2.3238472438643083E-2</v>
      </c>
      <c r="E11" s="1261">
        <f>'T-1'!K17</f>
        <v>153.12268822491527</v>
      </c>
      <c r="F11" s="1278">
        <f t="shared" si="1"/>
        <v>2.925143268045521E-2</v>
      </c>
      <c r="G11" s="1261">
        <f>'T-1'!N17</f>
        <v>319.87011290078601</v>
      </c>
      <c r="H11" s="1278">
        <f t="shared" si="2"/>
        <v>2.9853946791804191E-2</v>
      </c>
      <c r="I11" s="1261">
        <f>'T-1'!S17</f>
        <v>336.70538200082734</v>
      </c>
      <c r="J11" s="1278">
        <f t="shared" si="3"/>
        <v>3.5022038665167128E-2</v>
      </c>
      <c r="K11" s="210"/>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row>
    <row r="12" spans="1:89" ht="20.149999999999999" customHeight="1">
      <c r="A12" s="275"/>
      <c r="B12" s="1273" t="s">
        <v>54</v>
      </c>
      <c r="C12" s="1261">
        <f>'T-1'!G18</f>
        <v>299.10833631907815</v>
      </c>
      <c r="D12" s="1278">
        <f t="shared" si="0"/>
        <v>2.8192175054331726E-2</v>
      </c>
      <c r="E12" s="1261">
        <f>'T-1'!K18</f>
        <v>187.8168669402985</v>
      </c>
      <c r="F12" s="1278">
        <f t="shared" si="1"/>
        <v>3.5879153528759797E-2</v>
      </c>
      <c r="G12" s="1261">
        <f>'T-1'!N18</f>
        <v>392.34553108563955</v>
      </c>
      <c r="H12" s="1278">
        <f t="shared" si="2"/>
        <v>3.6618183870982271E-2</v>
      </c>
      <c r="I12" s="1261">
        <f>'T-1'!S18</f>
        <v>412.99529587962053</v>
      </c>
      <c r="J12" s="1278">
        <f t="shared" si="3"/>
        <v>4.2957249851125541E-2</v>
      </c>
      <c r="K12" s="210"/>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row>
    <row r="13" spans="1:89" ht="20.149999999999999" customHeight="1">
      <c r="A13" s="275"/>
      <c r="B13" s="1276" t="s">
        <v>55</v>
      </c>
      <c r="C13" s="1279">
        <f>SUM(C7:C12)</f>
        <v>1600.4080641971404</v>
      </c>
      <c r="D13" s="1280">
        <f t="shared" si="0"/>
        <v>0.15084495758111743</v>
      </c>
      <c r="E13" s="1279">
        <f>SUM(E7:E12)</f>
        <v>1070.0443682390389</v>
      </c>
      <c r="F13" s="1280">
        <f t="shared" si="1"/>
        <v>0.20441340970104166</v>
      </c>
      <c r="G13" s="1279">
        <f>SUM(G7:G12)</f>
        <v>2234</v>
      </c>
      <c r="H13" s="1280">
        <f t="shared" si="2"/>
        <v>0.20850249661673434</v>
      </c>
      <c r="I13" s="1279">
        <f>SUM(I7:I12)</f>
        <v>2359.9999999999995</v>
      </c>
      <c r="J13" s="1280">
        <f t="shared" si="3"/>
        <v>0.24547279511436892</v>
      </c>
      <c r="K13" s="210"/>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row>
    <row r="14" spans="1:89" ht="20.149999999999999" customHeight="1">
      <c r="A14" s="275">
        <v>2</v>
      </c>
      <c r="B14" s="1274" t="s">
        <v>56</v>
      </c>
      <c r="C14" s="1261"/>
      <c r="D14" s="1278"/>
      <c r="E14" s="1261"/>
      <c r="F14" s="1278"/>
      <c r="G14" s="1261"/>
      <c r="H14" s="1278"/>
      <c r="I14" s="1261"/>
      <c r="J14" s="1278"/>
      <c r="K14" s="210"/>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row>
    <row r="15" spans="1:89" ht="20.149999999999999" customHeight="1">
      <c r="A15" s="275"/>
      <c r="B15" s="1273" t="s">
        <v>57</v>
      </c>
      <c r="C15" s="1261"/>
      <c r="D15" s="1278"/>
      <c r="E15" s="1261"/>
      <c r="F15" s="1278"/>
      <c r="G15" s="1261"/>
      <c r="H15" s="1278"/>
      <c r="I15" s="1261"/>
      <c r="J15" s="1278"/>
      <c r="K15" s="210"/>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row>
    <row r="16" spans="1:89" ht="20.149999999999999" customHeight="1">
      <c r="A16" s="275"/>
      <c r="B16" s="1273" t="s">
        <v>58</v>
      </c>
      <c r="C16" s="1261">
        <f>'T-1'!G22</f>
        <v>38.137794031436307</v>
      </c>
      <c r="D16" s="1278">
        <f t="shared" si="0"/>
        <v>3.5946419238992002E-3</v>
      </c>
      <c r="E16" s="1261">
        <f>'T-1'!K22</f>
        <v>25.597150672002467</v>
      </c>
      <c r="F16" s="1278">
        <f t="shared" si="1"/>
        <v>4.8898914874962078E-3</v>
      </c>
      <c r="G16" s="1261">
        <f>'T-1'!N22</f>
        <v>52.636259663294517</v>
      </c>
      <c r="H16" s="1278">
        <f t="shared" si="2"/>
        <v>4.9126193161878311E-3</v>
      </c>
      <c r="I16" s="1261">
        <f>'T-1'!S22</f>
        <v>56.213481193809677</v>
      </c>
      <c r="J16" s="1278">
        <f t="shared" si="3"/>
        <v>5.8469831998955403E-3</v>
      </c>
      <c r="K16" s="210"/>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row>
    <row r="17" spans="1:89" ht="20.149999999999999" customHeight="1">
      <c r="A17" s="275"/>
      <c r="B17" s="1273" t="s">
        <v>59</v>
      </c>
      <c r="C17" s="1261">
        <f>'T-1'!G23</f>
        <v>53.045925314074886</v>
      </c>
      <c r="D17" s="1278">
        <f t="shared" si="0"/>
        <v>4.9997938231252804E-3</v>
      </c>
      <c r="E17" s="1261">
        <f>'T-1'!K23</f>
        <v>30.026729760167079</v>
      </c>
      <c r="F17" s="1278">
        <f t="shared" si="1"/>
        <v>5.7360857125471508E-3</v>
      </c>
      <c r="G17" s="1261">
        <f>'T-1'!N23</f>
        <v>61.744948285374342</v>
      </c>
      <c r="H17" s="1278">
        <f t="shared" si="2"/>
        <v>5.7627465850365713E-3</v>
      </c>
      <c r="I17" s="1261">
        <f>'T-1'!S23</f>
        <v>65.941206906710462</v>
      </c>
      <c r="J17" s="1278">
        <f t="shared" si="3"/>
        <v>6.858801852798792E-3</v>
      </c>
      <c r="K17" s="210"/>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row>
    <row r="18" spans="1:89" ht="20.149999999999999" customHeight="1">
      <c r="A18" s="275"/>
      <c r="B18" s="1273" t="s">
        <v>60</v>
      </c>
      <c r="C18" s="1261">
        <f>'T-1'!G24</f>
        <v>330.07166327710979</v>
      </c>
      <c r="D18" s="1278">
        <f t="shared" si="0"/>
        <v>3.1110594328791975E-2</v>
      </c>
      <c r="E18" s="1261">
        <f>'T-1'!K24</f>
        <v>194.82196584201029</v>
      </c>
      <c r="F18" s="1278">
        <f t="shared" si="1"/>
        <v>3.7217356125114238E-2</v>
      </c>
      <c r="G18" s="1261">
        <f>'T-1'!N24</f>
        <v>400.61879205133113</v>
      </c>
      <c r="H18" s="1278">
        <f t="shared" si="2"/>
        <v>3.7390339451335214E-2</v>
      </c>
      <c r="I18" s="1261">
        <f>'T-1'!S24</f>
        <v>427.84531189947984</v>
      </c>
      <c r="J18" s="1278">
        <f t="shared" si="3"/>
        <v>4.4501857876501821E-2</v>
      </c>
      <c r="K18" s="210"/>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row>
    <row r="19" spans="1:89" ht="20.149999999999999" customHeight="1">
      <c r="A19" s="275"/>
      <c r="B19" s="1274" t="s">
        <v>61</v>
      </c>
      <c r="C19" s="1279">
        <f>SUM(C16:C18)</f>
        <v>421.25538262262097</v>
      </c>
      <c r="D19" s="1280">
        <f t="shared" si="0"/>
        <v>3.9705030075816453E-2</v>
      </c>
      <c r="E19" s="1279">
        <f>SUM(E16:E18)</f>
        <v>250.44584627417981</v>
      </c>
      <c r="F19" s="1280">
        <f t="shared" si="1"/>
        <v>4.7843333325157597E-2</v>
      </c>
      <c r="G19" s="1279">
        <f>SUM(G16:G18)</f>
        <v>515</v>
      </c>
      <c r="H19" s="1280">
        <f t="shared" si="2"/>
        <v>4.8065705352559614E-2</v>
      </c>
      <c r="I19" s="1279">
        <f>SUM(I16:I18)</f>
        <v>550</v>
      </c>
      <c r="J19" s="1280">
        <f t="shared" si="3"/>
        <v>5.7207642929196154E-2</v>
      </c>
      <c r="K19" s="210"/>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c r="CI19" s="346"/>
      <c r="CJ19" s="346"/>
      <c r="CK19" s="346"/>
    </row>
    <row r="20" spans="1:89" ht="20.149999999999999" customHeight="1">
      <c r="A20" s="275">
        <v>3</v>
      </c>
      <c r="B20" s="1274" t="s">
        <v>62</v>
      </c>
      <c r="C20" s="1261">
        <f>'T-1'!G26</f>
        <v>309.98265355926839</v>
      </c>
      <c r="D20" s="1278">
        <f t="shared" si="0"/>
        <v>2.9217123603090131E-2</v>
      </c>
      <c r="E20" s="1261">
        <f>'T-1'!K26</f>
        <v>150.60125000000002</v>
      </c>
      <c r="F20" s="1278">
        <f t="shared" si="1"/>
        <v>2.8769755658264361E-2</v>
      </c>
      <c r="G20" s="1261">
        <f>'T-1'!N26</f>
        <v>330.4</v>
      </c>
      <c r="H20" s="1278">
        <f t="shared" si="2"/>
        <v>3.0836716599001352E-2</v>
      </c>
      <c r="I20" s="1261">
        <f>'T-1'!S26</f>
        <v>360</v>
      </c>
      <c r="J20" s="1278">
        <f t="shared" si="3"/>
        <v>3.7445002644564754E-2</v>
      </c>
      <c r="K20" s="210"/>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c r="CF20" s="346"/>
      <c r="CG20" s="346"/>
      <c r="CH20" s="346"/>
      <c r="CI20" s="346"/>
      <c r="CJ20" s="346"/>
      <c r="CK20" s="346"/>
    </row>
    <row r="21" spans="1:89" ht="20.149999999999999" customHeight="1">
      <c r="A21" s="275">
        <v>4</v>
      </c>
      <c r="B21" s="1274" t="s">
        <v>63</v>
      </c>
      <c r="C21" s="1261">
        <f>'T-1'!G27</f>
        <v>8.9870999999999999</v>
      </c>
      <c r="D21" s="1278">
        <f t="shared" si="0"/>
        <v>8.4707066191730244E-4</v>
      </c>
      <c r="E21" s="1261">
        <f>'T-1'!K27</f>
        <v>5.2224000000000004</v>
      </c>
      <c r="F21" s="1278">
        <f t="shared" si="1"/>
        <v>9.9764890364269741E-4</v>
      </c>
      <c r="G21" s="1261">
        <f>'T-1'!N27</f>
        <v>10.5</v>
      </c>
      <c r="H21" s="1278">
        <f t="shared" si="2"/>
        <v>9.7998040039199222E-4</v>
      </c>
      <c r="I21" s="1261">
        <f>'T-1'!S27</f>
        <v>11</v>
      </c>
      <c r="J21" s="1278">
        <f t="shared" si="3"/>
        <v>1.1441528585839232E-3</v>
      </c>
      <c r="K21" s="210"/>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row>
    <row r="22" spans="1:89" ht="20.149999999999999" customHeight="1">
      <c r="A22" s="275">
        <v>5</v>
      </c>
      <c r="B22" s="1274" t="s">
        <v>64</v>
      </c>
      <c r="C22" s="1261">
        <f>'T-1'!G28</f>
        <v>2.4552084000000001</v>
      </c>
      <c r="D22" s="1278">
        <f t="shared" si="0"/>
        <v>2.3141335965249315E-4</v>
      </c>
      <c r="E22" s="1261">
        <f>'T-1'!K28</f>
        <v>1.6664000000000001</v>
      </c>
      <c r="F22" s="1278">
        <f t="shared" si="1"/>
        <v>3.1833680549750898E-4</v>
      </c>
      <c r="G22" s="1261">
        <f>'T-1'!N28</f>
        <v>2.5</v>
      </c>
      <c r="H22" s="1278">
        <f t="shared" si="2"/>
        <v>2.3332866675999814E-4</v>
      </c>
      <c r="I22" s="1261">
        <f>'T-1'!S28</f>
        <v>3</v>
      </c>
      <c r="J22" s="1278">
        <f t="shared" si="3"/>
        <v>3.1204168870470632E-4</v>
      </c>
      <c r="K22" s="210"/>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row>
    <row r="23" spans="1:89" ht="20.149999999999999" customHeight="1">
      <c r="A23" s="275">
        <v>6</v>
      </c>
      <c r="B23" s="1274" t="s">
        <v>65</v>
      </c>
      <c r="C23" s="1261">
        <f>'T-1'!G29</f>
        <v>49.295755</v>
      </c>
      <c r="D23" s="1278">
        <f t="shared" si="0"/>
        <v>4.6463250456279751E-3</v>
      </c>
      <c r="E23" s="1261">
        <f>'T-1'!K29</f>
        <v>23.185760000000002</v>
      </c>
      <c r="F23" s="1278">
        <f t="shared" si="1"/>
        <v>4.4292371408016827E-3</v>
      </c>
      <c r="G23" s="1261">
        <f>'T-1'!N29</f>
        <v>50</v>
      </c>
      <c r="H23" s="1278">
        <f t="shared" si="2"/>
        <v>4.6665733351999627E-3</v>
      </c>
      <c r="I23" s="1261">
        <f>'T-1'!S29</f>
        <v>52</v>
      </c>
      <c r="J23" s="1278">
        <f t="shared" si="3"/>
        <v>5.4087226042149094E-3</v>
      </c>
      <c r="K23" s="210"/>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row>
    <row r="24" spans="1:89" ht="20.149999999999999" customHeight="1">
      <c r="A24" s="275">
        <v>7</v>
      </c>
      <c r="B24" s="1274" t="s">
        <v>66</v>
      </c>
      <c r="C24" s="1261">
        <f>'T-1'!G30</f>
        <v>19.8373609</v>
      </c>
      <c r="D24" s="1278">
        <f t="shared" si="0"/>
        <v>1.8697518029459352E-3</v>
      </c>
      <c r="E24" s="1261">
        <f>'T-1'!K30</f>
        <v>8.1945899999999998</v>
      </c>
      <c r="F24" s="1278">
        <f t="shared" si="1"/>
        <v>1.5654342312541E-3</v>
      </c>
      <c r="G24" s="1261">
        <f>'T-1'!N30</f>
        <v>20</v>
      </c>
      <c r="H24" s="1278">
        <f t="shared" si="2"/>
        <v>1.8666293340799851E-3</v>
      </c>
      <c r="I24" s="1261">
        <f>'T-1'!S30</f>
        <v>21</v>
      </c>
      <c r="J24" s="1278">
        <f t="shared" si="3"/>
        <v>2.1842918209329441E-3</v>
      </c>
      <c r="K24" s="210"/>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row>
    <row r="25" spans="1:89" ht="20.149999999999999" customHeight="1">
      <c r="A25" s="275">
        <v>8</v>
      </c>
      <c r="B25" s="1274" t="s">
        <v>67</v>
      </c>
      <c r="C25" s="1261">
        <f>'T-1'!G31</f>
        <v>58.311154000000002</v>
      </c>
      <c r="D25" s="1278">
        <f t="shared" si="0"/>
        <v>5.4960630031869861E-3</v>
      </c>
      <c r="E25" s="1261">
        <f>'T-1'!K31</f>
        <v>26.499207999999999</v>
      </c>
      <c r="F25" s="1278">
        <f t="shared" si="1"/>
        <v>5.0622138879824977E-3</v>
      </c>
      <c r="G25" s="1261">
        <f>'T-1'!N31</f>
        <v>60</v>
      </c>
      <c r="H25" s="1278">
        <f t="shared" si="2"/>
        <v>5.5998880022399555E-3</v>
      </c>
      <c r="I25" s="1261">
        <f>'T-1'!S31</f>
        <v>63</v>
      </c>
      <c r="J25" s="1278">
        <f t="shared" si="3"/>
        <v>6.5528754627988328E-3</v>
      </c>
      <c r="K25" s="210"/>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row>
    <row r="26" spans="1:89" ht="20.149999999999999" customHeight="1">
      <c r="A26" s="275">
        <v>9</v>
      </c>
      <c r="B26" s="1274" t="s">
        <v>68</v>
      </c>
      <c r="C26" s="1261">
        <f>'T-1'!G32</f>
        <v>56.459928300000001</v>
      </c>
      <c r="D26" s="1278">
        <f t="shared" si="0"/>
        <v>5.321577465131626E-3</v>
      </c>
      <c r="E26" s="1261">
        <f>'T-1'!K32</f>
        <v>30.602579999999996</v>
      </c>
      <c r="F26" s="1278">
        <f t="shared" si="1"/>
        <v>5.8460919090146165E-3</v>
      </c>
      <c r="G26" s="1261">
        <f>'T-1'!N32</f>
        <v>61</v>
      </c>
      <c r="H26" s="1278">
        <f t="shared" si="2"/>
        <v>5.6932194689439542E-3</v>
      </c>
      <c r="I26" s="1261">
        <f>'T-1'!S32</f>
        <v>64</v>
      </c>
      <c r="J26" s="1278">
        <f t="shared" si="3"/>
        <v>6.6568893590337342E-3</v>
      </c>
      <c r="K26" s="210"/>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row>
    <row r="27" spans="1:89" ht="20.149999999999999" customHeight="1">
      <c r="A27" s="275">
        <v>10</v>
      </c>
      <c r="B27" s="1274" t="s">
        <v>69</v>
      </c>
      <c r="C27" s="1261">
        <f>'T-1'!G33</f>
        <v>54.902704999999997</v>
      </c>
      <c r="D27" s="1278">
        <f t="shared" si="0"/>
        <v>5.1748028469028266E-3</v>
      </c>
      <c r="E27" s="1261">
        <f>'T-1'!K33</f>
        <v>28.47852</v>
      </c>
      <c r="F27" s="1278">
        <f t="shared" si="1"/>
        <v>5.4403271015944065E-3</v>
      </c>
      <c r="G27" s="1261">
        <f>'T-1'!N33</f>
        <v>57</v>
      </c>
      <c r="H27" s="1278">
        <f t="shared" si="2"/>
        <v>5.3198936021279578E-3</v>
      </c>
      <c r="I27" s="1261">
        <f>'T-1'!S33</f>
        <v>60</v>
      </c>
      <c r="J27" s="1278">
        <f t="shared" si="3"/>
        <v>6.2408337740941259E-3</v>
      </c>
      <c r="K27" s="210"/>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row>
    <row r="28" spans="1:89" ht="20.149999999999999" customHeight="1">
      <c r="A28" s="275">
        <v>11</v>
      </c>
      <c r="B28" s="1274" t="s">
        <v>70</v>
      </c>
      <c r="C28" s="1261">
        <f>'T-1'!G34</f>
        <v>8.8902700000000001E-2</v>
      </c>
      <c r="D28" s="1278">
        <f t="shared" si="0"/>
        <v>8.3794404129513817E-6</v>
      </c>
      <c r="E28" s="1261">
        <f>'T-1'!K34</f>
        <v>1.714E-3</v>
      </c>
      <c r="F28" s="1278">
        <f t="shared" si="1"/>
        <v>3.27429959567169E-7</v>
      </c>
      <c r="G28" s="1261">
        <f>'T-1'!N34</f>
        <v>0.1</v>
      </c>
      <c r="H28" s="1278">
        <f t="shared" si="2"/>
        <v>9.3331466703999263E-6</v>
      </c>
      <c r="I28" s="1261">
        <f>'T-1'!S34</f>
        <v>0.1</v>
      </c>
      <c r="J28" s="1278">
        <f t="shared" si="3"/>
        <v>1.040138962349021E-5</v>
      </c>
      <c r="K28" s="210"/>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row>
    <row r="29" spans="1:89" ht="20.149999999999999" customHeight="1">
      <c r="A29" s="275">
        <v>12</v>
      </c>
      <c r="B29" s="1274" t="s">
        <v>71</v>
      </c>
      <c r="C29" s="1261">
        <f>'T-1'!G35</f>
        <v>0</v>
      </c>
      <c r="D29" s="1278">
        <f t="shared" si="0"/>
        <v>0</v>
      </c>
      <c r="E29" s="1261">
        <f>'T-1'!K35</f>
        <v>0</v>
      </c>
      <c r="F29" s="1278">
        <f t="shared" si="1"/>
        <v>0</v>
      </c>
      <c r="G29" s="1261">
        <f>'T-1'!N35</f>
        <v>0</v>
      </c>
      <c r="H29" s="1278">
        <f t="shared" si="2"/>
        <v>0</v>
      </c>
      <c r="I29" s="1261">
        <f>'T-1'!S35</f>
        <v>0</v>
      </c>
      <c r="J29" s="1278">
        <f t="shared" si="3"/>
        <v>0</v>
      </c>
      <c r="K29" s="210"/>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row>
    <row r="30" spans="1:89" ht="20.149999999999999" customHeight="1">
      <c r="A30" s="275">
        <v>13</v>
      </c>
      <c r="B30" s="1274" t="s">
        <v>72</v>
      </c>
      <c r="C30" s="1261">
        <f>'T-1'!G36</f>
        <v>0</v>
      </c>
      <c r="D30" s="1278">
        <f t="shared" si="0"/>
        <v>0</v>
      </c>
      <c r="E30" s="1261">
        <f>'T-1'!K36</f>
        <v>0</v>
      </c>
      <c r="F30" s="1278">
        <f t="shared" si="1"/>
        <v>0</v>
      </c>
      <c r="G30" s="1261">
        <f>'T-1'!N36</f>
        <v>0</v>
      </c>
      <c r="H30" s="1278">
        <f t="shared" si="2"/>
        <v>0</v>
      </c>
      <c r="I30" s="1261">
        <f>'T-1'!S36</f>
        <v>0</v>
      </c>
      <c r="J30" s="1278">
        <f t="shared" si="3"/>
        <v>0</v>
      </c>
      <c r="K30" s="210"/>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row>
    <row r="31" spans="1:89" ht="20.149999999999999" customHeight="1">
      <c r="A31" s="275"/>
      <c r="B31" s="1275" t="s">
        <v>73</v>
      </c>
      <c r="C31" s="1264">
        <f>C19+C13+SUM(C20:C30)</f>
        <v>2581.9842146790297</v>
      </c>
      <c r="D31" s="1280">
        <f t="shared" si="0"/>
        <v>0.24336249488580211</v>
      </c>
      <c r="E31" s="1264">
        <f>E19+E13+SUM(E20:E30)</f>
        <v>1594.9426365132188</v>
      </c>
      <c r="F31" s="1280">
        <f t="shared" si="1"/>
        <v>0.3046861160942107</v>
      </c>
      <c r="G31" s="1264">
        <f>G19+G13+SUM(G20:G30)</f>
        <v>3340.5</v>
      </c>
      <c r="H31" s="1280">
        <f t="shared" si="2"/>
        <v>0.31177376452470951</v>
      </c>
      <c r="I31" s="1264">
        <f>I19+I13+SUM(I20:I30)</f>
        <v>3544.0999999999995</v>
      </c>
      <c r="J31" s="1280">
        <f t="shared" si="3"/>
        <v>0.3686356496461165</v>
      </c>
      <c r="K31" s="210"/>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row>
    <row r="32" spans="1:89" ht="20.149999999999999" customHeight="1">
      <c r="A32" s="61"/>
      <c r="B32" s="1275" t="s">
        <v>74</v>
      </c>
      <c r="C32" s="1261"/>
      <c r="D32" s="1278"/>
      <c r="E32" s="1261"/>
      <c r="F32" s="1278"/>
      <c r="G32" s="1261"/>
      <c r="H32" s="1278"/>
      <c r="I32" s="1261"/>
      <c r="J32" s="1278"/>
      <c r="K32" s="210"/>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row>
    <row r="33" spans="1:89" ht="20.149999999999999" customHeight="1">
      <c r="A33" s="275">
        <v>14</v>
      </c>
      <c r="B33" s="1274" t="s">
        <v>75</v>
      </c>
      <c r="C33" s="1261">
        <f>'T-1'!G39</f>
        <v>17.100010000000001</v>
      </c>
      <c r="D33" s="1278">
        <f t="shared" si="0"/>
        <v>1.6117453671921412E-3</v>
      </c>
      <c r="E33" s="1261">
        <f>'T-1'!K39</f>
        <v>10.65917</v>
      </c>
      <c r="F33" s="1278">
        <f t="shared" si="1"/>
        <v>2.0362494761491136E-3</v>
      </c>
      <c r="G33" s="1261">
        <f>'T-1'!N39</f>
        <v>22</v>
      </c>
      <c r="H33" s="1278">
        <f t="shared" si="2"/>
        <v>2.0532922674879836E-3</v>
      </c>
      <c r="I33" s="1261">
        <f>'T-1'!S39</f>
        <v>23</v>
      </c>
      <c r="J33" s="1278">
        <f t="shared" si="3"/>
        <v>2.3923196134027483E-3</v>
      </c>
      <c r="K33" s="210"/>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row>
    <row r="34" spans="1:89" ht="20.149999999999999" customHeight="1">
      <c r="A34" s="275">
        <v>15</v>
      </c>
      <c r="B34" s="1274" t="s">
        <v>62</v>
      </c>
      <c r="C34" s="1261">
        <f>'T-1'!G40</f>
        <v>58.088250000000002</v>
      </c>
      <c r="D34" s="1278">
        <f t="shared" si="0"/>
        <v>5.4750533962143232E-3</v>
      </c>
      <c r="E34" s="1261">
        <f>'T-1'!K40</f>
        <v>37.688050000000004</v>
      </c>
      <c r="F34" s="1278">
        <f t="shared" si="1"/>
        <v>7.1996480091396989E-3</v>
      </c>
      <c r="G34" s="1261">
        <f>'T-1'!N40</f>
        <v>80</v>
      </c>
      <c r="H34" s="1278">
        <f t="shared" si="2"/>
        <v>7.4665173363199404E-3</v>
      </c>
      <c r="I34" s="1261">
        <f>'T-1'!S40</f>
        <v>85</v>
      </c>
      <c r="J34" s="1278">
        <f t="shared" si="3"/>
        <v>8.8411811799666788E-3</v>
      </c>
      <c r="K34" s="210"/>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c r="CI34" s="346"/>
      <c r="CJ34" s="346"/>
      <c r="CK34" s="346"/>
    </row>
    <row r="35" spans="1:89" ht="20.149999999999999" customHeight="1">
      <c r="A35" s="275">
        <v>16</v>
      </c>
      <c r="B35" s="1274" t="s">
        <v>63</v>
      </c>
      <c r="C35" s="1261">
        <f>'T-1'!G41</f>
        <v>3.7300589999999998</v>
      </c>
      <c r="D35" s="1278">
        <f t="shared" si="0"/>
        <v>3.5157320449539798E-4</v>
      </c>
      <c r="E35" s="1261">
        <f>'T-1'!K41</f>
        <v>2.4935099999999997</v>
      </c>
      <c r="F35" s="1278">
        <f t="shared" si="1"/>
        <v>4.7634181941676282E-4</v>
      </c>
      <c r="G35" s="1261">
        <f>'T-1'!N41</f>
        <v>5.5</v>
      </c>
      <c r="H35" s="1278">
        <f t="shared" si="2"/>
        <v>5.1332306687199589E-4</v>
      </c>
      <c r="I35" s="1261">
        <f>'T-1'!S41</f>
        <v>5.6</v>
      </c>
      <c r="J35" s="1278">
        <f t="shared" si="3"/>
        <v>5.824778189154517E-4</v>
      </c>
      <c r="K35" s="210"/>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row>
    <row r="36" spans="1:89" ht="20.149999999999999" customHeight="1">
      <c r="A36" s="275">
        <v>17</v>
      </c>
      <c r="B36" s="1274" t="s">
        <v>64</v>
      </c>
      <c r="C36" s="1261">
        <f>'T-1'!G42</f>
        <v>5.6606499999999995</v>
      </c>
      <c r="D36" s="1278">
        <f t="shared" si="0"/>
        <v>5.3353924429261693E-4</v>
      </c>
      <c r="E36" s="1261">
        <f>'T-1'!K42</f>
        <v>3.9461399999999998</v>
      </c>
      <c r="F36" s="1278">
        <f t="shared" si="1"/>
        <v>7.5384157563966635E-4</v>
      </c>
      <c r="G36" s="1261">
        <f>'T-1'!N42</f>
        <v>8</v>
      </c>
      <c r="H36" s="1278">
        <f t="shared" si="2"/>
        <v>7.46651733631994E-4</v>
      </c>
      <c r="I36" s="1261">
        <f>'T-1'!S42</f>
        <v>8.1999999999999993</v>
      </c>
      <c r="J36" s="1278">
        <f t="shared" si="3"/>
        <v>8.5291394912619719E-4</v>
      </c>
      <c r="K36" s="210"/>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row>
    <row r="37" spans="1:89" ht="20.149999999999999" customHeight="1">
      <c r="A37" s="275">
        <v>18</v>
      </c>
      <c r="B37" s="1274" t="s">
        <v>77</v>
      </c>
      <c r="C37" s="1261">
        <f>'T-1'!G43</f>
        <v>31.391390000000001</v>
      </c>
      <c r="D37" s="1278">
        <f t="shared" si="0"/>
        <v>2.958765954067963E-3</v>
      </c>
      <c r="E37" s="1261">
        <f>'T-1'!K43</f>
        <v>22.242190000000004</v>
      </c>
      <c r="F37" s="1278">
        <f t="shared" si="1"/>
        <v>4.2489844646355262E-3</v>
      </c>
      <c r="G37" s="1261">
        <f>'T-1'!N43</f>
        <v>45</v>
      </c>
      <c r="H37" s="1278">
        <f t="shared" si="2"/>
        <v>4.1999160016799666E-3</v>
      </c>
      <c r="I37" s="1261">
        <f>'T-1'!S43</f>
        <v>47</v>
      </c>
      <c r="J37" s="1278">
        <f t="shared" si="3"/>
        <v>4.8886531230403988E-3</v>
      </c>
      <c r="K37" s="210"/>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row>
    <row r="38" spans="1:89" ht="20.149999999999999" customHeight="1">
      <c r="A38" s="275">
        <v>19</v>
      </c>
      <c r="B38" s="1274" t="s">
        <v>78</v>
      </c>
      <c r="C38" s="1261">
        <f>'T-1'!G44</f>
        <v>0</v>
      </c>
      <c r="D38" s="1278">
        <f t="shared" si="0"/>
        <v>0</v>
      </c>
      <c r="E38" s="1261">
        <f>'T-1'!K44</f>
        <v>0</v>
      </c>
      <c r="F38" s="1278">
        <f t="shared" si="1"/>
        <v>0</v>
      </c>
      <c r="G38" s="1261">
        <f>'T-1'!N44</f>
        <v>0</v>
      </c>
      <c r="H38" s="1278">
        <f t="shared" si="2"/>
        <v>0</v>
      </c>
      <c r="I38" s="1261">
        <f>'T-1'!S44</f>
        <v>0</v>
      </c>
      <c r="J38" s="1278">
        <f t="shared" si="3"/>
        <v>0</v>
      </c>
      <c r="K38" s="210"/>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J38" s="346"/>
      <c r="CK38" s="346"/>
    </row>
    <row r="39" spans="1:89" ht="20.149999999999999" customHeight="1">
      <c r="A39" s="275">
        <v>20</v>
      </c>
      <c r="B39" s="1274" t="s">
        <v>79</v>
      </c>
      <c r="C39" s="1261">
        <f>'T-1'!G45</f>
        <v>161.92072999999999</v>
      </c>
      <c r="D39" s="1278">
        <f t="shared" si="0"/>
        <v>1.5261686187895184E-2</v>
      </c>
      <c r="E39" s="1261">
        <f>'T-1'!K45</f>
        <v>96.745469999999997</v>
      </c>
      <c r="F39" s="1278">
        <f t="shared" si="1"/>
        <v>1.8481543366631714E-2</v>
      </c>
      <c r="G39" s="1261">
        <f>'T-1'!N45</f>
        <v>190</v>
      </c>
      <c r="H39" s="1278">
        <f t="shared" si="2"/>
        <v>1.7732978673759857E-2</v>
      </c>
      <c r="I39" s="1261">
        <f>'T-1'!S45</f>
        <v>195</v>
      </c>
      <c r="J39" s="1278">
        <f t="shared" si="3"/>
        <v>2.0282709765805911E-2</v>
      </c>
      <c r="K39" s="210"/>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346"/>
      <c r="CF39" s="346"/>
      <c r="CG39" s="346"/>
      <c r="CH39" s="346"/>
      <c r="CI39" s="346"/>
      <c r="CJ39" s="346"/>
      <c r="CK39" s="346"/>
    </row>
    <row r="40" spans="1:89" ht="20.149999999999999" customHeight="1">
      <c r="A40" s="275">
        <v>21</v>
      </c>
      <c r="B40" s="1274" t="s">
        <v>80</v>
      </c>
      <c r="C40" s="1261">
        <f>'T-1'!G46</f>
        <v>0</v>
      </c>
      <c r="D40" s="1278">
        <f t="shared" si="0"/>
        <v>0</v>
      </c>
      <c r="E40" s="1261">
        <f>'T-1'!K46</f>
        <v>0</v>
      </c>
      <c r="F40" s="1278">
        <f t="shared" si="1"/>
        <v>0</v>
      </c>
      <c r="G40" s="1261">
        <f>'T-1'!N46</f>
        <v>0</v>
      </c>
      <c r="H40" s="1278">
        <f t="shared" si="2"/>
        <v>0</v>
      </c>
      <c r="I40" s="1261">
        <f>'T-1'!S46</f>
        <v>0</v>
      </c>
      <c r="J40" s="1278">
        <f t="shared" si="3"/>
        <v>0</v>
      </c>
      <c r="K40" s="210"/>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c r="CF40" s="346"/>
      <c r="CG40" s="346"/>
      <c r="CH40" s="346"/>
      <c r="CI40" s="346"/>
      <c r="CJ40" s="346"/>
      <c r="CK40" s="346"/>
    </row>
    <row r="41" spans="1:89" ht="20.149999999999999" customHeight="1">
      <c r="A41" s="275">
        <v>22</v>
      </c>
      <c r="B41" s="1274" t="s">
        <v>81</v>
      </c>
      <c r="C41" s="1261">
        <f>'T-1'!G47</f>
        <v>45.505510000000001</v>
      </c>
      <c r="D41" s="1278">
        <f t="shared" si="0"/>
        <v>4.2890790662821632E-3</v>
      </c>
      <c r="E41" s="1261">
        <f>'T-1'!K47</f>
        <v>25.114879999999999</v>
      </c>
      <c r="F41" s="1278">
        <f t="shared" si="1"/>
        <v>4.7977620437189622E-3</v>
      </c>
      <c r="G41" s="1261">
        <f>'T-1'!N47</f>
        <v>51</v>
      </c>
      <c r="H41" s="1278">
        <f t="shared" si="2"/>
        <v>4.7599048019039622E-3</v>
      </c>
      <c r="I41" s="1261">
        <f>'T-1'!S47</f>
        <v>52</v>
      </c>
      <c r="J41" s="1278">
        <f t="shared" si="3"/>
        <v>5.4087226042149094E-3</v>
      </c>
      <c r="K41" s="210"/>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row>
    <row r="42" spans="1:89" ht="20.149999999999999" customHeight="1">
      <c r="A42" s="275">
        <v>23</v>
      </c>
      <c r="B42" s="1274" t="s">
        <v>72</v>
      </c>
      <c r="C42" s="1261">
        <f>'T-1'!G48</f>
        <v>1078.4844275</v>
      </c>
      <c r="D42" s="1278">
        <f t="shared" si="0"/>
        <v>0.1016515358536044</v>
      </c>
      <c r="E42" s="1261">
        <f>'T-1'!K48</f>
        <v>595.39882662618902</v>
      </c>
      <c r="F42" s="1278">
        <f t="shared" si="1"/>
        <v>0.11374061477745212</v>
      </c>
      <c r="G42" s="1261">
        <f>'T-1'!N48</f>
        <v>1188.5</v>
      </c>
      <c r="H42" s="1278">
        <f t="shared" si="2"/>
        <v>0.11092444817770311</v>
      </c>
      <c r="I42" s="1261">
        <f>'T-1'!S48</f>
        <v>1282</v>
      </c>
      <c r="J42" s="1278">
        <f t="shared" si="3"/>
        <v>0.13334581497314449</v>
      </c>
      <c r="K42" s="210"/>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row>
    <row r="43" spans="1:89" ht="20.149999999999999" customHeight="1">
      <c r="A43" s="275">
        <v>24</v>
      </c>
      <c r="B43" s="1281" t="s">
        <v>1961</v>
      </c>
      <c r="C43" s="1261">
        <f>'T-1'!G49</f>
        <v>0</v>
      </c>
      <c r="D43" s="1278">
        <f t="shared" si="0"/>
        <v>0</v>
      </c>
      <c r="E43" s="1261">
        <f>'T-1'!K49</f>
        <v>9.6791</v>
      </c>
      <c r="F43" s="1278">
        <f t="shared" si="1"/>
        <v>1.8490241083118934E-3</v>
      </c>
      <c r="G43" s="1261">
        <f>'T-1'!N49</f>
        <v>12</v>
      </c>
      <c r="H43" s="1278">
        <f t="shared" si="2"/>
        <v>1.1199776004479911E-3</v>
      </c>
      <c r="I43" s="1261">
        <f>'T-1'!S49</f>
        <v>15</v>
      </c>
      <c r="J43" s="1278">
        <f t="shared" si="3"/>
        <v>1.5602084435235315E-3</v>
      </c>
      <c r="K43" s="210"/>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row>
    <row r="44" spans="1:89" ht="20.149999999999999" customHeight="1">
      <c r="A44" s="275">
        <v>25</v>
      </c>
      <c r="B44" s="1274" t="s">
        <v>82</v>
      </c>
      <c r="C44" s="1261">
        <f>'T-1'!G50</f>
        <v>589.09063000000003</v>
      </c>
      <c r="D44" s="1278">
        <f t="shared" si="0"/>
        <v>5.5524183539003763E-2</v>
      </c>
      <c r="E44" s="1261">
        <f>'T-1'!K50</f>
        <v>298.64850999999999</v>
      </c>
      <c r="F44" s="1278">
        <f t="shared" si="1"/>
        <v>5.7051615842529324E-2</v>
      </c>
      <c r="G44" s="1261">
        <f>'T-1'!N50</f>
        <v>610</v>
      </c>
      <c r="H44" s="1278">
        <f t="shared" si="2"/>
        <v>5.6932194689439546E-2</v>
      </c>
      <c r="I44" s="1261">
        <f>'T-1'!S50</f>
        <v>640</v>
      </c>
      <c r="J44" s="1278">
        <f t="shared" si="3"/>
        <v>6.6568893590337339E-2</v>
      </c>
      <c r="K44" s="210"/>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46"/>
      <c r="CC44" s="346"/>
      <c r="CD44" s="346"/>
      <c r="CE44" s="346"/>
      <c r="CF44" s="346"/>
      <c r="CG44" s="346"/>
      <c r="CH44" s="346"/>
      <c r="CI44" s="346"/>
      <c r="CJ44" s="346"/>
      <c r="CK44" s="346"/>
    </row>
    <row r="45" spans="1:89" ht="20.149999999999999" customHeight="1">
      <c r="A45" s="275">
        <v>26</v>
      </c>
      <c r="B45" s="1274" t="s">
        <v>83</v>
      </c>
      <c r="C45" s="1261">
        <f>'T-1'!G51</f>
        <v>167.39267999999998</v>
      </c>
      <c r="D45" s="1278">
        <f t="shared" si="0"/>
        <v>1.577743969108068E-2</v>
      </c>
      <c r="E45" s="1261">
        <f>'T-1'!K51</f>
        <v>111.21718</v>
      </c>
      <c r="F45" s="1278">
        <f t="shared" si="1"/>
        <v>2.1246112456577919E-2</v>
      </c>
      <c r="G45" s="1261">
        <f>'T-1'!N51</f>
        <v>225</v>
      </c>
      <c r="H45" s="1278">
        <f t="shared" si="2"/>
        <v>2.0999580008399833E-2</v>
      </c>
      <c r="I45" s="1261">
        <f>'T-1'!S51</f>
        <v>230</v>
      </c>
      <c r="J45" s="1278">
        <f t="shared" si="3"/>
        <v>2.3923196134027484E-2</v>
      </c>
      <c r="K45" s="210"/>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c r="CI45" s="346"/>
      <c r="CJ45" s="346"/>
      <c r="CK45" s="346"/>
    </row>
    <row r="46" spans="1:89" ht="20.149999999999999" customHeight="1">
      <c r="A46" s="275">
        <v>27</v>
      </c>
      <c r="B46" s="1274" t="s">
        <v>84</v>
      </c>
      <c r="C46" s="1261">
        <f>'T-1'!G52</f>
        <v>0</v>
      </c>
      <c r="D46" s="1278">
        <f t="shared" si="0"/>
        <v>0</v>
      </c>
      <c r="E46" s="1261">
        <f>'T-1'!K52</f>
        <v>0</v>
      </c>
      <c r="F46" s="1278">
        <f t="shared" si="1"/>
        <v>0</v>
      </c>
      <c r="G46" s="1261">
        <f>'T-1'!N52</f>
        <v>0</v>
      </c>
      <c r="H46" s="1278">
        <f t="shared" si="2"/>
        <v>0</v>
      </c>
      <c r="I46" s="1261">
        <f>'T-1'!S52</f>
        <v>9.9999999999999995E-7</v>
      </c>
      <c r="J46" s="1278">
        <f t="shared" si="3"/>
        <v>1.040138962349021E-10</v>
      </c>
      <c r="K46" s="210"/>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c r="CI46" s="346"/>
      <c r="CJ46" s="346"/>
      <c r="CK46" s="346"/>
    </row>
    <row r="47" spans="1:89" ht="20.149999999999999" customHeight="1">
      <c r="A47" s="275">
        <v>28</v>
      </c>
      <c r="B47" s="1274" t="s">
        <v>85</v>
      </c>
      <c r="C47" s="1261">
        <f>'T-1'!G53</f>
        <v>0</v>
      </c>
      <c r="D47" s="1278">
        <f t="shared" si="0"/>
        <v>0</v>
      </c>
      <c r="E47" s="1261">
        <f>'T-1'!K53</f>
        <v>0</v>
      </c>
      <c r="F47" s="1278">
        <f t="shared" si="1"/>
        <v>0</v>
      </c>
      <c r="G47" s="1261">
        <f>'T-1'!N53</f>
        <v>0</v>
      </c>
      <c r="H47" s="1278">
        <f t="shared" si="2"/>
        <v>0</v>
      </c>
      <c r="I47" s="1261">
        <f>'T-1'!S53</f>
        <v>9.9999999999999995E-7</v>
      </c>
      <c r="J47" s="1278">
        <f t="shared" si="3"/>
        <v>1.040138962349021E-10</v>
      </c>
      <c r="K47" s="210"/>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c r="CF47" s="346"/>
      <c r="CG47" s="346"/>
      <c r="CH47" s="346"/>
      <c r="CI47" s="346"/>
      <c r="CJ47" s="346"/>
      <c r="CK47" s="346"/>
    </row>
    <row r="48" spans="1:89" ht="20.149999999999999" customHeight="1">
      <c r="A48" s="275">
        <v>29</v>
      </c>
      <c r="B48" s="1274" t="s">
        <v>86</v>
      </c>
      <c r="C48" s="1261">
        <f>'T-1'!G54</f>
        <v>6.5770049999999998</v>
      </c>
      <c r="D48" s="1278">
        <f t="shared" si="0"/>
        <v>6.1990942337165574E-4</v>
      </c>
      <c r="E48" s="1261">
        <f>'T-1'!K54</f>
        <v>3.7869655500000006</v>
      </c>
      <c r="F48" s="1278">
        <f t="shared" si="1"/>
        <v>7.2343405887909107E-4</v>
      </c>
      <c r="G48" s="1261">
        <f>'T-1'!N54</f>
        <v>7</v>
      </c>
      <c r="H48" s="1278">
        <f t="shared" si="2"/>
        <v>6.5332026692799478E-4</v>
      </c>
      <c r="I48" s="1261">
        <f>'T-1'!S54</f>
        <v>7.2</v>
      </c>
      <c r="J48" s="1278">
        <f t="shared" si="3"/>
        <v>7.4890005289129512E-4</v>
      </c>
      <c r="K48" s="210"/>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row>
    <row r="49" spans="1:89" ht="20.149999999999999" customHeight="1">
      <c r="A49" s="275"/>
      <c r="B49" s="1282" t="s">
        <v>87</v>
      </c>
      <c r="C49" s="1264">
        <f>SUM(C33:C48)</f>
        <v>2164.9413414999999</v>
      </c>
      <c r="D49" s="1280">
        <f t="shared" si="0"/>
        <v>0.20405451092750027</v>
      </c>
      <c r="E49" s="1264">
        <f>SUM(E33:E48)</f>
        <v>1217.6199921761893</v>
      </c>
      <c r="F49" s="1280">
        <f t="shared" si="1"/>
        <v>0.23260517199908184</v>
      </c>
      <c r="G49" s="1264">
        <f>SUM(G33:G48)</f>
        <v>2444</v>
      </c>
      <c r="H49" s="1280">
        <f t="shared" si="2"/>
        <v>0.22810210462457417</v>
      </c>
      <c r="I49" s="1264">
        <f>SUM(I33:I48)</f>
        <v>2590.0000019999998</v>
      </c>
      <c r="J49" s="1280">
        <f t="shared" si="3"/>
        <v>0.26939599145642423</v>
      </c>
      <c r="K49" s="210"/>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row>
    <row r="50" spans="1:89" ht="20.149999999999999" customHeight="1">
      <c r="A50" s="61"/>
      <c r="B50" s="1276" t="s">
        <v>88</v>
      </c>
      <c r="C50" s="1275"/>
      <c r="D50" s="1278"/>
      <c r="E50" s="1283"/>
      <c r="F50" s="1278"/>
      <c r="G50" s="1283"/>
      <c r="H50" s="1278"/>
      <c r="I50" s="1283"/>
      <c r="J50" s="1278"/>
      <c r="K50" s="210"/>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row>
    <row r="51" spans="1:89" ht="20.149999999999999" customHeight="1">
      <c r="A51" s="275">
        <v>30</v>
      </c>
      <c r="B51" s="1274" t="s">
        <v>89</v>
      </c>
      <c r="C51" s="1261">
        <f>'T-1'!G58</f>
        <v>0.18132000000000001</v>
      </c>
      <c r="D51" s="1278">
        <f t="shared" si="0"/>
        <v>1.7090146144901615E-5</v>
      </c>
      <c r="E51" s="1284">
        <f>'T-1'!K58</f>
        <v>0.27860000000000001</v>
      </c>
      <c r="F51" s="1278">
        <f t="shared" si="1"/>
        <v>5.3221695878304135E-5</v>
      </c>
      <c r="G51" s="1284">
        <f>'T-1'!N58</f>
        <v>0.45</v>
      </c>
      <c r="H51" s="1278">
        <f t="shared" si="2"/>
        <v>4.1999160016799665E-5</v>
      </c>
      <c r="I51" s="1274">
        <f>'T-1'!S58</f>
        <v>0.46</v>
      </c>
      <c r="J51" s="1278">
        <f t="shared" si="3"/>
        <v>4.7846392268054968E-5</v>
      </c>
    </row>
    <row r="52" spans="1:89" ht="20.149999999999999" customHeight="1">
      <c r="A52" s="275">
        <v>31</v>
      </c>
      <c r="B52" s="1274" t="s">
        <v>1952</v>
      </c>
      <c r="C52" s="1261">
        <f>'T-1'!G59</f>
        <v>510.81445600000001</v>
      </c>
      <c r="D52" s="1278">
        <f t="shared" si="0"/>
        <v>4.8146336344409964E-2</v>
      </c>
      <c r="E52" s="1284">
        <f>'T-1'!K59</f>
        <v>287.43349813814763</v>
      </c>
      <c r="F52" s="1278">
        <f t="shared" si="1"/>
        <v>5.4909182423351001E-2</v>
      </c>
      <c r="G52" s="1284">
        <f>'T-1'!N59</f>
        <v>570</v>
      </c>
      <c r="H52" s="1278">
        <f t="shared" si="2"/>
        <v>5.3198936021279578E-2</v>
      </c>
      <c r="I52" s="1274">
        <f>'T-1'!S59</f>
        <v>595</v>
      </c>
      <c r="J52" s="1278">
        <f t="shared" si="3"/>
        <v>6.1888268259766753E-2</v>
      </c>
    </row>
    <row r="53" spans="1:89" ht="20.149999999999999" customHeight="1">
      <c r="A53" s="275">
        <v>32</v>
      </c>
      <c r="B53" s="1281" t="s">
        <v>1961</v>
      </c>
      <c r="C53" s="1261">
        <f>'T-1'!G60</f>
        <v>25</v>
      </c>
      <c r="D53" s="1278">
        <f t="shared" si="0"/>
        <v>2.3563514980285702E-3</v>
      </c>
      <c r="E53" s="1284">
        <f>'T-1'!K60</f>
        <v>24</v>
      </c>
      <c r="F53" s="1278">
        <f t="shared" si="1"/>
        <v>4.584783564534455E-3</v>
      </c>
      <c r="G53" s="1284">
        <f>'T-1'!N60</f>
        <v>30</v>
      </c>
      <c r="H53" s="1278">
        <f t="shared" si="2"/>
        <v>2.7999440011199778E-3</v>
      </c>
      <c r="I53" s="1274">
        <f>'T-1'!S60</f>
        <v>50</v>
      </c>
      <c r="J53" s="1278">
        <f t="shared" si="3"/>
        <v>5.2006948117451048E-3</v>
      </c>
    </row>
    <row r="54" spans="1:89" ht="20.149999999999999" customHeight="1">
      <c r="A54" s="275">
        <v>33</v>
      </c>
      <c r="B54" s="1274" t="s">
        <v>84</v>
      </c>
      <c r="C54" s="1261">
        <f>'T-1'!G61</f>
        <v>824.50970999999993</v>
      </c>
      <c r="D54" s="1278">
        <f t="shared" si="0"/>
        <v>7.7713387611904064E-2</v>
      </c>
      <c r="E54" s="1284">
        <f>'T-1'!K61</f>
        <v>425.06859000000003</v>
      </c>
      <c r="F54" s="1278">
        <f t="shared" si="1"/>
        <v>8.1201978551326451E-2</v>
      </c>
      <c r="G54" s="1284">
        <f>'T-1'!N61</f>
        <v>900</v>
      </c>
      <c r="H54" s="1278">
        <f t="shared" si="2"/>
        <v>8.3998320033599333E-2</v>
      </c>
      <c r="I54" s="1274">
        <f>'T-1'!S61</f>
        <v>945</v>
      </c>
      <c r="J54" s="1278">
        <f t="shared" si="3"/>
        <v>9.8293131941982484E-2</v>
      </c>
    </row>
    <row r="55" spans="1:89" ht="20.149999999999999" customHeight="1">
      <c r="A55" s="275">
        <v>34</v>
      </c>
      <c r="B55" s="1274" t="s">
        <v>91</v>
      </c>
      <c r="C55" s="1261">
        <f>'T-1'!G62</f>
        <v>685.86205240000004</v>
      </c>
      <c r="D55" s="1278">
        <f t="shared" si="0"/>
        <v>6.4645282984547595E-2</v>
      </c>
      <c r="E55" s="1284">
        <f>'T-1'!K62</f>
        <v>117.01655899999999</v>
      </c>
      <c r="F55" s="1278">
        <f t="shared" si="1"/>
        <v>2.2353983186732346E-2</v>
      </c>
      <c r="G55" s="1284">
        <f>'T-1'!N62</f>
        <v>250</v>
      </c>
      <c r="H55" s="1278">
        <f t="shared" si="2"/>
        <v>2.3332866675999812E-2</v>
      </c>
      <c r="I55" s="1274">
        <f>'T-1'!S62</f>
        <v>262</v>
      </c>
      <c r="J55" s="1278">
        <f t="shared" si="3"/>
        <v>2.7251640813544351E-2</v>
      </c>
    </row>
    <row r="56" spans="1:89" ht="20.149999999999999" customHeight="1">
      <c r="A56" s="275">
        <v>35</v>
      </c>
      <c r="B56" s="1274" t="s">
        <v>1951</v>
      </c>
      <c r="C56" s="1261">
        <f>'T-1'!G63</f>
        <v>807.12273000000005</v>
      </c>
      <c r="D56" s="1278">
        <f t="shared" si="0"/>
        <v>7.6074594157136369E-2</v>
      </c>
      <c r="E56" s="1284">
        <f>'T-1'!K63</f>
        <v>302.30457000000001</v>
      </c>
      <c r="F56" s="1278">
        <f t="shared" si="1"/>
        <v>5.7750042667485652E-2</v>
      </c>
      <c r="G56" s="1284">
        <f>'T-1'!N63</f>
        <v>642</v>
      </c>
      <c r="H56" s="1278">
        <f t="shared" si="2"/>
        <v>5.9918801623967517E-2</v>
      </c>
      <c r="I56" s="1274">
        <f>'T-1'!S63</f>
        <v>1583.94</v>
      </c>
      <c r="J56" s="1278">
        <f t="shared" si="3"/>
        <v>0.16475177080231085</v>
      </c>
    </row>
    <row r="57" spans="1:89" ht="20.149999999999999" customHeight="1">
      <c r="A57" s="275">
        <v>36</v>
      </c>
      <c r="B57" s="1274" t="s">
        <v>1963</v>
      </c>
      <c r="C57" s="1261">
        <f>'T-1'!G64</f>
        <v>2932.8310000000001</v>
      </c>
      <c r="D57" s="1278">
        <f t="shared" si="0"/>
        <v>0.27643122881258519</v>
      </c>
      <c r="E57" s="1284">
        <f>'T-1'!K64</f>
        <v>1247.68776</v>
      </c>
      <c r="F57" s="1278">
        <f t="shared" si="1"/>
        <v>0.23834909732161708</v>
      </c>
      <c r="G57" s="1284">
        <f>'T-1'!N64</f>
        <v>2500</v>
      </c>
      <c r="H57" s="1278">
        <f t="shared" si="2"/>
        <v>0.23332866675999814</v>
      </c>
      <c r="I57" s="1274">
        <f>'T-1'!S64</f>
        <v>0</v>
      </c>
      <c r="J57" s="1278">
        <f t="shared" si="3"/>
        <v>0</v>
      </c>
    </row>
    <row r="58" spans="1:89" ht="20.149999999999999" customHeight="1">
      <c r="A58" s="275">
        <v>37</v>
      </c>
      <c r="B58" s="1274" t="s">
        <v>92</v>
      </c>
      <c r="C58" s="1261">
        <f>'T-1'!G65</f>
        <v>7.3120200000000004</v>
      </c>
      <c r="D58" s="1278">
        <f t="shared" si="0"/>
        <v>6.891875712245946E-4</v>
      </c>
      <c r="E58" s="1284">
        <f>'T-1'!K65</f>
        <v>3.841634</v>
      </c>
      <c r="F58" s="1278">
        <f t="shared" si="1"/>
        <v>7.3387751767319822E-4</v>
      </c>
      <c r="G58" s="1284">
        <f>'T-1'!N65</f>
        <v>7.5</v>
      </c>
      <c r="H58" s="1278">
        <f t="shared" si="2"/>
        <v>6.9998600027999444E-4</v>
      </c>
      <c r="I58" s="1274">
        <f>'T-1'!S65</f>
        <v>7.6</v>
      </c>
      <c r="J58" s="1278">
        <f t="shared" si="3"/>
        <v>7.9050561138525595E-4</v>
      </c>
    </row>
    <row r="59" spans="1:89" ht="20.149999999999999" customHeight="1">
      <c r="A59" s="275">
        <v>38</v>
      </c>
      <c r="B59" s="1274" t="s">
        <v>85</v>
      </c>
      <c r="C59" s="1261">
        <f>'T-1'!G66</f>
        <v>5.7659099999999999</v>
      </c>
      <c r="D59" s="1278">
        <f t="shared" si="0"/>
        <v>5.4346042663991649E-4</v>
      </c>
      <c r="E59" s="1284">
        <f>'T-1'!K66</f>
        <v>0.35041</v>
      </c>
      <c r="F59" s="1278">
        <f t="shared" si="1"/>
        <v>6.6939750368688264E-5</v>
      </c>
      <c r="G59" s="1284">
        <f>'T-1'!N66</f>
        <v>1</v>
      </c>
      <c r="H59" s="1278">
        <f t="shared" si="2"/>
        <v>9.333146670399925E-5</v>
      </c>
      <c r="I59" s="1274">
        <f>'T-1'!S66</f>
        <v>1</v>
      </c>
      <c r="J59" s="1278">
        <f t="shared" si="3"/>
        <v>1.040138962349021E-4</v>
      </c>
    </row>
    <row r="60" spans="1:89" ht="20.149999999999999" customHeight="1">
      <c r="A60" s="275">
        <v>39</v>
      </c>
      <c r="B60" s="1274" t="s">
        <v>86</v>
      </c>
      <c r="C60" s="1261">
        <f>'T-1'!G67</f>
        <v>63.297799999999995</v>
      </c>
      <c r="D60" s="1278">
        <f t="shared" si="0"/>
        <v>5.9660746340765127E-3</v>
      </c>
      <c r="E60" s="1284">
        <f>'T-1'!K67</f>
        <v>14.163051439999997</v>
      </c>
      <c r="F60" s="1278">
        <f t="shared" si="1"/>
        <v>2.7056052277403347E-3</v>
      </c>
      <c r="G60" s="1284">
        <f>'T-1'!N67</f>
        <v>29.05</v>
      </c>
      <c r="H60" s="1278">
        <f t="shared" si="2"/>
        <v>2.7112791077511782E-3</v>
      </c>
      <c r="I60" s="1274">
        <f>'T-1'!S67</f>
        <v>35</v>
      </c>
      <c r="J60" s="1278">
        <f t="shared" si="3"/>
        <v>3.6404863682215735E-3</v>
      </c>
    </row>
    <row r="61" spans="1:89" ht="20.149999999999999" customHeight="1">
      <c r="A61" s="275"/>
      <c r="B61" s="1276" t="s">
        <v>93</v>
      </c>
      <c r="C61" s="1264">
        <f>SUM(C51:C60)</f>
        <v>5862.6969984000007</v>
      </c>
      <c r="D61" s="1280">
        <f t="shared" si="0"/>
        <v>0.55258299418669765</v>
      </c>
      <c r="E61" s="1264">
        <f>SUM(E51:E60)</f>
        <v>2422.1446725781475</v>
      </c>
      <c r="F61" s="1280">
        <f t="shared" si="1"/>
        <v>0.46270871190670748</v>
      </c>
      <c r="G61" s="1264">
        <f>SUM(G51:G60)</f>
        <v>4930</v>
      </c>
      <c r="H61" s="1280">
        <f t="shared" si="2"/>
        <v>0.4601241308507163</v>
      </c>
      <c r="I61" s="1264">
        <f>SUM(I51:I60)</f>
        <v>3480</v>
      </c>
      <c r="J61" s="1280">
        <f t="shared" si="3"/>
        <v>0.36196835889745932</v>
      </c>
    </row>
    <row r="62" spans="1:89" ht="20.149999999999999" customHeight="1">
      <c r="A62" s="275"/>
      <c r="B62" s="1275" t="s">
        <v>94</v>
      </c>
      <c r="C62" s="1264">
        <f>C61+C49+C31</f>
        <v>10609.622554579029</v>
      </c>
      <c r="D62" s="1274"/>
      <c r="E62" s="1264">
        <f>E61+E49+E31</f>
        <v>5234.7073012675555</v>
      </c>
      <c r="F62" s="1274"/>
      <c r="G62" s="1264">
        <f>G61+G49+G31</f>
        <v>10714.5</v>
      </c>
      <c r="H62" s="1274"/>
      <c r="I62" s="1264">
        <f>I61+I49+I31</f>
        <v>9614.1000019999992</v>
      </c>
      <c r="J62" s="1274"/>
    </row>
    <row r="63" spans="1:89" ht="20.149999999999999" customHeight="1"/>
    <row r="64" spans="1:89" ht="20.149999999999999" customHeight="1"/>
    <row r="65" spans="3:11" ht="20.149999999999999" customHeight="1">
      <c r="C65" s="276"/>
      <c r="D65" s="110"/>
      <c r="E65" s="110"/>
      <c r="F65" s="110"/>
      <c r="G65" s="110"/>
      <c r="H65" s="110"/>
      <c r="I65" s="110"/>
      <c r="K65" s="511"/>
    </row>
    <row r="66" spans="3:11" ht="20.149999999999999" customHeight="1">
      <c r="C66" s="1131"/>
      <c r="E66" s="1131"/>
      <c r="G66" s="1131"/>
      <c r="I66" s="1131"/>
    </row>
    <row r="67" spans="3:11" ht="20.149999999999999" customHeight="1"/>
    <row r="68" spans="3:11" ht="20.149999999999999" customHeight="1"/>
    <row r="69" spans="3:11" ht="20.149999999999999" customHeight="1"/>
    <row r="70" spans="3:11" ht="20.149999999999999" customHeight="1"/>
    <row r="71" spans="3:11" ht="20.149999999999999" customHeight="1"/>
    <row r="72" spans="3:11" ht="20.149999999999999" customHeight="1"/>
    <row r="73" spans="3:11" ht="20.149999999999999" customHeight="1"/>
    <row r="74" spans="3:11" ht="20.149999999999999" customHeight="1"/>
    <row r="75" spans="3:11" ht="20.149999999999999" customHeight="1"/>
    <row r="76" spans="3:11" ht="20.149999999999999" customHeight="1"/>
    <row r="77" spans="3:11" ht="20.149999999999999" customHeight="1"/>
    <row r="78" spans="3:11" ht="20.149999999999999" customHeight="1"/>
    <row r="79" spans="3:11" ht="20.149999999999999" customHeight="1"/>
    <row r="80" spans="3:11"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sheetData>
  <mergeCells count="4">
    <mergeCell ref="C3:D3"/>
    <mergeCell ref="E3:F3"/>
    <mergeCell ref="G3:H3"/>
    <mergeCell ref="I3:J3"/>
  </mergeCells>
  <printOptions horizontalCentered="1" verticalCentered="1" gridLines="1"/>
  <pageMargins left="0.11811023622047245" right="0" top="0.23622047244094491" bottom="0.19685039370078741" header="0" footer="0.19685039370078741"/>
  <pageSetup paperSize="9" scale="76" fitToWidth="3" fitToHeight="3" orientation="landscape" r:id="rId1"/>
  <headerFooter alignWithMargins="0">
    <oddFooter>&amp;R&amp;"Arial,Bold"&amp;12OERC FORM &amp;A</oddFooter>
  </headerFooter>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C6508-0C85-4A5D-AAA6-4B28511B6F52}">
  <dimension ref="A1:U73"/>
  <sheetViews>
    <sheetView showGridLines="0" view="pageBreakPreview" zoomScale="70" zoomScaleNormal="70" zoomScaleSheetLayoutView="70" workbookViewId="0">
      <selection activeCell="B7" sqref="B7:B8"/>
    </sheetView>
  </sheetViews>
  <sheetFormatPr defaultColWidth="14.7265625" defaultRowHeight="15.5"/>
  <cols>
    <col min="1" max="1" width="6" style="354" customWidth="1"/>
    <col min="2" max="2" width="34" style="381" customWidth="1"/>
    <col min="3" max="3" width="17.1796875" style="359" customWidth="1"/>
    <col min="4" max="4" width="13.7265625" style="359" customWidth="1"/>
    <col min="5" max="5" width="12.54296875" style="359" customWidth="1"/>
    <col min="6" max="6" width="12.7265625" style="359" customWidth="1"/>
    <col min="7" max="8" width="12.54296875" style="359" customWidth="1"/>
    <col min="9" max="9" width="13.1796875" style="359" customWidth="1"/>
    <col min="10" max="10" width="12.54296875" style="359" customWidth="1"/>
    <col min="11" max="11" width="13.7265625" style="359" customWidth="1"/>
    <col min="12" max="12" width="12.54296875" style="359" customWidth="1"/>
    <col min="13" max="14" width="12.81640625" style="359" customWidth="1"/>
    <col min="15" max="15" width="14.7265625" style="359" customWidth="1"/>
    <col min="16" max="16" width="15.1796875" style="359" customWidth="1"/>
    <col min="17" max="17" width="16.26953125" style="359" customWidth="1"/>
    <col min="18" max="256" width="14.7265625" style="359"/>
    <col min="257" max="257" width="6" style="359" customWidth="1"/>
    <col min="258" max="258" width="34" style="359" customWidth="1"/>
    <col min="259" max="259" width="14.26953125" style="359" customWidth="1"/>
    <col min="260" max="260" width="13.7265625" style="359" customWidth="1"/>
    <col min="261" max="264" width="12.54296875" style="359" customWidth="1"/>
    <col min="265" max="265" width="13.1796875" style="359" customWidth="1"/>
    <col min="266" max="268" width="12.54296875" style="359" customWidth="1"/>
    <col min="269" max="270" width="12.81640625" style="359" customWidth="1"/>
    <col min="271" max="271" width="14.7265625" style="359"/>
    <col min="272" max="272" width="15.1796875" style="359" customWidth="1"/>
    <col min="273" max="273" width="16.26953125" style="359" customWidth="1"/>
    <col min="274" max="512" width="14.7265625" style="359"/>
    <col min="513" max="513" width="6" style="359" customWidth="1"/>
    <col min="514" max="514" width="34" style="359" customWidth="1"/>
    <col min="515" max="515" width="14.26953125" style="359" customWidth="1"/>
    <col min="516" max="516" width="13.7265625" style="359" customWidth="1"/>
    <col min="517" max="520" width="12.54296875" style="359" customWidth="1"/>
    <col min="521" max="521" width="13.1796875" style="359" customWidth="1"/>
    <col min="522" max="524" width="12.54296875" style="359" customWidth="1"/>
    <col min="525" max="526" width="12.81640625" style="359" customWidth="1"/>
    <col min="527" max="527" width="14.7265625" style="359"/>
    <col min="528" max="528" width="15.1796875" style="359" customWidth="1"/>
    <col min="529" max="529" width="16.26953125" style="359" customWidth="1"/>
    <col min="530" max="768" width="14.7265625" style="359"/>
    <col min="769" max="769" width="6" style="359" customWidth="1"/>
    <col min="770" max="770" width="34" style="359" customWidth="1"/>
    <col min="771" max="771" width="14.26953125" style="359" customWidth="1"/>
    <col min="772" max="772" width="13.7265625" style="359" customWidth="1"/>
    <col min="773" max="776" width="12.54296875" style="359" customWidth="1"/>
    <col min="777" max="777" width="13.1796875" style="359" customWidth="1"/>
    <col min="778" max="780" width="12.54296875" style="359" customWidth="1"/>
    <col min="781" max="782" width="12.81640625" style="359" customWidth="1"/>
    <col min="783" max="783" width="14.7265625" style="359"/>
    <col min="784" max="784" width="15.1796875" style="359" customWidth="1"/>
    <col min="785" max="785" width="16.26953125" style="359" customWidth="1"/>
    <col min="786" max="1024" width="14.7265625" style="359"/>
    <col min="1025" max="1025" width="6" style="359" customWidth="1"/>
    <col min="1026" max="1026" width="34" style="359" customWidth="1"/>
    <col min="1027" max="1027" width="14.26953125" style="359" customWidth="1"/>
    <col min="1028" max="1028" width="13.7265625" style="359" customWidth="1"/>
    <col min="1029" max="1032" width="12.54296875" style="359" customWidth="1"/>
    <col min="1033" max="1033" width="13.1796875" style="359" customWidth="1"/>
    <col min="1034" max="1036" width="12.54296875" style="359" customWidth="1"/>
    <col min="1037" max="1038" width="12.81640625" style="359" customWidth="1"/>
    <col min="1039" max="1039" width="14.7265625" style="359"/>
    <col min="1040" max="1040" width="15.1796875" style="359" customWidth="1"/>
    <col min="1041" max="1041" width="16.26953125" style="359" customWidth="1"/>
    <col min="1042" max="1280" width="14.7265625" style="359"/>
    <col min="1281" max="1281" width="6" style="359" customWidth="1"/>
    <col min="1282" max="1282" width="34" style="359" customWidth="1"/>
    <col min="1283" max="1283" width="14.26953125" style="359" customWidth="1"/>
    <col min="1284" max="1284" width="13.7265625" style="359" customWidth="1"/>
    <col min="1285" max="1288" width="12.54296875" style="359" customWidth="1"/>
    <col min="1289" max="1289" width="13.1796875" style="359" customWidth="1"/>
    <col min="1290" max="1292" width="12.54296875" style="359" customWidth="1"/>
    <col min="1293" max="1294" width="12.81640625" style="359" customWidth="1"/>
    <col min="1295" max="1295" width="14.7265625" style="359"/>
    <col min="1296" max="1296" width="15.1796875" style="359" customWidth="1"/>
    <col min="1297" max="1297" width="16.26953125" style="359" customWidth="1"/>
    <col min="1298" max="1536" width="14.7265625" style="359"/>
    <col min="1537" max="1537" width="6" style="359" customWidth="1"/>
    <col min="1538" max="1538" width="34" style="359" customWidth="1"/>
    <col min="1539" max="1539" width="14.26953125" style="359" customWidth="1"/>
    <col min="1540" max="1540" width="13.7265625" style="359" customWidth="1"/>
    <col min="1541" max="1544" width="12.54296875" style="359" customWidth="1"/>
    <col min="1545" max="1545" width="13.1796875" style="359" customWidth="1"/>
    <col min="1546" max="1548" width="12.54296875" style="359" customWidth="1"/>
    <col min="1549" max="1550" width="12.81640625" style="359" customWidth="1"/>
    <col min="1551" max="1551" width="14.7265625" style="359"/>
    <col min="1552" max="1552" width="15.1796875" style="359" customWidth="1"/>
    <col min="1553" max="1553" width="16.26953125" style="359" customWidth="1"/>
    <col min="1554" max="1792" width="14.7265625" style="359"/>
    <col min="1793" max="1793" width="6" style="359" customWidth="1"/>
    <col min="1794" max="1794" width="34" style="359" customWidth="1"/>
    <col min="1795" max="1795" width="14.26953125" style="359" customWidth="1"/>
    <col min="1796" max="1796" width="13.7265625" style="359" customWidth="1"/>
    <col min="1797" max="1800" width="12.54296875" style="359" customWidth="1"/>
    <col min="1801" max="1801" width="13.1796875" style="359" customWidth="1"/>
    <col min="1802" max="1804" width="12.54296875" style="359" customWidth="1"/>
    <col min="1805" max="1806" width="12.81640625" style="359" customWidth="1"/>
    <col min="1807" max="1807" width="14.7265625" style="359"/>
    <col min="1808" max="1808" width="15.1796875" style="359" customWidth="1"/>
    <col min="1809" max="1809" width="16.26953125" style="359" customWidth="1"/>
    <col min="1810" max="2048" width="14.7265625" style="359"/>
    <col min="2049" max="2049" width="6" style="359" customWidth="1"/>
    <col min="2050" max="2050" width="34" style="359" customWidth="1"/>
    <col min="2051" max="2051" width="14.26953125" style="359" customWidth="1"/>
    <col min="2052" max="2052" width="13.7265625" style="359" customWidth="1"/>
    <col min="2053" max="2056" width="12.54296875" style="359" customWidth="1"/>
    <col min="2057" max="2057" width="13.1796875" style="359" customWidth="1"/>
    <col min="2058" max="2060" width="12.54296875" style="359" customWidth="1"/>
    <col min="2061" max="2062" width="12.81640625" style="359" customWidth="1"/>
    <col min="2063" max="2063" width="14.7265625" style="359"/>
    <col min="2064" max="2064" width="15.1796875" style="359" customWidth="1"/>
    <col min="2065" max="2065" width="16.26953125" style="359" customWidth="1"/>
    <col min="2066" max="2304" width="14.7265625" style="359"/>
    <col min="2305" max="2305" width="6" style="359" customWidth="1"/>
    <col min="2306" max="2306" width="34" style="359" customWidth="1"/>
    <col min="2307" max="2307" width="14.26953125" style="359" customWidth="1"/>
    <col min="2308" max="2308" width="13.7265625" style="359" customWidth="1"/>
    <col min="2309" max="2312" width="12.54296875" style="359" customWidth="1"/>
    <col min="2313" max="2313" width="13.1796875" style="359" customWidth="1"/>
    <col min="2314" max="2316" width="12.54296875" style="359" customWidth="1"/>
    <col min="2317" max="2318" width="12.81640625" style="359" customWidth="1"/>
    <col min="2319" max="2319" width="14.7265625" style="359"/>
    <col min="2320" max="2320" width="15.1796875" style="359" customWidth="1"/>
    <col min="2321" max="2321" width="16.26953125" style="359" customWidth="1"/>
    <col min="2322" max="2560" width="14.7265625" style="359"/>
    <col min="2561" max="2561" width="6" style="359" customWidth="1"/>
    <col min="2562" max="2562" width="34" style="359" customWidth="1"/>
    <col min="2563" max="2563" width="14.26953125" style="359" customWidth="1"/>
    <col min="2564" max="2564" width="13.7265625" style="359" customWidth="1"/>
    <col min="2565" max="2568" width="12.54296875" style="359" customWidth="1"/>
    <col min="2569" max="2569" width="13.1796875" style="359" customWidth="1"/>
    <col min="2570" max="2572" width="12.54296875" style="359" customWidth="1"/>
    <col min="2573" max="2574" width="12.81640625" style="359" customWidth="1"/>
    <col min="2575" max="2575" width="14.7265625" style="359"/>
    <col min="2576" max="2576" width="15.1796875" style="359" customWidth="1"/>
    <col min="2577" max="2577" width="16.26953125" style="359" customWidth="1"/>
    <col min="2578" max="2816" width="14.7265625" style="359"/>
    <col min="2817" max="2817" width="6" style="359" customWidth="1"/>
    <col min="2818" max="2818" width="34" style="359" customWidth="1"/>
    <col min="2819" max="2819" width="14.26953125" style="359" customWidth="1"/>
    <col min="2820" max="2820" width="13.7265625" style="359" customWidth="1"/>
    <col min="2821" max="2824" width="12.54296875" style="359" customWidth="1"/>
    <col min="2825" max="2825" width="13.1796875" style="359" customWidth="1"/>
    <col min="2826" max="2828" width="12.54296875" style="359" customWidth="1"/>
    <col min="2829" max="2830" width="12.81640625" style="359" customWidth="1"/>
    <col min="2831" max="2831" width="14.7265625" style="359"/>
    <col min="2832" max="2832" width="15.1796875" style="359" customWidth="1"/>
    <col min="2833" max="2833" width="16.26953125" style="359" customWidth="1"/>
    <col min="2834" max="3072" width="14.7265625" style="359"/>
    <col min="3073" max="3073" width="6" style="359" customWidth="1"/>
    <col min="3074" max="3074" width="34" style="359" customWidth="1"/>
    <col min="3075" max="3075" width="14.26953125" style="359" customWidth="1"/>
    <col min="3076" max="3076" width="13.7265625" style="359" customWidth="1"/>
    <col min="3077" max="3080" width="12.54296875" style="359" customWidth="1"/>
    <col min="3081" max="3081" width="13.1796875" style="359" customWidth="1"/>
    <col min="3082" max="3084" width="12.54296875" style="359" customWidth="1"/>
    <col min="3085" max="3086" width="12.81640625" style="359" customWidth="1"/>
    <col min="3087" max="3087" width="14.7265625" style="359"/>
    <col min="3088" max="3088" width="15.1796875" style="359" customWidth="1"/>
    <col min="3089" max="3089" width="16.26953125" style="359" customWidth="1"/>
    <col min="3090" max="3328" width="14.7265625" style="359"/>
    <col min="3329" max="3329" width="6" style="359" customWidth="1"/>
    <col min="3330" max="3330" width="34" style="359" customWidth="1"/>
    <col min="3331" max="3331" width="14.26953125" style="359" customWidth="1"/>
    <col min="3332" max="3332" width="13.7265625" style="359" customWidth="1"/>
    <col min="3333" max="3336" width="12.54296875" style="359" customWidth="1"/>
    <col min="3337" max="3337" width="13.1796875" style="359" customWidth="1"/>
    <col min="3338" max="3340" width="12.54296875" style="359" customWidth="1"/>
    <col min="3341" max="3342" width="12.81640625" style="359" customWidth="1"/>
    <col min="3343" max="3343" width="14.7265625" style="359"/>
    <col min="3344" max="3344" width="15.1796875" style="359" customWidth="1"/>
    <col min="3345" max="3345" width="16.26953125" style="359" customWidth="1"/>
    <col min="3346" max="3584" width="14.7265625" style="359"/>
    <col min="3585" max="3585" width="6" style="359" customWidth="1"/>
    <col min="3586" max="3586" width="34" style="359" customWidth="1"/>
    <col min="3587" max="3587" width="14.26953125" style="359" customWidth="1"/>
    <col min="3588" max="3588" width="13.7265625" style="359" customWidth="1"/>
    <col min="3589" max="3592" width="12.54296875" style="359" customWidth="1"/>
    <col min="3593" max="3593" width="13.1796875" style="359" customWidth="1"/>
    <col min="3594" max="3596" width="12.54296875" style="359" customWidth="1"/>
    <col min="3597" max="3598" width="12.81640625" style="359" customWidth="1"/>
    <col min="3599" max="3599" width="14.7265625" style="359"/>
    <col min="3600" max="3600" width="15.1796875" style="359" customWidth="1"/>
    <col min="3601" max="3601" width="16.26953125" style="359" customWidth="1"/>
    <col min="3602" max="3840" width="14.7265625" style="359"/>
    <col min="3841" max="3841" width="6" style="359" customWidth="1"/>
    <col min="3842" max="3842" width="34" style="359" customWidth="1"/>
    <col min="3843" max="3843" width="14.26953125" style="359" customWidth="1"/>
    <col min="3844" max="3844" width="13.7265625" style="359" customWidth="1"/>
    <col min="3845" max="3848" width="12.54296875" style="359" customWidth="1"/>
    <col min="3849" max="3849" width="13.1796875" style="359" customWidth="1"/>
    <col min="3850" max="3852" width="12.54296875" style="359" customWidth="1"/>
    <col min="3853" max="3854" width="12.81640625" style="359" customWidth="1"/>
    <col min="3855" max="3855" width="14.7265625" style="359"/>
    <col min="3856" max="3856" width="15.1796875" style="359" customWidth="1"/>
    <col min="3857" max="3857" width="16.26953125" style="359" customWidth="1"/>
    <col min="3858" max="4096" width="14.7265625" style="359"/>
    <col min="4097" max="4097" width="6" style="359" customWidth="1"/>
    <col min="4098" max="4098" width="34" style="359" customWidth="1"/>
    <col min="4099" max="4099" width="14.26953125" style="359" customWidth="1"/>
    <col min="4100" max="4100" width="13.7265625" style="359" customWidth="1"/>
    <col min="4101" max="4104" width="12.54296875" style="359" customWidth="1"/>
    <col min="4105" max="4105" width="13.1796875" style="359" customWidth="1"/>
    <col min="4106" max="4108" width="12.54296875" style="359" customWidth="1"/>
    <col min="4109" max="4110" width="12.81640625" style="359" customWidth="1"/>
    <col min="4111" max="4111" width="14.7265625" style="359"/>
    <col min="4112" max="4112" width="15.1796875" style="359" customWidth="1"/>
    <col min="4113" max="4113" width="16.26953125" style="359" customWidth="1"/>
    <col min="4114" max="4352" width="14.7265625" style="359"/>
    <col min="4353" max="4353" width="6" style="359" customWidth="1"/>
    <col min="4354" max="4354" width="34" style="359" customWidth="1"/>
    <col min="4355" max="4355" width="14.26953125" style="359" customWidth="1"/>
    <col min="4356" max="4356" width="13.7265625" style="359" customWidth="1"/>
    <col min="4357" max="4360" width="12.54296875" style="359" customWidth="1"/>
    <col min="4361" max="4361" width="13.1796875" style="359" customWidth="1"/>
    <col min="4362" max="4364" width="12.54296875" style="359" customWidth="1"/>
    <col min="4365" max="4366" width="12.81640625" style="359" customWidth="1"/>
    <col min="4367" max="4367" width="14.7265625" style="359"/>
    <col min="4368" max="4368" width="15.1796875" style="359" customWidth="1"/>
    <col min="4369" max="4369" width="16.26953125" style="359" customWidth="1"/>
    <col min="4370" max="4608" width="14.7265625" style="359"/>
    <col min="4609" max="4609" width="6" style="359" customWidth="1"/>
    <col min="4610" max="4610" width="34" style="359" customWidth="1"/>
    <col min="4611" max="4611" width="14.26953125" style="359" customWidth="1"/>
    <col min="4612" max="4612" width="13.7265625" style="359" customWidth="1"/>
    <col min="4613" max="4616" width="12.54296875" style="359" customWidth="1"/>
    <col min="4617" max="4617" width="13.1796875" style="359" customWidth="1"/>
    <col min="4618" max="4620" width="12.54296875" style="359" customWidth="1"/>
    <col min="4621" max="4622" width="12.81640625" style="359" customWidth="1"/>
    <col min="4623" max="4623" width="14.7265625" style="359"/>
    <col min="4624" max="4624" width="15.1796875" style="359" customWidth="1"/>
    <col min="4625" max="4625" width="16.26953125" style="359" customWidth="1"/>
    <col min="4626" max="4864" width="14.7265625" style="359"/>
    <col min="4865" max="4865" width="6" style="359" customWidth="1"/>
    <col min="4866" max="4866" width="34" style="359" customWidth="1"/>
    <col min="4867" max="4867" width="14.26953125" style="359" customWidth="1"/>
    <col min="4868" max="4868" width="13.7265625" style="359" customWidth="1"/>
    <col min="4869" max="4872" width="12.54296875" style="359" customWidth="1"/>
    <col min="4873" max="4873" width="13.1796875" style="359" customWidth="1"/>
    <col min="4874" max="4876" width="12.54296875" style="359" customWidth="1"/>
    <col min="4877" max="4878" width="12.81640625" style="359" customWidth="1"/>
    <col min="4879" max="4879" width="14.7265625" style="359"/>
    <col min="4880" max="4880" width="15.1796875" style="359" customWidth="1"/>
    <col min="4881" max="4881" width="16.26953125" style="359" customWidth="1"/>
    <col min="4882" max="5120" width="14.7265625" style="359"/>
    <col min="5121" max="5121" width="6" style="359" customWidth="1"/>
    <col min="5122" max="5122" width="34" style="359" customWidth="1"/>
    <col min="5123" max="5123" width="14.26953125" style="359" customWidth="1"/>
    <col min="5124" max="5124" width="13.7265625" style="359" customWidth="1"/>
    <col min="5125" max="5128" width="12.54296875" style="359" customWidth="1"/>
    <col min="5129" max="5129" width="13.1796875" style="359" customWidth="1"/>
    <col min="5130" max="5132" width="12.54296875" style="359" customWidth="1"/>
    <col min="5133" max="5134" width="12.81640625" style="359" customWidth="1"/>
    <col min="5135" max="5135" width="14.7265625" style="359"/>
    <col min="5136" max="5136" width="15.1796875" style="359" customWidth="1"/>
    <col min="5137" max="5137" width="16.26953125" style="359" customWidth="1"/>
    <col min="5138" max="5376" width="14.7265625" style="359"/>
    <col min="5377" max="5377" width="6" style="359" customWidth="1"/>
    <col min="5378" max="5378" width="34" style="359" customWidth="1"/>
    <col min="5379" max="5379" width="14.26953125" style="359" customWidth="1"/>
    <col min="5380" max="5380" width="13.7265625" style="359" customWidth="1"/>
    <col min="5381" max="5384" width="12.54296875" style="359" customWidth="1"/>
    <col min="5385" max="5385" width="13.1796875" style="359" customWidth="1"/>
    <col min="5386" max="5388" width="12.54296875" style="359" customWidth="1"/>
    <col min="5389" max="5390" width="12.81640625" style="359" customWidth="1"/>
    <col min="5391" max="5391" width="14.7265625" style="359"/>
    <col min="5392" max="5392" width="15.1796875" style="359" customWidth="1"/>
    <col min="5393" max="5393" width="16.26953125" style="359" customWidth="1"/>
    <col min="5394" max="5632" width="14.7265625" style="359"/>
    <col min="5633" max="5633" width="6" style="359" customWidth="1"/>
    <col min="5634" max="5634" width="34" style="359" customWidth="1"/>
    <col min="5635" max="5635" width="14.26953125" style="359" customWidth="1"/>
    <col min="5636" max="5636" width="13.7265625" style="359" customWidth="1"/>
    <col min="5637" max="5640" width="12.54296875" style="359" customWidth="1"/>
    <col min="5641" max="5641" width="13.1796875" style="359" customWidth="1"/>
    <col min="5642" max="5644" width="12.54296875" style="359" customWidth="1"/>
    <col min="5645" max="5646" width="12.81640625" style="359" customWidth="1"/>
    <col min="5647" max="5647" width="14.7265625" style="359"/>
    <col min="5648" max="5648" width="15.1796875" style="359" customWidth="1"/>
    <col min="5649" max="5649" width="16.26953125" style="359" customWidth="1"/>
    <col min="5650" max="5888" width="14.7265625" style="359"/>
    <col min="5889" max="5889" width="6" style="359" customWidth="1"/>
    <col min="5890" max="5890" width="34" style="359" customWidth="1"/>
    <col min="5891" max="5891" width="14.26953125" style="359" customWidth="1"/>
    <col min="5892" max="5892" width="13.7265625" style="359" customWidth="1"/>
    <col min="5893" max="5896" width="12.54296875" style="359" customWidth="1"/>
    <col min="5897" max="5897" width="13.1796875" style="359" customWidth="1"/>
    <col min="5898" max="5900" width="12.54296875" style="359" customWidth="1"/>
    <col min="5901" max="5902" width="12.81640625" style="359" customWidth="1"/>
    <col min="5903" max="5903" width="14.7265625" style="359"/>
    <col min="5904" max="5904" width="15.1796875" style="359" customWidth="1"/>
    <col min="5905" max="5905" width="16.26953125" style="359" customWidth="1"/>
    <col min="5906" max="6144" width="14.7265625" style="359"/>
    <col min="6145" max="6145" width="6" style="359" customWidth="1"/>
    <col min="6146" max="6146" width="34" style="359" customWidth="1"/>
    <col min="6147" max="6147" width="14.26953125" style="359" customWidth="1"/>
    <col min="6148" max="6148" width="13.7265625" style="359" customWidth="1"/>
    <col min="6149" max="6152" width="12.54296875" style="359" customWidth="1"/>
    <col min="6153" max="6153" width="13.1796875" style="359" customWidth="1"/>
    <col min="6154" max="6156" width="12.54296875" style="359" customWidth="1"/>
    <col min="6157" max="6158" width="12.81640625" style="359" customWidth="1"/>
    <col min="6159" max="6159" width="14.7265625" style="359"/>
    <col min="6160" max="6160" width="15.1796875" style="359" customWidth="1"/>
    <col min="6161" max="6161" width="16.26953125" style="359" customWidth="1"/>
    <col min="6162" max="6400" width="14.7265625" style="359"/>
    <col min="6401" max="6401" width="6" style="359" customWidth="1"/>
    <col min="6402" max="6402" width="34" style="359" customWidth="1"/>
    <col min="6403" max="6403" width="14.26953125" style="359" customWidth="1"/>
    <col min="6404" max="6404" width="13.7265625" style="359" customWidth="1"/>
    <col min="6405" max="6408" width="12.54296875" style="359" customWidth="1"/>
    <col min="6409" max="6409" width="13.1796875" style="359" customWidth="1"/>
    <col min="6410" max="6412" width="12.54296875" style="359" customWidth="1"/>
    <col min="6413" max="6414" width="12.81640625" style="359" customWidth="1"/>
    <col min="6415" max="6415" width="14.7265625" style="359"/>
    <col min="6416" max="6416" width="15.1796875" style="359" customWidth="1"/>
    <col min="6417" max="6417" width="16.26953125" style="359" customWidth="1"/>
    <col min="6418" max="6656" width="14.7265625" style="359"/>
    <col min="6657" max="6657" width="6" style="359" customWidth="1"/>
    <col min="6658" max="6658" width="34" style="359" customWidth="1"/>
    <col min="6659" max="6659" width="14.26953125" style="359" customWidth="1"/>
    <col min="6660" max="6660" width="13.7265625" style="359" customWidth="1"/>
    <col min="6661" max="6664" width="12.54296875" style="359" customWidth="1"/>
    <col min="6665" max="6665" width="13.1796875" style="359" customWidth="1"/>
    <col min="6666" max="6668" width="12.54296875" style="359" customWidth="1"/>
    <col min="6669" max="6670" width="12.81640625" style="359" customWidth="1"/>
    <col min="6671" max="6671" width="14.7265625" style="359"/>
    <col min="6672" max="6672" width="15.1796875" style="359" customWidth="1"/>
    <col min="6673" max="6673" width="16.26953125" style="359" customWidth="1"/>
    <col min="6674" max="6912" width="14.7265625" style="359"/>
    <col min="6913" max="6913" width="6" style="359" customWidth="1"/>
    <col min="6914" max="6914" width="34" style="359" customWidth="1"/>
    <col min="6915" max="6915" width="14.26953125" style="359" customWidth="1"/>
    <col min="6916" max="6916" width="13.7265625" style="359" customWidth="1"/>
    <col min="6917" max="6920" width="12.54296875" style="359" customWidth="1"/>
    <col min="6921" max="6921" width="13.1796875" style="359" customWidth="1"/>
    <col min="6922" max="6924" width="12.54296875" style="359" customWidth="1"/>
    <col min="6925" max="6926" width="12.81640625" style="359" customWidth="1"/>
    <col min="6927" max="6927" width="14.7265625" style="359"/>
    <col min="6928" max="6928" width="15.1796875" style="359" customWidth="1"/>
    <col min="6929" max="6929" width="16.26953125" style="359" customWidth="1"/>
    <col min="6930" max="7168" width="14.7265625" style="359"/>
    <col min="7169" max="7169" width="6" style="359" customWidth="1"/>
    <col min="7170" max="7170" width="34" style="359" customWidth="1"/>
    <col min="7171" max="7171" width="14.26953125" style="359" customWidth="1"/>
    <col min="7172" max="7172" width="13.7265625" style="359" customWidth="1"/>
    <col min="7173" max="7176" width="12.54296875" style="359" customWidth="1"/>
    <col min="7177" max="7177" width="13.1796875" style="359" customWidth="1"/>
    <col min="7178" max="7180" width="12.54296875" style="359" customWidth="1"/>
    <col min="7181" max="7182" width="12.81640625" style="359" customWidth="1"/>
    <col min="7183" max="7183" width="14.7265625" style="359"/>
    <col min="7184" max="7184" width="15.1796875" style="359" customWidth="1"/>
    <col min="7185" max="7185" width="16.26953125" style="359" customWidth="1"/>
    <col min="7186" max="7424" width="14.7265625" style="359"/>
    <col min="7425" max="7425" width="6" style="359" customWidth="1"/>
    <col min="7426" max="7426" width="34" style="359" customWidth="1"/>
    <col min="7427" max="7427" width="14.26953125" style="359" customWidth="1"/>
    <col min="7428" max="7428" width="13.7265625" style="359" customWidth="1"/>
    <col min="7429" max="7432" width="12.54296875" style="359" customWidth="1"/>
    <col min="7433" max="7433" width="13.1796875" style="359" customWidth="1"/>
    <col min="7434" max="7436" width="12.54296875" style="359" customWidth="1"/>
    <col min="7437" max="7438" width="12.81640625" style="359" customWidth="1"/>
    <col min="7439" max="7439" width="14.7265625" style="359"/>
    <col min="7440" max="7440" width="15.1796875" style="359" customWidth="1"/>
    <col min="7441" max="7441" width="16.26953125" style="359" customWidth="1"/>
    <col min="7442" max="7680" width="14.7265625" style="359"/>
    <col min="7681" max="7681" width="6" style="359" customWidth="1"/>
    <col min="7682" max="7682" width="34" style="359" customWidth="1"/>
    <col min="7683" max="7683" width="14.26953125" style="359" customWidth="1"/>
    <col min="7684" max="7684" width="13.7265625" style="359" customWidth="1"/>
    <col min="7685" max="7688" width="12.54296875" style="359" customWidth="1"/>
    <col min="7689" max="7689" width="13.1796875" style="359" customWidth="1"/>
    <col min="7690" max="7692" width="12.54296875" style="359" customWidth="1"/>
    <col min="7693" max="7694" width="12.81640625" style="359" customWidth="1"/>
    <col min="7695" max="7695" width="14.7265625" style="359"/>
    <col min="7696" max="7696" width="15.1796875" style="359" customWidth="1"/>
    <col min="7697" max="7697" width="16.26953125" style="359" customWidth="1"/>
    <col min="7698" max="7936" width="14.7265625" style="359"/>
    <col min="7937" max="7937" width="6" style="359" customWidth="1"/>
    <col min="7938" max="7938" width="34" style="359" customWidth="1"/>
    <col min="7939" max="7939" width="14.26953125" style="359" customWidth="1"/>
    <col min="7940" max="7940" width="13.7265625" style="359" customWidth="1"/>
    <col min="7941" max="7944" width="12.54296875" style="359" customWidth="1"/>
    <col min="7945" max="7945" width="13.1796875" style="359" customWidth="1"/>
    <col min="7946" max="7948" width="12.54296875" style="359" customWidth="1"/>
    <col min="7949" max="7950" width="12.81640625" style="359" customWidth="1"/>
    <col min="7951" max="7951" width="14.7265625" style="359"/>
    <col min="7952" max="7952" width="15.1796875" style="359" customWidth="1"/>
    <col min="7953" max="7953" width="16.26953125" style="359" customWidth="1"/>
    <col min="7954" max="8192" width="14.7265625" style="359"/>
    <col min="8193" max="8193" width="6" style="359" customWidth="1"/>
    <col min="8194" max="8194" width="34" style="359" customWidth="1"/>
    <col min="8195" max="8195" width="14.26953125" style="359" customWidth="1"/>
    <col min="8196" max="8196" width="13.7265625" style="359" customWidth="1"/>
    <col min="8197" max="8200" width="12.54296875" style="359" customWidth="1"/>
    <col min="8201" max="8201" width="13.1796875" style="359" customWidth="1"/>
    <col min="8202" max="8204" width="12.54296875" style="359" customWidth="1"/>
    <col min="8205" max="8206" width="12.81640625" style="359" customWidth="1"/>
    <col min="8207" max="8207" width="14.7265625" style="359"/>
    <col min="8208" max="8208" width="15.1796875" style="359" customWidth="1"/>
    <col min="8209" max="8209" width="16.26953125" style="359" customWidth="1"/>
    <col min="8210" max="8448" width="14.7265625" style="359"/>
    <col min="8449" max="8449" width="6" style="359" customWidth="1"/>
    <col min="8450" max="8450" width="34" style="359" customWidth="1"/>
    <col min="8451" max="8451" width="14.26953125" style="359" customWidth="1"/>
    <col min="8452" max="8452" width="13.7265625" style="359" customWidth="1"/>
    <col min="8453" max="8456" width="12.54296875" style="359" customWidth="1"/>
    <col min="8457" max="8457" width="13.1796875" style="359" customWidth="1"/>
    <col min="8458" max="8460" width="12.54296875" style="359" customWidth="1"/>
    <col min="8461" max="8462" width="12.81640625" style="359" customWidth="1"/>
    <col min="8463" max="8463" width="14.7265625" style="359"/>
    <col min="8464" max="8464" width="15.1796875" style="359" customWidth="1"/>
    <col min="8465" max="8465" width="16.26953125" style="359" customWidth="1"/>
    <col min="8466" max="8704" width="14.7265625" style="359"/>
    <col min="8705" max="8705" width="6" style="359" customWidth="1"/>
    <col min="8706" max="8706" width="34" style="359" customWidth="1"/>
    <col min="8707" max="8707" width="14.26953125" style="359" customWidth="1"/>
    <col min="8708" max="8708" width="13.7265625" style="359" customWidth="1"/>
    <col min="8709" max="8712" width="12.54296875" style="359" customWidth="1"/>
    <col min="8713" max="8713" width="13.1796875" style="359" customWidth="1"/>
    <col min="8714" max="8716" width="12.54296875" style="359" customWidth="1"/>
    <col min="8717" max="8718" width="12.81640625" style="359" customWidth="1"/>
    <col min="8719" max="8719" width="14.7265625" style="359"/>
    <col min="8720" max="8720" width="15.1796875" style="359" customWidth="1"/>
    <col min="8721" max="8721" width="16.26953125" style="359" customWidth="1"/>
    <col min="8722" max="8960" width="14.7265625" style="359"/>
    <col min="8961" max="8961" width="6" style="359" customWidth="1"/>
    <col min="8962" max="8962" width="34" style="359" customWidth="1"/>
    <col min="8963" max="8963" width="14.26953125" style="359" customWidth="1"/>
    <col min="8964" max="8964" width="13.7265625" style="359" customWidth="1"/>
    <col min="8965" max="8968" width="12.54296875" style="359" customWidth="1"/>
    <col min="8969" max="8969" width="13.1796875" style="359" customWidth="1"/>
    <col min="8970" max="8972" width="12.54296875" style="359" customWidth="1"/>
    <col min="8973" max="8974" width="12.81640625" style="359" customWidth="1"/>
    <col min="8975" max="8975" width="14.7265625" style="359"/>
    <col min="8976" max="8976" width="15.1796875" style="359" customWidth="1"/>
    <col min="8977" max="8977" width="16.26953125" style="359" customWidth="1"/>
    <col min="8978" max="9216" width="14.7265625" style="359"/>
    <col min="9217" max="9217" width="6" style="359" customWidth="1"/>
    <col min="9218" max="9218" width="34" style="359" customWidth="1"/>
    <col min="9219" max="9219" width="14.26953125" style="359" customWidth="1"/>
    <col min="9220" max="9220" width="13.7265625" style="359" customWidth="1"/>
    <col min="9221" max="9224" width="12.54296875" style="359" customWidth="1"/>
    <col min="9225" max="9225" width="13.1796875" style="359" customWidth="1"/>
    <col min="9226" max="9228" width="12.54296875" style="359" customWidth="1"/>
    <col min="9229" max="9230" width="12.81640625" style="359" customWidth="1"/>
    <col min="9231" max="9231" width="14.7265625" style="359"/>
    <col min="9232" max="9232" width="15.1796875" style="359" customWidth="1"/>
    <col min="9233" max="9233" width="16.26953125" style="359" customWidth="1"/>
    <col min="9234" max="9472" width="14.7265625" style="359"/>
    <col min="9473" max="9473" width="6" style="359" customWidth="1"/>
    <col min="9474" max="9474" width="34" style="359" customWidth="1"/>
    <col min="9475" max="9475" width="14.26953125" style="359" customWidth="1"/>
    <col min="9476" max="9476" width="13.7265625" style="359" customWidth="1"/>
    <col min="9477" max="9480" width="12.54296875" style="359" customWidth="1"/>
    <col min="9481" max="9481" width="13.1796875" style="359" customWidth="1"/>
    <col min="9482" max="9484" width="12.54296875" style="359" customWidth="1"/>
    <col min="9485" max="9486" width="12.81640625" style="359" customWidth="1"/>
    <col min="9487" max="9487" width="14.7265625" style="359"/>
    <col min="9488" max="9488" width="15.1796875" style="359" customWidth="1"/>
    <col min="9489" max="9489" width="16.26953125" style="359" customWidth="1"/>
    <col min="9490" max="9728" width="14.7265625" style="359"/>
    <col min="9729" max="9729" width="6" style="359" customWidth="1"/>
    <col min="9730" max="9730" width="34" style="359" customWidth="1"/>
    <col min="9731" max="9731" width="14.26953125" style="359" customWidth="1"/>
    <col min="9732" max="9732" width="13.7265625" style="359" customWidth="1"/>
    <col min="9733" max="9736" width="12.54296875" style="359" customWidth="1"/>
    <col min="9737" max="9737" width="13.1796875" style="359" customWidth="1"/>
    <col min="9738" max="9740" width="12.54296875" style="359" customWidth="1"/>
    <col min="9741" max="9742" width="12.81640625" style="359" customWidth="1"/>
    <col min="9743" max="9743" width="14.7265625" style="359"/>
    <col min="9744" max="9744" width="15.1796875" style="359" customWidth="1"/>
    <col min="9745" max="9745" width="16.26953125" style="359" customWidth="1"/>
    <col min="9746" max="9984" width="14.7265625" style="359"/>
    <col min="9985" max="9985" width="6" style="359" customWidth="1"/>
    <col min="9986" max="9986" width="34" style="359" customWidth="1"/>
    <col min="9987" max="9987" width="14.26953125" style="359" customWidth="1"/>
    <col min="9988" max="9988" width="13.7265625" style="359" customWidth="1"/>
    <col min="9989" max="9992" width="12.54296875" style="359" customWidth="1"/>
    <col min="9993" max="9993" width="13.1796875" style="359" customWidth="1"/>
    <col min="9994" max="9996" width="12.54296875" style="359" customWidth="1"/>
    <col min="9997" max="9998" width="12.81640625" style="359" customWidth="1"/>
    <col min="9999" max="9999" width="14.7265625" style="359"/>
    <col min="10000" max="10000" width="15.1796875" style="359" customWidth="1"/>
    <col min="10001" max="10001" width="16.26953125" style="359" customWidth="1"/>
    <col min="10002" max="10240" width="14.7265625" style="359"/>
    <col min="10241" max="10241" width="6" style="359" customWidth="1"/>
    <col min="10242" max="10242" width="34" style="359" customWidth="1"/>
    <col min="10243" max="10243" width="14.26953125" style="359" customWidth="1"/>
    <col min="10244" max="10244" width="13.7265625" style="359" customWidth="1"/>
    <col min="10245" max="10248" width="12.54296875" style="359" customWidth="1"/>
    <col min="10249" max="10249" width="13.1796875" style="359" customWidth="1"/>
    <col min="10250" max="10252" width="12.54296875" style="359" customWidth="1"/>
    <col min="10253" max="10254" width="12.81640625" style="359" customWidth="1"/>
    <col min="10255" max="10255" width="14.7265625" style="359"/>
    <col min="10256" max="10256" width="15.1796875" style="359" customWidth="1"/>
    <col min="10257" max="10257" width="16.26953125" style="359" customWidth="1"/>
    <col min="10258" max="10496" width="14.7265625" style="359"/>
    <col min="10497" max="10497" width="6" style="359" customWidth="1"/>
    <col min="10498" max="10498" width="34" style="359" customWidth="1"/>
    <col min="10499" max="10499" width="14.26953125" style="359" customWidth="1"/>
    <col min="10500" max="10500" width="13.7265625" style="359" customWidth="1"/>
    <col min="10501" max="10504" width="12.54296875" style="359" customWidth="1"/>
    <col min="10505" max="10505" width="13.1796875" style="359" customWidth="1"/>
    <col min="10506" max="10508" width="12.54296875" style="359" customWidth="1"/>
    <col min="10509" max="10510" width="12.81640625" style="359" customWidth="1"/>
    <col min="10511" max="10511" width="14.7265625" style="359"/>
    <col min="10512" max="10512" width="15.1796875" style="359" customWidth="1"/>
    <col min="10513" max="10513" width="16.26953125" style="359" customWidth="1"/>
    <col min="10514" max="10752" width="14.7265625" style="359"/>
    <col min="10753" max="10753" width="6" style="359" customWidth="1"/>
    <col min="10754" max="10754" width="34" style="359" customWidth="1"/>
    <col min="10755" max="10755" width="14.26953125" style="359" customWidth="1"/>
    <col min="10756" max="10756" width="13.7265625" style="359" customWidth="1"/>
    <col min="10757" max="10760" width="12.54296875" style="359" customWidth="1"/>
    <col min="10761" max="10761" width="13.1796875" style="359" customWidth="1"/>
    <col min="10762" max="10764" width="12.54296875" style="359" customWidth="1"/>
    <col min="10765" max="10766" width="12.81640625" style="359" customWidth="1"/>
    <col min="10767" max="10767" width="14.7265625" style="359"/>
    <col min="10768" max="10768" width="15.1796875" style="359" customWidth="1"/>
    <col min="10769" max="10769" width="16.26953125" style="359" customWidth="1"/>
    <col min="10770" max="11008" width="14.7265625" style="359"/>
    <col min="11009" max="11009" width="6" style="359" customWidth="1"/>
    <col min="11010" max="11010" width="34" style="359" customWidth="1"/>
    <col min="11011" max="11011" width="14.26953125" style="359" customWidth="1"/>
    <col min="11012" max="11012" width="13.7265625" style="359" customWidth="1"/>
    <col min="11013" max="11016" width="12.54296875" style="359" customWidth="1"/>
    <col min="11017" max="11017" width="13.1796875" style="359" customWidth="1"/>
    <col min="11018" max="11020" width="12.54296875" style="359" customWidth="1"/>
    <col min="11021" max="11022" width="12.81640625" style="359" customWidth="1"/>
    <col min="11023" max="11023" width="14.7265625" style="359"/>
    <col min="11024" max="11024" width="15.1796875" style="359" customWidth="1"/>
    <col min="11025" max="11025" width="16.26953125" style="359" customWidth="1"/>
    <col min="11026" max="11264" width="14.7265625" style="359"/>
    <col min="11265" max="11265" width="6" style="359" customWidth="1"/>
    <col min="11266" max="11266" width="34" style="359" customWidth="1"/>
    <col min="11267" max="11267" width="14.26953125" style="359" customWidth="1"/>
    <col min="11268" max="11268" width="13.7265625" style="359" customWidth="1"/>
    <col min="11269" max="11272" width="12.54296875" style="359" customWidth="1"/>
    <col min="11273" max="11273" width="13.1796875" style="359" customWidth="1"/>
    <col min="11274" max="11276" width="12.54296875" style="359" customWidth="1"/>
    <col min="11277" max="11278" width="12.81640625" style="359" customWidth="1"/>
    <col min="11279" max="11279" width="14.7265625" style="359"/>
    <col min="11280" max="11280" width="15.1796875" style="359" customWidth="1"/>
    <col min="11281" max="11281" width="16.26953125" style="359" customWidth="1"/>
    <col min="11282" max="11520" width="14.7265625" style="359"/>
    <col min="11521" max="11521" width="6" style="359" customWidth="1"/>
    <col min="11522" max="11522" width="34" style="359" customWidth="1"/>
    <col min="11523" max="11523" width="14.26953125" style="359" customWidth="1"/>
    <col min="11524" max="11524" width="13.7265625" style="359" customWidth="1"/>
    <col min="11525" max="11528" width="12.54296875" style="359" customWidth="1"/>
    <col min="11529" max="11529" width="13.1796875" style="359" customWidth="1"/>
    <col min="11530" max="11532" width="12.54296875" style="359" customWidth="1"/>
    <col min="11533" max="11534" width="12.81640625" style="359" customWidth="1"/>
    <col min="11535" max="11535" width="14.7265625" style="359"/>
    <col min="11536" max="11536" width="15.1796875" style="359" customWidth="1"/>
    <col min="11537" max="11537" width="16.26953125" style="359" customWidth="1"/>
    <col min="11538" max="11776" width="14.7265625" style="359"/>
    <col min="11777" max="11777" width="6" style="359" customWidth="1"/>
    <col min="11778" max="11778" width="34" style="359" customWidth="1"/>
    <col min="11779" max="11779" width="14.26953125" style="359" customWidth="1"/>
    <col min="11780" max="11780" width="13.7265625" style="359" customWidth="1"/>
    <col min="11781" max="11784" width="12.54296875" style="359" customWidth="1"/>
    <col min="11785" max="11785" width="13.1796875" style="359" customWidth="1"/>
    <col min="11786" max="11788" width="12.54296875" style="359" customWidth="1"/>
    <col min="11789" max="11790" width="12.81640625" style="359" customWidth="1"/>
    <col min="11791" max="11791" width="14.7265625" style="359"/>
    <col min="11792" max="11792" width="15.1796875" style="359" customWidth="1"/>
    <col min="11793" max="11793" width="16.26953125" style="359" customWidth="1"/>
    <col min="11794" max="12032" width="14.7265625" style="359"/>
    <col min="12033" max="12033" width="6" style="359" customWidth="1"/>
    <col min="12034" max="12034" width="34" style="359" customWidth="1"/>
    <col min="12035" max="12035" width="14.26953125" style="359" customWidth="1"/>
    <col min="12036" max="12036" width="13.7265625" style="359" customWidth="1"/>
    <col min="12037" max="12040" width="12.54296875" style="359" customWidth="1"/>
    <col min="12041" max="12041" width="13.1796875" style="359" customWidth="1"/>
    <col min="12042" max="12044" width="12.54296875" style="359" customWidth="1"/>
    <col min="12045" max="12046" width="12.81640625" style="359" customWidth="1"/>
    <col min="12047" max="12047" width="14.7265625" style="359"/>
    <col min="12048" max="12048" width="15.1796875" style="359" customWidth="1"/>
    <col min="12049" max="12049" width="16.26953125" style="359" customWidth="1"/>
    <col min="12050" max="12288" width="14.7265625" style="359"/>
    <col min="12289" max="12289" width="6" style="359" customWidth="1"/>
    <col min="12290" max="12290" width="34" style="359" customWidth="1"/>
    <col min="12291" max="12291" width="14.26953125" style="359" customWidth="1"/>
    <col min="12292" max="12292" width="13.7265625" style="359" customWidth="1"/>
    <col min="12293" max="12296" width="12.54296875" style="359" customWidth="1"/>
    <col min="12297" max="12297" width="13.1796875" style="359" customWidth="1"/>
    <col min="12298" max="12300" width="12.54296875" style="359" customWidth="1"/>
    <col min="12301" max="12302" width="12.81640625" style="359" customWidth="1"/>
    <col min="12303" max="12303" width="14.7265625" style="359"/>
    <col min="12304" max="12304" width="15.1796875" style="359" customWidth="1"/>
    <col min="12305" max="12305" width="16.26953125" style="359" customWidth="1"/>
    <col min="12306" max="12544" width="14.7265625" style="359"/>
    <col min="12545" max="12545" width="6" style="359" customWidth="1"/>
    <col min="12546" max="12546" width="34" style="359" customWidth="1"/>
    <col min="12547" max="12547" width="14.26953125" style="359" customWidth="1"/>
    <col min="12548" max="12548" width="13.7265625" style="359" customWidth="1"/>
    <col min="12549" max="12552" width="12.54296875" style="359" customWidth="1"/>
    <col min="12553" max="12553" width="13.1796875" style="359" customWidth="1"/>
    <col min="12554" max="12556" width="12.54296875" style="359" customWidth="1"/>
    <col min="12557" max="12558" width="12.81640625" style="359" customWidth="1"/>
    <col min="12559" max="12559" width="14.7265625" style="359"/>
    <col min="12560" max="12560" width="15.1796875" style="359" customWidth="1"/>
    <col min="12561" max="12561" width="16.26953125" style="359" customWidth="1"/>
    <col min="12562" max="12800" width="14.7265625" style="359"/>
    <col min="12801" max="12801" width="6" style="359" customWidth="1"/>
    <col min="12802" max="12802" width="34" style="359" customWidth="1"/>
    <col min="12803" max="12803" width="14.26953125" style="359" customWidth="1"/>
    <col min="12804" max="12804" width="13.7265625" style="359" customWidth="1"/>
    <col min="12805" max="12808" width="12.54296875" style="359" customWidth="1"/>
    <col min="12809" max="12809" width="13.1796875" style="359" customWidth="1"/>
    <col min="12810" max="12812" width="12.54296875" style="359" customWidth="1"/>
    <col min="12813" max="12814" width="12.81640625" style="359" customWidth="1"/>
    <col min="12815" max="12815" width="14.7265625" style="359"/>
    <col min="12816" max="12816" width="15.1796875" style="359" customWidth="1"/>
    <col min="12817" max="12817" width="16.26953125" style="359" customWidth="1"/>
    <col min="12818" max="13056" width="14.7265625" style="359"/>
    <col min="13057" max="13057" width="6" style="359" customWidth="1"/>
    <col min="13058" max="13058" width="34" style="359" customWidth="1"/>
    <col min="13059" max="13059" width="14.26953125" style="359" customWidth="1"/>
    <col min="13060" max="13060" width="13.7265625" style="359" customWidth="1"/>
    <col min="13061" max="13064" width="12.54296875" style="359" customWidth="1"/>
    <col min="13065" max="13065" width="13.1796875" style="359" customWidth="1"/>
    <col min="13066" max="13068" width="12.54296875" style="359" customWidth="1"/>
    <col min="13069" max="13070" width="12.81640625" style="359" customWidth="1"/>
    <col min="13071" max="13071" width="14.7265625" style="359"/>
    <col min="13072" max="13072" width="15.1796875" style="359" customWidth="1"/>
    <col min="13073" max="13073" width="16.26953125" style="359" customWidth="1"/>
    <col min="13074" max="13312" width="14.7265625" style="359"/>
    <col min="13313" max="13313" width="6" style="359" customWidth="1"/>
    <col min="13314" max="13314" width="34" style="359" customWidth="1"/>
    <col min="13315" max="13315" width="14.26953125" style="359" customWidth="1"/>
    <col min="13316" max="13316" width="13.7265625" style="359" customWidth="1"/>
    <col min="13317" max="13320" width="12.54296875" style="359" customWidth="1"/>
    <col min="13321" max="13321" width="13.1796875" style="359" customWidth="1"/>
    <col min="13322" max="13324" width="12.54296875" style="359" customWidth="1"/>
    <col min="13325" max="13326" width="12.81640625" style="359" customWidth="1"/>
    <col min="13327" max="13327" width="14.7265625" style="359"/>
    <col min="13328" max="13328" width="15.1796875" style="359" customWidth="1"/>
    <col min="13329" max="13329" width="16.26953125" style="359" customWidth="1"/>
    <col min="13330" max="13568" width="14.7265625" style="359"/>
    <col min="13569" max="13569" width="6" style="359" customWidth="1"/>
    <col min="13570" max="13570" width="34" style="359" customWidth="1"/>
    <col min="13571" max="13571" width="14.26953125" style="359" customWidth="1"/>
    <col min="13572" max="13572" width="13.7265625" style="359" customWidth="1"/>
    <col min="13573" max="13576" width="12.54296875" style="359" customWidth="1"/>
    <col min="13577" max="13577" width="13.1796875" style="359" customWidth="1"/>
    <col min="13578" max="13580" width="12.54296875" style="359" customWidth="1"/>
    <col min="13581" max="13582" width="12.81640625" style="359" customWidth="1"/>
    <col min="13583" max="13583" width="14.7265625" style="359"/>
    <col min="13584" max="13584" width="15.1796875" style="359" customWidth="1"/>
    <col min="13585" max="13585" width="16.26953125" style="359" customWidth="1"/>
    <col min="13586" max="13824" width="14.7265625" style="359"/>
    <col min="13825" max="13825" width="6" style="359" customWidth="1"/>
    <col min="13826" max="13826" width="34" style="359" customWidth="1"/>
    <col min="13827" max="13827" width="14.26953125" style="359" customWidth="1"/>
    <col min="13828" max="13828" width="13.7265625" style="359" customWidth="1"/>
    <col min="13829" max="13832" width="12.54296875" style="359" customWidth="1"/>
    <col min="13833" max="13833" width="13.1796875" style="359" customWidth="1"/>
    <col min="13834" max="13836" width="12.54296875" style="359" customWidth="1"/>
    <col min="13837" max="13838" width="12.81640625" style="359" customWidth="1"/>
    <col min="13839" max="13839" width="14.7265625" style="359"/>
    <col min="13840" max="13840" width="15.1796875" style="359" customWidth="1"/>
    <col min="13841" max="13841" width="16.26953125" style="359" customWidth="1"/>
    <col min="13842" max="14080" width="14.7265625" style="359"/>
    <col min="14081" max="14081" width="6" style="359" customWidth="1"/>
    <col min="14082" max="14082" width="34" style="359" customWidth="1"/>
    <col min="14083" max="14083" width="14.26953125" style="359" customWidth="1"/>
    <col min="14084" max="14084" width="13.7265625" style="359" customWidth="1"/>
    <col min="14085" max="14088" width="12.54296875" style="359" customWidth="1"/>
    <col min="14089" max="14089" width="13.1796875" style="359" customWidth="1"/>
    <col min="14090" max="14092" width="12.54296875" style="359" customWidth="1"/>
    <col min="14093" max="14094" width="12.81640625" style="359" customWidth="1"/>
    <col min="14095" max="14095" width="14.7265625" style="359"/>
    <col min="14096" max="14096" width="15.1796875" style="359" customWidth="1"/>
    <col min="14097" max="14097" width="16.26953125" style="359" customWidth="1"/>
    <col min="14098" max="14336" width="14.7265625" style="359"/>
    <col min="14337" max="14337" width="6" style="359" customWidth="1"/>
    <col min="14338" max="14338" width="34" style="359" customWidth="1"/>
    <col min="14339" max="14339" width="14.26953125" style="359" customWidth="1"/>
    <col min="14340" max="14340" width="13.7265625" style="359" customWidth="1"/>
    <col min="14341" max="14344" width="12.54296875" style="359" customWidth="1"/>
    <col min="14345" max="14345" width="13.1796875" style="359" customWidth="1"/>
    <col min="14346" max="14348" width="12.54296875" style="359" customWidth="1"/>
    <col min="14349" max="14350" width="12.81640625" style="359" customWidth="1"/>
    <col min="14351" max="14351" width="14.7265625" style="359"/>
    <col min="14352" max="14352" width="15.1796875" style="359" customWidth="1"/>
    <col min="14353" max="14353" width="16.26953125" style="359" customWidth="1"/>
    <col min="14354" max="14592" width="14.7265625" style="359"/>
    <col min="14593" max="14593" width="6" style="359" customWidth="1"/>
    <col min="14594" max="14594" width="34" style="359" customWidth="1"/>
    <col min="14595" max="14595" width="14.26953125" style="359" customWidth="1"/>
    <col min="14596" max="14596" width="13.7265625" style="359" customWidth="1"/>
    <col min="14597" max="14600" width="12.54296875" style="359" customWidth="1"/>
    <col min="14601" max="14601" width="13.1796875" style="359" customWidth="1"/>
    <col min="14602" max="14604" width="12.54296875" style="359" customWidth="1"/>
    <col min="14605" max="14606" width="12.81640625" style="359" customWidth="1"/>
    <col min="14607" max="14607" width="14.7265625" style="359"/>
    <col min="14608" max="14608" width="15.1796875" style="359" customWidth="1"/>
    <col min="14609" max="14609" width="16.26953125" style="359" customWidth="1"/>
    <col min="14610" max="14848" width="14.7265625" style="359"/>
    <col min="14849" max="14849" width="6" style="359" customWidth="1"/>
    <col min="14850" max="14850" width="34" style="359" customWidth="1"/>
    <col min="14851" max="14851" width="14.26953125" style="359" customWidth="1"/>
    <col min="14852" max="14852" width="13.7265625" style="359" customWidth="1"/>
    <col min="14853" max="14856" width="12.54296875" style="359" customWidth="1"/>
    <col min="14857" max="14857" width="13.1796875" style="359" customWidth="1"/>
    <col min="14858" max="14860" width="12.54296875" style="359" customWidth="1"/>
    <col min="14861" max="14862" width="12.81640625" style="359" customWidth="1"/>
    <col min="14863" max="14863" width="14.7265625" style="359"/>
    <col min="14864" max="14864" width="15.1796875" style="359" customWidth="1"/>
    <col min="14865" max="14865" width="16.26953125" style="359" customWidth="1"/>
    <col min="14866" max="15104" width="14.7265625" style="359"/>
    <col min="15105" max="15105" width="6" style="359" customWidth="1"/>
    <col min="15106" max="15106" width="34" style="359" customWidth="1"/>
    <col min="15107" max="15107" width="14.26953125" style="359" customWidth="1"/>
    <col min="15108" max="15108" width="13.7265625" style="359" customWidth="1"/>
    <col min="15109" max="15112" width="12.54296875" style="359" customWidth="1"/>
    <col min="15113" max="15113" width="13.1796875" style="359" customWidth="1"/>
    <col min="15114" max="15116" width="12.54296875" style="359" customWidth="1"/>
    <col min="15117" max="15118" width="12.81640625" style="359" customWidth="1"/>
    <col min="15119" max="15119" width="14.7265625" style="359"/>
    <col min="15120" max="15120" width="15.1796875" style="359" customWidth="1"/>
    <col min="15121" max="15121" width="16.26953125" style="359" customWidth="1"/>
    <col min="15122" max="15360" width="14.7265625" style="359"/>
    <col min="15361" max="15361" width="6" style="359" customWidth="1"/>
    <col min="15362" max="15362" width="34" style="359" customWidth="1"/>
    <col min="15363" max="15363" width="14.26953125" style="359" customWidth="1"/>
    <col min="15364" max="15364" width="13.7265625" style="359" customWidth="1"/>
    <col min="15365" max="15368" width="12.54296875" style="359" customWidth="1"/>
    <col min="15369" max="15369" width="13.1796875" style="359" customWidth="1"/>
    <col min="15370" max="15372" width="12.54296875" style="359" customWidth="1"/>
    <col min="15373" max="15374" width="12.81640625" style="359" customWidth="1"/>
    <col min="15375" max="15375" width="14.7265625" style="359"/>
    <col min="15376" max="15376" width="15.1796875" style="359" customWidth="1"/>
    <col min="15377" max="15377" width="16.26953125" style="359" customWidth="1"/>
    <col min="15378" max="15616" width="14.7265625" style="359"/>
    <col min="15617" max="15617" width="6" style="359" customWidth="1"/>
    <col min="15618" max="15618" width="34" style="359" customWidth="1"/>
    <col min="15619" max="15619" width="14.26953125" style="359" customWidth="1"/>
    <col min="15620" max="15620" width="13.7265625" style="359" customWidth="1"/>
    <col min="15621" max="15624" width="12.54296875" style="359" customWidth="1"/>
    <col min="15625" max="15625" width="13.1796875" style="359" customWidth="1"/>
    <col min="15626" max="15628" width="12.54296875" style="359" customWidth="1"/>
    <col min="15629" max="15630" width="12.81640625" style="359" customWidth="1"/>
    <col min="15631" max="15631" width="14.7265625" style="359"/>
    <col min="15632" max="15632" width="15.1796875" style="359" customWidth="1"/>
    <col min="15633" max="15633" width="16.26953125" style="359" customWidth="1"/>
    <col min="15634" max="15872" width="14.7265625" style="359"/>
    <col min="15873" max="15873" width="6" style="359" customWidth="1"/>
    <col min="15874" max="15874" width="34" style="359" customWidth="1"/>
    <col min="15875" max="15875" width="14.26953125" style="359" customWidth="1"/>
    <col min="15876" max="15876" width="13.7265625" style="359" customWidth="1"/>
    <col min="15877" max="15880" width="12.54296875" style="359" customWidth="1"/>
    <col min="15881" max="15881" width="13.1796875" style="359" customWidth="1"/>
    <col min="15882" max="15884" width="12.54296875" style="359" customWidth="1"/>
    <col min="15885" max="15886" width="12.81640625" style="359" customWidth="1"/>
    <col min="15887" max="15887" width="14.7265625" style="359"/>
    <col min="15888" max="15888" width="15.1796875" style="359" customWidth="1"/>
    <col min="15889" max="15889" width="16.26953125" style="359" customWidth="1"/>
    <col min="15890" max="16128" width="14.7265625" style="359"/>
    <col min="16129" max="16129" width="6" style="359" customWidth="1"/>
    <col min="16130" max="16130" width="34" style="359" customWidth="1"/>
    <col min="16131" max="16131" width="14.26953125" style="359" customWidth="1"/>
    <col min="16132" max="16132" width="13.7265625" style="359" customWidth="1"/>
    <col min="16133" max="16136" width="12.54296875" style="359" customWidth="1"/>
    <col min="16137" max="16137" width="13.1796875" style="359" customWidth="1"/>
    <col min="16138" max="16140" width="12.54296875" style="359" customWidth="1"/>
    <col min="16141" max="16142" width="12.81640625" style="359" customWidth="1"/>
    <col min="16143" max="16143" width="14.7265625" style="359"/>
    <col min="16144" max="16144" width="15.1796875" style="359" customWidth="1"/>
    <col min="16145" max="16145" width="16.26953125" style="359" customWidth="1"/>
    <col min="16146" max="16384" width="14.7265625" style="359"/>
  </cols>
  <sheetData>
    <row r="1" spans="1:16" ht="18">
      <c r="B1" s="355" t="s">
        <v>104</v>
      </c>
      <c r="C1" s="356"/>
      <c r="D1" s="356"/>
      <c r="E1" s="356"/>
      <c r="F1" s="356"/>
      <c r="G1" s="356"/>
      <c r="H1" s="356"/>
      <c r="I1" s="356"/>
      <c r="J1" s="356"/>
      <c r="K1" s="357" t="s">
        <v>0</v>
      </c>
      <c r="L1" s="358" t="s">
        <v>105</v>
      </c>
    </row>
    <row r="2" spans="1:16" ht="8.25" customHeight="1">
      <c r="B2" s="359"/>
      <c r="C2" s="356"/>
      <c r="D2" s="356"/>
      <c r="E2" s="356"/>
      <c r="F2" s="356"/>
      <c r="G2" s="356"/>
      <c r="H2" s="356"/>
      <c r="I2" s="356"/>
      <c r="J2" s="356"/>
      <c r="K2" s="356"/>
      <c r="L2" s="356"/>
    </row>
    <row r="3" spans="1:16" ht="18">
      <c r="B3" s="360" t="s">
        <v>106</v>
      </c>
      <c r="C3" s="356"/>
      <c r="D3" s="356"/>
      <c r="E3" s="356"/>
      <c r="F3" s="356"/>
      <c r="G3" s="356"/>
      <c r="H3" s="356"/>
      <c r="I3" s="356"/>
      <c r="J3" s="356"/>
      <c r="K3" s="356"/>
    </row>
    <row r="4" spans="1:16" ht="3.75" customHeight="1">
      <c r="B4" s="361"/>
      <c r="C4" s="356"/>
      <c r="D4" s="356"/>
      <c r="E4" s="356"/>
      <c r="F4" s="356"/>
      <c r="G4" s="356"/>
      <c r="H4" s="356"/>
      <c r="I4" s="356"/>
      <c r="J4" s="356"/>
      <c r="K4" s="356"/>
      <c r="L4" s="356"/>
    </row>
    <row r="5" spans="1:16" ht="18">
      <c r="A5" s="362" t="s">
        <v>107</v>
      </c>
      <c r="B5" s="363" t="s">
        <v>108</v>
      </c>
      <c r="C5" s="360" t="s">
        <v>109</v>
      </c>
      <c r="D5" s="356"/>
      <c r="E5" s="356"/>
      <c r="G5" s="356"/>
      <c r="H5" s="356"/>
      <c r="I5" s="356"/>
      <c r="J5" s="356"/>
      <c r="K5" s="356"/>
      <c r="L5" s="356"/>
    </row>
    <row r="6" spans="1:16" ht="18.5" thickBot="1">
      <c r="A6" s="364"/>
      <c r="B6" s="356"/>
      <c r="C6" s="361"/>
      <c r="D6" s="356"/>
      <c r="E6" s="356"/>
      <c r="F6" s="360" t="s">
        <v>110</v>
      </c>
      <c r="G6" s="356"/>
      <c r="H6" s="356"/>
      <c r="I6" s="360" t="s">
        <v>111</v>
      </c>
      <c r="J6" s="356"/>
      <c r="K6" s="356"/>
      <c r="L6" s="356"/>
    </row>
    <row r="7" spans="1:16" ht="18">
      <c r="A7" s="1909" t="s">
        <v>2035</v>
      </c>
      <c r="B7" s="1911" t="s">
        <v>112</v>
      </c>
      <c r="C7" s="1911" t="s">
        <v>113</v>
      </c>
      <c r="D7" s="1913" t="s">
        <v>114</v>
      </c>
      <c r="E7" s="769"/>
      <c r="F7" s="741" t="s">
        <v>115</v>
      </c>
      <c r="G7" s="741"/>
      <c r="H7" s="741"/>
      <c r="I7" s="742"/>
      <c r="J7" s="763"/>
      <c r="K7" s="741"/>
      <c r="L7" s="742"/>
    </row>
    <row r="8" spans="1:16" s="367" customFormat="1" ht="70.5" customHeight="1" thickBot="1">
      <c r="A8" s="1910"/>
      <c r="B8" s="1912"/>
      <c r="C8" s="1912"/>
      <c r="D8" s="1914"/>
      <c r="E8" s="770" t="s">
        <v>116</v>
      </c>
      <c r="F8" s="757" t="s">
        <v>117</v>
      </c>
      <c r="G8" s="757" t="s">
        <v>118</v>
      </c>
      <c r="H8" s="757" t="s">
        <v>119</v>
      </c>
      <c r="I8" s="758" t="s">
        <v>120</v>
      </c>
      <c r="J8" s="764" t="s">
        <v>121</v>
      </c>
      <c r="K8" s="757" t="s">
        <v>122</v>
      </c>
      <c r="L8" s="758" t="s">
        <v>123</v>
      </c>
    </row>
    <row r="9" spans="1:16" ht="17.5">
      <c r="A9" s="752"/>
      <c r="B9" s="753" t="s">
        <v>124</v>
      </c>
      <c r="C9" s="754"/>
      <c r="D9" s="759"/>
      <c r="E9" s="771"/>
      <c r="F9" s="754"/>
      <c r="G9" s="754"/>
      <c r="H9" s="754"/>
      <c r="I9" s="772"/>
      <c r="J9" s="765"/>
      <c r="K9" s="755"/>
      <c r="L9" s="756"/>
    </row>
    <row r="10" spans="1:16" ht="17.5">
      <c r="A10" s="743">
        <v>1</v>
      </c>
      <c r="B10" s="369" t="s">
        <v>125</v>
      </c>
      <c r="C10" s="365">
        <v>103627</v>
      </c>
      <c r="D10" s="760">
        <v>84526.66</v>
      </c>
      <c r="E10" s="773"/>
      <c r="F10" s="370">
        <v>28.521367373037211</v>
      </c>
      <c r="G10" s="370">
        <v>37.433067359414181</v>
      </c>
      <c r="H10" s="370">
        <v>11.319849526585582</v>
      </c>
      <c r="I10" s="774">
        <v>11.773581267691716</v>
      </c>
      <c r="J10" s="766">
        <f>F10+G10+H10+I10</f>
        <v>89.047865526728685</v>
      </c>
      <c r="K10" s="371">
        <f>4169.16897585384+6-140</f>
        <v>4035.1689758538396</v>
      </c>
      <c r="L10" s="744"/>
      <c r="M10" s="386"/>
      <c r="N10" s="416"/>
      <c r="P10" s="356"/>
    </row>
    <row r="11" spans="1:16" ht="17.5">
      <c r="A11" s="743">
        <v>2</v>
      </c>
      <c r="B11" s="369" t="s">
        <v>126</v>
      </c>
      <c r="C11" s="365">
        <v>137960</v>
      </c>
      <c r="D11" s="760">
        <v>259090.29</v>
      </c>
      <c r="E11" s="773"/>
      <c r="F11" s="370">
        <v>46.102426851553915</v>
      </c>
      <c r="G11" s="370">
        <v>95.238803707031522</v>
      </c>
      <c r="H11" s="370">
        <v>38.454591639301022</v>
      </c>
      <c r="I11" s="774">
        <v>29.798196778200413</v>
      </c>
      <c r="J11" s="766">
        <f>F11+G11+H11+I11</f>
        <v>209.59401897608686</v>
      </c>
      <c r="K11" s="371">
        <f>10378.4031883027-340</f>
        <v>10038.4031883027</v>
      </c>
      <c r="L11" s="744"/>
      <c r="M11" s="386"/>
      <c r="N11" s="416"/>
      <c r="P11" s="356"/>
    </row>
    <row r="12" spans="1:16" ht="17.5">
      <c r="A12" s="743">
        <v>3</v>
      </c>
      <c r="B12" s="369" t="s">
        <v>127</v>
      </c>
      <c r="C12" s="365">
        <v>68760</v>
      </c>
      <c r="D12" s="760">
        <v>227981.52</v>
      </c>
      <c r="E12" s="773"/>
      <c r="F12" s="370">
        <v>23.815622741800443</v>
      </c>
      <c r="G12" s="370">
        <v>55.914839251279247</v>
      </c>
      <c r="H12" s="370">
        <v>27.042346857411353</v>
      </c>
      <c r="I12" s="774">
        <v>21.959275701783564</v>
      </c>
      <c r="J12" s="766">
        <f>F12+G12+H12+I12</f>
        <v>128.73208455227459</v>
      </c>
      <c r="K12" s="371">
        <f>6579.33335085117-230</f>
        <v>6349.3333508511696</v>
      </c>
      <c r="L12" s="744"/>
      <c r="M12" s="386"/>
      <c r="N12" s="416"/>
      <c r="P12" s="356"/>
    </row>
    <row r="13" spans="1:16" ht="17.5">
      <c r="A13" s="743">
        <v>4</v>
      </c>
      <c r="B13" s="369">
        <v>4</v>
      </c>
      <c r="C13" s="365">
        <v>23983</v>
      </c>
      <c r="D13" s="760">
        <v>102917.067</v>
      </c>
      <c r="E13" s="773"/>
      <c r="F13" s="370">
        <v>8.2957746273931079</v>
      </c>
      <c r="G13" s="370">
        <v>21.469571231063657</v>
      </c>
      <c r="H13" s="370">
        <v>12.391022385343655</v>
      </c>
      <c r="I13" s="774">
        <v>9.9762817786036653</v>
      </c>
      <c r="J13" s="766">
        <f>F13+G13+H13+I13</f>
        <v>52.132650022404086</v>
      </c>
      <c r="K13" s="371">
        <f>2770.5453851662-150</f>
        <v>2620.5453851662</v>
      </c>
      <c r="L13" s="744"/>
      <c r="M13" s="386"/>
      <c r="N13" s="416"/>
      <c r="P13" s="356"/>
    </row>
    <row r="14" spans="1:16" ht="17.5">
      <c r="A14" s="743">
        <v>5</v>
      </c>
      <c r="B14" s="372" t="s">
        <v>128</v>
      </c>
      <c r="C14" s="365">
        <v>18212</v>
      </c>
      <c r="D14" s="760">
        <v>164658.87599999999</v>
      </c>
      <c r="E14" s="773"/>
      <c r="F14" s="370">
        <v>6.2035701454730106</v>
      </c>
      <c r="G14" s="370">
        <v>19.828000566009049</v>
      </c>
      <c r="H14" s="370">
        <v>16.211186525429071</v>
      </c>
      <c r="I14" s="774">
        <v>45.948329983584628</v>
      </c>
      <c r="J14" s="766">
        <f>F14+G14+H14+I14</f>
        <v>88.19108722049576</v>
      </c>
      <c r="K14" s="371">
        <f>4929.80696826277+100</f>
        <v>5029.8069682627702</v>
      </c>
      <c r="L14" s="744"/>
      <c r="M14" s="386"/>
      <c r="N14" s="416"/>
      <c r="P14" s="356"/>
    </row>
    <row r="15" spans="1:16" ht="18">
      <c r="A15" s="743">
        <v>6</v>
      </c>
      <c r="B15" s="375" t="s">
        <v>129</v>
      </c>
      <c r="C15" s="366">
        <f>SUM(C10:C14)</f>
        <v>352542</v>
      </c>
      <c r="D15" s="761">
        <f t="shared" ref="D15:L15" si="0">SUM(D10:D14)</f>
        <v>839174.41299999994</v>
      </c>
      <c r="E15" s="1141"/>
      <c r="F15" s="669">
        <f t="shared" si="0"/>
        <v>112.93876173925767</v>
      </c>
      <c r="G15" s="669">
        <f t="shared" si="0"/>
        <v>229.88428211479768</v>
      </c>
      <c r="H15" s="669">
        <f t="shared" si="0"/>
        <v>105.41899693407069</v>
      </c>
      <c r="I15" s="775">
        <f t="shared" si="0"/>
        <v>119.45566550986399</v>
      </c>
      <c r="J15" s="767">
        <f t="shared" si="0"/>
        <v>567.69770629798995</v>
      </c>
      <c r="K15" s="670">
        <f t="shared" si="0"/>
        <v>28073.257868436682</v>
      </c>
      <c r="L15" s="745">
        <f t="shared" si="0"/>
        <v>0</v>
      </c>
      <c r="N15" s="416"/>
    </row>
    <row r="16" spans="1:16" ht="38.5" customHeight="1">
      <c r="A16" s="743">
        <v>7</v>
      </c>
      <c r="B16" s="372" t="s">
        <v>130</v>
      </c>
      <c r="C16" s="372">
        <v>24</v>
      </c>
      <c r="D16" s="1143">
        <v>8090</v>
      </c>
      <c r="E16" s="773"/>
      <c r="F16" s="370"/>
      <c r="G16" s="370"/>
      <c r="H16" s="370"/>
      <c r="I16" s="774">
        <v>16.4599487893698</v>
      </c>
      <c r="J16" s="766">
        <f>F16+G16+H16+I16</f>
        <v>16.4599487893698</v>
      </c>
      <c r="K16" s="371">
        <v>843.027750816565</v>
      </c>
      <c r="L16" s="744">
        <v>649.10270890000004</v>
      </c>
      <c r="N16" s="416"/>
    </row>
    <row r="17" spans="1:16" ht="18">
      <c r="A17" s="743">
        <v>8</v>
      </c>
      <c r="B17" s="375" t="s">
        <v>129</v>
      </c>
      <c r="C17" s="366">
        <f>C16</f>
        <v>24</v>
      </c>
      <c r="D17" s="761">
        <f>D16</f>
        <v>8090</v>
      </c>
      <c r="E17" s="1141"/>
      <c r="F17" s="669"/>
      <c r="G17" s="669"/>
      <c r="H17" s="669"/>
      <c r="I17" s="775">
        <f t="shared" ref="I17" si="1">I16</f>
        <v>16.4599487893698</v>
      </c>
      <c r="J17" s="767">
        <f>J16</f>
        <v>16.4599487893698</v>
      </c>
      <c r="K17" s="670">
        <f>K16</f>
        <v>843.027750816565</v>
      </c>
      <c r="L17" s="745">
        <f>L16</f>
        <v>649.10270890000004</v>
      </c>
      <c r="N17" s="416"/>
    </row>
    <row r="18" spans="1:16" ht="17.5">
      <c r="A18" s="743">
        <v>9</v>
      </c>
      <c r="B18" s="372" t="s">
        <v>131</v>
      </c>
      <c r="C18" s="365">
        <v>3819</v>
      </c>
      <c r="D18" s="760">
        <v>2635.27</v>
      </c>
      <c r="E18" s="773"/>
      <c r="F18" s="370"/>
      <c r="G18" s="370"/>
      <c r="H18" s="370"/>
      <c r="I18" s="774"/>
      <c r="J18" s="766"/>
      <c r="K18" s="371"/>
      <c r="L18" s="744"/>
      <c r="N18" s="416"/>
    </row>
    <row r="19" spans="1:16" ht="17.5">
      <c r="A19" s="743">
        <v>10</v>
      </c>
      <c r="B19" s="372" t="s">
        <v>132</v>
      </c>
      <c r="C19" s="365"/>
      <c r="D19" s="760"/>
      <c r="E19" s="773"/>
      <c r="F19" s="370"/>
      <c r="G19" s="370"/>
      <c r="H19" s="370"/>
      <c r="I19" s="774"/>
      <c r="J19" s="766">
        <v>0.302862569456469</v>
      </c>
      <c r="K19" s="371">
        <f>14.6502326042816-6</f>
        <v>8.6502326042815998</v>
      </c>
      <c r="L19" s="744"/>
      <c r="N19" s="416"/>
    </row>
    <row r="20" spans="1:16" ht="18">
      <c r="A20" s="743">
        <v>11</v>
      </c>
      <c r="B20" s="375" t="s">
        <v>133</v>
      </c>
      <c r="C20" s="366">
        <f>C18+C19</f>
        <v>3819</v>
      </c>
      <c r="D20" s="1142">
        <f>D18+D19</f>
        <v>2635.27</v>
      </c>
      <c r="E20" s="1141"/>
      <c r="F20" s="669">
        <f>F19</f>
        <v>0</v>
      </c>
      <c r="G20" s="669">
        <f t="shared" ref="G20:I20" si="2">G19</f>
        <v>0</v>
      </c>
      <c r="H20" s="669">
        <f t="shared" si="2"/>
        <v>0</v>
      </c>
      <c r="I20" s="775">
        <f t="shared" si="2"/>
        <v>0</v>
      </c>
      <c r="J20" s="767">
        <f>J19</f>
        <v>0.302862569456469</v>
      </c>
      <c r="K20" s="670">
        <f>K19</f>
        <v>8.6502326042815998</v>
      </c>
      <c r="L20" s="745">
        <f>L19</f>
        <v>0</v>
      </c>
      <c r="N20" s="416"/>
    </row>
    <row r="21" spans="1:16" ht="8.25" customHeight="1">
      <c r="A21" s="743"/>
      <c r="B21" s="372"/>
      <c r="C21" s="365"/>
      <c r="D21" s="760"/>
      <c r="E21" s="773"/>
      <c r="F21" s="370"/>
      <c r="G21" s="370"/>
      <c r="H21" s="370"/>
      <c r="I21" s="774"/>
      <c r="J21" s="766"/>
      <c r="K21" s="371"/>
      <c r="L21" s="744"/>
      <c r="N21" s="356"/>
    </row>
    <row r="22" spans="1:16" ht="18.5" thickBot="1">
      <c r="A22" s="746">
        <v>12</v>
      </c>
      <c r="B22" s="747" t="s">
        <v>134</v>
      </c>
      <c r="C22" s="748">
        <f>C15+C17+C20</f>
        <v>356385</v>
      </c>
      <c r="D22" s="1140">
        <f>D15+D17+D20</f>
        <v>849899.68299999996</v>
      </c>
      <c r="E22" s="776"/>
      <c r="F22" s="749">
        <f t="shared" ref="F22:L22" si="3">F15+F17+F20</f>
        <v>112.93876173925767</v>
      </c>
      <c r="G22" s="749">
        <f t="shared" si="3"/>
        <v>229.88428211479768</v>
      </c>
      <c r="H22" s="749">
        <f t="shared" si="3"/>
        <v>105.41899693407069</v>
      </c>
      <c r="I22" s="777">
        <f>I15+I20</f>
        <v>119.45566550986399</v>
      </c>
      <c r="J22" s="768">
        <f>J15</f>
        <v>567.69770629798995</v>
      </c>
      <c r="K22" s="750">
        <f>K15</f>
        <v>28073.257868436682</v>
      </c>
      <c r="L22" s="751">
        <f t="shared" si="3"/>
        <v>649.10270890000004</v>
      </c>
      <c r="N22" s="416"/>
      <c r="O22" s="376"/>
    </row>
    <row r="23" spans="1:16" ht="10.5" customHeight="1">
      <c r="B23" s="373"/>
      <c r="C23" s="673"/>
      <c r="D23" s="673"/>
      <c r="E23" s="673"/>
      <c r="F23" s="673"/>
      <c r="G23" s="673"/>
      <c r="H23" s="673"/>
      <c r="I23" s="673"/>
      <c r="J23" s="673"/>
      <c r="K23" s="673"/>
      <c r="L23" s="673"/>
    </row>
    <row r="24" spans="1:16" ht="18">
      <c r="A24" s="374" t="s">
        <v>135</v>
      </c>
      <c r="B24" s="363" t="s">
        <v>108</v>
      </c>
      <c r="C24" s="360" t="s">
        <v>136</v>
      </c>
      <c r="D24" s="356"/>
      <c r="E24" s="356"/>
      <c r="G24" s="356"/>
      <c r="H24" s="356"/>
      <c r="I24" s="356"/>
      <c r="J24" s="356"/>
      <c r="K24" s="356"/>
      <c r="L24" s="356"/>
    </row>
    <row r="25" spans="1:16" ht="18.5" thickBot="1">
      <c r="B25" s="373"/>
      <c r="C25" s="361"/>
      <c r="D25" s="356"/>
      <c r="E25" s="356"/>
      <c r="F25" s="360" t="s">
        <v>110</v>
      </c>
      <c r="G25" s="356"/>
      <c r="H25" s="356"/>
      <c r="I25" s="360" t="s">
        <v>111</v>
      </c>
      <c r="J25" s="356"/>
      <c r="K25" s="356"/>
      <c r="L25" s="356"/>
    </row>
    <row r="26" spans="1:16" ht="18">
      <c r="A26" s="1909" t="s">
        <v>2035</v>
      </c>
      <c r="B26" s="1911" t="s">
        <v>112</v>
      </c>
      <c r="C26" s="1911" t="s">
        <v>113</v>
      </c>
      <c r="D26" s="1913" t="s">
        <v>114</v>
      </c>
      <c r="E26" s="769"/>
      <c r="F26" s="741" t="s">
        <v>115</v>
      </c>
      <c r="G26" s="741"/>
      <c r="H26" s="741"/>
      <c r="I26" s="742"/>
      <c r="J26" s="763"/>
      <c r="K26" s="741"/>
      <c r="L26" s="742"/>
    </row>
    <row r="27" spans="1:16" s="367" customFormat="1" ht="69.75" customHeight="1" thickBot="1">
      <c r="A27" s="1910"/>
      <c r="B27" s="1912"/>
      <c r="C27" s="1912"/>
      <c r="D27" s="1914"/>
      <c r="E27" s="770" t="s">
        <v>116</v>
      </c>
      <c r="F27" s="757" t="s">
        <v>117</v>
      </c>
      <c r="G27" s="757" t="s">
        <v>118</v>
      </c>
      <c r="H27" s="757" t="s">
        <v>119</v>
      </c>
      <c r="I27" s="758" t="s">
        <v>120</v>
      </c>
      <c r="J27" s="764" t="s">
        <v>121</v>
      </c>
      <c r="K27" s="757" t="s">
        <v>122</v>
      </c>
      <c r="L27" s="758" t="s">
        <v>123</v>
      </c>
    </row>
    <row r="28" spans="1:16" ht="17.5">
      <c r="A28" s="752"/>
      <c r="B28" s="753" t="s">
        <v>124</v>
      </c>
      <c r="C28" s="754"/>
      <c r="D28" s="759"/>
      <c r="E28" s="771"/>
      <c r="F28" s="754"/>
      <c r="G28" s="754"/>
      <c r="H28" s="754"/>
      <c r="I28" s="772"/>
      <c r="J28" s="765"/>
      <c r="K28" s="755"/>
      <c r="L28" s="756"/>
    </row>
    <row r="29" spans="1:16" ht="17.5">
      <c r="A29" s="743">
        <v>1</v>
      </c>
      <c r="B29" s="369" t="s">
        <v>125</v>
      </c>
      <c r="C29" s="365">
        <v>1280177</v>
      </c>
      <c r="D29" s="760">
        <v>636464.51</v>
      </c>
      <c r="E29" s="773"/>
      <c r="F29" s="370">
        <v>228.91914985791337</v>
      </c>
      <c r="G29" s="370">
        <v>263.85687780411672</v>
      </c>
      <c r="H29" s="370">
        <v>83.879204286818762</v>
      </c>
      <c r="I29" s="774">
        <v>121.5289647378078</v>
      </c>
      <c r="J29" s="766">
        <f>F29+G29+H29+I29</f>
        <v>698.18419668665661</v>
      </c>
      <c r="K29" s="371">
        <f>31241.3349850771+150</f>
        <v>31391.334985077101</v>
      </c>
      <c r="L29" s="744"/>
      <c r="M29" s="386"/>
      <c r="N29" s="376"/>
      <c r="P29" s="356"/>
    </row>
    <row r="30" spans="1:16" ht="17.5">
      <c r="A30" s="743">
        <v>2</v>
      </c>
      <c r="B30" s="369" t="s">
        <v>126</v>
      </c>
      <c r="C30" s="365">
        <v>197334</v>
      </c>
      <c r="D30" s="760">
        <v>360543.83999999997</v>
      </c>
      <c r="E30" s="773"/>
      <c r="F30" s="370">
        <v>45.319704976158818</v>
      </c>
      <c r="G30" s="370">
        <v>86.615594785450014</v>
      </c>
      <c r="H30" s="370">
        <v>33.298254449060636</v>
      </c>
      <c r="I30" s="774">
        <v>32.483731231398338</v>
      </c>
      <c r="J30" s="766">
        <f>F30+G30+H30+I30</f>
        <v>197.7172854420678</v>
      </c>
      <c r="K30" s="371">
        <f>9171.91050510874+50+200</f>
        <v>9421.9105051087408</v>
      </c>
      <c r="L30" s="744"/>
      <c r="M30" s="386"/>
      <c r="N30" s="376"/>
      <c r="P30" s="356"/>
    </row>
    <row r="31" spans="1:16" ht="17.5">
      <c r="A31" s="743">
        <v>3</v>
      </c>
      <c r="B31" s="369" t="s">
        <v>127</v>
      </c>
      <c r="C31" s="365">
        <v>76863</v>
      </c>
      <c r="D31" s="760">
        <v>212081.06</v>
      </c>
      <c r="E31" s="773"/>
      <c r="F31" s="370">
        <v>20.815873448175051</v>
      </c>
      <c r="G31" s="370">
        <v>41.175357576893589</v>
      </c>
      <c r="H31" s="370">
        <v>16.011110400537014</v>
      </c>
      <c r="I31" s="774">
        <v>11.971123628404939</v>
      </c>
      <c r="J31" s="766">
        <f>F31+G31+H31+I31</f>
        <v>89.973465054010603</v>
      </c>
      <c r="K31" s="371">
        <f>4435.40954217551-200</f>
        <v>4235.4095421755101</v>
      </c>
      <c r="L31" s="744"/>
      <c r="M31" s="386"/>
      <c r="N31" s="376"/>
      <c r="P31" s="356"/>
    </row>
    <row r="32" spans="1:16" ht="17.5">
      <c r="A32" s="743">
        <v>4</v>
      </c>
      <c r="B32" s="369">
        <v>4</v>
      </c>
      <c r="C32" s="365">
        <v>7760</v>
      </c>
      <c r="D32" s="760">
        <v>28418.61</v>
      </c>
      <c r="E32" s="773"/>
      <c r="F32" s="370">
        <v>2.2170017199845944</v>
      </c>
      <c r="G32" s="370">
        <v>5.9680614483455692</v>
      </c>
      <c r="H32" s="370">
        <v>3.6791362130808065</v>
      </c>
      <c r="I32" s="774">
        <v>3.4492897366311372</v>
      </c>
      <c r="J32" s="766">
        <f>F32+G32+H32+I32</f>
        <v>15.313489118042106</v>
      </c>
      <c r="K32" s="371">
        <v>789.07075990207284</v>
      </c>
      <c r="L32" s="744"/>
      <c r="M32" s="386"/>
      <c r="N32" s="376"/>
      <c r="P32" s="356"/>
    </row>
    <row r="33" spans="1:16" ht="17.5">
      <c r="A33" s="743">
        <v>5</v>
      </c>
      <c r="B33" s="372" t="s">
        <v>128</v>
      </c>
      <c r="C33" s="365">
        <v>6072</v>
      </c>
      <c r="D33" s="760">
        <v>36171.15</v>
      </c>
      <c r="E33" s="773"/>
      <c r="F33" s="370">
        <v>1.5599755434488833</v>
      </c>
      <c r="G33" s="370">
        <v>5.3222902264369827</v>
      </c>
      <c r="H33" s="370">
        <v>4.2647190354228917</v>
      </c>
      <c r="I33" s="774">
        <v>10.21956147497194</v>
      </c>
      <c r="J33" s="766">
        <f>F33+G33+H33+I33</f>
        <v>21.366546280280698</v>
      </c>
      <c r="K33" s="371">
        <f>1179.90385229095-3.68+30</f>
        <v>1206.2238522909499</v>
      </c>
      <c r="L33" s="744"/>
      <c r="M33" s="386"/>
      <c r="N33" s="376"/>
      <c r="P33" s="356"/>
    </row>
    <row r="34" spans="1:16" ht="18">
      <c r="A34" s="743">
        <v>6</v>
      </c>
      <c r="B34" s="375" t="s">
        <v>129</v>
      </c>
      <c r="C34" s="366">
        <f>SUM(C29:C33)</f>
        <v>1568206</v>
      </c>
      <c r="D34" s="761">
        <f t="shared" ref="D34:L34" si="4">SUM(D29:D33)</f>
        <v>1273679.17</v>
      </c>
      <c r="E34" s="1141"/>
      <c r="F34" s="669">
        <f t="shared" si="4"/>
        <v>298.83170554568073</v>
      </c>
      <c r="G34" s="669">
        <f t="shared" si="4"/>
        <v>402.93818184124285</v>
      </c>
      <c r="H34" s="669">
        <f t="shared" si="4"/>
        <v>141.13242438492011</v>
      </c>
      <c r="I34" s="775">
        <f t="shared" si="4"/>
        <v>179.65267080921416</v>
      </c>
      <c r="J34" s="767">
        <f t="shared" si="4"/>
        <v>1022.5549825810577</v>
      </c>
      <c r="K34" s="670">
        <f>SUM(K29:K33)</f>
        <v>47043.949644554377</v>
      </c>
      <c r="L34" s="745">
        <f t="shared" si="4"/>
        <v>0</v>
      </c>
      <c r="N34" s="376"/>
    </row>
    <row r="35" spans="1:16" ht="36.65" customHeight="1">
      <c r="A35" s="743">
        <v>7</v>
      </c>
      <c r="B35" s="372" t="s">
        <v>130</v>
      </c>
      <c r="C35" s="372">
        <v>3</v>
      </c>
      <c r="D35" s="1143">
        <v>378</v>
      </c>
      <c r="E35" s="773"/>
      <c r="F35" s="370"/>
      <c r="G35" s="370"/>
      <c r="H35" s="370"/>
      <c r="I35" s="774">
        <v>0.64006507249830402</v>
      </c>
      <c r="J35" s="766">
        <f>F35+G35+H35+I35</f>
        <v>0.64006507249830402</v>
      </c>
      <c r="K35" s="371">
        <v>33.025093854501598</v>
      </c>
      <c r="L35" s="744"/>
    </row>
    <row r="36" spans="1:16" ht="18">
      <c r="A36" s="743">
        <v>8</v>
      </c>
      <c r="B36" s="375" t="s">
        <v>129</v>
      </c>
      <c r="C36" s="366">
        <f>C35</f>
        <v>3</v>
      </c>
      <c r="D36" s="761">
        <f>D35</f>
        <v>378</v>
      </c>
      <c r="E36" s="1141"/>
      <c r="F36" s="669"/>
      <c r="G36" s="669"/>
      <c r="H36" s="669"/>
      <c r="I36" s="775">
        <f t="shared" ref="I36" si="5">I35</f>
        <v>0.64006507249830402</v>
      </c>
      <c r="J36" s="767">
        <f>J35</f>
        <v>0.64006507249830402</v>
      </c>
      <c r="K36" s="670">
        <f>K35</f>
        <v>33.025093854501598</v>
      </c>
      <c r="L36" s="745">
        <f>L35</f>
        <v>0</v>
      </c>
    </row>
    <row r="37" spans="1:16" ht="17.5">
      <c r="A37" s="743">
        <v>9</v>
      </c>
      <c r="B37" s="372" t="s">
        <v>131</v>
      </c>
      <c r="C37" s="365">
        <v>136016</v>
      </c>
      <c r="D37" s="760">
        <v>53846.64</v>
      </c>
      <c r="E37" s="773"/>
      <c r="F37" s="370"/>
      <c r="G37" s="370"/>
      <c r="H37" s="370"/>
      <c r="I37" s="774"/>
      <c r="J37" s="766"/>
      <c r="K37" s="371"/>
      <c r="L37" s="744"/>
    </row>
    <row r="38" spans="1:16" ht="17.5">
      <c r="A38" s="743">
        <v>10</v>
      </c>
      <c r="B38" s="372" t="s">
        <v>132</v>
      </c>
      <c r="C38" s="365"/>
      <c r="D38" s="760"/>
      <c r="E38" s="773"/>
      <c r="F38" s="370"/>
      <c r="G38" s="370"/>
      <c r="H38" s="370"/>
      <c r="I38" s="774"/>
      <c r="J38" s="766">
        <v>9.8525127486360091</v>
      </c>
      <c r="K38" s="371">
        <f>601.379183083357-200-124</f>
        <v>277.37918308335702</v>
      </c>
      <c r="L38" s="744"/>
    </row>
    <row r="39" spans="1:16" ht="20">
      <c r="A39" s="743">
        <v>11</v>
      </c>
      <c r="B39" s="375" t="s">
        <v>133</v>
      </c>
      <c r="C39" s="366"/>
      <c r="D39" s="761"/>
      <c r="E39" s="781">
        <v>10.155375318092499</v>
      </c>
      <c r="F39" s="669">
        <f>F38</f>
        <v>0</v>
      </c>
      <c r="G39" s="669">
        <f t="shared" ref="G39:I39" si="6">G38</f>
        <v>0</v>
      </c>
      <c r="H39" s="669">
        <f t="shared" si="6"/>
        <v>0</v>
      </c>
      <c r="I39" s="775">
        <f t="shared" si="6"/>
        <v>0</v>
      </c>
      <c r="J39" s="767">
        <f>J37+J38</f>
        <v>9.8525127486360091</v>
      </c>
      <c r="K39" s="670">
        <f>K37+K38</f>
        <v>277.37918308335702</v>
      </c>
      <c r="L39" s="745">
        <v>300.64999999999998</v>
      </c>
      <c r="O39" s="476"/>
    </row>
    <row r="40" spans="1:16" ht="7.5" customHeight="1">
      <c r="A40" s="743"/>
      <c r="B40" s="372"/>
      <c r="C40" s="365"/>
      <c r="D40" s="760"/>
      <c r="E40" s="773"/>
      <c r="F40" s="370"/>
      <c r="G40" s="370"/>
      <c r="H40" s="370"/>
      <c r="I40" s="774"/>
      <c r="J40" s="766"/>
      <c r="K40" s="371"/>
      <c r="L40" s="744"/>
      <c r="O40" s="477"/>
    </row>
    <row r="41" spans="1:16" ht="18">
      <c r="A41" s="743">
        <v>12</v>
      </c>
      <c r="B41" s="375" t="s">
        <v>137</v>
      </c>
      <c r="C41" s="366">
        <f>C36+C37+C39+C34</f>
        <v>1704225</v>
      </c>
      <c r="D41" s="761">
        <f>D36+D37+D39+D34</f>
        <v>1327903.8099999998</v>
      </c>
      <c r="E41" s="781">
        <f t="shared" ref="E41" si="7">E36+E37+E39</f>
        <v>10.155375318092499</v>
      </c>
      <c r="F41" s="669">
        <f>F36+F37+F39+F34</f>
        <v>298.83170554568073</v>
      </c>
      <c r="G41" s="669">
        <f t="shared" ref="G41:H41" si="8">G36+G37+G39+G34</f>
        <v>402.93818184124285</v>
      </c>
      <c r="H41" s="669">
        <f t="shared" si="8"/>
        <v>141.13242438492011</v>
      </c>
      <c r="I41" s="775">
        <f>I39+I34</f>
        <v>179.65267080921416</v>
      </c>
      <c r="J41" s="767">
        <f>J34</f>
        <v>1022.5549825810577</v>
      </c>
      <c r="K41" s="670">
        <f>K34</f>
        <v>47043.949644554377</v>
      </c>
      <c r="L41" s="745">
        <f>L36+L37+L34+L39</f>
        <v>300.64999999999998</v>
      </c>
    </row>
    <row r="42" spans="1:16" ht="17.5">
      <c r="A42" s="743"/>
      <c r="B42" s="372"/>
      <c r="C42" s="674"/>
      <c r="D42" s="779"/>
      <c r="E42" s="782"/>
      <c r="F42" s="690"/>
      <c r="G42" s="690"/>
      <c r="H42" s="690"/>
      <c r="I42" s="783"/>
      <c r="J42" s="780"/>
      <c r="K42" s="689"/>
      <c r="L42" s="778"/>
    </row>
    <row r="43" spans="1:16" ht="18.5" thickBot="1">
      <c r="A43" s="746"/>
      <c r="B43" s="747" t="s">
        <v>138</v>
      </c>
      <c r="C43" s="748">
        <f>C41+C22</f>
        <v>2060610</v>
      </c>
      <c r="D43" s="762">
        <f t="shared" ref="D43:L43" si="9">D41+D22</f>
        <v>2177803.4929999998</v>
      </c>
      <c r="E43" s="784">
        <f>E41+E22</f>
        <v>10.155375318092499</v>
      </c>
      <c r="F43" s="749">
        <f t="shared" si="9"/>
        <v>411.77046728493838</v>
      </c>
      <c r="G43" s="749">
        <f t="shared" si="9"/>
        <v>632.82246395604056</v>
      </c>
      <c r="H43" s="749">
        <f t="shared" si="9"/>
        <v>246.5514213189908</v>
      </c>
      <c r="I43" s="777">
        <f t="shared" si="9"/>
        <v>299.10833631907815</v>
      </c>
      <c r="J43" s="768">
        <f>J41+J22</f>
        <v>1590.2526888790476</v>
      </c>
      <c r="K43" s="750">
        <f>K41+K22</f>
        <v>75117.207512991066</v>
      </c>
      <c r="L43" s="751">
        <f t="shared" si="9"/>
        <v>949.75270890000002</v>
      </c>
      <c r="N43" s="409"/>
      <c r="O43" s="376"/>
    </row>
    <row r="44" spans="1:16" ht="18" customHeight="1">
      <c r="B44" s="373"/>
      <c r="C44" s="1144"/>
      <c r="D44" s="1144"/>
      <c r="E44" s="1144"/>
      <c r="F44" s="1144"/>
      <c r="G44" s="673"/>
      <c r="H44" s="673"/>
      <c r="I44" s="673"/>
      <c r="J44" s="673"/>
      <c r="K44" s="684"/>
      <c r="L44" s="673"/>
    </row>
    <row r="45" spans="1:16" ht="18" customHeight="1" thickBot="1">
      <c r="B45" s="360" t="s">
        <v>139</v>
      </c>
      <c r="C45" s="361"/>
      <c r="D45" s="361"/>
      <c r="E45" s="356"/>
      <c r="F45" s="356"/>
      <c r="G45" s="356"/>
      <c r="H45" s="356"/>
      <c r="I45" s="356"/>
      <c r="J45" s="417"/>
      <c r="K45" s="356"/>
      <c r="L45" s="685"/>
      <c r="N45" s="376"/>
    </row>
    <row r="46" spans="1:16" ht="57" customHeight="1">
      <c r="A46" s="785"/>
      <c r="B46" s="787"/>
      <c r="C46" s="1915" t="s">
        <v>140</v>
      </c>
      <c r="D46" s="1911"/>
      <c r="E46" s="1911"/>
      <c r="F46" s="1916"/>
      <c r="G46" s="1915" t="s">
        <v>141</v>
      </c>
      <c r="H46" s="1911"/>
      <c r="I46" s="1911"/>
      <c r="J46" s="1916"/>
      <c r="K46" s="1915" t="s">
        <v>142</v>
      </c>
      <c r="L46" s="1911"/>
      <c r="M46" s="1911"/>
      <c r="N46" s="1916"/>
    </row>
    <row r="47" spans="1:16" ht="18" customHeight="1">
      <c r="A47" s="743"/>
      <c r="B47" s="788"/>
      <c r="C47" s="1917" t="s">
        <v>109</v>
      </c>
      <c r="D47" s="1918"/>
      <c r="E47" s="1918" t="s">
        <v>136</v>
      </c>
      <c r="F47" s="1919"/>
      <c r="G47" s="1917" t="s">
        <v>109</v>
      </c>
      <c r="H47" s="1918"/>
      <c r="I47" s="1918" t="s">
        <v>136</v>
      </c>
      <c r="J47" s="1919"/>
      <c r="K47" s="1917" t="s">
        <v>109</v>
      </c>
      <c r="L47" s="1918"/>
      <c r="M47" s="1918" t="s">
        <v>136</v>
      </c>
      <c r="N47" s="1919"/>
    </row>
    <row r="48" spans="1:16" ht="55.5" customHeight="1" thickBot="1">
      <c r="A48" s="746"/>
      <c r="B48" s="800"/>
      <c r="C48" s="770" t="s">
        <v>143</v>
      </c>
      <c r="D48" s="757" t="s">
        <v>26</v>
      </c>
      <c r="E48" s="757" t="s">
        <v>143</v>
      </c>
      <c r="F48" s="758" t="s">
        <v>26</v>
      </c>
      <c r="G48" s="770" t="s">
        <v>143</v>
      </c>
      <c r="H48" s="757" t="s">
        <v>26</v>
      </c>
      <c r="I48" s="757" t="s">
        <v>143</v>
      </c>
      <c r="J48" s="758" t="s">
        <v>26</v>
      </c>
      <c r="K48" s="770" t="s">
        <v>143</v>
      </c>
      <c r="L48" s="757" t="s">
        <v>26</v>
      </c>
      <c r="M48" s="757" t="s">
        <v>143</v>
      </c>
      <c r="N48" s="758" t="s">
        <v>26</v>
      </c>
    </row>
    <row r="49" spans="1:21" ht="17.5">
      <c r="A49" s="752">
        <v>1</v>
      </c>
      <c r="B49" s="797" t="s">
        <v>144</v>
      </c>
      <c r="C49" s="771"/>
      <c r="D49" s="798"/>
      <c r="E49" s="754">
        <f>64110</f>
        <v>64110</v>
      </c>
      <c r="F49" s="799">
        <v>4.5234768000000001</v>
      </c>
      <c r="G49" s="771"/>
      <c r="H49" s="754"/>
      <c r="I49" s="754"/>
      <c r="J49" s="772"/>
      <c r="K49" s="771"/>
      <c r="L49" s="798"/>
      <c r="M49" s="754">
        <v>72100</v>
      </c>
      <c r="N49" s="799">
        <v>5.56788302</v>
      </c>
      <c r="Q49" s="386"/>
    </row>
    <row r="50" spans="1:21" ht="17.5">
      <c r="A50" s="743"/>
      <c r="B50" s="790" t="s">
        <v>124</v>
      </c>
      <c r="C50" s="773"/>
      <c r="D50" s="370"/>
      <c r="E50" s="365"/>
      <c r="F50" s="774"/>
      <c r="G50" s="773"/>
      <c r="H50" s="365"/>
      <c r="I50" s="365"/>
      <c r="J50" s="795"/>
      <c r="K50" s="773"/>
      <c r="L50" s="370"/>
      <c r="M50" s="365"/>
      <c r="N50" s="774"/>
    </row>
    <row r="51" spans="1:21" ht="17.5">
      <c r="A51" s="743">
        <v>2</v>
      </c>
      <c r="B51" s="791" t="s">
        <v>125</v>
      </c>
      <c r="C51" s="1601">
        <v>88082.95</v>
      </c>
      <c r="D51" s="370">
        <v>75.690685697719374</v>
      </c>
      <c r="E51" s="1150">
        <v>1024141.6000000001</v>
      </c>
      <c r="F51" s="774">
        <v>558.54735734932535</v>
      </c>
      <c r="G51" s="773"/>
      <c r="H51" s="365"/>
      <c r="I51" s="365"/>
      <c r="J51" s="795"/>
      <c r="K51" s="1601">
        <v>5181.3500000000004</v>
      </c>
      <c r="L51" s="370">
        <v>4.4523932763364344</v>
      </c>
      <c r="M51" s="1150">
        <v>89612.390000000014</v>
      </c>
      <c r="N51" s="774">
        <v>48.872893768065964</v>
      </c>
      <c r="O51" s="386"/>
      <c r="P51" s="682"/>
      <c r="R51" s="682"/>
      <c r="S51" s="682"/>
      <c r="T51" s="682"/>
      <c r="U51" s="682"/>
    </row>
    <row r="52" spans="1:21" ht="17.5">
      <c r="A52" s="743">
        <v>3</v>
      </c>
      <c r="B52" s="791" t="s">
        <v>126</v>
      </c>
      <c r="C52" s="1601">
        <v>117266</v>
      </c>
      <c r="D52" s="370">
        <v>178.15491612967384</v>
      </c>
      <c r="E52" s="1150">
        <v>157867.20000000001</v>
      </c>
      <c r="F52" s="774">
        <v>158.17382835365424</v>
      </c>
      <c r="G52" s="773"/>
      <c r="H52" s="365"/>
      <c r="I52" s="365"/>
      <c r="J52" s="795"/>
      <c r="K52" s="1601">
        <v>6898</v>
      </c>
      <c r="L52" s="370">
        <v>10.479700948804343</v>
      </c>
      <c r="M52" s="1150">
        <v>13813.380000000001</v>
      </c>
      <c r="N52" s="774">
        <v>13.840209980944747</v>
      </c>
      <c r="O52" s="386"/>
      <c r="P52" s="682"/>
      <c r="R52" s="682"/>
      <c r="S52" s="682"/>
      <c r="T52" s="682"/>
      <c r="U52" s="682"/>
    </row>
    <row r="53" spans="1:21" ht="17.5">
      <c r="A53" s="743">
        <v>4</v>
      </c>
      <c r="B53" s="791" t="s">
        <v>127</v>
      </c>
      <c r="C53" s="1601">
        <v>58446</v>
      </c>
      <c r="D53" s="370">
        <v>109.42227186943339</v>
      </c>
      <c r="E53" s="1150">
        <v>61490.400000000001</v>
      </c>
      <c r="F53" s="774">
        <v>71.97877204320848</v>
      </c>
      <c r="G53" s="773"/>
      <c r="H53" s="365"/>
      <c r="I53" s="365"/>
      <c r="J53" s="795"/>
      <c r="K53" s="1601">
        <v>3438</v>
      </c>
      <c r="L53" s="370">
        <v>6.4366042276137296</v>
      </c>
      <c r="M53" s="1150">
        <v>5380.4100000000008</v>
      </c>
      <c r="N53" s="774">
        <v>6.2981425537807425</v>
      </c>
      <c r="O53" s="386"/>
      <c r="P53" s="682"/>
      <c r="R53" s="682"/>
      <c r="S53" s="682"/>
      <c r="T53" s="682"/>
      <c r="U53" s="682"/>
    </row>
    <row r="54" spans="1:21" ht="17.5">
      <c r="A54" s="743">
        <v>5</v>
      </c>
      <c r="B54" s="791">
        <v>4</v>
      </c>
      <c r="C54" s="1601">
        <v>20385.55</v>
      </c>
      <c r="D54" s="370">
        <v>44.312752519043471</v>
      </c>
      <c r="E54" s="1150">
        <v>6208</v>
      </c>
      <c r="F54" s="774">
        <v>12.250791294433686</v>
      </c>
      <c r="G54" s="773"/>
      <c r="H54" s="365"/>
      <c r="I54" s="365"/>
      <c r="J54" s="795"/>
      <c r="K54" s="1601">
        <v>1199.1500000000001</v>
      </c>
      <c r="L54" s="370">
        <v>2.6066325011202043</v>
      </c>
      <c r="M54" s="1150">
        <v>543.20000000000005</v>
      </c>
      <c r="N54" s="774">
        <v>1.0719442382629476</v>
      </c>
      <c r="O54" s="386"/>
      <c r="P54" s="682"/>
      <c r="R54" s="682"/>
      <c r="S54" s="682"/>
      <c r="T54" s="682"/>
      <c r="U54" s="682"/>
    </row>
    <row r="55" spans="1:21" ht="17.5">
      <c r="A55" s="743">
        <v>6</v>
      </c>
      <c r="B55" s="789" t="s">
        <v>128</v>
      </c>
      <c r="C55" s="1601">
        <v>15480.199999999999</v>
      </c>
      <c r="D55" s="370">
        <v>74.962424137421394</v>
      </c>
      <c r="E55" s="1150">
        <v>4857.6000000000004</v>
      </c>
      <c r="F55" s="774">
        <v>17.09323702422456</v>
      </c>
      <c r="G55" s="773"/>
      <c r="H55" s="365"/>
      <c r="I55" s="365"/>
      <c r="J55" s="795"/>
      <c r="K55" s="1601">
        <v>910.6</v>
      </c>
      <c r="L55" s="370">
        <v>4.4095543610247878</v>
      </c>
      <c r="M55" s="1150">
        <v>425.04</v>
      </c>
      <c r="N55" s="774">
        <v>1.4956582396196489</v>
      </c>
      <c r="O55" s="386"/>
      <c r="P55" s="682"/>
      <c r="R55" s="682"/>
      <c r="S55" s="682"/>
      <c r="T55" s="682"/>
      <c r="U55" s="682"/>
    </row>
    <row r="56" spans="1:21" ht="18.5" thickBot="1">
      <c r="A56" s="786">
        <v>7</v>
      </c>
      <c r="B56" s="792" t="s">
        <v>145</v>
      </c>
      <c r="C56" s="1602">
        <f>SUM(C49:C55)</f>
        <v>299660.7</v>
      </c>
      <c r="D56" s="749">
        <f t="shared" ref="D56" si="10">SUM(D49:D55)</f>
        <v>482.54305035329151</v>
      </c>
      <c r="E56" s="1140">
        <f>SUM(E51:E55)</f>
        <v>1254564.8</v>
      </c>
      <c r="F56" s="777">
        <f>SUM(F51:F55)</f>
        <v>818.04398606484631</v>
      </c>
      <c r="G56" s="776"/>
      <c r="H56" s="748"/>
      <c r="I56" s="748"/>
      <c r="J56" s="796"/>
      <c r="K56" s="1602">
        <f>SUM(K49:K55)</f>
        <v>17627.099999999999</v>
      </c>
      <c r="L56" s="749">
        <f t="shared" ref="L56" si="11">SUM(L49:L55)</f>
        <v>28.384885314899499</v>
      </c>
      <c r="M56" s="1140">
        <f>SUM(M51:M55)</f>
        <v>109774.42000000001</v>
      </c>
      <c r="N56" s="777">
        <f>SUM(N51:N55)</f>
        <v>71.578848780674036</v>
      </c>
      <c r="O56" s="688"/>
      <c r="P56" s="682"/>
      <c r="S56" s="682"/>
      <c r="T56" s="682"/>
      <c r="U56" s="682"/>
    </row>
    <row r="57" spans="1:21" ht="17.5">
      <c r="A57" s="380"/>
      <c r="B57" s="373"/>
      <c r="C57" s="356"/>
      <c r="D57" s="356"/>
      <c r="G57" s="356"/>
      <c r="H57" s="356"/>
      <c r="I57" s="356"/>
      <c r="J57" s="356"/>
      <c r="K57" s="356"/>
      <c r="L57" s="356"/>
    </row>
    <row r="58" spans="1:21">
      <c r="M58" s="376"/>
      <c r="O58" s="682"/>
      <c r="P58" s="682"/>
      <c r="Q58" s="386"/>
      <c r="T58" s="682"/>
      <c r="U58" s="386"/>
    </row>
    <row r="59" spans="1:21">
      <c r="D59" s="1600"/>
      <c r="M59" s="376"/>
      <c r="N59" s="376"/>
      <c r="P59" s="682"/>
      <c r="Q59" s="386"/>
      <c r="T59" s="682"/>
      <c r="U59" s="386"/>
    </row>
    <row r="60" spans="1:21">
      <c r="M60" s="376"/>
      <c r="O60" s="680"/>
      <c r="P60" s="682"/>
      <c r="Q60" s="386"/>
      <c r="T60" s="682"/>
      <c r="U60" s="386"/>
    </row>
    <row r="61" spans="1:21">
      <c r="L61" s="676"/>
      <c r="M61" s="676"/>
      <c r="P61" s="682"/>
      <c r="Q61" s="386"/>
      <c r="T61" s="682"/>
      <c r="U61" s="386"/>
    </row>
    <row r="62" spans="1:21">
      <c r="L62" s="676"/>
      <c r="M62" s="677"/>
      <c r="P62" s="682"/>
      <c r="Q62" s="386"/>
      <c r="T62" s="682"/>
      <c r="U62" s="386"/>
    </row>
    <row r="63" spans="1:21">
      <c r="P63" s="682"/>
      <c r="Q63" s="386"/>
      <c r="T63" s="682"/>
      <c r="U63" s="386"/>
    </row>
    <row r="64" spans="1:21">
      <c r="P64" s="682"/>
      <c r="Q64" s="386"/>
    </row>
    <row r="65" spans="16:17">
      <c r="P65" s="682"/>
      <c r="Q65" s="386"/>
    </row>
    <row r="66" spans="16:17">
      <c r="P66" s="682"/>
      <c r="Q66" s="386"/>
    </row>
    <row r="67" spans="16:17">
      <c r="P67" s="682"/>
      <c r="Q67" s="386"/>
    </row>
    <row r="68" spans="16:17">
      <c r="P68" s="682"/>
      <c r="Q68" s="386"/>
    </row>
    <row r="69" spans="16:17">
      <c r="P69" s="682"/>
      <c r="Q69" s="386"/>
    </row>
    <row r="70" spans="16:17">
      <c r="P70" s="682"/>
      <c r="Q70" s="386"/>
    </row>
    <row r="71" spans="16:17">
      <c r="P71" s="682"/>
      <c r="Q71" s="386"/>
    </row>
    <row r="72" spans="16:17">
      <c r="P72" s="682"/>
      <c r="Q72" s="386"/>
    </row>
    <row r="73" spans="16:17">
      <c r="P73" s="682"/>
      <c r="Q73" s="386"/>
    </row>
  </sheetData>
  <mergeCells count="17">
    <mergeCell ref="C46:F46"/>
    <mergeCell ref="G46:J46"/>
    <mergeCell ref="K46:N46"/>
    <mergeCell ref="C47:D47"/>
    <mergeCell ref="E47:F47"/>
    <mergeCell ref="G47:H47"/>
    <mergeCell ref="I47:J47"/>
    <mergeCell ref="K47:L47"/>
    <mergeCell ref="M47:N47"/>
    <mergeCell ref="A26:A27"/>
    <mergeCell ref="B26:B27"/>
    <mergeCell ref="C26:C27"/>
    <mergeCell ref="D26:D27"/>
    <mergeCell ref="A7:A8"/>
    <mergeCell ref="B7:B8"/>
    <mergeCell ref="C7:C8"/>
    <mergeCell ref="D7:D8"/>
  </mergeCells>
  <printOptions horizontalCentered="1"/>
  <pageMargins left="0" right="0" top="0" bottom="0.19685039370078741" header="0" footer="0.19685039370078741"/>
  <pageSetup paperSize="9" scale="66" orientation="landscape" errors="blank" r:id="rId1"/>
  <headerFooter alignWithMargins="0">
    <oddFooter>&amp;R&amp;"Arial,Bold"&amp;12OERC FORM &amp;A</oddFooter>
  </headerFooter>
  <rowBreaks count="1" manualBreakCount="1">
    <brk id="43"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5"/>
  <dimension ref="A1:U30"/>
  <sheetViews>
    <sheetView showGridLines="0" view="pageBreakPreview" zoomScale="106" zoomScaleNormal="85" zoomScaleSheetLayoutView="106" workbookViewId="0">
      <selection activeCell="L17" sqref="L17"/>
    </sheetView>
  </sheetViews>
  <sheetFormatPr defaultColWidth="14.7265625" defaultRowHeight="12.5"/>
  <cols>
    <col min="1" max="1" width="5.81640625" customWidth="1"/>
    <col min="2" max="2" width="44.26953125" customWidth="1"/>
    <col min="3" max="3" width="9.81640625" customWidth="1"/>
    <col min="4" max="4" width="8.81640625" customWidth="1"/>
    <col min="5" max="5" width="9" customWidth="1"/>
    <col min="6" max="6" width="8.7265625" customWidth="1"/>
    <col min="7" max="7" width="10" customWidth="1"/>
    <col min="8" max="8" width="10.54296875" customWidth="1"/>
    <col min="9" max="9" width="8.7265625" bestFit="1" customWidth="1"/>
    <col min="10" max="10" width="9.81640625" customWidth="1"/>
    <col min="11" max="11" width="11.26953125" customWidth="1"/>
    <col min="12" max="12" width="9.1796875" customWidth="1"/>
    <col min="13" max="13" width="8.7265625" bestFit="1" customWidth="1"/>
    <col min="14" max="14" width="8.7265625" customWidth="1"/>
    <col min="15" max="15" width="11.1796875" customWidth="1"/>
    <col min="16" max="20" width="14.7265625" customWidth="1"/>
    <col min="21" max="21" width="14.7265625" hidden="1" customWidth="1"/>
  </cols>
  <sheetData>
    <row r="1" spans="1:18" ht="13">
      <c r="A1" s="20" t="s">
        <v>104</v>
      </c>
      <c r="J1" s="2" t="s">
        <v>589</v>
      </c>
    </row>
    <row r="3" spans="1:18" ht="18.5" thickBot="1">
      <c r="A3" s="983"/>
      <c r="B3" s="27" t="s">
        <v>590</v>
      </c>
      <c r="C3" s="27"/>
      <c r="D3" s="27"/>
      <c r="E3" s="27"/>
      <c r="F3" s="27"/>
      <c r="G3" s="27"/>
      <c r="H3" s="983"/>
      <c r="I3" s="983"/>
      <c r="J3" s="983"/>
      <c r="K3" s="983"/>
    </row>
    <row r="4" spans="1:18" ht="13">
      <c r="A4" s="984"/>
      <c r="B4" s="985"/>
      <c r="C4" s="986"/>
      <c r="D4" s="1978" t="s">
        <v>2244</v>
      </c>
      <c r="E4" s="1979"/>
      <c r="F4" s="1979"/>
      <c r="G4" s="1980"/>
      <c r="H4" s="1978" t="s">
        <v>2245</v>
      </c>
      <c r="I4" s="1979"/>
      <c r="J4" s="1979"/>
      <c r="K4" s="1980"/>
      <c r="L4" s="1978" t="s">
        <v>2246</v>
      </c>
      <c r="M4" s="1979"/>
      <c r="N4" s="1979"/>
      <c r="O4" s="1980"/>
    </row>
    <row r="5" spans="1:18" ht="16" thickBot="1">
      <c r="A5" s="1311">
        <v>1</v>
      </c>
      <c r="B5" s="1304" t="s">
        <v>592</v>
      </c>
      <c r="C5" s="517"/>
      <c r="D5" s="987" t="s">
        <v>90</v>
      </c>
      <c r="E5" s="988" t="s">
        <v>593</v>
      </c>
      <c r="F5" s="988" t="s">
        <v>44</v>
      </c>
      <c r="G5" s="989" t="s">
        <v>214</v>
      </c>
      <c r="H5" s="987" t="s">
        <v>90</v>
      </c>
      <c r="I5" s="988" t="s">
        <v>593</v>
      </c>
      <c r="J5" s="988" t="s">
        <v>44</v>
      </c>
      <c r="K5" s="989" t="s">
        <v>214</v>
      </c>
      <c r="L5" s="987" t="s">
        <v>90</v>
      </c>
      <c r="M5" s="988" t="s">
        <v>593</v>
      </c>
      <c r="N5" s="988" t="s">
        <v>44</v>
      </c>
      <c r="O5" s="989" t="s">
        <v>214</v>
      </c>
    </row>
    <row r="6" spans="1:18" ht="15.5">
      <c r="A6" s="1312"/>
      <c r="B6" s="1305" t="s">
        <v>594</v>
      </c>
      <c r="C6" s="991"/>
      <c r="D6" s="990"/>
      <c r="E6" s="77"/>
      <c r="F6" s="77"/>
      <c r="G6" s="991"/>
      <c r="H6" s="992"/>
      <c r="I6" s="993"/>
      <c r="J6" s="993"/>
      <c r="K6" s="994"/>
      <c r="L6" s="990"/>
      <c r="M6" s="77"/>
      <c r="N6" s="77"/>
      <c r="O6" s="991"/>
    </row>
    <row r="7" spans="1:18">
      <c r="A7" s="1313">
        <v>2</v>
      </c>
      <c r="B7" s="867" t="s">
        <v>595</v>
      </c>
      <c r="C7" s="1307" t="s">
        <v>385</v>
      </c>
      <c r="D7" s="1285">
        <f>+'F-4'!C44</f>
        <v>13002.405000000001</v>
      </c>
      <c r="E7" s="868">
        <f>D10-D11</f>
        <v>7139.7080016</v>
      </c>
      <c r="F7" s="868">
        <f>E10-E11</f>
        <v>3903.8104598600003</v>
      </c>
      <c r="G7" s="1286">
        <f>+'F-4'!C44</f>
        <v>13002.405000000001</v>
      </c>
      <c r="H7" s="1287">
        <f>'F-4'!E44+'F-4'!G44</f>
        <v>13080</v>
      </c>
      <c r="I7" s="868">
        <f>H10-H11</f>
        <v>8150</v>
      </c>
      <c r="J7" s="868">
        <f>I10-I11</f>
        <v>4483.5</v>
      </c>
      <c r="K7" s="1286">
        <f>'F-4'!E44+'F-4'!G44</f>
        <v>13080</v>
      </c>
      <c r="L7" s="1287">
        <f>'F-4'!I44</f>
        <v>11524</v>
      </c>
      <c r="M7" s="868">
        <f>L10-L11</f>
        <v>8044</v>
      </c>
      <c r="N7" s="868">
        <f>M10-M11</f>
        <v>4247.3999979999999</v>
      </c>
      <c r="O7" s="1286">
        <f>'F-4'!I44</f>
        <v>11524</v>
      </c>
    </row>
    <row r="8" spans="1:18">
      <c r="A8" s="1313">
        <v>3</v>
      </c>
      <c r="B8" s="867" t="s">
        <v>596</v>
      </c>
      <c r="C8" s="1307" t="s">
        <v>491</v>
      </c>
      <c r="D8" s="1288">
        <v>0</v>
      </c>
      <c r="E8" s="1289">
        <v>0.15</v>
      </c>
      <c r="F8" s="1290">
        <f>F9/F7</f>
        <v>0.33859898137277245</v>
      </c>
      <c r="G8" s="1291">
        <f>G9/G7</f>
        <v>0.18402614327280001</v>
      </c>
      <c r="H8" s="1288">
        <v>0</v>
      </c>
      <c r="I8" s="1289">
        <v>0.15</v>
      </c>
      <c r="J8" s="1290">
        <f>J9/J7</f>
        <v>0.25493476078956173</v>
      </c>
      <c r="K8" s="1291">
        <f>K9/K7</f>
        <v>0.18084862385321102</v>
      </c>
      <c r="L8" s="1288">
        <v>0</v>
      </c>
      <c r="M8" s="1289">
        <v>0.15</v>
      </c>
      <c r="N8" s="1290">
        <f>N9/N7</f>
        <v>0.16558365078192958</v>
      </c>
      <c r="O8" s="1291">
        <f>O9/O7</f>
        <v>0.16573238441513372</v>
      </c>
    </row>
    <row r="9" spans="1:18">
      <c r="A9" s="1313">
        <v>4</v>
      </c>
      <c r="B9" s="867" t="s">
        <v>597</v>
      </c>
      <c r="C9" s="1307" t="s">
        <v>586</v>
      </c>
      <c r="D9" s="1287">
        <f>D7*D8</f>
        <v>0</v>
      </c>
      <c r="E9" s="868">
        <f>E7*E8</f>
        <v>1070.95620024</v>
      </c>
      <c r="F9" s="868">
        <f>F7-F11</f>
        <v>1321.8262451809705</v>
      </c>
      <c r="G9" s="1286">
        <f>G7-G11</f>
        <v>2392.7824454209713</v>
      </c>
      <c r="H9" s="1287">
        <f>H7*H8</f>
        <v>0</v>
      </c>
      <c r="I9" s="868">
        <f>I7*I8</f>
        <v>1222.5</v>
      </c>
      <c r="J9" s="868">
        <f>J7-J11</f>
        <v>1143</v>
      </c>
      <c r="K9" s="1286">
        <f>K7-K11</f>
        <v>2365.5</v>
      </c>
      <c r="L9" s="1287">
        <f>L7*L8</f>
        <v>0</v>
      </c>
      <c r="M9" s="868">
        <f>M7*M8</f>
        <v>1206.5999999999999</v>
      </c>
      <c r="N9" s="868">
        <f>N7-N11</f>
        <v>703.29999800000041</v>
      </c>
      <c r="O9" s="1286">
        <f>O7-O11</f>
        <v>1909.8999980000008</v>
      </c>
    </row>
    <row r="10" spans="1:18">
      <c r="A10" s="1313">
        <v>5</v>
      </c>
      <c r="B10" s="867" t="s">
        <v>598</v>
      </c>
      <c r="C10" s="1307" t="s">
        <v>599</v>
      </c>
      <c r="D10" s="1287">
        <f>D7-D9</f>
        <v>13002.405000000001</v>
      </c>
      <c r="E10" s="868">
        <f t="shared" ref="E10:O10" si="0">E7-E9</f>
        <v>6068.7518013600002</v>
      </c>
      <c r="F10" s="868">
        <f t="shared" si="0"/>
        <v>2581.9842146790297</v>
      </c>
      <c r="G10" s="1286">
        <f t="shared" si="0"/>
        <v>10609.622554579029</v>
      </c>
      <c r="H10" s="1287">
        <f t="shared" si="0"/>
        <v>13080</v>
      </c>
      <c r="I10" s="868">
        <f t="shared" si="0"/>
        <v>6927.5</v>
      </c>
      <c r="J10" s="868">
        <f t="shared" si="0"/>
        <v>3340.5</v>
      </c>
      <c r="K10" s="1286">
        <f t="shared" si="0"/>
        <v>10714.5</v>
      </c>
      <c r="L10" s="1287">
        <f t="shared" si="0"/>
        <v>11524</v>
      </c>
      <c r="M10" s="868">
        <f t="shared" si="0"/>
        <v>6837.4</v>
      </c>
      <c r="N10" s="868">
        <f t="shared" si="0"/>
        <v>3544.0999999999995</v>
      </c>
      <c r="O10" s="1286">
        <f t="shared" si="0"/>
        <v>9614.1000019999992</v>
      </c>
    </row>
    <row r="11" spans="1:18">
      <c r="A11" s="1313" t="s">
        <v>600</v>
      </c>
      <c r="B11" s="867" t="s">
        <v>601</v>
      </c>
      <c r="C11" s="1307" t="s">
        <v>602</v>
      </c>
      <c r="D11" s="1287">
        <f>+'T-1'!G69</f>
        <v>5862.6969984000007</v>
      </c>
      <c r="E11" s="868">
        <f>+'T-1'!G56</f>
        <v>2164.9413414999999</v>
      </c>
      <c r="F11" s="868">
        <f>+'T-1'!G37</f>
        <v>2581.9842146790297</v>
      </c>
      <c r="G11" s="1286">
        <f>SUM(D11:F11)</f>
        <v>10609.622554579029</v>
      </c>
      <c r="H11" s="1287">
        <f>'T-1'!N69</f>
        <v>4930</v>
      </c>
      <c r="I11" s="868">
        <f>'T-1'!N56</f>
        <v>2444</v>
      </c>
      <c r="J11" s="868">
        <f>'T-1'!N37</f>
        <v>3340.5</v>
      </c>
      <c r="K11" s="1286">
        <f>SUM(H11:J11)</f>
        <v>10714.5</v>
      </c>
      <c r="L11" s="1287">
        <f>'T-1'!S69</f>
        <v>3480</v>
      </c>
      <c r="M11" s="868">
        <f>'T-1'!S56</f>
        <v>2590.0000019999998</v>
      </c>
      <c r="N11" s="868">
        <f>'T-1'!S37</f>
        <v>3544.0999999999995</v>
      </c>
      <c r="O11" s="1286">
        <f>SUM(L11:N11)</f>
        <v>9614.1000019999992</v>
      </c>
    </row>
    <row r="12" spans="1:18">
      <c r="A12" s="1313"/>
      <c r="B12" s="867"/>
      <c r="C12" s="1307"/>
      <c r="D12" s="1285"/>
      <c r="E12" s="867"/>
      <c r="F12" s="867"/>
      <c r="G12" s="1292"/>
      <c r="H12" s="1285"/>
      <c r="I12" s="867"/>
      <c r="J12" s="867"/>
      <c r="K12" s="1292"/>
      <c r="L12" s="1285"/>
      <c r="M12" s="867"/>
      <c r="N12" s="867"/>
      <c r="O12" s="1292"/>
    </row>
    <row r="13" spans="1:18" ht="15.5">
      <c r="A13" s="1313"/>
      <c r="B13" s="1294" t="s">
        <v>603</v>
      </c>
      <c r="C13" s="1308"/>
      <c r="D13" s="1293"/>
      <c r="E13" s="1294"/>
      <c r="F13" s="1294"/>
      <c r="G13" s="1295"/>
      <c r="H13" s="1285"/>
      <c r="I13" s="867"/>
      <c r="J13" s="867"/>
      <c r="K13" s="1292"/>
      <c r="L13" s="1285"/>
      <c r="M13" s="867"/>
      <c r="N13" s="867"/>
      <c r="O13" s="1292"/>
    </row>
    <row r="14" spans="1:18">
      <c r="A14" s="1313">
        <v>7</v>
      </c>
      <c r="B14" s="1198" t="s">
        <v>604</v>
      </c>
      <c r="C14" s="1309" t="s">
        <v>605</v>
      </c>
      <c r="D14" s="1296">
        <f>+'F-6'!G10/'F-5'!D7*10</f>
        <v>397.20223633243228</v>
      </c>
      <c r="E14" s="1297">
        <f>+D14</f>
        <v>397.20223633243228</v>
      </c>
      <c r="F14" s="1297">
        <f>+D14</f>
        <v>397.20223633243228</v>
      </c>
      <c r="G14" s="1298">
        <f>+D14</f>
        <v>397.20223633243228</v>
      </c>
      <c r="H14" s="1299">
        <f>('F-4'!E51+'F-4'!G51)/H7*10</f>
        <v>448.061487591743</v>
      </c>
      <c r="I14" s="1238">
        <f>H14</f>
        <v>448.061487591743</v>
      </c>
      <c r="J14" s="1238">
        <f>I14</f>
        <v>448.061487591743</v>
      </c>
      <c r="K14" s="1300">
        <f>H14</f>
        <v>448.061487591743</v>
      </c>
      <c r="L14" s="1299">
        <f>'F-4'!I51/L7*10</f>
        <v>413.97878861506422</v>
      </c>
      <c r="M14" s="1238">
        <f>L14</f>
        <v>413.97878861506422</v>
      </c>
      <c r="N14" s="1238">
        <f>M14</f>
        <v>413.97878861506422</v>
      </c>
      <c r="O14" s="1300">
        <f>N14</f>
        <v>413.97878861506422</v>
      </c>
    </row>
    <row r="15" spans="1:18">
      <c r="A15" s="1313">
        <v>8</v>
      </c>
      <c r="B15" s="867" t="s">
        <v>606</v>
      </c>
      <c r="C15" s="1309" t="s">
        <v>607</v>
      </c>
      <c r="D15" s="1299">
        <f>G15/G11*D11</f>
        <v>66170.148100086866</v>
      </c>
      <c r="E15" s="1238">
        <f>G15/G11*E11</f>
        <v>24434.912674857933</v>
      </c>
      <c r="F15" s="1238">
        <f>G15-E15-D15</f>
        <v>29141.925281832737</v>
      </c>
      <c r="G15" s="1298">
        <f>+'F-6'!G26</f>
        <v>119746.98605677753</v>
      </c>
      <c r="H15" s="1299">
        <f>K15/K11*H11</f>
        <v>63571.241032205973</v>
      </c>
      <c r="I15" s="1238">
        <f>K15/K11*I11</f>
        <v>31514.83023990089</v>
      </c>
      <c r="J15" s="1238">
        <f>K15-I15-H15</f>
        <v>43074.996078718876</v>
      </c>
      <c r="K15" s="1300">
        <f>+'F-6'!L26-'F-6'!L21</f>
        <v>138161.06735082573</v>
      </c>
      <c r="L15" s="1299">
        <f>O15/O11*L11</f>
        <v>58039.573625261619</v>
      </c>
      <c r="M15" s="1238">
        <f>O15/O11*M11</f>
        <v>43196.119484341012</v>
      </c>
      <c r="N15" s="1238">
        <f>O15-M15-L15</f>
        <v>59108.635886577496</v>
      </c>
      <c r="O15" s="1300">
        <f>'F-6'!P26-'F-6'!P21</f>
        <v>160344.32899618012</v>
      </c>
    </row>
    <row r="16" spans="1:18">
      <c r="A16" s="1313">
        <v>9</v>
      </c>
      <c r="B16" s="867" t="s">
        <v>608</v>
      </c>
      <c r="C16" s="1309" t="s">
        <v>609</v>
      </c>
      <c r="D16" s="1299">
        <f>D14*D9</f>
        <v>0</v>
      </c>
      <c r="E16" s="1238">
        <f>E14*E9/10</f>
        <v>42538.619774941217</v>
      </c>
      <c r="F16" s="1238">
        <f>F14*F9/10</f>
        <v>52503.234062878342</v>
      </c>
      <c r="G16" s="1300">
        <f>G14*G9/10</f>
        <v>95041.853837819581</v>
      </c>
      <c r="H16" s="1299">
        <f>H14*H9</f>
        <v>0</v>
      </c>
      <c r="I16" s="1238">
        <f>I14*I9/10</f>
        <v>54775.516858090574</v>
      </c>
      <c r="J16" s="1238">
        <f>J14*J9/10</f>
        <v>51213.428031736221</v>
      </c>
      <c r="K16" s="1300">
        <f>K14*K9/10</f>
        <v>105988.94488982682</v>
      </c>
      <c r="L16" s="1299">
        <f>L14*L9</f>
        <v>0</v>
      </c>
      <c r="M16" s="1238">
        <f>M14*M9/10</f>
        <v>49950.680634293647</v>
      </c>
      <c r="N16" s="1238">
        <f>N14*N9/10</f>
        <v>29115.128120501722</v>
      </c>
      <c r="O16" s="1300">
        <f>O14*O9/10</f>
        <v>79065.808754795391</v>
      </c>
      <c r="R16" s="347"/>
    </row>
    <row r="17" spans="1:18">
      <c r="A17" s="1313">
        <v>10</v>
      </c>
      <c r="B17" s="867" t="s">
        <v>610</v>
      </c>
      <c r="C17" s="1309" t="s">
        <v>611</v>
      </c>
      <c r="D17" s="1299">
        <f t="shared" ref="D17:I17" si="1">D15+D16</f>
        <v>66170.148100086866</v>
      </c>
      <c r="E17" s="1238">
        <f t="shared" si="1"/>
        <v>66973.532449799153</v>
      </c>
      <c r="F17" s="1238">
        <f t="shared" si="1"/>
        <v>81645.159344711079</v>
      </c>
      <c r="G17" s="1300">
        <f t="shared" si="1"/>
        <v>214788.83989459713</v>
      </c>
      <c r="H17" s="1299">
        <f t="shared" si="1"/>
        <v>63571.241032205973</v>
      </c>
      <c r="I17" s="1238">
        <f t="shared" si="1"/>
        <v>86290.347097991471</v>
      </c>
      <c r="J17" s="1238">
        <f t="shared" ref="J17:O17" si="2">J15+J16</f>
        <v>94288.424110455089</v>
      </c>
      <c r="K17" s="1300">
        <f t="shared" si="2"/>
        <v>244150.01224065255</v>
      </c>
      <c r="L17" s="1299">
        <f t="shared" si="2"/>
        <v>58039.573625261619</v>
      </c>
      <c r="M17" s="1238">
        <f t="shared" si="2"/>
        <v>93146.800118634652</v>
      </c>
      <c r="N17" s="1238">
        <f t="shared" si="2"/>
        <v>88223.764007079211</v>
      </c>
      <c r="O17" s="1300">
        <f t="shared" si="2"/>
        <v>239410.1377509755</v>
      </c>
      <c r="P17" s="7"/>
      <c r="R17" s="347"/>
    </row>
    <row r="18" spans="1:18">
      <c r="A18" s="1313">
        <v>11</v>
      </c>
      <c r="B18" s="1198" t="s">
        <v>612</v>
      </c>
      <c r="C18" s="1309" t="s">
        <v>613</v>
      </c>
      <c r="D18" s="1299">
        <f>D17/D10*10</f>
        <v>50.890699143802138</v>
      </c>
      <c r="E18" s="1238">
        <f>E17/E10*10</f>
        <v>110.35800217565408</v>
      </c>
      <c r="F18" s="1238">
        <f>F17/F10*10</f>
        <v>316.21091593257671</v>
      </c>
      <c r="G18" s="1300">
        <f>G17/G10*10</f>
        <v>202.44720185818107</v>
      </c>
      <c r="H18" s="1299">
        <f t="shared" ref="H18:O18" si="3">H17/H10*10</f>
        <v>48.601866232573371</v>
      </c>
      <c r="I18" s="1238">
        <f t="shared" si="3"/>
        <v>124.56203117718005</v>
      </c>
      <c r="J18" s="1238">
        <f t="shared" si="3"/>
        <v>282.25841673538417</v>
      </c>
      <c r="K18" s="1300">
        <f t="shared" si="3"/>
        <v>227.86878738219474</v>
      </c>
      <c r="L18" s="1299">
        <f t="shared" si="3"/>
        <v>50.364086797346076</v>
      </c>
      <c r="M18" s="1238">
        <f t="shared" si="3"/>
        <v>136.23131617081737</v>
      </c>
      <c r="N18" s="1238">
        <f t="shared" si="3"/>
        <v>248.93136200186007</v>
      </c>
      <c r="O18" s="1300">
        <f t="shared" si="3"/>
        <v>249.01981225613582</v>
      </c>
    </row>
    <row r="19" spans="1:18">
      <c r="A19" s="1313">
        <v>12</v>
      </c>
      <c r="B19" s="1198" t="s">
        <v>614</v>
      </c>
      <c r="C19" s="1309" t="s">
        <v>615</v>
      </c>
      <c r="D19" s="1299">
        <f>D18+D14</f>
        <v>448.0929354762344</v>
      </c>
      <c r="E19" s="1238">
        <f>E18+E14</f>
        <v>507.56023850808634</v>
      </c>
      <c r="F19" s="1238">
        <f>F18+F14</f>
        <v>713.41315226500899</v>
      </c>
      <c r="G19" s="1300">
        <f>G18+G14</f>
        <v>599.64943819061341</v>
      </c>
      <c r="H19" s="1299">
        <f t="shared" ref="H19:O19" si="4">H18+H14</f>
        <v>496.66335382431635</v>
      </c>
      <c r="I19" s="1238">
        <f t="shared" si="4"/>
        <v>572.62351876892308</v>
      </c>
      <c r="J19" s="1238">
        <f t="shared" si="4"/>
        <v>730.31990432712723</v>
      </c>
      <c r="K19" s="1300">
        <f t="shared" si="4"/>
        <v>675.93027497393768</v>
      </c>
      <c r="L19" s="1299">
        <f t="shared" si="4"/>
        <v>464.34287541241031</v>
      </c>
      <c r="M19" s="1238">
        <f t="shared" si="4"/>
        <v>550.21010478588164</v>
      </c>
      <c r="N19" s="1238">
        <f t="shared" si="4"/>
        <v>662.91015061692428</v>
      </c>
      <c r="O19" s="1300">
        <f t="shared" si="4"/>
        <v>662.9986008712001</v>
      </c>
    </row>
    <row r="20" spans="1:18">
      <c r="A20" s="1313">
        <v>13</v>
      </c>
      <c r="B20" s="867" t="s">
        <v>616</v>
      </c>
      <c r="C20" s="1309" t="s">
        <v>617</v>
      </c>
      <c r="D20" s="1299">
        <f>G20</f>
        <v>0</v>
      </c>
      <c r="E20" s="1238">
        <f>G20</f>
        <v>0</v>
      </c>
      <c r="F20" s="1238">
        <f>G20</f>
        <v>0</v>
      </c>
      <c r="G20" s="1300">
        <f>(0/G11)*10</f>
        <v>0</v>
      </c>
      <c r="H20" s="1299">
        <f>K20</f>
        <v>0</v>
      </c>
      <c r="I20" s="1238">
        <f>K20</f>
        <v>0</v>
      </c>
      <c r="J20" s="1238">
        <f>K20</f>
        <v>0</v>
      </c>
      <c r="K20" s="1300">
        <f>(0/K11)*10</f>
        <v>0</v>
      </c>
      <c r="L20" s="1299">
        <f>O20</f>
        <v>0</v>
      </c>
      <c r="M20" s="1238">
        <f>O20</f>
        <v>0</v>
      </c>
      <c r="N20" s="1238">
        <f>O20</f>
        <v>0</v>
      </c>
      <c r="O20" s="1300">
        <f>(0/O11)*10</f>
        <v>0</v>
      </c>
    </row>
    <row r="21" spans="1:18" ht="13" thickBot="1">
      <c r="A21" s="1314">
        <v>14</v>
      </c>
      <c r="B21" s="1306" t="s">
        <v>618</v>
      </c>
      <c r="C21" s="1310" t="s">
        <v>619</v>
      </c>
      <c r="D21" s="1301">
        <f>D20+D19</f>
        <v>448.0929354762344</v>
      </c>
      <c r="E21" s="1302">
        <f>E20+E19</f>
        <v>507.56023850808634</v>
      </c>
      <c r="F21" s="1302">
        <f>F20+F19</f>
        <v>713.41315226500899</v>
      </c>
      <c r="G21" s="1303">
        <f>G20+G19</f>
        <v>599.64943819061341</v>
      </c>
      <c r="H21" s="1301">
        <f t="shared" ref="H21:O21" si="5">H20+H19</f>
        <v>496.66335382431635</v>
      </c>
      <c r="I21" s="1302">
        <f t="shared" si="5"/>
        <v>572.62351876892308</v>
      </c>
      <c r="J21" s="1302">
        <f t="shared" si="5"/>
        <v>730.31990432712723</v>
      </c>
      <c r="K21" s="1303">
        <f t="shared" si="5"/>
        <v>675.93027497393768</v>
      </c>
      <c r="L21" s="1301">
        <f t="shared" si="5"/>
        <v>464.34287541241031</v>
      </c>
      <c r="M21" s="1302">
        <f t="shared" si="5"/>
        <v>550.21010478588164</v>
      </c>
      <c r="N21" s="1302">
        <f t="shared" si="5"/>
        <v>662.91015061692428</v>
      </c>
      <c r="O21" s="1303">
        <f t="shared" si="5"/>
        <v>662.9986008712001</v>
      </c>
    </row>
    <row r="22" spans="1:18" ht="13">
      <c r="A22" s="30" t="s">
        <v>620</v>
      </c>
      <c r="K22" s="9"/>
    </row>
    <row r="23" spans="1:18" ht="15.5">
      <c r="B23" t="s">
        <v>621</v>
      </c>
    </row>
    <row r="25" spans="1:18">
      <c r="B25" t="s">
        <v>622</v>
      </c>
      <c r="C25" t="s">
        <v>623</v>
      </c>
      <c r="H25" s="7">
        <f>H21*H11/10</f>
        <v>244855.03343538794</v>
      </c>
      <c r="I25" s="202">
        <f>I21*I11/10</f>
        <v>139949.18798712481</v>
      </c>
      <c r="J25" s="7">
        <f>J21*J11/10</f>
        <v>243963.36404047688</v>
      </c>
      <c r="K25" s="7">
        <f>SUM(H25:J25)</f>
        <v>628767.58546298963</v>
      </c>
    </row>
    <row r="26" spans="1:18">
      <c r="B26" t="s">
        <v>624</v>
      </c>
      <c r="C26" t="s">
        <v>625</v>
      </c>
      <c r="H26" s="7">
        <f>H19*H11/10</f>
        <v>244855.03343538794</v>
      </c>
      <c r="I26" s="202">
        <f>I19*I11/10</f>
        <v>139949.18798712481</v>
      </c>
      <c r="J26" s="7">
        <f>J19*J11/10</f>
        <v>243963.36404047688</v>
      </c>
      <c r="K26" s="7">
        <f>SUM(H26:J26)</f>
        <v>628767.58546298963</v>
      </c>
    </row>
    <row r="27" spans="1:18">
      <c r="B27" s="1" t="s">
        <v>626</v>
      </c>
      <c r="K27" s="7">
        <f>K25-K26</f>
        <v>0</v>
      </c>
    </row>
    <row r="28" spans="1:18" ht="12.75" customHeight="1">
      <c r="A28" s="1976"/>
      <c r="B28" s="1976"/>
      <c r="C28" s="1976"/>
      <c r="D28" s="1976"/>
      <c r="E28" s="1976"/>
      <c r="F28" s="1976"/>
      <c r="G28" s="1976"/>
      <c r="H28" s="1976"/>
      <c r="I28" s="1976"/>
      <c r="J28" s="1976"/>
    </row>
    <row r="29" spans="1:18">
      <c r="A29" s="1977"/>
      <c r="B29" s="1977"/>
      <c r="C29" s="1977"/>
      <c r="D29" s="1977"/>
      <c r="E29" s="1977"/>
      <c r="F29" s="1977"/>
      <c r="G29" s="1977"/>
      <c r="H29" s="1977"/>
      <c r="I29" s="1977"/>
      <c r="J29" s="1977"/>
    </row>
    <row r="30" spans="1:18" ht="13">
      <c r="C30" s="145"/>
      <c r="D30" s="145"/>
      <c r="E30" s="145"/>
      <c r="F30" s="145"/>
      <c r="G30" s="145"/>
      <c r="H30" s="995"/>
      <c r="I30" s="995"/>
      <c r="J30" s="995"/>
      <c r="K30" s="995"/>
    </row>
  </sheetData>
  <mergeCells count="4">
    <mergeCell ref="A28:J29"/>
    <mergeCell ref="H4:K4"/>
    <mergeCell ref="D4:G4"/>
    <mergeCell ref="L4:O4"/>
  </mergeCells>
  <phoneticPr fontId="0" type="noConversion"/>
  <printOptions horizontalCentered="1" verticalCentered="1" gridLines="1"/>
  <pageMargins left="3.937007874015748E-2" right="0" top="0.51181102362204722" bottom="0.51181102362204722" header="0.51181102362204722" footer="0.51181102362204722"/>
  <pageSetup paperSize="9" scale="84" orientation="landscape" blackAndWhite="1" r:id="rId1"/>
  <headerFooter alignWithMargins="0">
    <oddFooter>&amp;ROERC FORM-&amp;A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4"/>
  <dimension ref="A1:AA62"/>
  <sheetViews>
    <sheetView showGridLines="0" view="pageBreakPreview" topLeftCell="B1" zoomScaleSheetLayoutView="100" workbookViewId="0">
      <pane xSplit="2" ySplit="4" topLeftCell="G27" activePane="bottomRight" state="frozen"/>
      <selection activeCell="L17" sqref="L17"/>
      <selection pane="topRight" activeCell="L17" sqref="L17"/>
      <selection pane="bottomLeft" activeCell="L17" sqref="L17"/>
      <selection pane="bottomRight" activeCell="R27" sqref="R27"/>
    </sheetView>
  </sheetViews>
  <sheetFormatPr defaultColWidth="14.7265625" defaultRowHeight="12.5"/>
  <cols>
    <col min="1" max="1" width="4.1796875" style="187" customWidth="1"/>
    <col min="2" max="2" width="4.453125" style="188" customWidth="1"/>
    <col min="3" max="3" width="51.81640625" style="189" customWidth="1"/>
    <col min="4" max="4" width="10" style="189" hidden="1" customWidth="1"/>
    <col min="5" max="5" width="11.7265625" style="189" hidden="1" customWidth="1"/>
    <col min="6" max="6" width="9.81640625" style="189" hidden="1" customWidth="1"/>
    <col min="7" max="7" width="10.453125" style="189" bestFit="1" customWidth="1"/>
    <col min="8" max="8" width="13" style="189" hidden="1" customWidth="1"/>
    <col min="9" max="9" width="10.81640625" style="189" hidden="1" customWidth="1"/>
    <col min="10" max="10" width="9.7265625" style="189" hidden="1" customWidth="1"/>
    <col min="11" max="11" width="9.81640625" style="189" hidden="1" customWidth="1"/>
    <col min="12" max="12" width="10.453125" style="189" customWidth="1"/>
    <col min="13" max="13" width="11.7265625" style="189" hidden="1" customWidth="1"/>
    <col min="14" max="14" width="10.7265625" style="189" hidden="1" customWidth="1"/>
    <col min="15" max="15" width="11.7265625" style="189" hidden="1" customWidth="1"/>
    <col min="16" max="20" width="10.81640625" style="189" customWidth="1"/>
    <col min="21" max="21" width="14.7265625" style="187"/>
    <col min="22" max="22" width="10.54296875" style="187" customWidth="1"/>
    <col min="23" max="23" width="8.453125" style="187" customWidth="1"/>
    <col min="24" max="24" width="9.1796875" style="187" customWidth="1"/>
    <col min="25" max="25" width="8.81640625" style="187" customWidth="1"/>
    <col min="26" max="26" width="11.26953125" style="187" customWidth="1"/>
    <col min="27" max="27" width="10.7265625" style="187" customWidth="1"/>
    <col min="28" max="16384" width="14.7265625" style="187"/>
  </cols>
  <sheetData>
    <row r="1" spans="1:27" ht="13">
      <c r="A1" s="584"/>
      <c r="B1" s="1672"/>
      <c r="C1" s="20" t="s">
        <v>104</v>
      </c>
      <c r="D1" s="438"/>
      <c r="E1" s="438"/>
      <c r="F1" s="438"/>
      <c r="G1" s="438"/>
      <c r="H1" s="438"/>
      <c r="I1" s="438"/>
      <c r="J1" s="438"/>
      <c r="K1" s="438"/>
      <c r="L1" s="438"/>
      <c r="M1" s="438"/>
      <c r="N1" s="438"/>
      <c r="O1" s="1986" t="s">
        <v>627</v>
      </c>
      <c r="P1" s="1986"/>
      <c r="Q1" s="1673"/>
      <c r="R1" s="1673"/>
      <c r="S1" s="1673"/>
      <c r="T1" s="1673"/>
      <c r="U1" s="584"/>
      <c r="V1" s="584"/>
      <c r="W1" s="584"/>
      <c r="X1" s="584"/>
      <c r="Y1" s="584"/>
      <c r="Z1" s="584"/>
      <c r="AA1" s="584"/>
    </row>
    <row r="2" spans="1:27" s="190" customFormat="1" ht="15.5">
      <c r="A2" s="439"/>
      <c r="B2" s="1985" t="s">
        <v>628</v>
      </c>
      <c r="C2" s="1985"/>
      <c r="D2" s="1985"/>
      <c r="E2" s="1985"/>
      <c r="F2" s="1985"/>
      <c r="G2" s="1985"/>
      <c r="H2" s="1985"/>
      <c r="I2" s="1985"/>
      <c r="J2" s="1985"/>
      <c r="K2" s="1985"/>
      <c r="L2" s="1985"/>
      <c r="M2" s="1985"/>
      <c r="N2" s="1985"/>
      <c r="O2" s="1985"/>
      <c r="P2" s="1985"/>
      <c r="Q2" s="1075"/>
      <c r="R2" s="1075"/>
      <c r="S2" s="1075"/>
      <c r="T2" s="1075"/>
      <c r="U2" s="1674"/>
      <c r="V2" s="1674"/>
      <c r="W2" s="1674"/>
      <c r="X2" s="1674"/>
      <c r="Y2" s="1674"/>
      <c r="Z2" s="1674"/>
      <c r="AA2" s="1674"/>
    </row>
    <row r="3" spans="1:27" s="1675" customFormat="1" ht="42">
      <c r="B3" s="1676"/>
      <c r="C3" s="1677"/>
      <c r="D3" s="1982" t="s">
        <v>629</v>
      </c>
      <c r="E3" s="1983"/>
      <c r="F3" s="1983"/>
      <c r="G3" s="1679" t="s">
        <v>2438</v>
      </c>
      <c r="H3" s="1678" t="s">
        <v>630</v>
      </c>
      <c r="I3" s="1982" t="s">
        <v>2247</v>
      </c>
      <c r="J3" s="1983"/>
      <c r="K3" s="1983"/>
      <c r="L3" s="1984"/>
      <c r="M3" s="1982" t="s">
        <v>631</v>
      </c>
      <c r="N3" s="1983"/>
      <c r="O3" s="1983"/>
      <c r="P3" s="1679" t="s">
        <v>2248</v>
      </c>
      <c r="Q3" s="1680"/>
      <c r="R3" s="1681"/>
      <c r="S3" s="1681"/>
      <c r="T3" s="1681"/>
    </row>
    <row r="4" spans="1:27" s="1682" customFormat="1" ht="13">
      <c r="B4" s="1683"/>
      <c r="C4" s="191"/>
      <c r="D4" s="191" t="s">
        <v>632</v>
      </c>
      <c r="E4" s="191" t="s">
        <v>76</v>
      </c>
      <c r="F4" s="191" t="s">
        <v>44</v>
      </c>
      <c r="G4" s="191" t="s">
        <v>145</v>
      </c>
      <c r="H4" s="191" t="s">
        <v>145</v>
      </c>
      <c r="I4" s="191" t="s">
        <v>632</v>
      </c>
      <c r="J4" s="191" t="s">
        <v>76</v>
      </c>
      <c r="K4" s="191" t="s">
        <v>44</v>
      </c>
      <c r="L4" s="191" t="s">
        <v>145</v>
      </c>
      <c r="M4" s="191" t="s">
        <v>632</v>
      </c>
      <c r="N4" s="191" t="s">
        <v>76</v>
      </c>
      <c r="O4" s="191" t="s">
        <v>44</v>
      </c>
      <c r="P4" s="191" t="s">
        <v>145</v>
      </c>
      <c r="Q4" s="1684"/>
      <c r="R4" s="1685"/>
      <c r="S4" s="1684"/>
      <c r="T4" s="1684"/>
    </row>
    <row r="5" spans="1:27">
      <c r="A5" s="584"/>
      <c r="B5" s="1686"/>
      <c r="C5" s="1687" t="s">
        <v>633</v>
      </c>
      <c r="D5" s="1687"/>
      <c r="E5" s="1687"/>
      <c r="F5" s="1687"/>
      <c r="G5" s="1688"/>
      <c r="H5" s="1688"/>
      <c r="I5" s="1688"/>
      <c r="J5" s="1688"/>
      <c r="K5" s="1688"/>
      <c r="L5" s="1688"/>
      <c r="M5" s="1688"/>
      <c r="N5" s="1688"/>
      <c r="O5" s="1688"/>
      <c r="P5" s="1688"/>
      <c r="Q5" s="1689"/>
      <c r="S5" s="1689"/>
      <c r="T5" s="1689"/>
      <c r="U5" s="584"/>
      <c r="V5" s="1690"/>
      <c r="W5" s="1690"/>
      <c r="X5" s="1690"/>
      <c r="Y5" s="584"/>
      <c r="Z5" s="584"/>
      <c r="AA5" s="584"/>
    </row>
    <row r="6" spans="1:27">
      <c r="A6" s="584"/>
      <c r="B6" s="1686"/>
      <c r="C6" s="1687" t="s">
        <v>634</v>
      </c>
      <c r="D6" s="1688">
        <f>+D10-D9-D8</f>
        <v>218135.72225083548</v>
      </c>
      <c r="E6" s="1688">
        <f>+E10-E9-E8</f>
        <v>80551.842144951035</v>
      </c>
      <c r="F6" s="1688">
        <f>+F10-F9-F8</f>
        <v>181938.16212421344</v>
      </c>
      <c r="G6" s="1691">
        <f>G10-G9-G8</f>
        <v>480625.72651999997</v>
      </c>
      <c r="H6" s="1691" t="e">
        <f>H10-H8-H9</f>
        <v>#REF!</v>
      </c>
      <c r="I6" s="1691">
        <f>I50*(300+17)/10</f>
        <v>156281</v>
      </c>
      <c r="J6" s="1691">
        <f>J50*(300+17)/10</f>
        <v>91146.823529411777</v>
      </c>
      <c r="K6" s="1691">
        <f>L6-J6-I6</f>
        <v>272147.07930058811</v>
      </c>
      <c r="L6" s="1691">
        <f>L10-L8-L9-L7</f>
        <v>519574.90282999986</v>
      </c>
      <c r="M6" s="1691">
        <f>M50*(300+17)/10</f>
        <v>110316</v>
      </c>
      <c r="N6" s="1691">
        <f>N50*(300+17)/10</f>
        <v>96591.764780470578</v>
      </c>
      <c r="O6" s="1691">
        <f>P6-N6-M6</f>
        <v>242315.12721952942</v>
      </c>
      <c r="P6" s="1691">
        <f>P10-P8-P9</f>
        <v>449222.89199999999</v>
      </c>
      <c r="Q6" s="1689"/>
      <c r="R6" s="1689"/>
      <c r="S6" s="1689"/>
      <c r="T6" s="1689"/>
      <c r="U6" s="584"/>
      <c r="V6" s="1690"/>
      <c r="W6" s="1690"/>
      <c r="X6" s="1690"/>
      <c r="Y6" s="584"/>
      <c r="Z6" s="584"/>
      <c r="AA6" s="584"/>
    </row>
    <row r="7" spans="1:27">
      <c r="A7" s="584"/>
      <c r="B7" s="1686"/>
      <c r="C7" s="1687" t="s">
        <v>2440</v>
      </c>
      <c r="D7" s="1688"/>
      <c r="E7" s="1688"/>
      <c r="F7" s="1688"/>
      <c r="G7" s="1691"/>
      <c r="H7" s="1691"/>
      <c r="I7" s="1691"/>
      <c r="J7" s="1691"/>
      <c r="K7" s="1691"/>
      <c r="L7" s="1691">
        <f>'F-4'!O45</f>
        <v>35194.217959999994</v>
      </c>
      <c r="M7" s="1691"/>
      <c r="N7" s="1691"/>
      <c r="O7" s="1691"/>
      <c r="P7" s="1691"/>
      <c r="Q7" s="1689"/>
      <c r="R7" s="1689"/>
      <c r="S7" s="1689"/>
      <c r="T7" s="1689"/>
      <c r="U7" s="584"/>
      <c r="V7" s="1690"/>
      <c r="W7" s="1690"/>
      <c r="X7" s="1690"/>
      <c r="Y7" s="584"/>
      <c r="Z7" s="584"/>
      <c r="AA7" s="584"/>
    </row>
    <row r="8" spans="1:27">
      <c r="A8" s="584"/>
      <c r="B8" s="1686"/>
      <c r="C8" s="1687" t="s">
        <v>635</v>
      </c>
      <c r="D8" s="1688">
        <f>D50*25/10</f>
        <v>14656.742496000001</v>
      </c>
      <c r="E8" s="1688">
        <f>E50*25/10</f>
        <v>5412.3533537499998</v>
      </c>
      <c r="F8" s="1688">
        <f>G8-E8-D8</f>
        <v>15596.896000249997</v>
      </c>
      <c r="G8" s="1691">
        <v>35665.991849999999</v>
      </c>
      <c r="H8" s="1691" t="e">
        <f>'F-4'!#REF!</f>
        <v>#REF!</v>
      </c>
      <c r="I8" s="1691">
        <f>I50*25/10</f>
        <v>12325</v>
      </c>
      <c r="J8" s="1691">
        <f>J50*25/10</f>
        <v>7188.2352941176478</v>
      </c>
      <c r="K8" s="1691">
        <f>L8-J8-I8</f>
        <v>11576.413685882351</v>
      </c>
      <c r="L8" s="1691">
        <f>'F-4'!O47</f>
        <v>31089.648979999998</v>
      </c>
      <c r="M8" s="1691">
        <f>M50*25/10</f>
        <v>8700</v>
      </c>
      <c r="N8" s="1691">
        <f>N50*25/10</f>
        <v>7617.6470647058813</v>
      </c>
      <c r="O8" s="1691">
        <f>P8-N8-M8</f>
        <v>11322.960935294119</v>
      </c>
      <c r="P8" s="1691">
        <f>'F-4'!M57</f>
        <v>27640.608</v>
      </c>
      <c r="Q8" s="1689"/>
      <c r="R8" s="1692"/>
      <c r="S8" s="1689"/>
      <c r="T8" s="1689"/>
      <c r="U8" s="584"/>
      <c r="V8" s="1690"/>
      <c r="W8" s="1690"/>
      <c r="X8" s="1690"/>
      <c r="Y8" s="584"/>
      <c r="Z8" s="584"/>
      <c r="AA8" s="584"/>
    </row>
    <row r="9" spans="1:27" ht="13">
      <c r="A9" s="584"/>
      <c r="B9" s="1686"/>
      <c r="C9" s="1687" t="s">
        <v>636</v>
      </c>
      <c r="D9" s="1688">
        <f>+G9/G50*D50</f>
        <v>75.171123556392416</v>
      </c>
      <c r="E9" s="1688">
        <f>+G9/G50*E50</f>
        <v>27.758738532564859</v>
      </c>
      <c r="F9" s="1688">
        <f>+G9/G50*F50</f>
        <v>63.786137911042736</v>
      </c>
      <c r="G9" s="1691">
        <v>166.71600000000001</v>
      </c>
      <c r="H9" s="1691" t="e">
        <f>'F-4'!#REF!</f>
        <v>#REF!</v>
      </c>
      <c r="I9" s="1691">
        <f>(I50*0.17/10)</f>
        <v>83.81</v>
      </c>
      <c r="J9" s="1691">
        <f>(J50*0.17/10)</f>
        <v>48.88000000000001</v>
      </c>
      <c r="K9" s="1691">
        <f>L9-J9-I9</f>
        <v>72.966000000000008</v>
      </c>
      <c r="L9" s="1691">
        <f>'F-4'!O48</f>
        <v>205.65600000000001</v>
      </c>
      <c r="M9" s="1691">
        <f>(M50*0.17/10)</f>
        <v>59.160000000000004</v>
      </c>
      <c r="N9" s="1691">
        <f>(N50*0.17/10)</f>
        <v>51.80000004</v>
      </c>
      <c r="O9" s="1691">
        <f>P9-N9-M9</f>
        <v>94.695999960000023</v>
      </c>
      <c r="P9" s="1691">
        <f>'F-4'!M58</f>
        <v>205.65600000000001</v>
      </c>
      <c r="Q9" s="1689"/>
      <c r="R9" s="1693"/>
      <c r="S9" s="1689"/>
      <c r="T9" s="1689"/>
      <c r="U9" s="584"/>
      <c r="V9" s="1690"/>
      <c r="W9" s="1690"/>
      <c r="X9" s="1690"/>
      <c r="Y9" s="584"/>
      <c r="Z9" s="584"/>
      <c r="AA9" s="584"/>
    </row>
    <row r="10" spans="1:27" ht="13">
      <c r="A10" s="584"/>
      <c r="B10" s="1686"/>
      <c r="C10" s="1322" t="s">
        <v>637</v>
      </c>
      <c r="D10" s="1694">
        <f>+D52</f>
        <v>232867.63587039185</v>
      </c>
      <c r="E10" s="1694">
        <f>+E52</f>
        <v>85991.9542372336</v>
      </c>
      <c r="F10" s="1694">
        <f>+F52</f>
        <v>197598.84426237451</v>
      </c>
      <c r="G10" s="738">
        <f>51645843437/10^5</f>
        <v>516458.43436999997</v>
      </c>
      <c r="H10" s="738">
        <f>'F-4'!E51</f>
        <v>284858.18303999997</v>
      </c>
      <c r="I10" s="1695">
        <f>SUM(I6:I9)</f>
        <v>168689.81</v>
      </c>
      <c r="J10" s="1695">
        <f>SUM(J6:J9)</f>
        <v>98383.938823529432</v>
      </c>
      <c r="K10" s="1695">
        <f>SUM(K6:K9)</f>
        <v>283796.45898647048</v>
      </c>
      <c r="L10" s="1695">
        <f>'F-4'!E51+'F-4'!G51</f>
        <v>586064.42576999986</v>
      </c>
      <c r="M10" s="1695">
        <f>SUM(M6:M9)</f>
        <v>119075.16</v>
      </c>
      <c r="N10" s="1695">
        <f>SUM(N6:N9)</f>
        <v>104261.21184521646</v>
      </c>
      <c r="O10" s="1695">
        <f>SUM(O6:O9)</f>
        <v>253732.78415478353</v>
      </c>
      <c r="P10" s="1696">
        <f>'F-4'!I51</f>
        <v>477069.15600000002</v>
      </c>
      <c r="Q10" s="1697"/>
      <c r="R10" s="1698"/>
      <c r="S10" s="1697"/>
      <c r="T10" s="1697"/>
      <c r="U10" s="996"/>
      <c r="V10" s="584"/>
      <c r="W10" s="584"/>
      <c r="X10" s="584"/>
      <c r="Y10" s="584"/>
      <c r="Z10" s="584"/>
      <c r="AA10" s="584"/>
    </row>
    <row r="11" spans="1:27" ht="13">
      <c r="A11" s="584"/>
      <c r="B11" s="1686"/>
      <c r="C11" s="1322"/>
      <c r="D11" s="1694"/>
      <c r="E11" s="1694"/>
      <c r="F11" s="1694"/>
      <c r="G11" s="738"/>
      <c r="H11" s="738"/>
      <c r="I11" s="1695"/>
      <c r="J11" s="1695"/>
      <c r="K11" s="1695"/>
      <c r="L11" s="1695"/>
      <c r="M11" s="1695"/>
      <c r="N11" s="1695"/>
      <c r="O11" s="1695"/>
      <c r="P11" s="1695"/>
      <c r="Q11" s="1697"/>
      <c r="R11" s="1692"/>
      <c r="S11" s="1697"/>
      <c r="T11" s="1697"/>
      <c r="U11" s="1690"/>
      <c r="V11" s="584"/>
      <c r="W11" s="584"/>
      <c r="X11" s="584"/>
      <c r="Y11" s="584"/>
      <c r="Z11" s="584"/>
      <c r="AA11" s="584"/>
    </row>
    <row r="12" spans="1:27">
      <c r="A12" s="584"/>
      <c r="B12" s="1686"/>
      <c r="C12" s="1687" t="s">
        <v>638</v>
      </c>
      <c r="D12" s="1688"/>
      <c r="E12" s="1688"/>
      <c r="F12" s="1688"/>
      <c r="G12" s="1691"/>
      <c r="H12" s="1691"/>
      <c r="I12" s="1691"/>
      <c r="J12" s="1691"/>
      <c r="K12" s="1691"/>
      <c r="L12" s="1691"/>
      <c r="M12" s="1691"/>
      <c r="N12" s="1691"/>
      <c r="O12" s="1691"/>
      <c r="P12" s="1691"/>
      <c r="Q12" s="1689"/>
      <c r="R12" s="1692"/>
      <c r="S12" s="1689"/>
      <c r="T12" s="1689"/>
      <c r="U12" s="584"/>
      <c r="V12" s="584"/>
      <c r="W12" s="584"/>
      <c r="X12" s="584"/>
      <c r="Y12" s="584"/>
      <c r="Z12" s="584"/>
      <c r="AA12" s="584"/>
    </row>
    <row r="13" spans="1:27">
      <c r="A13" s="584"/>
      <c r="B13" s="1686"/>
      <c r="C13" s="1687" t="s">
        <v>639</v>
      </c>
      <c r="D13" s="1688">
        <f>+'F-12'!D52</f>
        <v>4692.7422351558826</v>
      </c>
      <c r="E13" s="1688">
        <f>+'F-12'!F52</f>
        <v>19496.007030344663</v>
      </c>
      <c r="F13" s="1688">
        <f>+'F-12'!G52+0.8</f>
        <v>23252.414922159453</v>
      </c>
      <c r="G13" s="1691">
        <f>'F-12'!I32</f>
        <v>47440.364187660001</v>
      </c>
      <c r="H13" s="1691">
        <f>'F-12'!P34</f>
        <v>26398.642911699997</v>
      </c>
      <c r="I13" s="1691">
        <f>'F-12'!R52</f>
        <v>5942.717869026721</v>
      </c>
      <c r="J13" s="1691">
        <f>'F-12'!T52</f>
        <v>22109.047706450827</v>
      </c>
      <c r="K13" s="1691">
        <f>'F-12'!U52</f>
        <v>30219.015492389113</v>
      </c>
      <c r="L13" s="1691">
        <f>'F-12'!W32</f>
        <v>58270.781067866672</v>
      </c>
      <c r="M13" s="1691">
        <f>+'F-12'!X52</f>
        <v>5450.7636382851861</v>
      </c>
      <c r="N13" s="1691">
        <f>+'F-12'!Y52</f>
        <v>24154.947543926308</v>
      </c>
      <c r="O13" s="1691">
        <f>+'F-12'!AA52</f>
        <v>33053.107924449032</v>
      </c>
      <c r="P13" s="1691">
        <f>'F-12'!AD32</f>
        <v>62658.819106660514</v>
      </c>
      <c r="Q13" s="1689"/>
      <c r="R13" s="1692"/>
      <c r="S13" s="1689"/>
      <c r="T13" s="1689"/>
      <c r="U13" s="1690"/>
      <c r="V13" s="1690"/>
      <c r="W13" s="1690"/>
      <c r="X13" s="1690"/>
      <c r="Y13" s="584"/>
      <c r="Z13" s="584"/>
      <c r="AA13" s="584"/>
    </row>
    <row r="14" spans="1:27">
      <c r="A14" s="584"/>
      <c r="B14" s="1686"/>
      <c r="C14" s="1687" t="s">
        <v>640</v>
      </c>
      <c r="D14" s="1688"/>
      <c r="E14" s="1688">
        <f>+'F-13'!C15*0.6</f>
        <v>14253.598327133997</v>
      </c>
      <c r="F14" s="1688">
        <f>+'F-13'!C15*0.4</f>
        <v>9502.3988847559995</v>
      </c>
      <c r="G14" s="1691">
        <f>'F-13'!C15</f>
        <v>23755.997211889997</v>
      </c>
      <c r="H14" s="1691">
        <f>'F-13'!D15</f>
        <v>11679.700246899996</v>
      </c>
      <c r="I14" s="1691"/>
      <c r="J14" s="1691">
        <f>+'F-13'!E15*0.6</f>
        <v>16919.399999999998</v>
      </c>
      <c r="K14" s="1691">
        <f>+'F-13'!E15*0.4</f>
        <v>11279.6</v>
      </c>
      <c r="L14" s="1691">
        <f>'F-13'!E15</f>
        <v>28199</v>
      </c>
      <c r="M14" s="1691"/>
      <c r="N14" s="1691">
        <f>+'F-13'!F15*0.6</f>
        <v>20211.838712375942</v>
      </c>
      <c r="O14" s="1691">
        <f>+'F-13'!F15*0.4</f>
        <v>13474.559141583963</v>
      </c>
      <c r="P14" s="1691">
        <f>'F-13'!F15</f>
        <v>33686.397853959905</v>
      </c>
      <c r="Q14" s="1689"/>
      <c r="R14" s="1692"/>
      <c r="S14" s="1689"/>
      <c r="T14" s="1689"/>
      <c r="U14" s="1690"/>
      <c r="V14" s="1690"/>
      <c r="W14" s="1690"/>
      <c r="X14" s="1690"/>
      <c r="Y14" s="584"/>
      <c r="Z14" s="584"/>
      <c r="AA14" s="584"/>
    </row>
    <row r="15" spans="1:27" ht="13" thickBot="1">
      <c r="A15" s="584"/>
      <c r="B15" s="1686"/>
      <c r="C15" s="1687" t="s">
        <v>641</v>
      </c>
      <c r="D15" s="1688">
        <f>+G15*2%</f>
        <v>292.90865889499997</v>
      </c>
      <c r="E15" s="1688">
        <f>+(G15-D15)/('F-5'!E11+'F-5'!F11)*'F-5'!E11</f>
        <v>6545.7890193545645</v>
      </c>
      <c r="F15" s="1688">
        <f>+(G15-D15-E15)</f>
        <v>7806.7352665004346</v>
      </c>
      <c r="G15" s="1691">
        <f>'F-14'!D66</f>
        <v>14645.432944749999</v>
      </c>
      <c r="H15" s="1691">
        <f>'F-14'!E66</f>
        <v>9527.2267799999991</v>
      </c>
      <c r="I15" s="1691">
        <f>'F-14'!C66</f>
        <v>354.21000000000004</v>
      </c>
      <c r="J15" s="1691">
        <f>'F-14'!D66</f>
        <v>14645.432944749999</v>
      </c>
      <c r="K15" s="1691">
        <f>'F-14'!E66</f>
        <v>9527.2267799999991</v>
      </c>
      <c r="L15" s="1691">
        <f>'F-14'!F66</f>
        <v>19108.758718334575</v>
      </c>
      <c r="M15" s="1691">
        <f>+P15*'F-14'!B133</f>
        <v>491.73069357236005</v>
      </c>
      <c r="N15" s="1691">
        <f>+P15*'F-14'!D133</f>
        <v>10173.544994230731</v>
      </c>
      <c r="O15" s="1691">
        <f>+P15*'F-14'!F133</f>
        <v>13921.258990814911</v>
      </c>
      <c r="P15" s="1691">
        <f>'F-14'!G66</f>
        <v>24586.534678618002</v>
      </c>
      <c r="Q15" s="1689"/>
      <c r="R15" s="1692"/>
      <c r="S15" s="1689"/>
      <c r="T15" s="1689"/>
      <c r="U15" s="1690"/>
      <c r="V15" s="1690"/>
      <c r="W15" s="1690"/>
      <c r="X15" s="1690"/>
      <c r="Y15" s="584"/>
      <c r="Z15" s="584"/>
      <c r="AA15" s="584"/>
    </row>
    <row r="16" spans="1:27" ht="19" thickBot="1">
      <c r="A16" s="584"/>
      <c r="B16" s="1686"/>
      <c r="C16" s="1687" t="s">
        <v>642</v>
      </c>
      <c r="D16" s="1688"/>
      <c r="E16" s="1688">
        <f>+E37*0.03</f>
        <v>4018.5692626199998</v>
      </c>
      <c r="F16" s="1688">
        <f>+G16-E16</f>
        <v>8922.4581273799995</v>
      </c>
      <c r="G16" s="1691">
        <f>1294102739/10^5</f>
        <v>12941.027389999999</v>
      </c>
      <c r="H16" s="1691">
        <f>29.96*100</f>
        <v>2996</v>
      </c>
      <c r="I16" s="1691"/>
      <c r="J16" s="1691">
        <f>+J37*0.01</f>
        <v>776.12014526429255</v>
      </c>
      <c r="K16" s="1691">
        <f>+L16-J16</f>
        <v>5506.5707905205927</v>
      </c>
      <c r="L16" s="1691">
        <f>('F-22'!C6+'F-22'!C7)*0.01</f>
        <v>6282.6909357848854</v>
      </c>
      <c r="M16" s="1691"/>
      <c r="N16" s="1691">
        <f>+N37*0.01</f>
        <v>1624.8529895174909</v>
      </c>
      <c r="O16" s="1691">
        <f>+P16-N16</f>
        <v>4126.3091582002344</v>
      </c>
      <c r="P16" s="1691">
        <f>('F-22'!D6+'F-22'!D7)*0.01</f>
        <v>5751.162147717725</v>
      </c>
      <c r="Q16" s="1689"/>
      <c r="R16" s="1692"/>
      <c r="S16" s="1689"/>
      <c r="T16" s="1689"/>
      <c r="U16" s="1690"/>
      <c r="V16" s="1690"/>
      <c r="W16" s="1690"/>
      <c r="X16" s="1690"/>
      <c r="Y16" s="584"/>
      <c r="Z16" s="996"/>
      <c r="AA16" s="1699"/>
    </row>
    <row r="17" spans="1:27" ht="19" thickBot="1">
      <c r="A17" s="584"/>
      <c r="B17" s="1686"/>
      <c r="C17" s="1687" t="s">
        <v>643</v>
      </c>
      <c r="D17" s="1688"/>
      <c r="E17" s="1688">
        <f>+G17*0.6</f>
        <v>2655.9273718665304</v>
      </c>
      <c r="F17" s="1688">
        <f>+G17-E17</f>
        <v>1770.6182479110207</v>
      </c>
      <c r="G17" s="718">
        <f>DEPCAL!G67</f>
        <v>4426.5456197775511</v>
      </c>
      <c r="H17" s="1691">
        <f>48.006024726*100-(5666/2)</f>
        <v>1967.6024725999996</v>
      </c>
      <c r="I17" s="1691"/>
      <c r="J17" s="1691">
        <f>+L17*0.6</f>
        <v>5494.8648539683327</v>
      </c>
      <c r="K17" s="1691">
        <f>+L17-J17</f>
        <v>3663.2432359788891</v>
      </c>
      <c r="L17" s="1691">
        <f>DEPCAL!H67</f>
        <v>9158.1080899472217</v>
      </c>
      <c r="M17" s="1691"/>
      <c r="N17" s="1691">
        <f>+P17*0.6</f>
        <v>7559.0375093219236</v>
      </c>
      <c r="O17" s="1691">
        <f>+P17-N17</f>
        <v>5039.35833954795</v>
      </c>
      <c r="P17" s="718">
        <f>DEPCAL!I67</f>
        <v>12598.395848869874</v>
      </c>
      <c r="Q17" s="7"/>
      <c r="R17" s="1698"/>
      <c r="S17" s="7"/>
      <c r="T17" s="7"/>
      <c r="U17" s="1690"/>
      <c r="V17" s="1690"/>
      <c r="W17" s="1690"/>
      <c r="X17" s="1690"/>
      <c r="Y17" s="584"/>
      <c r="Z17" s="584"/>
      <c r="AA17" s="1699"/>
    </row>
    <row r="18" spans="1:27" ht="23" thickBot="1">
      <c r="A18" s="584"/>
      <c r="B18" s="1686"/>
      <c r="C18" s="1687" t="s">
        <v>2436</v>
      </c>
      <c r="D18" s="1688"/>
      <c r="E18" s="1688">
        <f>+G18*0.6</f>
        <v>694.63463333999994</v>
      </c>
      <c r="F18" s="1688">
        <f>+G18-E18</f>
        <v>463.08975555999996</v>
      </c>
      <c r="G18" s="1691">
        <f>'loan&amp;int'!E56</f>
        <v>1157.7243888999999</v>
      </c>
      <c r="H18" s="1691">
        <f>(28.34*100)-H20</f>
        <v>889.99999999999977</v>
      </c>
      <c r="I18" s="1691"/>
      <c r="J18" s="1691">
        <f>+L18*0.6</f>
        <v>1405.3408094479998</v>
      </c>
      <c r="K18" s="1691">
        <f>+L18-J18</f>
        <v>936.89387296533346</v>
      </c>
      <c r="L18" s="1691">
        <f>'loan&amp;int'!F56</f>
        <v>2342.2346824133333</v>
      </c>
      <c r="M18" s="1691"/>
      <c r="N18" s="1691">
        <f>+P18*0.6</f>
        <v>2705.8409037532997</v>
      </c>
      <c r="O18" s="1691">
        <f>+P18-N18</f>
        <v>1803.8939358355333</v>
      </c>
      <c r="P18" s="1691">
        <f>'loan&amp;int'!G56</f>
        <v>4509.734839588833</v>
      </c>
      <c r="Q18" s="1689"/>
      <c r="R18" s="1689"/>
      <c r="S18" s="1689"/>
      <c r="T18" s="1689"/>
      <c r="U18" s="1690"/>
      <c r="V18" s="1690"/>
      <c r="W18" s="1690"/>
      <c r="X18" s="1690"/>
      <c r="Y18" s="584"/>
      <c r="Z18" s="584"/>
      <c r="AA18" s="1700"/>
    </row>
    <row r="19" spans="1:27" ht="23" thickBot="1">
      <c r="A19" s="584"/>
      <c r="B19" s="1686"/>
      <c r="C19" s="1687" t="s">
        <v>2437</v>
      </c>
      <c r="D19" s="1688"/>
      <c r="E19" s="1688"/>
      <c r="F19" s="1688"/>
      <c r="G19" s="1691">
        <f>'loan&amp;int'!E101+'loan&amp;int'!E45</f>
        <v>957.29430460000003</v>
      </c>
      <c r="H19" s="1691"/>
      <c r="I19" s="1691"/>
      <c r="J19" s="1691"/>
      <c r="K19" s="1691"/>
      <c r="L19" s="1691">
        <f>'loan&amp;int'!F101+'loan&amp;int'!F45</f>
        <v>6057.1372555150083</v>
      </c>
      <c r="M19" s="1691"/>
      <c r="N19" s="1691"/>
      <c r="O19" s="1691"/>
      <c r="P19" s="1691">
        <f>'loan&amp;int'!G101+'loan&amp;int'!G45</f>
        <v>6712.0515583779588</v>
      </c>
      <c r="Q19" s="1689"/>
      <c r="R19" s="1692"/>
      <c r="S19" s="1689"/>
      <c r="T19" s="1689"/>
      <c r="U19" s="1690"/>
      <c r="V19" s="1690"/>
      <c r="W19" s="1690"/>
      <c r="X19" s="1690"/>
      <c r="Y19" s="584"/>
      <c r="Z19" s="584"/>
      <c r="AA19" s="1700"/>
    </row>
    <row r="20" spans="1:27" ht="18.5" thickBot="1">
      <c r="A20" s="584"/>
      <c r="B20" s="1686"/>
      <c r="C20" s="1687" t="s">
        <v>644</v>
      </c>
      <c r="D20" s="1688">
        <f>G20*50%</f>
        <v>3197.1952950999998</v>
      </c>
      <c r="E20" s="1688">
        <f>G20*30%</f>
        <v>1918.3171770599997</v>
      </c>
      <c r="F20" s="868">
        <f>G20-D20-E20</f>
        <v>1278.8781180400001</v>
      </c>
      <c r="G20" s="1691">
        <f>'loan&amp;int'!E109</f>
        <v>6394.3905901999997</v>
      </c>
      <c r="H20" s="1691">
        <f>19.44*100</f>
        <v>1944.0000000000002</v>
      </c>
      <c r="I20" s="1691">
        <f>40023.02796*5.4%</f>
        <v>2161.2435098400001</v>
      </c>
      <c r="J20" s="1691">
        <f>30593.8168*5.4%</f>
        <v>1652.0661072000003</v>
      </c>
      <c r="K20" s="718">
        <f>L20-I20-J20</f>
        <v>4004.8090221194998</v>
      </c>
      <c r="L20" s="1691">
        <f>'loan&amp;int'!F109</f>
        <v>7818.1186391595002</v>
      </c>
      <c r="M20" s="1691">
        <f>44023.02796*5.4%</f>
        <v>2377.2435098400001</v>
      </c>
      <c r="N20" s="1691">
        <f>35013.816776*5.4%</f>
        <v>1890.7461059040002</v>
      </c>
      <c r="O20" s="718">
        <f>P20-M20-N20</f>
        <v>4321.2837859155006</v>
      </c>
      <c r="P20" s="1691">
        <f>'loan&amp;int'!G109</f>
        <v>8589.2734016595005</v>
      </c>
      <c r="Q20" s="1689"/>
      <c r="R20" s="1692"/>
      <c r="S20" s="1689"/>
      <c r="T20" s="1689"/>
      <c r="U20" s="1690"/>
      <c r="V20" s="1690"/>
      <c r="W20" s="1690"/>
      <c r="X20" s="1690"/>
      <c r="Y20" s="584"/>
      <c r="Z20" s="584"/>
      <c r="AA20" s="1701"/>
    </row>
    <row r="21" spans="1:27" ht="18.5" thickBot="1">
      <c r="A21" s="584"/>
      <c r="B21" s="1686"/>
      <c r="C21" s="1702" t="s">
        <v>2162</v>
      </c>
      <c r="D21" s="1688">
        <f>+G21/G50*D50</f>
        <v>3030.4885087680605</v>
      </c>
      <c r="E21" s="1688">
        <f>+G21/G50*E50</f>
        <v>1119.0804947557731</v>
      </c>
      <c r="F21" s="1688">
        <f>+G21/G50*F50</f>
        <v>2571.5081644761658</v>
      </c>
      <c r="G21" s="1691">
        <f>67.21077168*100</f>
        <v>6721.0771679999998</v>
      </c>
      <c r="H21" s="1691">
        <f>45.540158633732*100</f>
        <v>4554.0158633731999</v>
      </c>
      <c r="I21" s="1691">
        <f>+L21/L50*I50</f>
        <v>4048.3217255144655</v>
      </c>
      <c r="J21" s="1691">
        <f>+L21/L50*J50</f>
        <v>2361.0782238771876</v>
      </c>
      <c r="K21" s="1691">
        <f>+L21/L50*K50</f>
        <v>4331.3806124195453</v>
      </c>
      <c r="L21" s="1691">
        <f>'F-21'!D10*16%</f>
        <v>10740.780561811198</v>
      </c>
      <c r="M21" s="1691">
        <f>+P21/P50*M50</f>
        <v>4089.6845678832842</v>
      </c>
      <c r="N21" s="1691">
        <f>+P21/P50*N50</f>
        <v>3580.893522311384</v>
      </c>
      <c r="O21" s="1691">
        <f>+P21/P50*O50</f>
        <v>5872.3888524165286</v>
      </c>
      <c r="P21" s="1691">
        <f>'F-21'!E10*16%</f>
        <v>13542.966942611198</v>
      </c>
      <c r="Q21" s="1689"/>
      <c r="R21" s="1692"/>
      <c r="S21" s="1689"/>
      <c r="T21" s="1689"/>
      <c r="U21" s="1690"/>
      <c r="V21" s="1690"/>
      <c r="W21" s="1690"/>
      <c r="X21" s="1690"/>
      <c r="Y21" s="584"/>
      <c r="Z21" s="584"/>
      <c r="AA21" s="1701"/>
    </row>
    <row r="22" spans="1:27" ht="18.5" thickBot="1">
      <c r="A22" s="584"/>
      <c r="B22" s="1686"/>
      <c r="C22" s="1687" t="s">
        <v>645</v>
      </c>
      <c r="D22" s="1688"/>
      <c r="E22" s="1688"/>
      <c r="F22" s="1688"/>
      <c r="G22" s="1691">
        <f>319449334.1/10^5</f>
        <v>3194.4933410000003</v>
      </c>
      <c r="H22" s="1691"/>
      <c r="I22" s="1691"/>
      <c r="J22" s="1691"/>
      <c r="K22" s="1691"/>
      <c r="L22" s="1691">
        <f>(('F-21'!D10*16%)/0.7483)-L21</f>
        <v>3612.7949584496582</v>
      </c>
      <c r="M22" s="1691"/>
      <c r="N22" s="1691"/>
      <c r="O22" s="1691"/>
      <c r="P22" s="1691">
        <f>(('F-21'!E10*16%)/0.7483)-P21</f>
        <v>4555.3451549582242</v>
      </c>
      <c r="Q22" s="1689"/>
      <c r="R22" s="1689"/>
      <c r="S22" s="1689"/>
      <c r="T22" s="1689"/>
      <c r="U22" s="1690"/>
      <c r="V22" s="1690"/>
      <c r="W22" s="1690"/>
      <c r="X22" s="1690"/>
      <c r="Y22" s="584"/>
      <c r="Z22" s="584"/>
      <c r="AA22" s="1701"/>
    </row>
    <row r="23" spans="1:27" ht="18.5" thickBot="1">
      <c r="A23" s="584"/>
      <c r="B23" s="1686"/>
      <c r="C23" s="1687" t="s">
        <v>646</v>
      </c>
      <c r="D23" s="1688"/>
      <c r="E23" s="1688"/>
      <c r="F23" s="1688"/>
      <c r="G23" s="1691">
        <f>-21.7404831977028*100*0</f>
        <v>0</v>
      </c>
      <c r="H23" s="1691"/>
      <c r="I23" s="1691"/>
      <c r="J23" s="1691"/>
      <c r="K23" s="1691"/>
      <c r="L23" s="1691">
        <f>G39*7.45%</f>
        <v>-177.92876891181908</v>
      </c>
      <c r="M23" s="1691"/>
      <c r="N23" s="1691"/>
      <c r="O23" s="1691"/>
      <c r="P23" s="1691">
        <f>L39*8.7%</f>
        <v>58.846251390890444</v>
      </c>
      <c r="Q23" s="1689"/>
      <c r="R23" s="1689"/>
      <c r="S23" s="1689"/>
      <c r="T23" s="1689"/>
      <c r="U23" s="1690"/>
      <c r="V23" s="1690"/>
      <c r="W23" s="1690"/>
      <c r="X23" s="1690"/>
      <c r="Y23" s="584"/>
      <c r="Z23" s="584"/>
      <c r="AA23" s="1701"/>
    </row>
    <row r="24" spans="1:27" ht="18">
      <c r="A24" s="584"/>
      <c r="B24" s="1686"/>
      <c r="C24" s="1687" t="s">
        <v>647</v>
      </c>
      <c r="D24" s="1688">
        <f>+'F-12'!D56</f>
        <v>155.70703941362439</v>
      </c>
      <c r="E24" s="1688">
        <f>+'F-12'!F56</f>
        <v>623.59625018703025</v>
      </c>
      <c r="F24" s="1688">
        <f>+'F-12'!G56</f>
        <v>743.72254039934546</v>
      </c>
      <c r="G24" s="1691">
        <f>'F-12'!I33</f>
        <v>1523.02583</v>
      </c>
      <c r="H24" s="1691">
        <f>'F-12'!P33</f>
        <v>275.52118000000002</v>
      </c>
      <c r="I24" s="1691">
        <f>'F-12'!R56</f>
        <v>227.14960956378769</v>
      </c>
      <c r="J24" s="1691">
        <f>'F-12'!T56</f>
        <v>845.07823945711857</v>
      </c>
      <c r="K24" s="1691">
        <f>'F-12'!U56</f>
        <v>1155.0670453790935</v>
      </c>
      <c r="L24" s="1691">
        <f>'F-12'!W33</f>
        <v>2227.2948944</v>
      </c>
      <c r="M24" s="1691">
        <f>+'F-12'!X56</f>
        <v>174.75642088219101</v>
      </c>
      <c r="N24" s="1691">
        <f>+'F-12'!Y56</f>
        <v>774.42950373493613</v>
      </c>
      <c r="O24" s="1691">
        <f>+'F-12'!AA56</f>
        <v>1059.7125876708733</v>
      </c>
      <c r="P24" s="1691">
        <f>'F-12'!AD33</f>
        <v>2008.8985122879999</v>
      </c>
      <c r="Q24" s="1689"/>
      <c r="R24" s="1703"/>
      <c r="S24" s="1689"/>
      <c r="T24" s="1689"/>
      <c r="U24" s="1690"/>
      <c r="V24" s="1690"/>
      <c r="W24" s="1690"/>
      <c r="X24" s="1690"/>
      <c r="Y24" s="584"/>
      <c r="Z24" s="584"/>
      <c r="AA24" s="1704"/>
    </row>
    <row r="25" spans="1:27" ht="18">
      <c r="A25" s="584"/>
      <c r="B25" s="1686"/>
      <c r="C25" s="1687" t="s">
        <v>648</v>
      </c>
      <c r="D25" s="1688"/>
      <c r="E25" s="1688">
        <f>+G25*0.6</f>
        <v>218.601156</v>
      </c>
      <c r="F25" s="1688">
        <f>+G25-E25</f>
        <v>145.734104</v>
      </c>
      <c r="G25" s="1691">
        <f>'loan&amp;int'!E119</f>
        <v>364.33526000000001</v>
      </c>
      <c r="H25" s="1691"/>
      <c r="I25" s="1691"/>
      <c r="J25" s="1691">
        <f>+L25*0.6</f>
        <v>170.00000000000003</v>
      </c>
      <c r="K25" s="1691">
        <f>+L25-J25</f>
        <v>113.33333333333334</v>
      </c>
      <c r="L25" s="1691">
        <f>'loan&amp;int'!F119</f>
        <v>283.33333333333337</v>
      </c>
      <c r="M25" s="1691"/>
      <c r="N25" s="1691">
        <f>+P25*0.6</f>
        <v>811.99999999999989</v>
      </c>
      <c r="O25" s="1691">
        <f>+P25-N25</f>
        <v>541.33333333333337</v>
      </c>
      <c r="P25" s="1691">
        <f>'loan&amp;int'!G119</f>
        <v>1353.3333333333333</v>
      </c>
      <c r="Q25" s="1689"/>
      <c r="R25" s="1692"/>
      <c r="S25" s="1689"/>
      <c r="T25" s="1689"/>
      <c r="U25" s="1690"/>
      <c r="V25" s="1690"/>
      <c r="W25" s="1690"/>
      <c r="X25" s="1690"/>
      <c r="Y25" s="584"/>
      <c r="Z25" s="584"/>
      <c r="AA25" s="1705"/>
    </row>
    <row r="26" spans="1:27" ht="26">
      <c r="A26" s="584"/>
      <c r="B26" s="1686"/>
      <c r="C26" s="1322" t="s">
        <v>649</v>
      </c>
      <c r="D26" s="1695">
        <f>SUM(D13:D21)-D24-D25</f>
        <v>11057.62765850532</v>
      </c>
      <c r="E26" s="1695">
        <f>SUM(E13:E21)-E24-E25</f>
        <v>49859.7259102885</v>
      </c>
      <c r="F26" s="1695">
        <f>SUM(F13:F21)-F24-F25</f>
        <v>54678.644842383736</v>
      </c>
      <c r="G26" s="1695">
        <f>SUM(G13:G22)-G24-G25+G23</f>
        <v>119746.98605677753</v>
      </c>
      <c r="H26" s="1695">
        <f t="shared" ref="H26:O26" si="0">SUM(H13:H21)-H24-H25</f>
        <v>59681.667094573189</v>
      </c>
      <c r="I26" s="1695">
        <f t="shared" si="0"/>
        <v>12279.3434948174</v>
      </c>
      <c r="J26" s="1695">
        <f t="shared" si="0"/>
        <v>64348.272551501512</v>
      </c>
      <c r="K26" s="1695">
        <f t="shared" si="0"/>
        <v>68200.339427680548</v>
      </c>
      <c r="L26" s="1695">
        <f>SUM(L13:L23)-L24-L25</f>
        <v>148901.84791263693</v>
      </c>
      <c r="M26" s="1695">
        <f t="shared" si="0"/>
        <v>12234.66598869864</v>
      </c>
      <c r="N26" s="1695">
        <f t="shared" si="0"/>
        <v>70315.272777606151</v>
      </c>
      <c r="O26" s="1695">
        <f t="shared" si="0"/>
        <v>80011.114207759441</v>
      </c>
      <c r="P26" s="1696">
        <f>SUM(P13:P23)-P24-P25</f>
        <v>173887.29593879133</v>
      </c>
      <c r="Q26" s="1706"/>
      <c r="R26" s="1707">
        <f>P26-P21</f>
        <v>160344.32899618012</v>
      </c>
      <c r="S26" s="1707"/>
      <c r="T26" s="1707"/>
      <c r="U26" s="1690"/>
      <c r="V26" s="1690"/>
      <c r="W26" s="1690"/>
      <c r="X26" s="1690"/>
      <c r="Y26" s="584"/>
      <c r="Z26" s="584"/>
      <c r="AA26" s="1705"/>
    </row>
    <row r="27" spans="1:27" ht="18">
      <c r="A27" s="584"/>
      <c r="B27" s="1686"/>
      <c r="C27" s="1687" t="s">
        <v>650</v>
      </c>
      <c r="D27" s="1688"/>
      <c r="E27" s="1688"/>
      <c r="F27" s="1688"/>
      <c r="G27" s="1691">
        <f>-'F-22'!B25</f>
        <v>0</v>
      </c>
      <c r="H27" s="1691"/>
      <c r="I27" s="1691"/>
      <c r="J27" s="1691"/>
      <c r="K27" s="1691"/>
      <c r="L27" s="1691"/>
      <c r="M27" s="1691"/>
      <c r="N27" s="1691"/>
      <c r="O27" s="1691"/>
      <c r="P27" s="1691"/>
      <c r="Q27" s="1689"/>
      <c r="R27" s="1689"/>
      <c r="S27" s="1689"/>
      <c r="T27" s="1689"/>
      <c r="U27" s="584"/>
      <c r="V27" s="584"/>
      <c r="W27" s="584"/>
      <c r="X27" s="584"/>
      <c r="Y27" s="584"/>
      <c r="Z27" s="584"/>
      <c r="AA27" s="1705"/>
    </row>
    <row r="28" spans="1:27" ht="18">
      <c r="A28" s="584"/>
      <c r="B28" s="1686"/>
      <c r="C28" s="1687" t="s">
        <v>2441</v>
      </c>
      <c r="D28" s="1688"/>
      <c r="E28" s="1688"/>
      <c r="F28" s="1688"/>
      <c r="G28" s="1691">
        <f>6387800299.47/10^5</f>
        <v>63878.0029947</v>
      </c>
      <c r="H28" s="1691"/>
      <c r="I28" s="1691"/>
      <c r="J28" s="1691"/>
      <c r="K28" s="1691"/>
      <c r="L28" s="1691"/>
      <c r="M28" s="1691">
        <f>+P28/P50*M50</f>
        <v>0</v>
      </c>
      <c r="N28" s="1691">
        <f>+P28/P50*N50</f>
        <v>0</v>
      </c>
      <c r="O28" s="1691">
        <f>+P28/P50*O50</f>
        <v>0</v>
      </c>
      <c r="P28" s="1691">
        <f>(-'F-22'!B26-'truing 20-21'!H23*100)*0.1*0</f>
        <v>0</v>
      </c>
      <c r="Q28" s="1689"/>
      <c r="R28" s="1689"/>
      <c r="S28" s="1689"/>
      <c r="T28" s="1689"/>
      <c r="U28" s="584"/>
      <c r="V28" s="584"/>
      <c r="W28" s="584"/>
      <c r="X28" s="1690"/>
      <c r="Y28" s="584"/>
      <c r="Z28" s="584"/>
      <c r="AA28" s="1708"/>
    </row>
    <row r="29" spans="1:27">
      <c r="A29" s="584"/>
      <c r="B29" s="1686"/>
      <c r="C29" s="1687" t="s">
        <v>652</v>
      </c>
      <c r="D29" s="1688"/>
      <c r="E29" s="1688"/>
      <c r="F29" s="1688"/>
      <c r="G29" s="1691"/>
      <c r="H29" s="1691"/>
      <c r="I29" s="1691"/>
      <c r="J29" s="1691"/>
      <c r="K29" s="1691"/>
      <c r="L29" s="1691">
        <f>-(8190+58898-7792+704)</f>
        <v>-60000</v>
      </c>
      <c r="M29" s="1691">
        <f>+P29/P50*M50</f>
        <v>-11206.998742825916</v>
      </c>
      <c r="N29" s="1691">
        <f>+P29/P50*N50</f>
        <v>-9812.7541468333729</v>
      </c>
      <c r="O29" s="1691">
        <f>+P29/P50*O50</f>
        <v>-16092.159039169981</v>
      </c>
      <c r="P29" s="1691">
        <f>((L39+G39)-35400)</f>
        <v>-37111.911928829271</v>
      </c>
      <c r="Q29" s="1689"/>
      <c r="R29" s="1689"/>
      <c r="S29" s="1689"/>
      <c r="T29" s="1709"/>
      <c r="U29" s="1690"/>
      <c r="V29" s="584"/>
      <c r="W29" s="584"/>
      <c r="X29" s="1690"/>
      <c r="Y29" s="584"/>
      <c r="Z29" s="584"/>
      <c r="AA29" s="584"/>
    </row>
    <row r="30" spans="1:27">
      <c r="A30" s="584"/>
      <c r="B30" s="1686"/>
      <c r="C30" s="1687" t="s">
        <v>653</v>
      </c>
      <c r="D30" s="1688"/>
      <c r="E30" s="868">
        <f>G30*0.6</f>
        <v>0</v>
      </c>
      <c r="F30" s="868">
        <f>G30-E30</f>
        <v>0</v>
      </c>
      <c r="G30" s="1691">
        <v>0</v>
      </c>
      <c r="H30" s="1691"/>
      <c r="I30" s="1691"/>
      <c r="J30" s="718">
        <f>L30*0.6</f>
        <v>0</v>
      </c>
      <c r="K30" s="718">
        <f>L30-J30</f>
        <v>0</v>
      </c>
      <c r="L30" s="718">
        <f>DEPCAL!H16*0.375%*0</f>
        <v>0</v>
      </c>
      <c r="M30" s="1691"/>
      <c r="N30" s="718">
        <f>P30*0.6</f>
        <v>0</v>
      </c>
      <c r="O30" s="718">
        <f>P30-N30</f>
        <v>0</v>
      </c>
      <c r="P30" s="718">
        <f>DEPCAL!I16*0.375%*0</f>
        <v>0</v>
      </c>
      <c r="Q30" s="7"/>
      <c r="R30" s="7"/>
      <c r="S30" s="7"/>
      <c r="T30" s="7"/>
      <c r="U30" s="584"/>
      <c r="V30" s="1690"/>
      <c r="W30" s="1690"/>
      <c r="X30" s="1690"/>
      <c r="Y30" s="584"/>
      <c r="Z30" s="584"/>
      <c r="AA30" s="584"/>
    </row>
    <row r="31" spans="1:27" ht="13">
      <c r="A31" s="584"/>
      <c r="B31" s="1686"/>
      <c r="C31" s="1322" t="s">
        <v>654</v>
      </c>
      <c r="D31" s="1694">
        <f>SUM(D28:D30)</f>
        <v>0</v>
      </c>
      <c r="E31" s="1694">
        <f>SUM(E28:E30)</f>
        <v>0</v>
      </c>
      <c r="F31" s="1694">
        <f>SUM(F28:F30)</f>
        <v>0</v>
      </c>
      <c r="G31" s="1695">
        <f>SUM(G27:G30)</f>
        <v>63878.0029947</v>
      </c>
      <c r="H31" s="1695"/>
      <c r="I31" s="1695">
        <f t="shared" ref="I31:P31" si="1">SUM(I28:I30)</f>
        <v>0</v>
      </c>
      <c r="J31" s="1695">
        <f t="shared" si="1"/>
        <v>0</v>
      </c>
      <c r="K31" s="1695">
        <f t="shared" si="1"/>
        <v>0</v>
      </c>
      <c r="L31" s="1695">
        <f t="shared" si="1"/>
        <v>-60000</v>
      </c>
      <c r="M31" s="1695">
        <f t="shared" si="1"/>
        <v>-11206.998742825916</v>
      </c>
      <c r="N31" s="1695">
        <f t="shared" si="1"/>
        <v>-9812.7541468333729</v>
      </c>
      <c r="O31" s="1695">
        <f t="shared" si="1"/>
        <v>-16092.159039169981</v>
      </c>
      <c r="P31" s="1695">
        <f t="shared" si="1"/>
        <v>-37111.911928829271</v>
      </c>
      <c r="Q31" s="1697"/>
      <c r="R31" s="1689"/>
      <c r="S31" s="1689"/>
      <c r="T31" s="1697"/>
      <c r="U31" s="584"/>
      <c r="V31" s="584"/>
      <c r="W31" s="584"/>
      <c r="X31" s="584"/>
      <c r="Y31" s="584"/>
      <c r="Z31" s="584"/>
      <c r="AA31" s="584"/>
    </row>
    <row r="32" spans="1:27" ht="13">
      <c r="A32" s="584"/>
      <c r="B32" s="1686"/>
      <c r="C32" s="1687"/>
      <c r="D32" s="1688"/>
      <c r="E32" s="1688"/>
      <c r="F32" s="1688"/>
      <c r="G32" s="1691"/>
      <c r="H32" s="1691"/>
      <c r="I32" s="1691"/>
      <c r="J32" s="1691"/>
      <c r="K32" s="1691"/>
      <c r="L32" s="1691"/>
      <c r="M32" s="1691"/>
      <c r="N32" s="1691"/>
      <c r="O32" s="1691"/>
      <c r="P32" s="1691"/>
      <c r="Q32" s="1689"/>
      <c r="R32" s="1697"/>
      <c r="S32" s="1697"/>
      <c r="T32" s="1689"/>
      <c r="U32" s="584"/>
      <c r="V32" s="584"/>
      <c r="W32" s="584"/>
      <c r="X32" s="584"/>
      <c r="Y32" s="584"/>
      <c r="Z32" s="584"/>
      <c r="AA32" s="584"/>
    </row>
    <row r="33" spans="1:27" ht="13">
      <c r="A33" s="584"/>
      <c r="B33" s="1686"/>
      <c r="C33" s="1687" t="s">
        <v>655</v>
      </c>
      <c r="D33" s="1694">
        <f>D10+D26+D31</f>
        <v>243925.26352889717</v>
      </c>
      <c r="E33" s="1694">
        <f>E10+E26+E31</f>
        <v>135851.6801475221</v>
      </c>
      <c r="F33" s="1694">
        <f>F10+F26+F31</f>
        <v>252277.48910475825</v>
      </c>
      <c r="G33" s="1695">
        <f>G10+G26+G31</f>
        <v>700083.42342147755</v>
      </c>
      <c r="H33" s="1695">
        <f t="shared" ref="H33:O33" si="2">H10+H26+H31</f>
        <v>344539.85013457318</v>
      </c>
      <c r="I33" s="1695">
        <f t="shared" si="2"/>
        <v>180969.15349481741</v>
      </c>
      <c r="J33" s="1695">
        <f t="shared" si="2"/>
        <v>162732.21137503095</v>
      </c>
      <c r="K33" s="1695">
        <f t="shared" si="2"/>
        <v>351996.79841415101</v>
      </c>
      <c r="L33" s="1695">
        <f>L10+L11+L26+L31</f>
        <v>674966.27368263679</v>
      </c>
      <c r="M33" s="1695">
        <f t="shared" si="2"/>
        <v>120102.82724587272</v>
      </c>
      <c r="N33" s="1695">
        <f t="shared" si="2"/>
        <v>164763.73047598923</v>
      </c>
      <c r="O33" s="1695">
        <f t="shared" si="2"/>
        <v>317651.73932337301</v>
      </c>
      <c r="P33" s="1695">
        <f>P10+P26+P31</f>
        <v>613844.54000996205</v>
      </c>
      <c r="Q33" s="1710"/>
      <c r="R33" s="1697"/>
      <c r="S33" s="1697"/>
      <c r="T33" s="1697"/>
      <c r="U33" s="1690"/>
      <c r="V33" s="1690"/>
      <c r="W33" s="1690"/>
      <c r="X33" s="1690"/>
      <c r="Y33" s="1690"/>
      <c r="Z33" s="1690"/>
      <c r="AA33" s="584"/>
    </row>
    <row r="34" spans="1:27">
      <c r="A34" s="584"/>
      <c r="B34" s="1686"/>
      <c r="C34" s="1687" t="s">
        <v>656</v>
      </c>
      <c r="D34" s="1688">
        <f>+G34/G50*D50</f>
        <v>38049.028172128485</v>
      </c>
      <c r="E34" s="1688">
        <f>+G34/G50*E50</f>
        <v>14050.515337262004</v>
      </c>
      <c r="F34" s="1688">
        <f>+G34/G50*F50</f>
        <v>32286.341397409513</v>
      </c>
      <c r="G34" s="1691">
        <f>('F-22'!B8+'F-22'!B9)</f>
        <v>84385.884906799998</v>
      </c>
      <c r="H34" s="1691">
        <f>(85.15+48.16+349.569378444)*100</f>
        <v>48287.937844400003</v>
      </c>
      <c r="I34" s="1691">
        <f>+L34/L50*I50</f>
        <v>17345.755122423547</v>
      </c>
      <c r="J34" s="1691">
        <f>+L34/L50*J50</f>
        <v>10116.459973559993</v>
      </c>
      <c r="K34" s="1691">
        <f>+L34/L50*K50</f>
        <v>18558.571314016455</v>
      </c>
      <c r="L34" s="1691">
        <f>Y60</f>
        <v>46020.786410000001</v>
      </c>
      <c r="M34" s="1691">
        <f>+P34/P50*M50</f>
        <v>11657.012975940648</v>
      </c>
      <c r="N34" s="1691">
        <f>+P34/P50*N50</f>
        <v>10206.782836714097</v>
      </c>
      <c r="O34" s="1691">
        <f>+P34/P50*O50</f>
        <v>16738.33566284526</v>
      </c>
      <c r="P34" s="1691">
        <f>AA60</f>
        <v>38602.131475500006</v>
      </c>
      <c r="Q34" s="1689"/>
      <c r="R34" s="1692"/>
      <c r="S34" s="1689"/>
      <c r="T34" s="1689"/>
      <c r="U34" s="584"/>
      <c r="V34" s="1690"/>
      <c r="W34" s="1690"/>
      <c r="X34" s="1690"/>
      <c r="Y34" s="584"/>
      <c r="Z34" s="584"/>
      <c r="AA34" s="584"/>
    </row>
    <row r="35" spans="1:27" ht="13">
      <c r="B35" s="1686"/>
      <c r="C35" s="1711" t="s">
        <v>657</v>
      </c>
      <c r="D35" s="1694">
        <f>D33-D34</f>
        <v>205876.23535676868</v>
      </c>
      <c r="E35" s="1694">
        <f>E33-E34</f>
        <v>121801.16481026009</v>
      </c>
      <c r="F35" s="1694">
        <f>F33-F34</f>
        <v>219991.14770734875</v>
      </c>
      <c r="G35" s="1695">
        <f>G33-G34</f>
        <v>615697.53851467755</v>
      </c>
      <c r="H35" s="1695">
        <f>H33-H34</f>
        <v>296251.91229017318</v>
      </c>
      <c r="I35" s="1695">
        <f t="shared" ref="I35:O35" si="3">I33-I34</f>
        <v>163623.39837239386</v>
      </c>
      <c r="J35" s="1695">
        <f t="shared" si="3"/>
        <v>152615.75140147094</v>
      </c>
      <c r="K35" s="1695">
        <f t="shared" si="3"/>
        <v>333438.22710013454</v>
      </c>
      <c r="L35" s="1695">
        <f t="shared" si="3"/>
        <v>628945.48727263673</v>
      </c>
      <c r="M35" s="1695">
        <f t="shared" si="3"/>
        <v>108445.81426993207</v>
      </c>
      <c r="N35" s="1695">
        <f t="shared" si="3"/>
        <v>154556.94763927514</v>
      </c>
      <c r="O35" s="1695">
        <f t="shared" si="3"/>
        <v>300913.40366052778</v>
      </c>
      <c r="P35" s="1695">
        <f>P33-P34</f>
        <v>575242.4085344621</v>
      </c>
      <c r="Q35" s="1697"/>
      <c r="R35" s="1712"/>
      <c r="S35" s="1697"/>
      <c r="T35" s="1697"/>
      <c r="U35" s="1690"/>
      <c r="V35" s="1690"/>
      <c r="W35" s="1690"/>
      <c r="X35" s="1690"/>
      <c r="Y35" s="584"/>
      <c r="Z35" s="1690"/>
      <c r="AA35" s="584"/>
    </row>
    <row r="36" spans="1:27">
      <c r="B36" s="1686"/>
      <c r="C36" s="1687"/>
      <c r="D36" s="1688"/>
      <c r="E36" s="1688"/>
      <c r="F36" s="1688"/>
      <c r="G36" s="1691"/>
      <c r="H36" s="1691"/>
      <c r="I36" s="1691"/>
      <c r="J36" s="1691"/>
      <c r="K36" s="1691"/>
      <c r="L36" s="1691"/>
      <c r="M36" s="1691"/>
      <c r="N36" s="1691"/>
      <c r="O36" s="1691"/>
      <c r="P36" s="1691"/>
      <c r="Q36" s="1689"/>
      <c r="R36" s="1689"/>
      <c r="S36" s="1689"/>
      <c r="T36" s="1689"/>
      <c r="U36" s="584"/>
      <c r="V36" s="584"/>
      <c r="W36" s="584"/>
      <c r="X36" s="584"/>
      <c r="Y36" s="584"/>
      <c r="Z36" s="584"/>
      <c r="AA36" s="584"/>
    </row>
    <row r="37" spans="1:27">
      <c r="B37" s="1686"/>
      <c r="C37" s="1687" t="s">
        <v>658</v>
      </c>
      <c r="D37" s="1688">
        <f>+'T-6'!I68</f>
        <v>361110.81621246395</v>
      </c>
      <c r="E37" s="1688">
        <f>+'T-6'!I55</f>
        <v>133952.308754</v>
      </c>
      <c r="F37" s="1688">
        <f>+G37-D37-E37</f>
        <v>123022.71917119104</v>
      </c>
      <c r="G37" s="1691">
        <f>+'F-22'!B6+'F-22'!B7</f>
        <v>618085.84413765499</v>
      </c>
      <c r="H37" s="1691">
        <f>(3319.26-349.569378444)*100-H38</f>
        <v>267422.0621556</v>
      </c>
      <c r="I37" s="1691">
        <f>+'T-7 (Curr)'!AL66-'T-7 (Curr)'!AI66</f>
        <v>151071.4590143708</v>
      </c>
      <c r="J37" s="1691">
        <f>+'T-7 (Curr)'!AL53-'T-7 (Curr)'!AI53</f>
        <v>77612.014526429251</v>
      </c>
      <c r="K37" s="1691">
        <f>+'T-7 (Curr)'!AL35-'T-7 (Curr)'!AI35</f>
        <v>88126.101090195356</v>
      </c>
      <c r="L37" s="1691">
        <f>('T-7 (Curr)'!AL67-'T-7 (Curr)'!AI67+'T-6 (six mth)'!I69)</f>
        <v>628269.09357848857</v>
      </c>
      <c r="M37" s="1691">
        <f>+'T-8'!BQ66-'T-8'!BN66</f>
        <v>234553.69745638384</v>
      </c>
      <c r="N37" s="1691">
        <f>+'T-8'!BQ53-'T-8'!BN53</f>
        <v>162485.29895174908</v>
      </c>
      <c r="O37" s="1691">
        <f>+'T-8'!BQ34-'T-8'!BN34</f>
        <v>178077.21836363967</v>
      </c>
      <c r="P37" s="1691">
        <f>'T-8'!BQ67-'T-8'!BN67</f>
        <v>575116.2147717725</v>
      </c>
      <c r="Q37" s="1689"/>
      <c r="R37" s="1689"/>
      <c r="S37" s="1689"/>
      <c r="T37" s="1689"/>
      <c r="U37" s="1690"/>
      <c r="V37" s="1690"/>
      <c r="W37" s="1690"/>
      <c r="X37" s="1690"/>
      <c r="Y37" s="584"/>
      <c r="Z37" s="584"/>
      <c r="AA37" s="584"/>
    </row>
    <row r="38" spans="1:27" hidden="1">
      <c r="B38" s="1686"/>
      <c r="C38" s="1015" t="s">
        <v>659</v>
      </c>
      <c r="D38" s="1688"/>
      <c r="E38" s="1688"/>
      <c r="F38" s="1688"/>
      <c r="G38" s="1691">
        <f>+'F-22'!B7*0</f>
        <v>0</v>
      </c>
      <c r="H38" s="1691">
        <v>29547</v>
      </c>
      <c r="I38" s="1691"/>
      <c r="J38" s="1691"/>
      <c r="K38" s="1691"/>
      <c r="L38" s="1691">
        <f>'F-22'!C7*0</f>
        <v>0</v>
      </c>
      <c r="M38" s="1691"/>
      <c r="N38" s="1691"/>
      <c r="O38" s="1691"/>
      <c r="P38" s="1691">
        <f>'F-22'!D7*0</f>
        <v>0</v>
      </c>
      <c r="Q38" s="1689"/>
      <c r="R38" s="1689"/>
      <c r="S38" s="1689"/>
      <c r="T38" s="1689"/>
      <c r="U38" s="584"/>
      <c r="V38" s="584"/>
      <c r="W38" s="584"/>
      <c r="X38" s="584"/>
      <c r="Y38" s="584"/>
      <c r="Z38" s="1713"/>
      <c r="AA38" s="584"/>
    </row>
    <row r="39" spans="1:27">
      <c r="B39" s="1686"/>
      <c r="C39" s="1687" t="s">
        <v>660</v>
      </c>
      <c r="D39" s="1688">
        <f>D35-D37</f>
        <v>-155234.58085569527</v>
      </c>
      <c r="E39" s="1688">
        <f>E35-E37</f>
        <v>-12151.143943739909</v>
      </c>
      <c r="F39" s="1688">
        <f>F35-F37</f>
        <v>96968.428536157706</v>
      </c>
      <c r="G39" s="1691">
        <f>G35-G37-G38</f>
        <v>-2388.3056229774375</v>
      </c>
      <c r="H39" s="1691">
        <f>H35-H37-H38</f>
        <v>-717.14986542682163</v>
      </c>
      <c r="I39" s="1691">
        <f t="shared" ref="I39:O39" si="4">I35-I37</f>
        <v>12551.939358023054</v>
      </c>
      <c r="J39" s="1691">
        <f t="shared" si="4"/>
        <v>75003.736875041694</v>
      </c>
      <c r="K39" s="1691">
        <f t="shared" si="4"/>
        <v>245312.12600993918</v>
      </c>
      <c r="L39" s="1691">
        <f>L35-L37-L38</f>
        <v>676.39369414816611</v>
      </c>
      <c r="M39" s="1691">
        <f t="shared" si="4"/>
        <v>-126107.88318645177</v>
      </c>
      <c r="N39" s="1691">
        <f t="shared" si="4"/>
        <v>-7928.3513124739402</v>
      </c>
      <c r="O39" s="1691">
        <f t="shared" si="4"/>
        <v>122836.18529688811</v>
      </c>
      <c r="P39" s="1691">
        <f>P35-P37-P38</f>
        <v>126.19376268959604</v>
      </c>
      <c r="Q39" s="1689"/>
      <c r="R39" s="1689"/>
      <c r="S39" s="1689"/>
      <c r="T39" s="1689"/>
      <c r="U39" s="1690"/>
      <c r="V39" s="1690"/>
      <c r="W39" s="1690"/>
      <c r="X39" s="1690"/>
      <c r="Y39" s="584"/>
      <c r="Z39" s="584"/>
      <c r="AA39" s="584"/>
    </row>
    <row r="40" spans="1:27">
      <c r="B40" s="1672"/>
      <c r="C40" s="438" t="s">
        <v>661</v>
      </c>
      <c r="D40" s="438"/>
      <c r="E40" s="438"/>
      <c r="F40" s="438"/>
      <c r="G40" s="438"/>
      <c r="H40" s="438"/>
      <c r="I40" s="438"/>
      <c r="J40" s="438"/>
      <c r="K40" s="438"/>
      <c r="L40" s="438"/>
      <c r="M40" s="438"/>
      <c r="N40" s="438"/>
      <c r="O40" s="438"/>
      <c r="P40" s="438"/>
      <c r="Q40" s="438"/>
      <c r="R40" s="438"/>
      <c r="S40" s="438"/>
      <c r="T40" s="438"/>
      <c r="U40" s="584"/>
      <c r="V40" s="584"/>
      <c r="W40" s="584"/>
      <c r="X40" s="584"/>
      <c r="Y40" s="584"/>
      <c r="Z40" s="584"/>
      <c r="AA40" s="584"/>
    </row>
    <row r="41" spans="1:27">
      <c r="B41" s="1672"/>
      <c r="C41" s="438"/>
      <c r="D41" s="438"/>
      <c r="E41" s="438"/>
      <c r="F41" s="438"/>
      <c r="G41" s="1714">
        <f>'F-22'!B24</f>
        <v>9109.3827909775282</v>
      </c>
      <c r="H41" s="1714"/>
      <c r="I41" s="1714"/>
      <c r="J41" s="1714"/>
      <c r="K41" s="1714"/>
      <c r="L41" s="1714">
        <f>-('F-22'!C32-'F-22'!C26)</f>
        <v>60676.393694148224</v>
      </c>
      <c r="M41" s="1714">
        <f>L41+4800</f>
        <v>65476.393694148224</v>
      </c>
      <c r="N41" s="1714"/>
      <c r="O41" s="1714"/>
      <c r="P41" s="1714">
        <f>-('F-22'!D32)</f>
        <v>97914.499385666975</v>
      </c>
      <c r="Q41" s="1714"/>
      <c r="R41" s="1714"/>
      <c r="S41" s="1714"/>
      <c r="T41" s="1714"/>
      <c r="U41" s="1690"/>
      <c r="V41" s="584"/>
      <c r="W41" s="584"/>
      <c r="X41" s="584"/>
      <c r="Y41" s="584"/>
      <c r="Z41" s="584"/>
      <c r="AA41" s="584"/>
    </row>
    <row r="42" spans="1:27">
      <c r="B42" s="1672"/>
      <c r="C42" s="1689"/>
      <c r="D42" s="438"/>
      <c r="E42" s="438"/>
      <c r="F42" s="438"/>
      <c r="G42" s="1714">
        <f>G39-G21</f>
        <v>-9109.3827909774373</v>
      </c>
      <c r="H42" s="1714"/>
      <c r="I42" s="1714"/>
      <c r="J42" s="1714"/>
      <c r="K42" s="1714"/>
      <c r="L42" s="1714">
        <f>L39-L41</f>
        <v>-60000.000000000058</v>
      </c>
      <c r="M42" s="1714"/>
      <c r="N42" s="1714"/>
      <c r="O42" s="1714"/>
      <c r="P42" s="1714">
        <f>P39-P41</f>
        <v>-97788.305622977379</v>
      </c>
      <c r="Q42" s="1714"/>
      <c r="R42" s="1714"/>
      <c r="S42" s="1714"/>
      <c r="T42" s="1714"/>
      <c r="U42" s="584"/>
      <c r="V42" s="1690"/>
      <c r="W42" s="584"/>
      <c r="X42" s="584"/>
      <c r="Y42" s="584"/>
      <c r="Z42" s="584"/>
      <c r="AA42" s="584"/>
    </row>
    <row r="43" spans="1:27">
      <c r="B43" s="1672"/>
      <c r="C43" s="1715" t="s">
        <v>552</v>
      </c>
      <c r="D43" s="1714">
        <f>+'loan&amp;int'!B106</f>
        <v>90402.466758899987</v>
      </c>
      <c r="E43" s="1714"/>
      <c r="F43" s="1714"/>
      <c r="G43" s="1716">
        <f>G41+G42</f>
        <v>9.0949470177292824E-11</v>
      </c>
      <c r="H43" s="1716">
        <f t="shared" ref="H43:P43" si="5">H41+H42</f>
        <v>0</v>
      </c>
      <c r="I43" s="1716">
        <f t="shared" si="5"/>
        <v>0</v>
      </c>
      <c r="J43" s="1716">
        <f t="shared" si="5"/>
        <v>0</v>
      </c>
      <c r="K43" s="1716">
        <f t="shared" si="5"/>
        <v>0</v>
      </c>
      <c r="L43" s="1716">
        <f t="shared" si="5"/>
        <v>676.39369414816611</v>
      </c>
      <c r="M43" s="1716">
        <f t="shared" si="5"/>
        <v>65476.393694148224</v>
      </c>
      <c r="N43" s="1716">
        <f t="shared" si="5"/>
        <v>0</v>
      </c>
      <c r="O43" s="1716">
        <f t="shared" si="5"/>
        <v>0</v>
      </c>
      <c r="P43" s="1716">
        <f t="shared" si="5"/>
        <v>126.19376268959604</v>
      </c>
      <c r="Q43" s="1714"/>
      <c r="R43" s="1714"/>
      <c r="S43" s="1714"/>
      <c r="T43" s="1714"/>
      <c r="U43" s="1690"/>
      <c r="V43" s="584"/>
      <c r="W43" s="584"/>
      <c r="X43" s="584"/>
      <c r="Y43" s="584"/>
      <c r="Z43" s="584"/>
      <c r="AA43" s="584"/>
    </row>
    <row r="44" spans="1:27">
      <c r="B44" s="1672"/>
      <c r="C44" s="438"/>
      <c r="D44" s="1717"/>
      <c r="E44" s="1717"/>
      <c r="F44" s="1718"/>
      <c r="G44" s="438"/>
      <c r="H44" s="438"/>
      <c r="I44" s="1717"/>
      <c r="J44" s="438"/>
      <c r="K44" s="1689"/>
      <c r="L44" s="438"/>
      <c r="M44" s="438"/>
      <c r="N44" s="438"/>
      <c r="O44" s="1689"/>
      <c r="P44" s="438"/>
      <c r="Q44" s="438"/>
      <c r="R44" s="438"/>
      <c r="S44" s="438"/>
      <c r="T44" s="438"/>
      <c r="U44" s="1690"/>
      <c r="V44" s="584"/>
      <c r="W44" s="584"/>
      <c r="X44" s="584"/>
      <c r="Y44" s="584"/>
      <c r="Z44" s="584"/>
      <c r="AA44" s="584"/>
    </row>
    <row r="45" spans="1:27">
      <c r="B45" s="1672"/>
      <c r="C45" s="438"/>
      <c r="D45" s="438"/>
      <c r="E45" s="438"/>
      <c r="F45" s="438"/>
      <c r="G45" s="1689"/>
      <c r="H45" s="1689"/>
      <c r="I45" s="438"/>
      <c r="J45" s="438"/>
      <c r="K45" s="438"/>
      <c r="L45" s="438"/>
      <c r="M45" s="438"/>
      <c r="N45" s="438"/>
      <c r="O45" s="438"/>
      <c r="P45" s="438"/>
      <c r="Q45" s="438"/>
      <c r="R45" s="438"/>
      <c r="S45" s="438"/>
      <c r="T45" s="438"/>
      <c r="U45" s="1690"/>
      <c r="V45" s="584"/>
      <c r="W45" s="584"/>
      <c r="X45" s="584"/>
      <c r="Y45" s="584"/>
      <c r="Z45" s="584"/>
      <c r="AA45" s="584"/>
    </row>
    <row r="46" spans="1:27">
      <c r="B46" s="1672"/>
      <c r="C46" s="438"/>
      <c r="D46" s="438"/>
      <c r="E46" s="438"/>
      <c r="F46" s="438"/>
      <c r="G46" s="438"/>
      <c r="H46" s="438"/>
      <c r="I46" s="438"/>
      <c r="J46" s="438"/>
      <c r="K46" s="438"/>
      <c r="L46" s="438"/>
      <c r="M46" s="438"/>
      <c r="N46" s="438"/>
      <c r="O46" s="438"/>
      <c r="P46" s="438"/>
      <c r="Q46" s="438"/>
      <c r="R46" s="438"/>
      <c r="S46" s="1689"/>
      <c r="T46" s="438"/>
      <c r="U46" s="584"/>
      <c r="V46" s="584"/>
      <c r="W46" s="584"/>
      <c r="X46" s="584"/>
      <c r="Y46" s="584"/>
      <c r="Z46" s="584"/>
      <c r="AA46" s="584"/>
    </row>
    <row r="47" spans="1:27" ht="13">
      <c r="B47" s="1672"/>
      <c r="C47" s="438"/>
      <c r="D47" s="438"/>
      <c r="E47" s="438"/>
      <c r="F47" s="438"/>
      <c r="G47" s="438"/>
      <c r="H47" s="438"/>
      <c r="I47" s="438"/>
      <c r="J47" s="438"/>
      <c r="K47" s="438"/>
      <c r="L47" s="7"/>
      <c r="M47" s="438"/>
      <c r="N47" s="438"/>
      <c r="O47" s="438"/>
      <c r="P47" s="438"/>
      <c r="Q47" s="438"/>
      <c r="R47" s="438"/>
      <c r="S47" s="1689"/>
      <c r="T47" s="438"/>
      <c r="U47" s="584"/>
      <c r="V47" s="1719"/>
      <c r="W47" s="1981" t="s">
        <v>2037</v>
      </c>
      <c r="X47" s="1981"/>
      <c r="Y47" s="1981"/>
      <c r="Z47" s="1719"/>
      <c r="AA47" s="1719" t="s">
        <v>2439</v>
      </c>
    </row>
    <row r="48" spans="1:27" ht="13">
      <c r="B48"/>
      <c r="C48" s="1720" t="s">
        <v>662</v>
      </c>
      <c r="D48" s="438"/>
      <c r="E48" s="438"/>
      <c r="F48" s="438"/>
      <c r="G48" s="438"/>
      <c r="H48" s="438"/>
      <c r="I48"/>
      <c r="J48"/>
      <c r="K48"/>
      <c r="L48" s="7"/>
      <c r="M48" s="438"/>
      <c r="N48" s="438"/>
      <c r="O48" s="438"/>
      <c r="P48" s="1689"/>
      <c r="Q48" s="1689"/>
      <c r="R48" s="1689"/>
      <c r="S48" s="1697"/>
      <c r="T48" s="1689"/>
      <c r="U48" s="584"/>
      <c r="V48" s="1719" t="s">
        <v>368</v>
      </c>
      <c r="W48" s="1719" t="s">
        <v>663</v>
      </c>
      <c r="X48" s="1719" t="s">
        <v>664</v>
      </c>
      <c r="Y48" s="1719" t="s">
        <v>145</v>
      </c>
      <c r="Z48" s="1719" t="s">
        <v>665</v>
      </c>
      <c r="AA48" s="1719"/>
    </row>
    <row r="49" spans="2:27">
      <c r="B49" s="1" t="s">
        <v>385</v>
      </c>
      <c r="C49" t="s">
        <v>666</v>
      </c>
      <c r="D49" s="438"/>
      <c r="E49" s="438"/>
      <c r="F49" s="438"/>
      <c r="G49" s="438"/>
      <c r="H49" s="438"/>
      <c r="I49"/>
      <c r="J49"/>
      <c r="K49"/>
      <c r="L49"/>
      <c r="M49" s="438"/>
      <c r="N49" s="438"/>
      <c r="O49" s="438"/>
      <c r="P49" s="438"/>
      <c r="Q49" s="438"/>
      <c r="R49" s="438"/>
      <c r="S49" s="1689"/>
      <c r="T49" s="438"/>
      <c r="U49" s="584"/>
      <c r="V49" s="1721" t="s">
        <v>667</v>
      </c>
      <c r="W49" s="1722">
        <f>33.3536331*100</f>
        <v>3335.3633100000002</v>
      </c>
      <c r="X49" s="1722">
        <v>3000</v>
      </c>
      <c r="Y49" s="1722">
        <f>W49+X49</f>
        <v>6335.3633100000006</v>
      </c>
      <c r="Z49" s="1722"/>
      <c r="AA49" s="1722">
        <f>Y49*1.05</f>
        <v>6652.1314755000012</v>
      </c>
    </row>
    <row r="50" spans="2:27">
      <c r="B50" s="1"/>
      <c r="C50" t="s">
        <v>668</v>
      </c>
      <c r="D50" s="438">
        <f>+'F-5'!D11</f>
        <v>5862.6969984000007</v>
      </c>
      <c r="E50" s="438">
        <f>+'F-5'!E11</f>
        <v>2164.9413414999999</v>
      </c>
      <c r="F50" s="4">
        <f>G50-E50-D50</f>
        <v>4974.7666601000001</v>
      </c>
      <c r="G50" s="4">
        <f>'F-5'!G7</f>
        <v>13002.405000000001</v>
      </c>
      <c r="H50" s="4"/>
      <c r="I50" s="4">
        <f>'F-5'!H11</f>
        <v>4930</v>
      </c>
      <c r="J50" s="4">
        <f>'F-5'!I11/85*100</f>
        <v>2875.294117647059</v>
      </c>
      <c r="K50" s="4">
        <f>L50-J50-I50</f>
        <v>5274.7058823529405</v>
      </c>
      <c r="L50" s="4">
        <f>'F-5'!K7</f>
        <v>13080</v>
      </c>
      <c r="M50" s="438">
        <f>+'F-5'!L11</f>
        <v>3480</v>
      </c>
      <c r="N50" s="1723">
        <f>+'F-5'!M11/85*100</f>
        <v>3047.0588258823527</v>
      </c>
      <c r="O50" s="1689">
        <f>+P50-M50-N50</f>
        <v>4996.9411741176473</v>
      </c>
      <c r="P50" s="1689">
        <f>+'F-5'!O7</f>
        <v>11524</v>
      </c>
      <c r="Q50" s="1689"/>
      <c r="R50" s="1689"/>
      <c r="S50" s="1689"/>
      <c r="T50" s="1689"/>
      <c r="U50" s="584"/>
      <c r="V50" s="1721" t="s">
        <v>669</v>
      </c>
      <c r="W50" s="1722">
        <f>18.1356728*100</f>
        <v>1813.5672799999998</v>
      </c>
      <c r="X50" s="1722">
        <v>1000</v>
      </c>
      <c r="Y50" s="1722">
        <f>(X50+W50)</f>
        <v>2813.5672799999998</v>
      </c>
      <c r="Z50" s="1722"/>
      <c r="AA50" s="1722">
        <v>3000</v>
      </c>
    </row>
    <row r="51" spans="2:27">
      <c r="B51" s="1"/>
      <c r="C51" t="s">
        <v>670</v>
      </c>
      <c r="D51" s="438"/>
      <c r="E51" s="438"/>
      <c r="F51" s="438"/>
      <c r="G51" s="7">
        <f>G10/G50/10</f>
        <v>3.972022363324323</v>
      </c>
      <c r="H51" s="7"/>
      <c r="I51" s="4"/>
      <c r="J51" s="4"/>
      <c r="K51" s="4"/>
      <c r="L51" s="7">
        <f>L10/L50/10</f>
        <v>4.4806148759174302</v>
      </c>
      <c r="M51" s="438"/>
      <c r="N51" s="438"/>
      <c r="O51" s="438"/>
      <c r="P51" s="7">
        <f>P10/P50/10</f>
        <v>4.1397878861506419</v>
      </c>
      <c r="Q51" s="7"/>
      <c r="R51" s="7"/>
      <c r="S51" s="7"/>
      <c r="T51" s="7"/>
      <c r="U51" s="584"/>
      <c r="V51" s="1721" t="s">
        <v>671</v>
      </c>
      <c r="W51" s="1722">
        <f>9.835486*100</f>
        <v>983.54859999999996</v>
      </c>
      <c r="X51" s="1722">
        <v>0</v>
      </c>
      <c r="Y51" s="1722">
        <f>(X51+W51)</f>
        <v>983.54859999999996</v>
      </c>
      <c r="Z51" s="1722"/>
      <c r="AA51" s="1722">
        <v>1000</v>
      </c>
    </row>
    <row r="52" spans="2:27">
      <c r="B52" s="1"/>
      <c r="C52" t="s">
        <v>672</v>
      </c>
      <c r="D52" s="7">
        <f>D50*$G$51*10</f>
        <v>232867.63587039185</v>
      </c>
      <c r="E52" s="7">
        <f>E50*$G$51*10</f>
        <v>85991.9542372336</v>
      </c>
      <c r="F52" s="7">
        <f>F50*$G$51*10</f>
        <v>197598.84426237451</v>
      </c>
      <c r="G52" s="7">
        <f>SUM(D52:F52)</f>
        <v>516458.43436999997</v>
      </c>
      <c r="H52" s="7"/>
      <c r="I52" s="7">
        <f>I50*$L$51*10</f>
        <v>220894.31338272931</v>
      </c>
      <c r="J52" s="7">
        <f>J50*$L$51*10</f>
        <v>128830.85596167295</v>
      </c>
      <c r="K52" s="7">
        <f>K50*$L$51*10</f>
        <v>236339.25642559759</v>
      </c>
      <c r="L52" s="7">
        <f>SUM(I52:K52)</f>
        <v>586064.42576999986</v>
      </c>
      <c r="M52" s="438">
        <f>+M50*P51*10</f>
        <v>144064.61843804235</v>
      </c>
      <c r="N52" s="438">
        <f>+N50*P51*10</f>
        <v>126141.77215776162</v>
      </c>
      <c r="O52" s="438">
        <f>+O50*P51*10</f>
        <v>206862.76540419599</v>
      </c>
      <c r="P52" s="7">
        <f>SUM(M52:O52)</f>
        <v>477069.15599999996</v>
      </c>
      <c r="Q52" s="7"/>
      <c r="R52" s="7"/>
      <c r="S52" s="1010"/>
      <c r="T52" s="7"/>
      <c r="U52" s="584"/>
      <c r="V52" s="1721" t="s">
        <v>673</v>
      </c>
      <c r="W52" s="1722">
        <f>0*100</f>
        <v>0</v>
      </c>
      <c r="X52" s="1722">
        <v>0</v>
      </c>
      <c r="Y52" s="1722">
        <f t="shared" ref="Y52:Y57" si="6">X52+W52</f>
        <v>0</v>
      </c>
      <c r="Z52" s="1722"/>
      <c r="AA52" s="1722">
        <v>0</v>
      </c>
    </row>
    <row r="53" spans="2:27">
      <c r="B53" s="1"/>
      <c r="C53"/>
      <c r="D53" s="438"/>
      <c r="E53" s="438"/>
      <c r="F53" s="438"/>
      <c r="G53" s="438"/>
      <c r="H53" s="438"/>
      <c r="I53"/>
      <c r="J53"/>
      <c r="K53"/>
      <c r="L53"/>
      <c r="M53" s="438"/>
      <c r="N53" s="438"/>
      <c r="O53" s="438"/>
      <c r="P53" s="438"/>
      <c r="Q53" s="438"/>
      <c r="R53" s="438"/>
      <c r="S53" s="438"/>
      <c r="T53" s="438"/>
      <c r="U53" s="584"/>
      <c r="V53" s="1721" t="s">
        <v>674</v>
      </c>
      <c r="W53" s="1722">
        <f>13.420744*100</f>
        <v>1342.0744</v>
      </c>
      <c r="X53" s="1722">
        <v>500</v>
      </c>
      <c r="Y53" s="1722">
        <f>(X53+W53)</f>
        <v>1842.0744</v>
      </c>
      <c r="Z53" s="1722"/>
      <c r="AA53" s="1722">
        <v>2000</v>
      </c>
    </row>
    <row r="54" spans="2:27">
      <c r="B54" s="1" t="s">
        <v>491</v>
      </c>
      <c r="C54" t="s">
        <v>675</v>
      </c>
      <c r="D54" s="438"/>
      <c r="E54" s="438"/>
      <c r="F54" s="438"/>
      <c r="G54" s="438"/>
      <c r="H54" s="438"/>
      <c r="I54"/>
      <c r="J54"/>
      <c r="K54"/>
      <c r="L54"/>
      <c r="M54" s="438"/>
      <c r="N54" s="438"/>
      <c r="O54" s="438"/>
      <c r="P54" s="438"/>
      <c r="Q54" s="438"/>
      <c r="R54" s="438"/>
      <c r="S54" s="438"/>
      <c r="T54" s="438"/>
      <c r="U54" s="584"/>
      <c r="V54" s="1721" t="s">
        <v>676</v>
      </c>
      <c r="W54" s="1722">
        <f>7.3319944*100</f>
        <v>733.19943999999998</v>
      </c>
      <c r="X54" s="1722"/>
      <c r="Y54" s="1722">
        <f t="shared" si="6"/>
        <v>733.19943999999998</v>
      </c>
      <c r="Z54" s="1722"/>
      <c r="AA54" s="1722">
        <v>1000</v>
      </c>
    </row>
    <row r="55" spans="2:27">
      <c r="B55" s="1" t="s">
        <v>586</v>
      </c>
      <c r="C55" t="s">
        <v>677</v>
      </c>
      <c r="D55" s="438"/>
      <c r="E55" s="438"/>
      <c r="F55" s="438"/>
      <c r="G55" s="438"/>
      <c r="H55" s="438"/>
      <c r="I55"/>
      <c r="J55"/>
      <c r="K55"/>
      <c r="L55"/>
      <c r="M55" s="438"/>
      <c r="N55" s="438"/>
      <c r="O55" s="438"/>
      <c r="P55" s="438"/>
      <c r="Q55" s="438"/>
      <c r="R55" s="438"/>
      <c r="S55" s="438"/>
      <c r="T55" s="438"/>
      <c r="U55" s="584"/>
      <c r="V55" s="1721" t="s">
        <v>678</v>
      </c>
      <c r="W55" s="1722">
        <f>70.8793862*100</f>
        <v>7087.9386199999999</v>
      </c>
      <c r="X55" s="1722">
        <v>3500</v>
      </c>
      <c r="Y55" s="1722">
        <f t="shared" si="6"/>
        <v>10587.938620000001</v>
      </c>
      <c r="Z55" s="1722"/>
      <c r="AA55" s="1722">
        <v>8000</v>
      </c>
    </row>
    <row r="56" spans="2:27">
      <c r="B56" s="1" t="s">
        <v>679</v>
      </c>
      <c r="C56" t="s">
        <v>680</v>
      </c>
      <c r="D56" s="438"/>
      <c r="E56" s="438"/>
      <c r="F56" s="438"/>
      <c r="G56" s="438"/>
      <c r="H56" s="438"/>
      <c r="I56" s="588" t="s">
        <v>681</v>
      </c>
      <c r="J56"/>
      <c r="K56"/>
      <c r="L56"/>
      <c r="M56" s="438"/>
      <c r="N56" s="438"/>
      <c r="O56" s="438"/>
      <c r="P56" s="438"/>
      <c r="Q56" s="438"/>
      <c r="R56" s="438"/>
      <c r="S56" s="438"/>
      <c r="T56" s="438"/>
      <c r="U56" s="584"/>
      <c r="V56" s="1721" t="s">
        <v>682</v>
      </c>
      <c r="W56" s="1722">
        <f>9.3333153*100</f>
        <v>933.33153000000004</v>
      </c>
      <c r="X56" s="1722">
        <v>0</v>
      </c>
      <c r="Y56" s="1722">
        <f>(X56+W56)</f>
        <v>933.33153000000004</v>
      </c>
      <c r="Z56" s="1722"/>
      <c r="AA56" s="1722">
        <v>950</v>
      </c>
    </row>
    <row r="57" spans="2:27">
      <c r="B57" s="1" t="s">
        <v>602</v>
      </c>
      <c r="C57" t="s">
        <v>683</v>
      </c>
      <c r="D57" s="438"/>
      <c r="E57" s="438"/>
      <c r="F57" s="438"/>
      <c r="G57" s="438"/>
      <c r="H57" s="438"/>
      <c r="I57" s="588" t="s">
        <v>681</v>
      </c>
      <c r="J57"/>
      <c r="K57"/>
      <c r="L57"/>
      <c r="M57" s="438"/>
      <c r="N57" s="438"/>
      <c r="O57" s="438"/>
      <c r="P57" s="438"/>
      <c r="Q57" s="438"/>
      <c r="R57" s="438"/>
      <c r="S57" s="438"/>
      <c r="T57" s="438"/>
      <c r="U57" s="584"/>
      <c r="V57" s="1721" t="s">
        <v>684</v>
      </c>
      <c r="W57" s="1722">
        <f>10.4927922*100</f>
        <v>1049.2792200000001</v>
      </c>
      <c r="X57" s="1722"/>
      <c r="Y57" s="1722">
        <f t="shared" si="6"/>
        <v>1049.2792200000001</v>
      </c>
      <c r="Z57" s="1722"/>
      <c r="AA57" s="1722">
        <v>1000</v>
      </c>
    </row>
    <row r="58" spans="2:27" ht="13">
      <c r="B58" s="1" t="s">
        <v>605</v>
      </c>
      <c r="C58" t="s">
        <v>685</v>
      </c>
      <c r="D58" s="438"/>
      <c r="E58" s="438"/>
      <c r="F58" s="438"/>
      <c r="G58" s="438"/>
      <c r="H58" s="438"/>
      <c r="I58" s="588" t="s">
        <v>681</v>
      </c>
      <c r="J58"/>
      <c r="K58"/>
      <c r="L58"/>
      <c r="M58" s="438"/>
      <c r="N58" s="438"/>
      <c r="O58" s="438"/>
      <c r="P58" s="438"/>
      <c r="Q58" s="438"/>
      <c r="R58" s="438"/>
      <c r="S58" s="438"/>
      <c r="T58" s="438"/>
      <c r="U58" s="584"/>
      <c r="V58" s="1721"/>
      <c r="W58" s="1724">
        <f>SUM(W49:W57)</f>
        <v>17278.3024</v>
      </c>
      <c r="X58" s="1722">
        <f>SUM(X49:X57)</f>
        <v>8000</v>
      </c>
      <c r="Y58" s="1722">
        <f>SUM(Y49:Y57)-Y50</f>
        <v>22464.735120000001</v>
      </c>
      <c r="Z58" s="1722">
        <f>SUM(Z49:Z57)</f>
        <v>0</v>
      </c>
      <c r="AA58" s="1722">
        <f>SUM(AA49:AA57)-AA50</f>
        <v>20602.131475500002</v>
      </c>
    </row>
    <row r="59" spans="2:27">
      <c r="B59" s="1672"/>
      <c r="C59" s="438"/>
      <c r="D59" s="438"/>
      <c r="E59" s="438"/>
      <c r="F59" s="438"/>
      <c r="G59" s="438"/>
      <c r="H59" s="438"/>
      <c r="I59" s="438"/>
      <c r="J59" s="438"/>
      <c r="K59" s="438"/>
      <c r="L59" s="438"/>
      <c r="M59" s="438"/>
      <c r="N59" s="438"/>
      <c r="O59" s="438"/>
      <c r="P59" s="438"/>
      <c r="Q59" s="438"/>
      <c r="R59" s="438"/>
      <c r="S59" s="438"/>
      <c r="T59" s="438"/>
      <c r="U59" s="584"/>
      <c r="V59" s="1721" t="s">
        <v>686</v>
      </c>
      <c r="W59" s="1722">
        <f>135.5605129*100</f>
        <v>13556.051289999999</v>
      </c>
      <c r="X59" s="1722">
        <v>10000</v>
      </c>
      <c r="Y59" s="1722">
        <f>X59+W59</f>
        <v>23556.051289999999</v>
      </c>
      <c r="Z59" s="1722"/>
      <c r="AA59" s="1722">
        <v>18000</v>
      </c>
    </row>
    <row r="60" spans="2:27" ht="13">
      <c r="B60" s="1672"/>
      <c r="C60" s="438"/>
      <c r="D60" s="438"/>
      <c r="E60" s="438"/>
      <c r="F60" s="438"/>
      <c r="G60" s="438"/>
      <c r="H60" s="438"/>
      <c r="I60" s="438"/>
      <c r="J60" s="438"/>
      <c r="K60" s="438"/>
      <c r="L60" s="438"/>
      <c r="M60" s="438"/>
      <c r="N60" s="438"/>
      <c r="O60" s="438"/>
      <c r="P60" s="438"/>
      <c r="Q60" s="438"/>
      <c r="R60" s="438"/>
      <c r="S60" s="438"/>
      <c r="T60" s="438"/>
      <c r="U60" s="584"/>
      <c r="V60" s="1721"/>
      <c r="W60" s="1724">
        <f>W58+W59</f>
        <v>30834.35369</v>
      </c>
      <c r="X60" s="1724">
        <f>X58+X59</f>
        <v>18000</v>
      </c>
      <c r="Y60" s="1724">
        <f>Y58+Y59</f>
        <v>46020.786410000001</v>
      </c>
      <c r="Z60" s="1724">
        <f>Z58+Z59</f>
        <v>0</v>
      </c>
      <c r="AA60" s="1724">
        <f>AA58+AA59</f>
        <v>38602.131475500006</v>
      </c>
    </row>
    <row r="62" spans="2:27">
      <c r="B62" s="1672"/>
      <c r="C62" s="438"/>
      <c r="D62" s="438"/>
      <c r="E62" s="438"/>
      <c r="F62" s="438"/>
      <c r="G62" s="438"/>
      <c r="H62" s="438"/>
      <c r="I62" s="438"/>
      <c r="J62" s="438"/>
      <c r="K62" s="438"/>
      <c r="L62" s="438"/>
      <c r="M62" s="438"/>
      <c r="N62" s="438"/>
      <c r="O62" s="438"/>
      <c r="P62" s="438"/>
      <c r="Q62" s="438"/>
      <c r="R62" s="438"/>
      <c r="S62" s="438"/>
      <c r="T62" s="438"/>
      <c r="U62" s="584"/>
      <c r="V62" s="584"/>
      <c r="W62" s="584"/>
      <c r="X62" s="584"/>
      <c r="Y62" s="584"/>
      <c r="Z62" s="584"/>
      <c r="AA62" s="584">
        <v>26769.439999999999</v>
      </c>
    </row>
  </sheetData>
  <mergeCells count="6">
    <mergeCell ref="W47:Y47"/>
    <mergeCell ref="I3:L3"/>
    <mergeCell ref="B2:P2"/>
    <mergeCell ref="O1:P1"/>
    <mergeCell ref="D3:F3"/>
    <mergeCell ref="M3:O3"/>
  </mergeCells>
  <phoneticPr fontId="46" type="noConversion"/>
  <printOptions horizontalCentered="1" gridLines="1"/>
  <pageMargins left="0" right="0" top="0.70866141732283472" bottom="0.51181102362204722" header="0" footer="0.39370078740157483"/>
  <pageSetup paperSize="9" scale="110" orientation="portrait" blackAndWhite="1" r:id="rId1"/>
  <headerFooter alignWithMargins="0">
    <oddHeader xml:space="preserve">&amp;R
</oddHeader>
    <oddFooter>&amp;R&amp;"Arial,Bold"&amp;12OERC FORM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6"/>
  <dimension ref="A1:Q43"/>
  <sheetViews>
    <sheetView showGridLines="0" view="pageBreakPreview" zoomScaleSheetLayoutView="100" workbookViewId="0">
      <selection activeCell="L17" sqref="L17"/>
    </sheetView>
  </sheetViews>
  <sheetFormatPr defaultColWidth="14.7265625" defaultRowHeight="12.5"/>
  <cols>
    <col min="1" max="1" width="33" customWidth="1"/>
    <col min="2" max="2" width="10.7265625" customWidth="1"/>
    <col min="3" max="3" width="9.7265625" customWidth="1"/>
    <col min="4" max="5" width="9.453125" customWidth="1"/>
    <col min="6" max="6" width="10.26953125" customWidth="1"/>
    <col min="7" max="7" width="9.7265625" customWidth="1"/>
    <col min="8" max="8" width="9.81640625" customWidth="1"/>
    <col min="9" max="9" width="10.26953125" customWidth="1"/>
    <col min="10" max="10" width="10.1796875" customWidth="1"/>
    <col min="11" max="11" width="9.54296875" customWidth="1"/>
    <col min="12" max="12" width="10.1796875" customWidth="1"/>
    <col min="13" max="13" width="10.26953125" customWidth="1"/>
    <col min="14" max="16" width="14.7265625" customWidth="1"/>
    <col min="17" max="17" width="14.7265625" hidden="1" customWidth="1"/>
  </cols>
  <sheetData>
    <row r="1" spans="1:13" ht="13">
      <c r="A1" s="20" t="s">
        <v>104</v>
      </c>
      <c r="K1" s="3" t="s">
        <v>0</v>
      </c>
      <c r="L1" s="21" t="s">
        <v>687</v>
      </c>
    </row>
    <row r="2" spans="1:13" ht="18">
      <c r="A2" s="27" t="s">
        <v>688</v>
      </c>
      <c r="B2" s="32"/>
      <c r="C2" s="32"/>
      <c r="D2" s="32"/>
      <c r="E2" s="32"/>
      <c r="F2" s="32"/>
      <c r="G2" s="32"/>
      <c r="H2" s="32"/>
      <c r="I2" s="32"/>
      <c r="J2" s="32"/>
      <c r="K2" s="32"/>
      <c r="L2" s="22"/>
      <c r="M2" s="22"/>
    </row>
    <row r="3" spans="1:13" ht="13" thickBot="1"/>
    <row r="4" spans="1:13" ht="16" thickBot="1">
      <c r="A4" s="120"/>
      <c r="B4" s="1993" t="s">
        <v>90</v>
      </c>
      <c r="C4" s="1994"/>
      <c r="D4" s="1995"/>
      <c r="E4" s="1993" t="s">
        <v>76</v>
      </c>
      <c r="F4" s="1994"/>
      <c r="G4" s="1995"/>
      <c r="H4" s="1993" t="s">
        <v>44</v>
      </c>
      <c r="I4" s="1994"/>
      <c r="J4" s="1995"/>
      <c r="K4" s="1993" t="s">
        <v>214</v>
      </c>
      <c r="L4" s="1994"/>
      <c r="M4" s="1995"/>
    </row>
    <row r="5" spans="1:13" ht="12.75" customHeight="1">
      <c r="A5" s="121"/>
      <c r="B5" s="1990" t="s">
        <v>689</v>
      </c>
      <c r="C5" s="1996" t="s">
        <v>690</v>
      </c>
      <c r="D5" s="1987" t="s">
        <v>691</v>
      </c>
      <c r="E5" s="1990" t="s">
        <v>689</v>
      </c>
      <c r="F5" s="1996" t="s">
        <v>690</v>
      </c>
      <c r="G5" s="1987" t="s">
        <v>691</v>
      </c>
      <c r="H5" s="1990" t="s">
        <v>689</v>
      </c>
      <c r="I5" s="1996" t="s">
        <v>690</v>
      </c>
      <c r="J5" s="1987" t="s">
        <v>691</v>
      </c>
      <c r="K5" s="1990" t="s">
        <v>689</v>
      </c>
      <c r="L5" s="1996" t="s">
        <v>690</v>
      </c>
      <c r="M5" s="1987" t="s">
        <v>691</v>
      </c>
    </row>
    <row r="6" spans="1:13">
      <c r="A6" s="122"/>
      <c r="B6" s="1991"/>
      <c r="C6" s="1997" t="s">
        <v>266</v>
      </c>
      <c r="D6" s="1988" t="s">
        <v>692</v>
      </c>
      <c r="E6" s="1991"/>
      <c r="F6" s="1997" t="s">
        <v>266</v>
      </c>
      <c r="G6" s="1988" t="s">
        <v>692</v>
      </c>
      <c r="H6" s="1991"/>
      <c r="I6" s="1997" t="s">
        <v>266</v>
      </c>
      <c r="J6" s="1988" t="s">
        <v>692</v>
      </c>
      <c r="K6" s="1991"/>
      <c r="L6" s="1997" t="s">
        <v>266</v>
      </c>
      <c r="M6" s="1988" t="s">
        <v>692</v>
      </c>
    </row>
    <row r="7" spans="1:13" ht="13" thickBot="1">
      <c r="A7" s="122"/>
      <c r="B7" s="1992"/>
      <c r="C7" s="1998"/>
      <c r="D7" s="1989"/>
      <c r="E7" s="1992"/>
      <c r="F7" s="1998"/>
      <c r="G7" s="1989"/>
      <c r="H7" s="1992"/>
      <c r="I7" s="1998"/>
      <c r="J7" s="1989"/>
      <c r="K7" s="1992"/>
      <c r="L7" s="1998"/>
      <c r="M7" s="1989"/>
    </row>
    <row r="8" spans="1:13" ht="15.5">
      <c r="A8" s="123" t="s">
        <v>693</v>
      </c>
      <c r="B8" s="124"/>
      <c r="C8" s="125"/>
      <c r="D8" s="126"/>
      <c r="E8" s="124"/>
      <c r="F8" s="125"/>
      <c r="G8" s="126"/>
      <c r="H8" s="124"/>
      <c r="I8" s="125"/>
      <c r="J8" s="126"/>
      <c r="K8" s="124"/>
      <c r="L8" s="125"/>
      <c r="M8" s="126"/>
    </row>
    <row r="9" spans="1:13">
      <c r="A9" s="122"/>
      <c r="B9" s="127"/>
      <c r="C9" s="128"/>
      <c r="D9" s="129"/>
      <c r="E9" s="127"/>
      <c r="F9" s="128"/>
      <c r="G9" s="129"/>
      <c r="H9" s="127"/>
      <c r="I9" s="128"/>
      <c r="J9" s="129"/>
      <c r="K9" s="127"/>
      <c r="L9" s="128"/>
      <c r="M9" s="129"/>
    </row>
    <row r="10" spans="1:13">
      <c r="A10" s="122" t="s">
        <v>166</v>
      </c>
      <c r="B10" s="127"/>
      <c r="C10" s="128"/>
      <c r="D10" s="129"/>
      <c r="E10" s="130">
        <f>'T-8'!BL36</f>
        <v>89.710038285149182</v>
      </c>
      <c r="F10" s="131">
        <f>'T-8'!BV36</f>
        <v>130.21774100752782</v>
      </c>
      <c r="G10" s="178">
        <f>'T-8'!BW36</f>
        <v>56.616409133707748</v>
      </c>
      <c r="H10" s="130">
        <f>'T-8'!BL16</f>
        <v>72.210377901672672</v>
      </c>
      <c r="I10" s="131">
        <f>'T-8'!BV16</f>
        <v>43475.973267063375</v>
      </c>
      <c r="J10" s="178">
        <f>I10/'T-8'!D16*10</f>
        <v>184.22022570789568</v>
      </c>
      <c r="K10" s="130">
        <f>('T-8'!BB16+'T-8'!BB36)/('T-8'!BU36+'T-8'!BU16)*100</f>
        <v>72.350795167271755</v>
      </c>
      <c r="L10" s="131">
        <f t="shared" ref="L10:L30" si="0">C10+F10+I10</f>
        <v>43606.191008070906</v>
      </c>
      <c r="M10" s="178">
        <f>('T-8'!BV16+'T-8'!BV36)/('T-8'!D16+'T-8'!D36)*10</f>
        <v>182.98863201036892</v>
      </c>
    </row>
    <row r="11" spans="1:13">
      <c r="A11" s="122" t="s">
        <v>694</v>
      </c>
      <c r="B11" s="127"/>
      <c r="C11" s="128"/>
      <c r="D11" s="129"/>
      <c r="E11" s="130"/>
      <c r="F11" s="131"/>
      <c r="G11" s="178"/>
      <c r="H11" s="130">
        <f>'T-8'!BL22</f>
        <v>114.05905355200517</v>
      </c>
      <c r="I11" s="131">
        <f>'T-8'!BV22</f>
        <v>-5125.9391192301337</v>
      </c>
      <c r="J11" s="178">
        <f>'T-8'!BW22</f>
        <v>-93.198893076911531</v>
      </c>
      <c r="K11" s="130">
        <f>'T-8'!BL22</f>
        <v>114.05905355200517</v>
      </c>
      <c r="L11" s="131">
        <f t="shared" si="0"/>
        <v>-5125.9391192301337</v>
      </c>
      <c r="M11" s="178">
        <f>'T-8'!BW22</f>
        <v>-93.198893076911531</v>
      </c>
    </row>
    <row r="12" spans="1:13">
      <c r="A12" s="122" t="s">
        <v>62</v>
      </c>
      <c r="B12" s="127"/>
      <c r="C12" s="128"/>
      <c r="D12" s="129"/>
      <c r="E12" s="130">
        <f>'T-8'!BL37</f>
        <v>80.107883652874918</v>
      </c>
      <c r="F12" s="131">
        <f>'T-8'!BV37</f>
        <v>930.31169067999417</v>
      </c>
      <c r="G12" s="178">
        <f>'T-8'!BW37</f>
        <v>109.44843419764638</v>
      </c>
      <c r="H12" s="130">
        <f>'T-8'!BL23</f>
        <v>24.351087430810452</v>
      </c>
      <c r="I12" s="131">
        <f>'T-8'!BV23</f>
        <v>18053.435529089274</v>
      </c>
      <c r="J12" s="178">
        <f>'T-8'!BW23</f>
        <v>501.48432025247985</v>
      </c>
      <c r="K12" s="130">
        <f>('T-8'!BB23+'T-8'!BB37)/('T-8'!BU37+'T-8'!BU23)*100</f>
        <v>33.487332164750718</v>
      </c>
      <c r="L12" s="131">
        <f t="shared" si="0"/>
        <v>18983.74721976927</v>
      </c>
      <c r="M12" s="178">
        <f>('T-8'!BV23+'T-8'!BV37)/('T-8'!D23+'T-8'!D37)*10</f>
        <v>426.60106111841054</v>
      </c>
    </row>
    <row r="13" spans="1:13">
      <c r="A13" s="122" t="s">
        <v>63</v>
      </c>
      <c r="B13" s="127"/>
      <c r="C13" s="128"/>
      <c r="D13" s="129"/>
      <c r="E13" s="130">
        <f>'T-8'!BL38</f>
        <v>28.081292182553486</v>
      </c>
      <c r="F13" s="131">
        <f>'T-8'!BV38</f>
        <v>221.59423868009372</v>
      </c>
      <c r="G13" s="178">
        <f>'T-8'!BW38</f>
        <v>395.70399764302454</v>
      </c>
      <c r="H13" s="130">
        <f>'T-8'!BL24</f>
        <v>25.316606704570649</v>
      </c>
      <c r="I13" s="131">
        <f>'T-8'!BV24</f>
        <v>544.5921744786167</v>
      </c>
      <c r="J13" s="178">
        <f>'T-8'!BW24</f>
        <v>495.08379498056064</v>
      </c>
      <c r="K13" s="130">
        <f>('T-8'!BB24+'T-8'!BB38)/('T-8'!BU38+'T-8'!BU24)*100</f>
        <v>26.137808823398057</v>
      </c>
      <c r="L13" s="131">
        <f>C13+F13+I13</f>
        <v>766.18641315871037</v>
      </c>
      <c r="M13" s="178">
        <f>('T-8'!BV24+'T-8'!BV38)/('T-8'!D24+'T-8'!D38)*10</f>
        <v>461.55808021609056</v>
      </c>
    </row>
    <row r="14" spans="1:13">
      <c r="A14" s="122" t="s">
        <v>64</v>
      </c>
      <c r="B14" s="127"/>
      <c r="C14" s="128"/>
      <c r="D14" s="129"/>
      <c r="E14" s="130">
        <f>'T-8'!BL39</f>
        <v>57.868264551102143</v>
      </c>
      <c r="F14" s="131">
        <f>'T-8'!BV39</f>
        <v>190.0867139244229</v>
      </c>
      <c r="G14" s="178">
        <f>'T-8'!BW39</f>
        <v>231.81306576149137</v>
      </c>
      <c r="H14" s="130">
        <f>'T-8'!BL25</f>
        <v>52.185210873307163</v>
      </c>
      <c r="I14" s="131">
        <f>'T-8'!BV25</f>
        <v>96.154652465077277</v>
      </c>
      <c r="J14" s="178">
        <f>'T-8'!BW25</f>
        <v>320.51550821692422</v>
      </c>
      <c r="K14" s="130">
        <f>('T-8'!BB25+'T-8'!BB39)/('T-8'!BU39+'T-8'!BU25)*100</f>
        <v>56.535306141302591</v>
      </c>
      <c r="L14" s="131">
        <f>C14+F14+I14</f>
        <v>286.24136638950017</v>
      </c>
      <c r="M14" s="178">
        <f>('T-8'!BV25+'T-8'!BV39)/('T-8'!D25+'T-8'!D39)*10</f>
        <v>255.57264856205376</v>
      </c>
    </row>
    <row r="15" spans="1:13">
      <c r="A15" s="122" t="s">
        <v>695</v>
      </c>
      <c r="B15" s="127"/>
      <c r="C15" s="128"/>
      <c r="D15" s="129"/>
      <c r="E15" s="133"/>
      <c r="F15" s="128"/>
      <c r="G15" s="178"/>
      <c r="H15" s="130">
        <f>'T-8'!BL26</f>
        <v>94.364709472339342</v>
      </c>
      <c r="I15" s="131">
        <f>'T-8'!BV26</f>
        <v>194.25594720800609</v>
      </c>
      <c r="J15" s="178">
        <f>'T-8'!BW26</f>
        <v>37.356912924616552</v>
      </c>
      <c r="K15" s="130">
        <f>'T-8'!BL26</f>
        <v>94.364709472339342</v>
      </c>
      <c r="L15" s="131">
        <f t="shared" si="0"/>
        <v>194.25594720800609</v>
      </c>
      <c r="M15" s="178">
        <f>'T-8'!BW26</f>
        <v>37.356912924616552</v>
      </c>
    </row>
    <row r="16" spans="1:13">
      <c r="A16" s="122" t="s">
        <v>174</v>
      </c>
      <c r="B16" s="127"/>
      <c r="C16" s="128"/>
      <c r="D16" s="129"/>
      <c r="E16" s="133"/>
      <c r="F16" s="128"/>
      <c r="G16" s="178"/>
      <c r="H16" s="130">
        <f>'T-8'!BL27</f>
        <v>105.53057532448891</v>
      </c>
      <c r="I16" s="131">
        <f>'T-8'!BV27</f>
        <v>-76.991764948458922</v>
      </c>
      <c r="J16" s="178">
        <f>'T-8'!BW27</f>
        <v>-36.662745213551865</v>
      </c>
      <c r="K16" s="130">
        <f>'T-8'!BL27</f>
        <v>105.53057532448891</v>
      </c>
      <c r="L16" s="131">
        <f t="shared" si="0"/>
        <v>-76.991764948458922</v>
      </c>
      <c r="M16" s="178">
        <f>'T-8'!BW27</f>
        <v>-36.662745213551865</v>
      </c>
    </row>
    <row r="17" spans="1:14">
      <c r="A17" s="122" t="s">
        <v>696</v>
      </c>
      <c r="B17" s="127"/>
      <c r="C17" s="128"/>
      <c r="D17" s="129"/>
      <c r="E17" s="130"/>
      <c r="F17" s="131"/>
      <c r="G17" s="178"/>
      <c r="H17" s="130">
        <f>'T-8'!BL28</f>
        <v>109.23887144648097</v>
      </c>
      <c r="I17" s="131">
        <f>'T-8'!BV28</f>
        <v>-340.22432397737703</v>
      </c>
      <c r="J17" s="178">
        <f>'T-8'!BW28</f>
        <v>-54.003860948790006</v>
      </c>
      <c r="K17" s="130">
        <f>'T-8'!BL28</f>
        <v>109.23887144648097</v>
      </c>
      <c r="L17" s="131">
        <f t="shared" si="0"/>
        <v>-340.22432397737703</v>
      </c>
      <c r="M17" s="178">
        <f>'T-8'!BW28</f>
        <v>-54.003860948790006</v>
      </c>
    </row>
    <row r="18" spans="1:14">
      <c r="A18" s="122" t="s">
        <v>697</v>
      </c>
      <c r="B18" s="127"/>
      <c r="C18" s="128"/>
      <c r="D18" s="129"/>
      <c r="E18" s="130">
        <f>'T-8'!BL40</f>
        <v>135.9487323587139</v>
      </c>
      <c r="F18" s="131">
        <f>'T-8'!BV40</f>
        <v>-929.62972250635676</v>
      </c>
      <c r="G18" s="178">
        <f>'T-8'!BW40</f>
        <v>-197.79355798007589</v>
      </c>
      <c r="H18" s="130">
        <f>'T-8'!BL29</f>
        <v>99.990293934726381</v>
      </c>
      <c r="I18" s="131">
        <f>'T-8'!BV29</f>
        <v>42.833923668315947</v>
      </c>
      <c r="J18" s="178">
        <f>'T-8'!BW29</f>
        <v>6.6928005731743667</v>
      </c>
      <c r="K18" s="130">
        <f>'T-8'!BL29</f>
        <v>99.990293934726381</v>
      </c>
      <c r="L18" s="131">
        <f t="shared" si="0"/>
        <v>-886.79579883804081</v>
      </c>
      <c r="M18" s="178">
        <f>'T-8'!BW29</f>
        <v>6.6928005731743667</v>
      </c>
    </row>
    <row r="19" spans="1:14">
      <c r="A19" s="122" t="s">
        <v>89</v>
      </c>
      <c r="B19" s="127"/>
      <c r="C19" s="128"/>
      <c r="D19" s="129"/>
      <c r="E19" s="130">
        <f>'T-8'!BL43</f>
        <v>121.14831943855908</v>
      </c>
      <c r="F19" s="131">
        <f>'T-8'!BV43</f>
        <v>-2269.0237155953037</v>
      </c>
      <c r="G19" s="178">
        <f>'T-8'!BW43</f>
        <v>-116.36019054334892</v>
      </c>
      <c r="H19" s="130" t="e">
        <f>'T-8'!BL32</f>
        <v>#DIV/0!</v>
      </c>
      <c r="I19" s="131">
        <f>'T-8'!BV32</f>
        <v>-6.0377407200000004</v>
      </c>
      <c r="J19" s="178" t="e">
        <f>'T-8'!BW32</f>
        <v>#DIV/0!</v>
      </c>
      <c r="K19" s="130">
        <f>('T-8'!BB32+'T-8'!BB43)/('T-8'!BU43+'T-8'!BU32)*100</f>
        <v>122.42888271918932</v>
      </c>
      <c r="L19" s="131">
        <f t="shared" si="0"/>
        <v>-2275.0614563153035</v>
      </c>
      <c r="M19" s="178">
        <f>('T-8'!BV32+'T-8'!BV43)/('T-8'!D43+'T-8'!D32)*10</f>
        <v>-116.66981827257968</v>
      </c>
    </row>
    <row r="20" spans="1:14">
      <c r="A20" s="122" t="s">
        <v>698</v>
      </c>
      <c r="B20" s="127"/>
      <c r="C20" s="128"/>
      <c r="D20" s="129"/>
      <c r="E20" s="130"/>
      <c r="F20" s="131"/>
      <c r="G20" s="178"/>
      <c r="H20" s="130">
        <f>'T-8'!BL30</f>
        <v>99.0006683443562</v>
      </c>
      <c r="I20" s="131">
        <f>'T-8'!BV30</f>
        <v>39.748025901546043</v>
      </c>
      <c r="J20" s="178">
        <f>'T-8'!BW30</f>
        <v>6.6246709835910069</v>
      </c>
      <c r="K20" s="130">
        <f>'T-8'!BL30</f>
        <v>99.0006683443562</v>
      </c>
      <c r="L20" s="131">
        <f t="shared" si="0"/>
        <v>39.748025901546043</v>
      </c>
      <c r="M20" s="178">
        <f>'T-8'!BW30</f>
        <v>6.6246709835910069</v>
      </c>
    </row>
    <row r="21" spans="1:14">
      <c r="A21" s="122" t="s">
        <v>699</v>
      </c>
      <c r="B21" s="127"/>
      <c r="C21" s="128"/>
      <c r="D21" s="129"/>
      <c r="E21" s="130">
        <f>'T-8'!BL44</f>
        <v>123.23339069550319</v>
      </c>
      <c r="F21" s="131">
        <f>'T-8'!BV44</f>
        <v>-664.72880911341508</v>
      </c>
      <c r="G21" s="178">
        <f>'T-8'!BW44</f>
        <v>-127.83246329104136</v>
      </c>
      <c r="H21" s="130">
        <f>'T-8'!BL31</f>
        <v>604.49036664633229</v>
      </c>
      <c r="I21" s="131">
        <f>'T-8'!BV31</f>
        <v>-33.032454493830755</v>
      </c>
      <c r="J21" s="178">
        <f>'T-8'!BW31</f>
        <v>-3303.2454493830755</v>
      </c>
      <c r="K21" s="130">
        <f>('T-8'!BB31+'T-8'!BB44)/('T-8'!BU31+'T-8'!BU44)*100</f>
        <v>125.58919393485455</v>
      </c>
      <c r="L21" s="131">
        <f t="shared" si="0"/>
        <v>-697.76126360724584</v>
      </c>
      <c r="M21" s="178">
        <f>('T-8'!BV31+'T-8'!BV44)/('T-8'!D44+'T-8'!D31)*10</f>
        <v>-133.92730587471129</v>
      </c>
    </row>
    <row r="22" spans="1:14">
      <c r="A22" s="122" t="s">
        <v>72</v>
      </c>
      <c r="B22" s="130">
        <f>'T-8'!BL56</f>
        <v>130.75443549973599</v>
      </c>
      <c r="C22" s="131">
        <f>'T-8'!BV56</f>
        <v>-8698.7702619999873</v>
      </c>
      <c r="D22" s="178">
        <f>'T-8'!BW56</f>
        <v>-142.8060301163292</v>
      </c>
      <c r="E22" s="130">
        <f>'T-8'!BL45</f>
        <v>115.44488359655642</v>
      </c>
      <c r="F22" s="131">
        <f>'T-8'!BV45</f>
        <v>-11348.278719052032</v>
      </c>
      <c r="G22" s="178">
        <f>'T-8'!BW45</f>
        <v>-84.979310220670442</v>
      </c>
      <c r="H22" s="130"/>
      <c r="I22" s="131"/>
      <c r="J22" s="178"/>
      <c r="K22" s="130">
        <f>('T-8'!BB33+'T-8'!BB45+'T-8'!BB56)/('T-8'!BU56+'T-8'!BU45+'T-8'!BU33)*100</f>
        <v>120.90930437757153</v>
      </c>
      <c r="L22" s="131">
        <f t="shared" si="0"/>
        <v>-20047.048981052019</v>
      </c>
      <c r="M22" s="178">
        <f>('T-8'!BV33+'T-8'!BV45+'T-8'!BV56)/('T-8'!D56+'T-8'!D45+'T-8'!D33)*10</f>
        <v>-103.09359069771595</v>
      </c>
    </row>
    <row r="23" spans="1:14">
      <c r="A23" s="122" t="s">
        <v>84</v>
      </c>
      <c r="B23" s="130">
        <f>'T-8'!BL58</f>
        <v>139.44541287434231</v>
      </c>
      <c r="C23" s="131">
        <f>'T-8'!BV58</f>
        <v>-17992.521446909799</v>
      </c>
      <c r="D23" s="178">
        <f>'T-8'!BW58</f>
        <v>-183.16196435901827</v>
      </c>
      <c r="E23" s="130">
        <f>'T-8'!BL49</f>
        <v>103.57988612764272</v>
      </c>
      <c r="F23" s="131">
        <f>'T-8'!BV49</f>
        <v>-3.8182895214118324E-6</v>
      </c>
      <c r="G23" s="178">
        <f>'T-8'!BW49</f>
        <v>-38.182895214118325</v>
      </c>
      <c r="H23" s="130"/>
      <c r="I23" s="131"/>
      <c r="J23" s="178"/>
      <c r="K23" s="130">
        <f>('T-8'!BB49+'T-8'!BB58)/('T-8'!BU58+'T-8'!BU49)*100</f>
        <v>140.85395235667309</v>
      </c>
      <c r="L23" s="131">
        <f t="shared" si="0"/>
        <v>-17992.521450728087</v>
      </c>
      <c r="M23" s="178">
        <f>('T-8'!BV49+'T-8'!BV58)/('T-8'!D58+'T-8'!D49)*10</f>
        <v>-183.1619642114311</v>
      </c>
      <c r="N23" s="347"/>
    </row>
    <row r="24" spans="1:14">
      <c r="A24" s="122" t="s">
        <v>91</v>
      </c>
      <c r="B24" s="130">
        <f>'T-8'!BL59</f>
        <v>167.78616533210743</v>
      </c>
      <c r="C24" s="131">
        <f>'T-8'!BV59</f>
        <v>-8856.9627386476768</v>
      </c>
      <c r="D24" s="178">
        <f>'T-8'!BW59</f>
        <v>-314.76022923491803</v>
      </c>
      <c r="E24" s="130"/>
      <c r="F24" s="131"/>
      <c r="G24" s="178"/>
      <c r="H24" s="130"/>
      <c r="I24" s="131"/>
      <c r="J24" s="178"/>
      <c r="K24" s="130">
        <f>'T-8'!BL59</f>
        <v>167.78616533210743</v>
      </c>
      <c r="L24" s="131">
        <f t="shared" si="0"/>
        <v>-8856.9627386476768</v>
      </c>
      <c r="M24" s="178">
        <f>'T-8'!BW59</f>
        <v>-314.76022923491803</v>
      </c>
      <c r="N24" s="347"/>
    </row>
    <row r="25" spans="1:14">
      <c r="A25" s="122" t="s">
        <v>82</v>
      </c>
      <c r="B25" s="130">
        <f>'T-8'!BL60</f>
        <v>141.72800177567555</v>
      </c>
      <c r="C25" s="131">
        <f>'T-8'!BV60</f>
        <v>-31551.948551737107</v>
      </c>
      <c r="D25" s="178">
        <f>'T-8'!BW60</f>
        <v>-193.76100329731355</v>
      </c>
      <c r="E25" s="130">
        <f>'T-8'!BL47</f>
        <v>105.02508743015255</v>
      </c>
      <c r="F25" s="131">
        <f>'T-8'!BV47</f>
        <v>-1799.925220386096</v>
      </c>
      <c r="G25" s="178">
        <f>'T-8'!BW47</f>
        <v>-27.648538815024551</v>
      </c>
      <c r="H25" s="130"/>
      <c r="I25" s="131"/>
      <c r="J25" s="178"/>
      <c r="K25" s="130">
        <f>'T-8'!BL60</f>
        <v>141.72800177567555</v>
      </c>
      <c r="L25" s="131">
        <f t="shared" si="0"/>
        <v>-33351.873772123203</v>
      </c>
      <c r="M25" s="178">
        <f>'T-8'!BW60</f>
        <v>-193.76100329731355</v>
      </c>
      <c r="N25" s="347"/>
    </row>
    <row r="26" spans="1:14">
      <c r="A26" s="122" t="s">
        <v>700</v>
      </c>
      <c r="B26" s="130">
        <f>'T-8'!BL62</f>
        <v>156.21275263977802</v>
      </c>
      <c r="C26" s="131">
        <f>'T-8'!BV62</f>
        <v>-199.97493254694371</v>
      </c>
      <c r="D26" s="178">
        <f>'T-8'!BW62</f>
        <v>-261.01991195601073</v>
      </c>
      <c r="E26" s="130">
        <f>'T-8'!BL48</f>
        <v>106.54652645368216</v>
      </c>
      <c r="F26" s="131">
        <f>'T-8'!BV48</f>
        <v>-838.25958858112062</v>
      </c>
      <c r="G26" s="178">
        <f>'T-8'!BW48</f>
        <v>-36.01965006064006</v>
      </c>
      <c r="H26" s="130"/>
      <c r="I26" s="131"/>
      <c r="J26" s="178"/>
      <c r="K26" s="130">
        <f>'T-8'!BL62</f>
        <v>156.21275263977802</v>
      </c>
      <c r="L26" s="131">
        <f t="shared" si="0"/>
        <v>-1038.2345211280644</v>
      </c>
      <c r="M26" s="178">
        <f>'T-8'!BW62</f>
        <v>-261.01991195601073</v>
      </c>
    </row>
    <row r="27" spans="1:14">
      <c r="A27" s="122" t="s">
        <v>701</v>
      </c>
      <c r="B27" s="130">
        <f>'T-8'!BL64</f>
        <v>103.40419233816185</v>
      </c>
      <c r="C27" s="131">
        <f>'T-8'!BV64</f>
        <v>-55.324936056564184</v>
      </c>
      <c r="D27" s="178">
        <f>'T-8'!BW64</f>
        <v>-15.807124587589767</v>
      </c>
      <c r="E27" s="130">
        <f>'T-8'!BL51</f>
        <v>88.166319698686792</v>
      </c>
      <c r="F27" s="131">
        <f>'T-8'!BV51</f>
        <v>46.879275445834821</v>
      </c>
      <c r="G27" s="178">
        <f>'T-8'!BW51</f>
        <v>65.110104785881703</v>
      </c>
      <c r="H27" s="130"/>
      <c r="I27" s="131"/>
      <c r="J27" s="178"/>
      <c r="K27" s="130">
        <f>('T-8'!BB51+'T-8'!BB64)/('T-8'!BU64+'T-8'!BU51)*100</f>
        <v>101.43214393493196</v>
      </c>
      <c r="L27" s="131">
        <f t="shared" si="0"/>
        <v>-8.4456606107293624</v>
      </c>
      <c r="M27" s="178">
        <f>('T-8'!BV51+'T-8'!BV64)/('T-8'!D64+'T-8'!D51)*10</f>
        <v>-2.0013413769500858</v>
      </c>
    </row>
    <row r="28" spans="1:14">
      <c r="A28" s="122" t="s">
        <v>702</v>
      </c>
      <c r="B28" s="130">
        <f>'T-8'!BL63</f>
        <v>164.33801182849055</v>
      </c>
      <c r="C28" s="131">
        <f>'T-8'!BV63</f>
        <v>-31.374603455953547</v>
      </c>
      <c r="D28" s="178">
        <f>'T-8'!BW63</f>
        <v>-298.74897410758967</v>
      </c>
      <c r="E28" s="131" t="e">
        <f>'T-8'!BL50</f>
        <v>#DIV/0!</v>
      </c>
      <c r="F28" s="131">
        <f>'T-8'!BV50</f>
        <v>0</v>
      </c>
      <c r="G28" s="178" t="e">
        <f>'T-8'!BW50</f>
        <v>#DIV/0!</v>
      </c>
      <c r="H28" s="130"/>
      <c r="I28" s="131"/>
      <c r="J28" s="178"/>
      <c r="K28" s="130"/>
      <c r="L28" s="131">
        <f t="shared" si="0"/>
        <v>-31.374603455953547</v>
      </c>
      <c r="M28" s="132"/>
    </row>
    <row r="29" spans="1:14">
      <c r="A29" s="122" t="s">
        <v>703</v>
      </c>
      <c r="B29" s="130"/>
      <c r="C29" s="131"/>
      <c r="D29" s="178"/>
      <c r="E29" s="130"/>
      <c r="F29" s="131"/>
      <c r="G29" s="178"/>
      <c r="H29" s="130"/>
      <c r="I29" s="131"/>
      <c r="J29" s="178"/>
      <c r="K29" s="130"/>
      <c r="L29" s="131">
        <f t="shared" si="0"/>
        <v>0</v>
      </c>
      <c r="M29" s="132"/>
    </row>
    <row r="30" spans="1:14">
      <c r="A30" s="122" t="s">
        <v>704</v>
      </c>
      <c r="B30" s="130">
        <f>'T-8'!BL65</f>
        <v>0</v>
      </c>
      <c r="C30" s="131">
        <f>'T-8'!BV65</f>
        <v>0</v>
      </c>
      <c r="D30" s="205">
        <f>'T-8'!BW65</f>
        <v>0</v>
      </c>
      <c r="E30" s="130"/>
      <c r="F30" s="131"/>
      <c r="G30" s="178"/>
      <c r="H30" s="130"/>
      <c r="I30" s="131"/>
      <c r="J30" s="178"/>
      <c r="K30" s="130"/>
      <c r="L30" s="131">
        <f t="shared" si="0"/>
        <v>0</v>
      </c>
      <c r="M30" s="132"/>
    </row>
    <row r="31" spans="1:14">
      <c r="A31" s="122"/>
      <c r="B31" s="130"/>
      <c r="C31" s="131"/>
      <c r="D31" s="178"/>
      <c r="E31" s="130"/>
      <c r="F31" s="131"/>
      <c r="G31" s="178"/>
      <c r="H31" s="130"/>
      <c r="I31" s="131"/>
      <c r="J31" s="178"/>
      <c r="K31" s="130"/>
      <c r="L31" s="131"/>
      <c r="M31" s="132"/>
    </row>
    <row r="32" spans="1:14" ht="15.5">
      <c r="A32" s="123" t="s">
        <v>214</v>
      </c>
      <c r="B32" s="134">
        <f>'T-8'!BB66/'T-8'!BU66*100</f>
        <v>141.86787295125635</v>
      </c>
      <c r="C32" s="135">
        <f>SUM(C10:C31)</f>
        <v>-67386.877471354033</v>
      </c>
      <c r="D32" s="179">
        <f>'T-8'!BV66/'T-8'!D66*10</f>
        <v>-187.86951954848814</v>
      </c>
      <c r="E32" s="134">
        <f>'T-8'!BB53/'T-8'!BU53*100</f>
        <v>112.19665435804733</v>
      </c>
      <c r="F32" s="135">
        <f>SUM(F10:F31)</f>
        <v>-16330.756119314741</v>
      </c>
      <c r="G32" s="179">
        <f>'T-8'!BV53/'T-8'!D53*10</f>
        <v>-61.15022929546916</v>
      </c>
      <c r="H32" s="134">
        <f>'T-8'!BB34/'T-8'!BU34*100</f>
        <v>75.834379627888808</v>
      </c>
      <c r="I32" s="135">
        <f>SUM(I10:I31)</f>
        <v>56864.768116504405</v>
      </c>
      <c r="J32" s="179">
        <f>'T-8'!BV34/'T-8'!D34*10</f>
        <v>160.44910729523551</v>
      </c>
      <c r="K32" s="134">
        <f>'T-8'!BB67/'T-8'!BU67*100</f>
        <v>105.65038667862952</v>
      </c>
      <c r="L32" s="135">
        <f>SUM(L10:L31)</f>
        <v>-26852.865474164362</v>
      </c>
      <c r="M32" s="136"/>
    </row>
    <row r="33" spans="1:13" ht="13" thickBot="1">
      <c r="A33" s="137"/>
      <c r="B33" s="138"/>
      <c r="C33" s="139"/>
      <c r="D33" s="140"/>
      <c r="E33" s="141"/>
      <c r="F33" s="142"/>
      <c r="G33" s="143"/>
      <c r="H33" s="141"/>
      <c r="I33" s="142"/>
      <c r="J33" s="143"/>
      <c r="K33" s="141"/>
      <c r="L33" s="142"/>
      <c r="M33" s="143"/>
    </row>
    <row r="34" spans="1:13">
      <c r="B34" s="7"/>
    </row>
    <row r="35" spans="1:13">
      <c r="B35" s="7"/>
    </row>
    <row r="38" spans="1:13">
      <c r="L38" s="7"/>
    </row>
    <row r="39" spans="1:13">
      <c r="L39" s="7"/>
    </row>
    <row r="40" spans="1:13">
      <c r="L40" s="7"/>
    </row>
    <row r="41" spans="1:13">
      <c r="L41" s="7"/>
    </row>
    <row r="42" spans="1:13">
      <c r="L42" s="7"/>
    </row>
    <row r="43" spans="1:13">
      <c r="L43" s="7"/>
    </row>
  </sheetData>
  <mergeCells count="16">
    <mergeCell ref="J5:J7"/>
    <mergeCell ref="K5:K7"/>
    <mergeCell ref="B4:D4"/>
    <mergeCell ref="E4:G4"/>
    <mergeCell ref="H4:J4"/>
    <mergeCell ref="K4:M4"/>
    <mergeCell ref="L5:L7"/>
    <mergeCell ref="M5:M7"/>
    <mergeCell ref="B5:B7"/>
    <mergeCell ref="C5:C7"/>
    <mergeCell ref="H5:H7"/>
    <mergeCell ref="I5:I7"/>
    <mergeCell ref="D5:D7"/>
    <mergeCell ref="E5:E7"/>
    <mergeCell ref="F5:F7"/>
    <mergeCell ref="G5:G7"/>
  </mergeCells>
  <phoneticPr fontId="0" type="noConversion"/>
  <printOptions horizontalCentered="1" gridLines="1"/>
  <pageMargins left="0.23622047244094491" right="0" top="0.51181102362204722" bottom="0.51181102362204722" header="0.51181102362204722" footer="0.51181102362204722"/>
  <pageSetup paperSize="9" scale="95" orientation="landscape" r:id="rId1"/>
  <headerFooter alignWithMargins="0">
    <oddFooter>&amp;R&amp;"Arial,Bold"&amp;12OERC FORM-&amp;A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7"/>
  <dimension ref="A1:Q42"/>
  <sheetViews>
    <sheetView showGridLines="0" view="pageBreakPreview" topLeftCell="A3" zoomScale="85" workbookViewId="0">
      <selection activeCell="L17" sqref="L17"/>
    </sheetView>
  </sheetViews>
  <sheetFormatPr defaultColWidth="14.7265625" defaultRowHeight="12.5"/>
  <cols>
    <col min="1" max="1" width="6" customWidth="1"/>
    <col min="2" max="2" width="45.26953125" customWidth="1"/>
    <col min="3" max="3" width="21.81640625" customWidth="1"/>
    <col min="4" max="4" width="20" customWidth="1"/>
    <col min="5" max="16" width="14.7265625" customWidth="1"/>
    <col min="17" max="17" width="14.7265625" hidden="1" customWidth="1"/>
  </cols>
  <sheetData>
    <row r="1" spans="1:4" ht="13">
      <c r="A1" s="20" t="s">
        <v>104</v>
      </c>
      <c r="C1" s="3" t="s">
        <v>0</v>
      </c>
      <c r="D1" s="21" t="s">
        <v>705</v>
      </c>
    </row>
    <row r="2" spans="1:4">
      <c r="A2" s="1999" t="s">
        <v>706</v>
      </c>
      <c r="B2" s="1999"/>
      <c r="C2" s="1999"/>
      <c r="D2" s="1999"/>
    </row>
    <row r="3" spans="1:4">
      <c r="A3" s="1999"/>
      <c r="B3" s="1999"/>
      <c r="C3" s="1999"/>
      <c r="D3" s="1999"/>
    </row>
    <row r="4" spans="1:4">
      <c r="A4" s="1999"/>
      <c r="B4" s="1999"/>
      <c r="C4" s="1999"/>
      <c r="D4" s="1999"/>
    </row>
    <row r="5" spans="1:4" ht="13">
      <c r="D5" s="2" t="s">
        <v>707</v>
      </c>
    </row>
    <row r="6" spans="1:4" ht="15.5">
      <c r="A6" s="997" t="s">
        <v>708</v>
      </c>
      <c r="B6" s="1294" t="s">
        <v>709</v>
      </c>
      <c r="C6" s="1316" t="s">
        <v>302</v>
      </c>
      <c r="D6" s="1316" t="s">
        <v>303</v>
      </c>
    </row>
    <row r="7" spans="1:4" ht="15.5">
      <c r="A7" s="23"/>
      <c r="B7" s="867"/>
      <c r="C7" s="1316"/>
      <c r="D7" s="483"/>
    </row>
    <row r="8" spans="1:4">
      <c r="A8" s="867">
        <v>1</v>
      </c>
      <c r="B8" s="1198" t="s">
        <v>2252</v>
      </c>
      <c r="C8" s="1233">
        <v>40</v>
      </c>
      <c r="D8" s="1233">
        <v>40</v>
      </c>
    </row>
    <row r="9" spans="1:4">
      <c r="A9" s="867">
        <v>2</v>
      </c>
      <c r="B9" s="1198" t="s">
        <v>2253</v>
      </c>
      <c r="C9" s="1233">
        <v>60</v>
      </c>
      <c r="D9" s="1233">
        <v>60</v>
      </c>
    </row>
    <row r="10" spans="1:4" ht="25">
      <c r="A10" s="867">
        <v>3</v>
      </c>
      <c r="B10" s="1256" t="s">
        <v>2254</v>
      </c>
      <c r="C10" s="1233">
        <v>150</v>
      </c>
      <c r="D10" s="1233">
        <v>150</v>
      </c>
    </row>
    <row r="11" spans="1:4" ht="25">
      <c r="A11" s="867">
        <v>4</v>
      </c>
      <c r="B11" s="1256" t="s">
        <v>2255</v>
      </c>
      <c r="C11" s="1233">
        <v>500</v>
      </c>
      <c r="D11" s="1233">
        <v>500</v>
      </c>
    </row>
    <row r="12" spans="1:4" ht="25">
      <c r="A12" s="867">
        <v>5</v>
      </c>
      <c r="B12" s="1256" t="s">
        <v>2256</v>
      </c>
      <c r="C12" s="1233">
        <v>1000</v>
      </c>
      <c r="D12" s="1233">
        <v>1000</v>
      </c>
    </row>
    <row r="13" spans="1:4" ht="25">
      <c r="A13" s="867">
        <v>6</v>
      </c>
      <c r="B13" s="1256" t="s">
        <v>2257</v>
      </c>
      <c r="C13" s="1233">
        <v>2000</v>
      </c>
      <c r="D13" s="1233">
        <v>2000</v>
      </c>
    </row>
    <row r="14" spans="1:4">
      <c r="A14" s="867">
        <v>7</v>
      </c>
      <c r="B14" s="1198" t="s">
        <v>2258</v>
      </c>
      <c r="C14" s="1233">
        <v>1000</v>
      </c>
      <c r="D14" s="1233">
        <v>1000</v>
      </c>
    </row>
    <row r="15" spans="1:4" hidden="1">
      <c r="A15" s="23">
        <v>8</v>
      </c>
      <c r="B15" s="867"/>
      <c r="C15" s="1233">
        <v>1000</v>
      </c>
      <c r="D15" s="1233">
        <v>1000</v>
      </c>
    </row>
    <row r="16" spans="1:4" hidden="1">
      <c r="A16" s="23">
        <v>9</v>
      </c>
      <c r="B16" s="867"/>
      <c r="C16" s="1233">
        <v>60</v>
      </c>
      <c r="D16" s="1233">
        <v>80</v>
      </c>
    </row>
    <row r="17" spans="1:14" hidden="1">
      <c r="A17" s="23">
        <v>10</v>
      </c>
      <c r="B17" s="867"/>
      <c r="C17" s="1233">
        <v>150</v>
      </c>
      <c r="D17" s="1233">
        <v>150</v>
      </c>
    </row>
    <row r="18" spans="1:14" hidden="1">
      <c r="A18" s="23">
        <v>11</v>
      </c>
      <c r="B18" s="867"/>
      <c r="C18" s="934"/>
      <c r="D18" s="934"/>
    </row>
    <row r="19" spans="1:14" hidden="1">
      <c r="A19" s="23">
        <v>12</v>
      </c>
      <c r="B19" s="867"/>
      <c r="C19" s="934"/>
      <c r="D19" s="934"/>
    </row>
    <row r="20" spans="1:14">
      <c r="A20" s="23"/>
      <c r="B20" s="867"/>
      <c r="C20" s="934"/>
      <c r="D20" s="934"/>
    </row>
    <row r="21" spans="1:14" ht="15.5">
      <c r="A21" s="969" t="s">
        <v>710</v>
      </c>
      <c r="B21" s="1294" t="s">
        <v>711</v>
      </c>
      <c r="C21" s="934"/>
      <c r="D21" s="934"/>
    </row>
    <row r="22" spans="1:14" ht="13">
      <c r="A22" s="23"/>
      <c r="B22" s="867"/>
      <c r="C22" s="723"/>
      <c r="D22" s="934"/>
      <c r="N22" s="347"/>
    </row>
    <row r="23" spans="1:14">
      <c r="A23" s="23">
        <v>1</v>
      </c>
      <c r="B23" s="867" t="s">
        <v>712</v>
      </c>
      <c r="C23" s="1233">
        <v>150</v>
      </c>
      <c r="D23" s="1233">
        <f>150*2</f>
        <v>300</v>
      </c>
      <c r="G23" s="161"/>
      <c r="N23" s="347"/>
    </row>
    <row r="24" spans="1:14">
      <c r="A24" s="23">
        <v>2</v>
      </c>
      <c r="B24" s="867" t="s">
        <v>713</v>
      </c>
      <c r="C24" s="1233">
        <v>400</v>
      </c>
      <c r="D24" s="1233">
        <f>400*2</f>
        <v>800</v>
      </c>
      <c r="N24" s="347"/>
    </row>
    <row r="25" spans="1:14">
      <c r="A25" s="23">
        <v>3</v>
      </c>
      <c r="B25" s="1198" t="s">
        <v>2259</v>
      </c>
      <c r="C25" s="1233">
        <v>600</v>
      </c>
      <c r="D25" s="1233">
        <f>600*2</f>
        <v>1200</v>
      </c>
    </row>
    <row r="26" spans="1:14">
      <c r="A26" s="23">
        <v>4</v>
      </c>
      <c r="B26" s="867" t="s">
        <v>714</v>
      </c>
      <c r="C26" s="1233">
        <v>3000</v>
      </c>
      <c r="D26" s="1233">
        <f>3000*2</f>
        <v>6000</v>
      </c>
    </row>
    <row r="27" spans="1:14">
      <c r="A27" s="23"/>
      <c r="B27" s="867"/>
      <c r="C27" s="483"/>
      <c r="D27" s="483"/>
    </row>
    <row r="28" spans="1:14" ht="28" customHeight="1">
      <c r="A28" s="998" t="s">
        <v>715</v>
      </c>
      <c r="B28" s="1315" t="s">
        <v>716</v>
      </c>
      <c r="C28" s="483"/>
      <c r="D28" s="483"/>
    </row>
    <row r="29" spans="1:14">
      <c r="A29" s="23"/>
      <c r="B29" s="23"/>
      <c r="C29" s="29"/>
      <c r="D29" s="29"/>
    </row>
    <row r="30" spans="1:14" ht="15.5">
      <c r="A30" s="23"/>
      <c r="B30" s="999" t="s">
        <v>717</v>
      </c>
      <c r="C30" s="29"/>
      <c r="D30" s="29"/>
    </row>
    <row r="31" spans="1:14">
      <c r="A31" s="23"/>
      <c r="B31" s="23"/>
      <c r="C31" s="29"/>
      <c r="D31" s="29"/>
    </row>
    <row r="32" spans="1:14" ht="43" customHeight="1">
      <c r="A32" s="998" t="s">
        <v>718</v>
      </c>
      <c r="B32" s="1315" t="s">
        <v>719</v>
      </c>
      <c r="C32" s="29"/>
      <c r="D32" s="560" t="s">
        <v>720</v>
      </c>
    </row>
    <row r="33" spans="1:4">
      <c r="A33" s="23"/>
      <c r="B33" s="867"/>
      <c r="C33" s="29"/>
      <c r="D33" s="483"/>
    </row>
    <row r="34" spans="1:4" ht="15.5">
      <c r="A34" s="969" t="s">
        <v>721</v>
      </c>
      <c r="B34" s="867" t="s">
        <v>722</v>
      </c>
      <c r="C34" s="29"/>
      <c r="D34" s="560" t="s">
        <v>720</v>
      </c>
    </row>
    <row r="35" spans="1:4">
      <c r="A35" s="23"/>
      <c r="B35" s="867"/>
      <c r="C35" s="29"/>
      <c r="D35" s="483"/>
    </row>
    <row r="36" spans="1:4" ht="28" customHeight="1">
      <c r="A36" s="998" t="s">
        <v>723</v>
      </c>
      <c r="B36" s="1315" t="s">
        <v>724</v>
      </c>
      <c r="C36" s="29"/>
      <c r="D36" s="560" t="s">
        <v>720</v>
      </c>
    </row>
    <row r="37" spans="1:4">
      <c r="A37" s="23"/>
      <c r="B37" s="867"/>
      <c r="C37" s="29"/>
      <c r="D37" s="483"/>
    </row>
    <row r="38" spans="1:4" ht="15.5">
      <c r="A38" s="998" t="s">
        <v>725</v>
      </c>
      <c r="B38" s="1315" t="s">
        <v>726</v>
      </c>
      <c r="C38" s="29"/>
      <c r="D38" s="560" t="s">
        <v>727</v>
      </c>
    </row>
    <row r="39" spans="1:4">
      <c r="A39" s="23"/>
      <c r="B39" s="867"/>
      <c r="C39" s="29"/>
      <c r="D39" s="483"/>
    </row>
    <row r="40" spans="1:4" ht="15.5">
      <c r="A40" s="998" t="s">
        <v>728</v>
      </c>
      <c r="B40" s="1315" t="s">
        <v>729</v>
      </c>
      <c r="C40" s="29"/>
      <c r="D40" s="560" t="s">
        <v>720</v>
      </c>
    </row>
    <row r="41" spans="1:4">
      <c r="A41" s="23"/>
      <c r="B41" s="867"/>
      <c r="C41" s="29"/>
      <c r="D41" s="483"/>
    </row>
    <row r="42" spans="1:4" ht="15.5">
      <c r="A42" s="998" t="s">
        <v>730</v>
      </c>
      <c r="B42" s="1315" t="s">
        <v>731</v>
      </c>
      <c r="C42" s="29"/>
      <c r="D42" s="560" t="s">
        <v>720</v>
      </c>
    </row>
  </sheetData>
  <mergeCells count="1">
    <mergeCell ref="A2:D4"/>
  </mergeCells>
  <phoneticPr fontId="0" type="noConversion"/>
  <printOptions horizontalCentered="1"/>
  <pageMargins left="0.51181102362204722" right="0" top="0.74803149606299213" bottom="0.74803149606299213" header="0.51181102362204722" footer="0.51181102362204722"/>
  <pageSetup paperSize="9" orientation="portrait" horizontalDpi="300" verticalDpi="300" r:id="rId1"/>
  <headerFooter alignWithMargins="0">
    <oddFooter xml:space="preserve">&amp;R&amp;"Arial,Bold"&amp;12OERC Form-&amp;A&amp;"Arial,Regular"&amp;10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8"/>
  <dimension ref="A1:Q35"/>
  <sheetViews>
    <sheetView showGridLines="0" view="pageBreakPreview" topLeftCell="A15" zoomScaleSheetLayoutView="85" workbookViewId="0">
      <selection activeCell="L17" sqref="L17"/>
    </sheetView>
  </sheetViews>
  <sheetFormatPr defaultColWidth="14.7265625" defaultRowHeight="12.5"/>
  <cols>
    <col min="1" max="1" width="6" customWidth="1"/>
    <col min="2" max="2" width="40.7265625" customWidth="1"/>
    <col min="3" max="3" width="10.54296875" customWidth="1"/>
    <col min="4" max="4" width="11.81640625" customWidth="1"/>
    <col min="5" max="5" width="10.81640625" customWidth="1"/>
    <col min="6" max="16" width="14.7265625" customWidth="1"/>
    <col min="17" max="17" width="14.7265625" hidden="1" customWidth="1"/>
  </cols>
  <sheetData>
    <row r="1" spans="1:7" ht="13">
      <c r="A1" s="20" t="s">
        <v>104</v>
      </c>
      <c r="C1" s="3" t="s">
        <v>0</v>
      </c>
      <c r="D1" s="591" t="s">
        <v>732</v>
      </c>
    </row>
    <row r="2" spans="1:7" ht="15.5">
      <c r="A2" s="2002" t="s">
        <v>733</v>
      </c>
      <c r="B2" s="2002"/>
      <c r="C2" s="2002"/>
      <c r="D2" s="2002"/>
      <c r="E2" s="2002"/>
    </row>
    <row r="3" spans="1:7" ht="13">
      <c r="E3" s="2" t="s">
        <v>496</v>
      </c>
    </row>
    <row r="4" spans="1:7">
      <c r="A4" s="2000" t="s">
        <v>734</v>
      </c>
      <c r="B4" s="2000" t="s">
        <v>735</v>
      </c>
      <c r="C4" s="2000" t="s">
        <v>2260</v>
      </c>
      <c r="D4" s="2000" t="s">
        <v>2261</v>
      </c>
      <c r="E4" s="2000" t="s">
        <v>2262</v>
      </c>
    </row>
    <row r="5" spans="1:7" ht="13" thickBot="1">
      <c r="A5" s="2001" t="s">
        <v>22</v>
      </c>
      <c r="B5" s="2001"/>
      <c r="C5" s="2001"/>
      <c r="D5" s="2001"/>
      <c r="E5" s="2001"/>
    </row>
    <row r="6" spans="1:7" ht="13" thickTop="1">
      <c r="A6" s="77"/>
      <c r="B6" s="77"/>
      <c r="C6" s="77"/>
      <c r="D6" s="77"/>
      <c r="E6" s="77"/>
    </row>
    <row r="7" spans="1:7">
      <c r="A7" s="29">
        <v>1</v>
      </c>
      <c r="B7" s="23" t="s">
        <v>736</v>
      </c>
      <c r="C7" s="36">
        <f>11873142961.82/10^5</f>
        <v>118731.4296182</v>
      </c>
      <c r="D7" s="36">
        <f>C16</f>
        <v>126891.90249559999</v>
      </c>
      <c r="E7" s="36">
        <f>D16</f>
        <v>131827.08731490001</v>
      </c>
      <c r="F7" s="7"/>
    </row>
    <row r="8" spans="1:7">
      <c r="A8" s="29"/>
      <c r="B8" s="23" t="s">
        <v>737</v>
      </c>
      <c r="C8" s="23"/>
      <c r="D8" s="36"/>
      <c r="E8" s="36"/>
    </row>
    <row r="9" spans="1:7">
      <c r="A9" s="29"/>
      <c r="B9" s="23"/>
      <c r="C9" s="23"/>
      <c r="D9" s="36"/>
      <c r="E9" s="36"/>
    </row>
    <row r="10" spans="1:7">
      <c r="A10" s="29">
        <v>2</v>
      </c>
      <c r="B10" s="23" t="s">
        <v>738</v>
      </c>
      <c r="C10" s="36">
        <f>'F-22'!B6+'F-22'!B8+'F-22'!B7</f>
        <v>648464.40972135495</v>
      </c>
      <c r="D10" s="36">
        <f>'F-22'!C6+'F-22'!C7+'F-22'!C8+'F-22'!C9</f>
        <v>674289.87998848851</v>
      </c>
      <c r="E10" s="36">
        <f>'F-22'!D6+'F-22'!D8+'F-22'!D9+'F-22'!D7</f>
        <v>613718.34624727257</v>
      </c>
    </row>
    <row r="11" spans="1:7">
      <c r="A11" s="29"/>
      <c r="B11" s="23"/>
      <c r="C11" s="23"/>
      <c r="D11" s="36"/>
      <c r="E11" s="36"/>
    </row>
    <row r="12" spans="1:7">
      <c r="A12" s="29">
        <v>3</v>
      </c>
      <c r="B12" s="23" t="s">
        <v>739</v>
      </c>
      <c r="C12" s="36">
        <v>625005.89958519302</v>
      </c>
      <c r="D12" s="36">
        <f>'F-23 CASHFLOW'!B7</f>
        <v>669354.69516918855</v>
      </c>
      <c r="E12" s="36">
        <f>'F-23 CASHFLOW'!C7</f>
        <v>607967.18409955478</v>
      </c>
      <c r="F12" s="7"/>
      <c r="G12" s="7"/>
    </row>
    <row r="13" spans="1:7">
      <c r="A13" s="29"/>
      <c r="B13" s="23" t="s">
        <v>740</v>
      </c>
      <c r="C13" s="36">
        <f>C12-C14</f>
        <v>611947.51138557552</v>
      </c>
      <c r="D13" s="36">
        <f>D12-D14</f>
        <v>665021.69516918855</v>
      </c>
      <c r="E13" s="36">
        <f>E12-E14</f>
        <v>602967.18409955478</v>
      </c>
    </row>
    <row r="14" spans="1:7">
      <c r="A14" s="29"/>
      <c r="B14" s="343" t="s">
        <v>2476</v>
      </c>
      <c r="C14" s="36">
        <v>13058.388199617557</v>
      </c>
      <c r="D14" s="36">
        <f>2333+2000</f>
        <v>4333</v>
      </c>
      <c r="E14" s="36">
        <v>5000</v>
      </c>
    </row>
    <row r="15" spans="1:7">
      <c r="A15" s="29"/>
      <c r="B15" s="23"/>
      <c r="C15" s="36"/>
      <c r="D15" s="36"/>
      <c r="E15" s="36"/>
    </row>
    <row r="16" spans="1:7">
      <c r="A16" s="29">
        <v>4</v>
      </c>
      <c r="B16" s="23" t="s">
        <v>741</v>
      </c>
      <c r="C16" s="36">
        <f>12689190249.56/10^5</f>
        <v>126891.90249559999</v>
      </c>
      <c r="D16" s="36">
        <f>D7+D10-D12</f>
        <v>131827.08731490001</v>
      </c>
      <c r="E16" s="36">
        <f>E7+E10-E12</f>
        <v>137578.24946261779</v>
      </c>
    </row>
    <row r="17" spans="1:14">
      <c r="A17" s="29"/>
      <c r="B17" s="343" t="s">
        <v>742</v>
      </c>
      <c r="C17" s="36"/>
      <c r="D17" s="36"/>
      <c r="E17" s="36"/>
    </row>
    <row r="18" spans="1:14">
      <c r="A18" s="29"/>
      <c r="B18" s="23"/>
      <c r="C18" s="36"/>
      <c r="D18" s="36"/>
      <c r="E18" s="36"/>
    </row>
    <row r="19" spans="1:14">
      <c r="A19" s="29">
        <v>5</v>
      </c>
      <c r="B19" s="23" t="s">
        <v>743</v>
      </c>
      <c r="C19" s="36"/>
      <c r="D19" s="36"/>
      <c r="E19" s="36"/>
    </row>
    <row r="20" spans="1:14" ht="13">
      <c r="A20" s="29"/>
      <c r="B20" s="23" t="s">
        <v>744</v>
      </c>
      <c r="C20" s="36"/>
      <c r="D20" s="36"/>
      <c r="E20" s="36"/>
    </row>
    <row r="21" spans="1:14">
      <c r="A21" s="29"/>
      <c r="B21" s="23"/>
      <c r="C21" s="36"/>
      <c r="D21" s="36"/>
      <c r="E21" s="36"/>
    </row>
    <row r="22" spans="1:14">
      <c r="A22" s="29">
        <v>6</v>
      </c>
      <c r="B22" s="23" t="s">
        <v>745</v>
      </c>
      <c r="C22" s="36">
        <f>C16-C19</f>
        <v>126891.90249559999</v>
      </c>
      <c r="D22" s="36">
        <f>D16-D19</f>
        <v>131827.08731490001</v>
      </c>
      <c r="E22" s="36">
        <f>E16-E19</f>
        <v>137578.24946261779</v>
      </c>
      <c r="N22" s="347"/>
    </row>
    <row r="23" spans="1:14">
      <c r="A23" s="29"/>
      <c r="B23" s="23"/>
      <c r="C23" s="36"/>
      <c r="D23" s="36"/>
      <c r="E23" s="36"/>
      <c r="N23" s="347"/>
    </row>
    <row r="24" spans="1:14">
      <c r="A24" s="29"/>
      <c r="B24" s="23"/>
      <c r="C24" s="36"/>
      <c r="D24" s="36"/>
      <c r="E24" s="36"/>
      <c r="N24" s="347"/>
    </row>
    <row r="25" spans="1:14">
      <c r="A25" s="29">
        <v>7</v>
      </c>
      <c r="B25" s="23" t="s">
        <v>746</v>
      </c>
      <c r="C25" s="36">
        <f>1829618807.07/10^5</f>
        <v>18296.188070699998</v>
      </c>
      <c r="D25" s="36">
        <f>'F-6'!L16+C25</f>
        <v>24578.879006484884</v>
      </c>
      <c r="E25" s="36">
        <f>'F-6'!P16+D25</f>
        <v>30330.041154202609</v>
      </c>
      <c r="F25" s="7"/>
    </row>
    <row r="26" spans="1:14">
      <c r="A26" s="29"/>
      <c r="B26" s="23"/>
      <c r="C26" s="23"/>
      <c r="D26" s="23"/>
      <c r="E26" s="23"/>
    </row>
    <row r="27" spans="1:14">
      <c r="A27" s="29"/>
      <c r="B27" s="23"/>
      <c r="C27" s="23"/>
      <c r="D27" s="23"/>
      <c r="E27" s="23"/>
    </row>
    <row r="28" spans="1:14">
      <c r="A28" s="29"/>
      <c r="B28" s="23"/>
      <c r="C28" s="23"/>
      <c r="D28" s="23"/>
      <c r="E28" s="23"/>
    </row>
    <row r="29" spans="1:14">
      <c r="A29" s="29">
        <v>8</v>
      </c>
      <c r="B29" s="23" t="s">
        <v>747</v>
      </c>
      <c r="C29" s="98">
        <f>C25/C22</f>
        <v>0.14418719958379081</v>
      </c>
      <c r="D29" s="98">
        <f>D25/D22</f>
        <v>0.18644786520825155</v>
      </c>
      <c r="E29" s="98">
        <f>E25/E22</f>
        <v>0.22045665846652429</v>
      </c>
    </row>
    <row r="30" spans="1:14">
      <c r="A30" s="23"/>
      <c r="B30" s="23" t="s">
        <v>748</v>
      </c>
      <c r="C30" s="23"/>
      <c r="D30" s="23"/>
      <c r="E30" s="23"/>
    </row>
    <row r="31" spans="1:14" ht="13">
      <c r="A31" s="2"/>
      <c r="B31" s="2"/>
      <c r="C31" s="2"/>
      <c r="D31" s="2"/>
    </row>
    <row r="32" spans="1:14" ht="13">
      <c r="B32" s="2" t="s">
        <v>749</v>
      </c>
      <c r="C32" s="12">
        <f>C22-C25</f>
        <v>108595.7144249</v>
      </c>
      <c r="D32" s="12">
        <f>D22-D25</f>
        <v>107248.20830841512</v>
      </c>
      <c r="E32" s="12">
        <f>E22-E25</f>
        <v>107248.20830841518</v>
      </c>
    </row>
    <row r="33" spans="2:5" ht="13">
      <c r="B33" s="2"/>
      <c r="C33" s="12"/>
      <c r="D33" s="12"/>
      <c r="E33" s="12"/>
    </row>
    <row r="34" spans="2:5" ht="13">
      <c r="B34" s="145" t="s">
        <v>750</v>
      </c>
      <c r="C34" s="146">
        <f>'F-21'!C31</f>
        <v>108595.7144249</v>
      </c>
      <c r="D34" s="146">
        <f>'F-21'!D31</f>
        <v>107248.20830841514</v>
      </c>
      <c r="E34" s="146">
        <f>'F-21'!E31</f>
        <v>107248.20830841525</v>
      </c>
    </row>
    <row r="35" spans="2:5" ht="13">
      <c r="B35" s="145"/>
      <c r="C35" s="146">
        <f>C32-C34</f>
        <v>0</v>
      </c>
      <c r="D35" s="146">
        <f>D32-D34</f>
        <v>0</v>
      </c>
      <c r="E35" s="146">
        <f>E32-E34</f>
        <v>0</v>
      </c>
    </row>
  </sheetData>
  <mergeCells count="6">
    <mergeCell ref="C4:C5"/>
    <mergeCell ref="D4:D5"/>
    <mergeCell ref="A2:E2"/>
    <mergeCell ref="B4:B5"/>
    <mergeCell ref="A4:A5"/>
    <mergeCell ref="E4:E5"/>
  </mergeCells>
  <phoneticPr fontId="0" type="noConversion"/>
  <printOptions horizontalCentered="1" gridLines="1"/>
  <pageMargins left="0.39370078740157483" right="0.39370078740157483" top="1.4960629921259843" bottom="0.98425196850393704" header="0.51181102362204722" footer="0.51181102362204722"/>
  <pageSetup paperSize="9" scale="115" orientation="portrait" r:id="rId1"/>
  <headerFooter alignWithMargins="0">
    <oddFooter xml:space="preserve">&amp;R&amp;"Arial,Bold"&amp;12OERC FORM-&amp;A&amp;"Arial,Regular"&amp;10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D6CA3-4BC1-4AC9-B04B-F1C25B7909C9}">
  <dimension ref="A1:Q31"/>
  <sheetViews>
    <sheetView showGridLines="0" view="pageBreakPreview" zoomScaleSheetLayoutView="85" workbookViewId="0">
      <selection activeCell="L17" sqref="L17:L18"/>
    </sheetView>
  </sheetViews>
  <sheetFormatPr defaultColWidth="14.7265625" defaultRowHeight="12.5"/>
  <cols>
    <col min="1" max="1" width="6" customWidth="1"/>
    <col min="2" max="2" width="32.453125" customWidth="1"/>
    <col min="3" max="5" width="8.453125" bestFit="1" customWidth="1"/>
    <col min="6" max="8" width="7.453125" bestFit="1" customWidth="1"/>
    <col min="9" max="9" width="8.453125" bestFit="1" customWidth="1"/>
    <col min="10" max="11" width="7.453125" bestFit="1" customWidth="1"/>
    <col min="12" max="12" width="8.453125" bestFit="1" customWidth="1"/>
    <col min="13" max="13" width="8.36328125" bestFit="1" customWidth="1"/>
    <col min="14" max="15" width="11.1796875" customWidth="1"/>
    <col min="16" max="16" width="14.7265625" customWidth="1"/>
    <col min="17" max="17" width="14.7265625" hidden="1" customWidth="1"/>
  </cols>
  <sheetData>
    <row r="1" spans="1:15" ht="13">
      <c r="A1" s="20" t="s">
        <v>104</v>
      </c>
      <c r="I1" s="591" t="s">
        <v>0</v>
      </c>
      <c r="J1" s="591" t="s">
        <v>2122</v>
      </c>
    </row>
    <row r="2" spans="1:15" ht="15.5">
      <c r="A2" s="2002" t="s">
        <v>2123</v>
      </c>
      <c r="B2" s="2002"/>
      <c r="C2" s="940"/>
      <c r="D2" s="940"/>
      <c r="E2" s="940"/>
      <c r="F2" s="940"/>
      <c r="G2" s="940"/>
      <c r="H2" s="940"/>
    </row>
    <row r="3" spans="1:15" ht="13">
      <c r="J3" s="2" t="s">
        <v>496</v>
      </c>
    </row>
    <row r="4" spans="1:15" ht="13" customHeight="1">
      <c r="A4" s="2004" t="s">
        <v>734</v>
      </c>
      <c r="B4" s="2004" t="s">
        <v>735</v>
      </c>
      <c r="C4" s="2003"/>
      <c r="D4" s="2003"/>
      <c r="E4" s="2003"/>
      <c r="F4" s="2003"/>
      <c r="G4" s="2003"/>
      <c r="H4" s="2003"/>
      <c r="I4" s="2003"/>
      <c r="J4" s="2003"/>
      <c r="K4" s="2003"/>
      <c r="L4" s="2003">
        <v>44197</v>
      </c>
      <c r="M4" s="2003">
        <v>44228</v>
      </c>
      <c r="N4" s="2003">
        <v>44256</v>
      </c>
      <c r="O4" s="2003" t="s">
        <v>145</v>
      </c>
    </row>
    <row r="5" spans="1:15" ht="13" customHeight="1">
      <c r="A5" s="2004" t="s">
        <v>22</v>
      </c>
      <c r="B5" s="2004"/>
      <c r="C5" s="2004"/>
      <c r="D5" s="2004"/>
      <c r="E5" s="2004"/>
      <c r="F5" s="2004"/>
      <c r="G5" s="2004"/>
      <c r="H5" s="2004"/>
      <c r="I5" s="2004"/>
      <c r="J5" s="2004"/>
      <c r="K5" s="2004"/>
      <c r="L5" s="2004"/>
      <c r="M5" s="2004"/>
      <c r="N5" s="2004"/>
      <c r="O5" s="2004"/>
    </row>
    <row r="6" spans="1:15" ht="13" customHeight="1">
      <c r="A6" s="515">
        <v>1</v>
      </c>
      <c r="B6" s="343" t="s">
        <v>2155</v>
      </c>
      <c r="C6" s="941"/>
      <c r="D6" s="941"/>
      <c r="E6" s="941"/>
      <c r="F6" s="941"/>
      <c r="G6" s="941"/>
      <c r="H6" s="941"/>
      <c r="I6" s="941"/>
      <c r="J6" s="941"/>
      <c r="K6" s="941"/>
      <c r="L6" s="941">
        <f>186053895/10^5</f>
        <v>1860.5389500000001</v>
      </c>
      <c r="M6" s="941">
        <f>159164503/10^5</f>
        <v>1591.6450299999999</v>
      </c>
      <c r="N6" s="941">
        <f>700271209/10^5</f>
        <v>7002.71209</v>
      </c>
      <c r="O6" s="75">
        <f>SUM(C6:N6)</f>
        <v>10454.896069999999</v>
      </c>
    </row>
    <row r="7" spans="1:15" ht="13" customHeight="1">
      <c r="A7" s="518"/>
      <c r="B7" s="518"/>
      <c r="C7" s="518"/>
      <c r="D7" s="518"/>
      <c r="E7" s="518"/>
      <c r="F7" s="518"/>
      <c r="G7" s="518"/>
      <c r="H7" s="518"/>
      <c r="I7" s="518"/>
      <c r="J7" s="518"/>
      <c r="K7" s="518"/>
      <c r="L7" s="518"/>
      <c r="M7" s="518"/>
      <c r="N7" s="518"/>
      <c r="O7" s="518"/>
    </row>
    <row r="8" spans="1:15" ht="13" customHeight="1">
      <c r="A8" s="2004" t="s">
        <v>734</v>
      </c>
      <c r="B8" s="2004" t="s">
        <v>735</v>
      </c>
      <c r="C8" s="2003">
        <v>44287</v>
      </c>
      <c r="D8" s="2003">
        <v>44317</v>
      </c>
      <c r="E8" s="2003">
        <v>44348</v>
      </c>
      <c r="F8" s="2003">
        <v>44378</v>
      </c>
      <c r="G8" s="2003">
        <v>44409</v>
      </c>
      <c r="H8" s="2003">
        <v>44440</v>
      </c>
      <c r="I8" s="2003">
        <v>44470</v>
      </c>
      <c r="J8" s="2003">
        <v>44501</v>
      </c>
      <c r="K8" s="2003">
        <v>44531</v>
      </c>
      <c r="L8" s="2003">
        <v>44562</v>
      </c>
      <c r="M8" s="2003">
        <v>44593</v>
      </c>
      <c r="N8" s="2003">
        <v>44621</v>
      </c>
      <c r="O8" s="2003" t="s">
        <v>145</v>
      </c>
    </row>
    <row r="9" spans="1:15" ht="13" customHeight="1">
      <c r="A9" s="2004" t="s">
        <v>22</v>
      </c>
      <c r="B9" s="2004"/>
      <c r="C9" s="2004"/>
      <c r="D9" s="2004"/>
      <c r="E9" s="2004"/>
      <c r="F9" s="2004"/>
      <c r="G9" s="2004"/>
      <c r="H9" s="2004"/>
      <c r="I9" s="2004"/>
      <c r="J9" s="2004"/>
      <c r="K9" s="2004"/>
      <c r="L9" s="2004"/>
      <c r="M9" s="2004"/>
      <c r="N9" s="2004"/>
      <c r="O9" s="2004"/>
    </row>
    <row r="10" spans="1:15">
      <c r="A10" s="515">
        <v>1</v>
      </c>
      <c r="B10" s="343" t="s">
        <v>2155</v>
      </c>
      <c r="C10" s="941">
        <f>59708161/10^5</f>
        <v>597.08160999999996</v>
      </c>
      <c r="D10" s="941">
        <f>29486487/10^5</f>
        <v>294.86487</v>
      </c>
      <c r="E10" s="941">
        <f>38538254/10^5</f>
        <v>385.38254000000001</v>
      </c>
      <c r="F10" s="941">
        <f>29163721/10^5</f>
        <v>291.63720999999998</v>
      </c>
      <c r="G10" s="941">
        <f>44459463/10^5</f>
        <v>444.59463</v>
      </c>
      <c r="H10" s="941">
        <f>40884092/10^5</f>
        <v>408.84091999999998</v>
      </c>
      <c r="I10" s="941">
        <f>124206232/10^5</f>
        <v>1242.06232</v>
      </c>
      <c r="J10" s="941">
        <f>38648719/10^5</f>
        <v>386.48719</v>
      </c>
      <c r="K10" s="941">
        <f>98330470/10^5</f>
        <v>983.30470000000003</v>
      </c>
      <c r="L10" s="941">
        <f>60855231/10^5</f>
        <v>608.55231000000003</v>
      </c>
      <c r="M10" s="941">
        <f>89885188/10^5</f>
        <v>898.85188000000005</v>
      </c>
      <c r="N10" s="941">
        <f>483651127/10^5</f>
        <v>4836.51127</v>
      </c>
      <c r="O10" s="75">
        <f>SUM(C10:N10)</f>
        <v>11378.17145</v>
      </c>
    </row>
    <row r="11" spans="1:15">
      <c r="A11" s="885"/>
      <c r="B11" s="347"/>
      <c r="C11" s="347"/>
      <c r="D11" s="347"/>
      <c r="E11" s="347"/>
      <c r="F11" s="347"/>
      <c r="G11" s="216"/>
      <c r="H11" s="216"/>
      <c r="I11" s="347"/>
      <c r="J11" s="347"/>
      <c r="K11" s="347"/>
      <c r="L11" s="347"/>
      <c r="M11" s="347"/>
      <c r="N11" s="347"/>
      <c r="O11" s="347"/>
    </row>
    <row r="12" spans="1:15" ht="13" customHeight="1">
      <c r="A12" s="2004" t="s">
        <v>734</v>
      </c>
      <c r="B12" s="2004" t="s">
        <v>735</v>
      </c>
      <c r="C12" s="2003">
        <v>44652</v>
      </c>
      <c r="D12" s="2003">
        <v>44682</v>
      </c>
      <c r="E12" s="2003">
        <v>44713</v>
      </c>
      <c r="F12" s="2003">
        <v>44743</v>
      </c>
      <c r="G12" s="2003">
        <v>44774</v>
      </c>
      <c r="H12" s="2003">
        <v>44805</v>
      </c>
      <c r="I12" s="2003">
        <v>44835</v>
      </c>
      <c r="J12" s="2003">
        <v>44866</v>
      </c>
      <c r="K12" s="2003">
        <v>44896</v>
      </c>
      <c r="L12" s="2003">
        <v>44927</v>
      </c>
      <c r="M12" s="2003">
        <v>44958</v>
      </c>
      <c r="N12" s="2003">
        <v>44986</v>
      </c>
      <c r="O12" s="2003" t="s">
        <v>145</v>
      </c>
    </row>
    <row r="13" spans="1:15" ht="13" customHeight="1">
      <c r="A13" s="2004" t="s">
        <v>22</v>
      </c>
      <c r="B13" s="2004"/>
      <c r="C13" s="2004"/>
      <c r="D13" s="2004"/>
      <c r="E13" s="2004"/>
      <c r="F13" s="2004"/>
      <c r="G13" s="2004"/>
      <c r="H13" s="2004"/>
      <c r="I13" s="2004"/>
      <c r="J13" s="2004"/>
      <c r="K13" s="2004"/>
      <c r="L13" s="2004"/>
      <c r="M13" s="2004"/>
      <c r="N13" s="2004"/>
      <c r="O13" s="2004"/>
    </row>
    <row r="14" spans="1:15">
      <c r="A14" s="515">
        <v>1</v>
      </c>
      <c r="B14" s="343" t="s">
        <v>2155</v>
      </c>
      <c r="C14" s="941">
        <f>34437379.5077/10^5</f>
        <v>344.37379507700001</v>
      </c>
      <c r="D14" s="941">
        <f>47506573.1029002/10^5</f>
        <v>475.065731029002</v>
      </c>
      <c r="E14" s="941">
        <f>42727597.2896/10^5</f>
        <v>427.27597289599998</v>
      </c>
      <c r="F14" s="941">
        <f>49961568.3249/10^5</f>
        <v>499.61568324900003</v>
      </c>
      <c r="G14" s="941">
        <f>33878836.1306/10^5</f>
        <v>338.78836130599996</v>
      </c>
      <c r="H14" s="941">
        <f>42617946.9980999/10^5</f>
        <v>426.17946998099899</v>
      </c>
      <c r="I14" s="941">
        <f>27605168.4978/10^5</f>
        <v>276.05168497800003</v>
      </c>
      <c r="J14" s="941">
        <f>37120418.9981/10^5</f>
        <v>371.20418998099996</v>
      </c>
      <c r="K14" s="941">
        <f>52871287.9661692/10^5</f>
        <v>528.712879661692</v>
      </c>
      <c r="L14" s="941">
        <f>66130390.8402214/10^5</f>
        <v>661.30390840221401</v>
      </c>
      <c r="M14" s="941">
        <f>187752182.138149/10^5</f>
        <v>1877.5218213814899</v>
      </c>
      <c r="N14" s="941">
        <f>683229470.167516/10^5</f>
        <v>6832.2947016751596</v>
      </c>
      <c r="O14" s="75">
        <f>SUM(C14:N14)</f>
        <v>13058.388199617557</v>
      </c>
    </row>
    <row r="15" spans="1:15">
      <c r="A15" s="885"/>
      <c r="B15" s="347"/>
      <c r="C15" s="347"/>
      <c r="D15" s="347"/>
      <c r="E15" s="347"/>
      <c r="F15" s="347"/>
      <c r="G15" s="216"/>
      <c r="H15" s="216"/>
      <c r="I15" s="347"/>
      <c r="J15" s="347"/>
      <c r="K15" s="347"/>
      <c r="L15" s="347"/>
      <c r="M15" s="347"/>
      <c r="N15" s="347"/>
      <c r="O15" s="347"/>
    </row>
    <row r="16" spans="1:15" ht="13">
      <c r="A16" s="2005" t="s">
        <v>2124</v>
      </c>
      <c r="B16" s="2005"/>
      <c r="C16" s="2005"/>
      <c r="D16" s="2005"/>
      <c r="E16" s="2005"/>
      <c r="F16" s="2005"/>
      <c r="G16" s="2005"/>
      <c r="H16" s="2005"/>
      <c r="I16" s="2005"/>
      <c r="J16" s="2005"/>
      <c r="K16" s="2005"/>
      <c r="L16" s="2005"/>
      <c r="M16" s="2005"/>
      <c r="N16" s="2005"/>
      <c r="O16" s="2005"/>
    </row>
    <row r="17" spans="1:15" ht="13" customHeight="1">
      <c r="A17" s="2004" t="s">
        <v>734</v>
      </c>
      <c r="B17" s="2004" t="s">
        <v>735</v>
      </c>
      <c r="C17" s="2003">
        <v>45017</v>
      </c>
      <c r="D17" s="2003">
        <v>45047</v>
      </c>
      <c r="E17" s="2003">
        <v>45078</v>
      </c>
      <c r="F17" s="2003">
        <v>45108</v>
      </c>
      <c r="G17" s="2003">
        <v>45139</v>
      </c>
      <c r="H17" s="2003">
        <v>45170</v>
      </c>
      <c r="I17" s="2003">
        <v>45200</v>
      </c>
      <c r="J17" s="2003">
        <v>45231</v>
      </c>
      <c r="K17" s="2003">
        <v>45261</v>
      </c>
      <c r="L17" s="2003">
        <v>45292</v>
      </c>
      <c r="M17" s="2003">
        <v>45323</v>
      </c>
      <c r="N17" s="2003">
        <v>45352</v>
      </c>
      <c r="O17" s="2003" t="s">
        <v>145</v>
      </c>
    </row>
    <row r="18" spans="1:15" ht="12.5" customHeight="1">
      <c r="A18" s="2004" t="s">
        <v>22</v>
      </c>
      <c r="B18" s="2004"/>
      <c r="C18" s="2004"/>
      <c r="D18" s="2004"/>
      <c r="E18" s="2004"/>
      <c r="F18" s="2004"/>
      <c r="G18" s="2004"/>
      <c r="H18" s="2004"/>
      <c r="I18" s="2004"/>
      <c r="J18" s="2004"/>
      <c r="K18" s="2004"/>
      <c r="L18" s="2004"/>
      <c r="M18" s="2004"/>
      <c r="N18" s="2004"/>
      <c r="O18" s="2004"/>
    </row>
    <row r="19" spans="1:15">
      <c r="A19" s="515">
        <v>1</v>
      </c>
      <c r="B19" s="343" t="s">
        <v>2155</v>
      </c>
      <c r="C19" s="941">
        <f>76936314/10^5</f>
        <v>769.36314000000004</v>
      </c>
      <c r="D19" s="941">
        <f>22966230/10^5</f>
        <v>229.66229999999999</v>
      </c>
      <c r="E19" s="941">
        <f>30586047/10^5</f>
        <v>305.86047000000002</v>
      </c>
      <c r="F19" s="941">
        <f>37993371/10^5</f>
        <v>379.93371000000002</v>
      </c>
      <c r="G19" s="941">
        <f>21607124/10^5</f>
        <v>216.07123999999999</v>
      </c>
      <c r="H19" s="941">
        <f>26097111/10^5</f>
        <v>260.97111000000001</v>
      </c>
      <c r="I19" s="941">
        <f>17115979/10^5</f>
        <v>171.15978999999999</v>
      </c>
      <c r="J19" s="941"/>
      <c r="K19" s="941"/>
      <c r="L19" s="941"/>
      <c r="M19" s="941"/>
      <c r="N19" s="941"/>
      <c r="O19" s="941">
        <f>SUM(C19:N19)</f>
        <v>2333.0217600000001</v>
      </c>
    </row>
    <row r="20" spans="1:15">
      <c r="A20" s="8"/>
      <c r="B20" s="347"/>
      <c r="C20" s="347"/>
      <c r="D20" s="347"/>
      <c r="E20" s="347"/>
      <c r="F20" s="7"/>
      <c r="G20" s="7"/>
      <c r="H20" s="7"/>
      <c r="O20" s="1186">
        <f>O6+O10+O14+O19</f>
        <v>37224.477479617555</v>
      </c>
    </row>
    <row r="21" spans="1:15">
      <c r="A21" s="8"/>
      <c r="F21" s="7"/>
      <c r="G21" s="7"/>
      <c r="H21" s="7"/>
      <c r="I21" s="7"/>
    </row>
    <row r="22" spans="1:15">
      <c r="A22" s="8"/>
    </row>
    <row r="23" spans="1:15">
      <c r="A23" s="8"/>
    </row>
    <row r="24" spans="1:15">
      <c r="A24" s="8"/>
    </row>
    <row r="25" spans="1:15">
      <c r="A25" s="8"/>
      <c r="F25" s="899"/>
      <c r="G25" s="899"/>
      <c r="H25" s="899"/>
    </row>
    <row r="27" spans="1:15" ht="13">
      <c r="A27" s="2"/>
      <c r="B27" s="2"/>
      <c r="C27" s="2"/>
      <c r="D27" s="2"/>
      <c r="E27" s="2"/>
      <c r="F27" s="2"/>
      <c r="G27" s="2"/>
    </row>
    <row r="28" spans="1:15" ht="13">
      <c r="B28" s="2"/>
      <c r="C28" s="2"/>
      <c r="D28" s="2"/>
      <c r="E28" s="2"/>
      <c r="F28" s="12"/>
      <c r="G28" s="12"/>
      <c r="H28" s="12"/>
    </row>
    <row r="29" spans="1:15" ht="13">
      <c r="B29" s="2"/>
      <c r="C29" s="2"/>
      <c r="D29" s="2"/>
      <c r="E29" s="2"/>
      <c r="F29" s="12"/>
      <c r="G29" s="12"/>
      <c r="H29" s="12"/>
    </row>
    <row r="30" spans="1:15" ht="13">
      <c r="B30" s="145"/>
      <c r="C30" s="145"/>
      <c r="D30" s="145"/>
      <c r="E30" s="145"/>
      <c r="F30" s="146"/>
      <c r="G30" s="146"/>
      <c r="H30" s="146"/>
    </row>
    <row r="31" spans="1:15" ht="13">
      <c r="B31" s="145"/>
      <c r="C31" s="145"/>
      <c r="D31" s="145"/>
      <c r="E31" s="145"/>
      <c r="F31" s="146"/>
      <c r="G31" s="146"/>
      <c r="H31" s="146"/>
    </row>
  </sheetData>
  <mergeCells count="62">
    <mergeCell ref="K4:K5"/>
    <mergeCell ref="L4:L5"/>
    <mergeCell ref="M4:M5"/>
    <mergeCell ref="N4:N5"/>
    <mergeCell ref="O4:O5"/>
    <mergeCell ref="F4:F5"/>
    <mergeCell ref="G4:G5"/>
    <mergeCell ref="H4:H5"/>
    <mergeCell ref="I4:I5"/>
    <mergeCell ref="J4:J5"/>
    <mergeCell ref="M8:M9"/>
    <mergeCell ref="N8:N9"/>
    <mergeCell ref="A8:A9"/>
    <mergeCell ref="B8:B9"/>
    <mergeCell ref="F8:F9"/>
    <mergeCell ref="G8:G9"/>
    <mergeCell ref="H8:H9"/>
    <mergeCell ref="F17:F18"/>
    <mergeCell ref="G17:G18"/>
    <mergeCell ref="H17:H18"/>
    <mergeCell ref="I17:I18"/>
    <mergeCell ref="O8:O9"/>
    <mergeCell ref="J17:J18"/>
    <mergeCell ref="K17:K18"/>
    <mergeCell ref="L17:L18"/>
    <mergeCell ref="M17:M18"/>
    <mergeCell ref="N17:N18"/>
    <mergeCell ref="O17:O18"/>
    <mergeCell ref="A16:O16"/>
    <mergeCell ref="I8:I9"/>
    <mergeCell ref="J8:J9"/>
    <mergeCell ref="K8:K9"/>
    <mergeCell ref="L8:L9"/>
    <mergeCell ref="A17:A18"/>
    <mergeCell ref="B17:B18"/>
    <mergeCell ref="A2:B2"/>
    <mergeCell ref="E8:E9"/>
    <mergeCell ref="D8:D9"/>
    <mergeCell ref="C8:C9"/>
    <mergeCell ref="E17:E18"/>
    <mergeCell ref="D17:D18"/>
    <mergeCell ref="C17:C18"/>
    <mergeCell ref="A4:A5"/>
    <mergeCell ref="B4:B5"/>
    <mergeCell ref="C4:C5"/>
    <mergeCell ref="D4:D5"/>
    <mergeCell ref="E4:E5"/>
    <mergeCell ref="A12:A13"/>
    <mergeCell ref="B12:B13"/>
    <mergeCell ref="C12:C13"/>
    <mergeCell ref="D12:D13"/>
    <mergeCell ref="E12:E13"/>
    <mergeCell ref="F12:F13"/>
    <mergeCell ref="G12:G13"/>
    <mergeCell ref="M12:M13"/>
    <mergeCell ref="N12:N13"/>
    <mergeCell ref="O12:O13"/>
    <mergeCell ref="H12:H13"/>
    <mergeCell ref="I12:I13"/>
    <mergeCell ref="J12:J13"/>
    <mergeCell ref="K12:K13"/>
    <mergeCell ref="L12:L13"/>
  </mergeCells>
  <phoneticPr fontId="25" type="noConversion"/>
  <printOptions horizontalCentered="1" verticalCentered="1" gridLines="1"/>
  <pageMargins left="0.39370078740157483" right="0.39370078740157483" top="1.4960629921259843" bottom="0.98425196850393704" header="0.51181102362204722" footer="0.51181102362204722"/>
  <pageSetup paperSize="9" scale="90" orientation="landscape" r:id="rId1"/>
  <headerFooter alignWithMargins="0">
    <oddFooter xml:space="preserve">&amp;R&amp;"Arial,Bold"&amp;12OERC FORM-&amp;A&amp;"Arial,Regular"&amp;10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S52"/>
  <sheetViews>
    <sheetView showGridLines="0" view="pageBreakPreview" topLeftCell="A30" zoomScale="95" zoomScaleSheetLayoutView="95" workbookViewId="0">
      <selection activeCell="L17" sqref="L17"/>
    </sheetView>
  </sheetViews>
  <sheetFormatPr defaultColWidth="14.7265625" defaultRowHeight="12.5"/>
  <cols>
    <col min="1" max="1" width="6" customWidth="1"/>
    <col min="2" max="2" width="27.81640625" customWidth="1"/>
    <col min="3" max="3" width="11.26953125" bestFit="1" customWidth="1"/>
    <col min="4" max="4" width="10.54296875" bestFit="1" customWidth="1"/>
    <col min="5" max="5" width="9.54296875" bestFit="1" customWidth="1"/>
    <col min="6" max="6" width="8.81640625" customWidth="1"/>
    <col min="7" max="7" width="10.26953125" bestFit="1" customWidth="1"/>
    <col min="8" max="8" width="10" bestFit="1" customWidth="1"/>
    <col min="9" max="9" width="9.81640625" bestFit="1" customWidth="1"/>
    <col min="10" max="10" width="10.26953125" bestFit="1" customWidth="1"/>
    <col min="11" max="11" width="10" bestFit="1" customWidth="1"/>
    <col min="12" max="12" width="9.26953125" bestFit="1" customWidth="1"/>
    <col min="13" max="13" width="9.1796875" customWidth="1"/>
    <col min="14" max="14" width="8.54296875" customWidth="1"/>
    <col min="15" max="15" width="11.26953125" bestFit="1" customWidth="1"/>
    <col min="16" max="16" width="11.453125" bestFit="1" customWidth="1"/>
  </cols>
  <sheetData>
    <row r="1" spans="1:19" ht="13">
      <c r="A1" s="20" t="s">
        <v>751</v>
      </c>
      <c r="L1" s="3" t="s">
        <v>0</v>
      </c>
      <c r="M1" s="591" t="s">
        <v>752</v>
      </c>
      <c r="N1" s="591"/>
      <c r="O1" s="1"/>
    </row>
    <row r="2" spans="1:19" ht="15.5">
      <c r="A2" s="592" t="s">
        <v>753</v>
      </c>
      <c r="B2" s="26"/>
      <c r="C2" s="26"/>
      <c r="D2" s="26"/>
      <c r="E2" s="26"/>
      <c r="F2" s="26"/>
      <c r="G2" s="26"/>
      <c r="H2" s="26"/>
      <c r="I2" s="26"/>
      <c r="J2" s="26"/>
      <c r="K2" s="26"/>
      <c r="L2" s="26"/>
      <c r="M2" s="26"/>
      <c r="N2" s="26"/>
      <c r="O2" s="26"/>
      <c r="P2" s="2" t="s">
        <v>496</v>
      </c>
    </row>
    <row r="3" spans="1:19" ht="13">
      <c r="C3" s="7"/>
      <c r="D3" s="7"/>
      <c r="E3" s="7"/>
      <c r="F3" s="31" t="s">
        <v>591</v>
      </c>
      <c r="G3" s="7"/>
      <c r="H3" s="7"/>
      <c r="I3" s="7"/>
      <c r="J3" s="7"/>
      <c r="K3" s="7"/>
      <c r="L3" s="7"/>
      <c r="M3" s="7"/>
      <c r="N3" s="7"/>
      <c r="O3" s="7"/>
      <c r="P3" s="7"/>
    </row>
    <row r="4" spans="1:19" ht="13">
      <c r="A4" s="593" t="s">
        <v>754</v>
      </c>
      <c r="B4" s="594" t="s">
        <v>735</v>
      </c>
      <c r="C4" s="595">
        <v>44652</v>
      </c>
      <c r="D4" s="595">
        <v>44682</v>
      </c>
      <c r="E4" s="595">
        <v>44713</v>
      </c>
      <c r="F4" s="595">
        <v>44743</v>
      </c>
      <c r="G4" s="595">
        <v>44774</v>
      </c>
      <c r="H4" s="595">
        <v>44805</v>
      </c>
      <c r="I4" s="595">
        <v>44835</v>
      </c>
      <c r="J4" s="595">
        <v>44866</v>
      </c>
      <c r="K4" s="595">
        <v>44896</v>
      </c>
      <c r="L4" s="595">
        <v>44927</v>
      </c>
      <c r="M4" s="595">
        <v>44958</v>
      </c>
      <c r="N4" s="595">
        <v>44986</v>
      </c>
      <c r="O4" s="596" t="s">
        <v>145</v>
      </c>
      <c r="P4" s="596" t="s">
        <v>755</v>
      </c>
    </row>
    <row r="5" spans="1:19" ht="13">
      <c r="A5" s="597" t="s">
        <v>22</v>
      </c>
      <c r="B5" s="598"/>
      <c r="C5" s="599"/>
      <c r="D5" s="599"/>
      <c r="E5" s="599"/>
      <c r="F5" s="599"/>
      <c r="G5" s="599"/>
      <c r="H5" s="599"/>
      <c r="I5" s="599"/>
      <c r="J5" s="599"/>
      <c r="K5" s="599"/>
      <c r="L5" s="599"/>
      <c r="M5" s="599"/>
      <c r="N5" s="600"/>
      <c r="O5" s="601"/>
      <c r="P5" s="601"/>
    </row>
    <row r="6" spans="1:19">
      <c r="A6" s="23"/>
      <c r="B6" s="23"/>
      <c r="C6" s="36"/>
      <c r="D6" s="36"/>
      <c r="E6" s="36"/>
      <c r="F6" s="36"/>
      <c r="G6" s="36"/>
      <c r="H6" s="36"/>
      <c r="I6" s="36"/>
      <c r="J6" s="36"/>
      <c r="K6" s="36"/>
      <c r="L6" s="36"/>
      <c r="M6" s="36"/>
      <c r="N6" s="36"/>
      <c r="O6" s="36"/>
      <c r="P6" s="36"/>
      <c r="R6" t="s">
        <v>29</v>
      </c>
    </row>
    <row r="7" spans="1:19">
      <c r="A7" s="29">
        <v>1</v>
      </c>
      <c r="B7" s="23" t="s">
        <v>756</v>
      </c>
      <c r="C7" s="7">
        <f>769902417.03/10^5</f>
        <v>7699.0241703000002</v>
      </c>
      <c r="D7" s="36">
        <f t="shared" ref="D7:N7" si="0">C16</f>
        <v>8581.7279330999991</v>
      </c>
      <c r="E7" s="36">
        <f t="shared" si="0"/>
        <v>9219.2313040999998</v>
      </c>
      <c r="F7" s="36">
        <f t="shared" si="0"/>
        <v>9874.9287848000004</v>
      </c>
      <c r="G7" s="36">
        <f t="shared" si="0"/>
        <v>10676.956241000002</v>
      </c>
      <c r="H7" s="36">
        <f t="shared" si="0"/>
        <v>11654.849047400006</v>
      </c>
      <c r="I7" s="36">
        <f t="shared" si="0"/>
        <v>10597.599228300007</v>
      </c>
      <c r="J7" s="36">
        <f t="shared" si="0"/>
        <v>11929.962243300008</v>
      </c>
      <c r="K7" s="36">
        <f t="shared" si="0"/>
        <v>12245.184412300025</v>
      </c>
      <c r="L7" s="36">
        <f t="shared" si="0"/>
        <v>13396.599812100023</v>
      </c>
      <c r="M7" s="36">
        <f t="shared" si="0"/>
        <v>16646.807770600015</v>
      </c>
      <c r="N7" s="36">
        <f t="shared" si="0"/>
        <v>17356.172853600016</v>
      </c>
      <c r="O7" s="36">
        <f>C7</f>
        <v>7699.0241703000002</v>
      </c>
      <c r="P7" s="36"/>
    </row>
    <row r="8" spans="1:19">
      <c r="A8" s="29"/>
      <c r="B8" s="23"/>
      <c r="C8" s="36"/>
      <c r="D8" s="36"/>
      <c r="E8" s="36"/>
      <c r="F8" s="36"/>
      <c r="G8" s="36"/>
      <c r="H8" s="36"/>
      <c r="I8" s="36"/>
      <c r="J8" s="36"/>
      <c r="K8" s="36"/>
      <c r="L8" s="36"/>
      <c r="M8" s="36"/>
      <c r="N8" s="36"/>
      <c r="O8" s="36"/>
      <c r="P8" s="36"/>
    </row>
    <row r="9" spans="1:19">
      <c r="A9" s="29">
        <v>2</v>
      </c>
      <c r="B9" s="23" t="s">
        <v>757</v>
      </c>
      <c r="C9" s="36">
        <v>1272.2323405999996</v>
      </c>
      <c r="D9" s="36">
        <v>1171.0668671999999</v>
      </c>
      <c r="E9" s="36">
        <v>1679.5754532000012</v>
      </c>
      <c r="F9" s="36">
        <v>2042.5791801000007</v>
      </c>
      <c r="G9" s="36">
        <v>2408.0060294000054</v>
      </c>
      <c r="H9" s="36">
        <v>2084.8701376000008</v>
      </c>
      <c r="I9" s="36">
        <v>3258.1043124000012</v>
      </c>
      <c r="J9" s="36">
        <v>2344.9849003000077</v>
      </c>
      <c r="K9" s="36">
        <v>4411.38</v>
      </c>
      <c r="L9" s="36">
        <v>8543.33</v>
      </c>
      <c r="M9" s="36">
        <v>7751.2</v>
      </c>
      <c r="N9" s="36">
        <v>10109.83</v>
      </c>
      <c r="O9" s="36">
        <f>SUM(C9:N9)</f>
        <v>47077.159220800015</v>
      </c>
      <c r="P9" s="36"/>
    </row>
    <row r="10" spans="1:19">
      <c r="A10" s="29"/>
      <c r="B10" s="23"/>
      <c r="C10" s="36"/>
      <c r="D10" s="36"/>
      <c r="E10" s="36"/>
      <c r="F10" s="36"/>
      <c r="G10" s="36"/>
      <c r="H10" s="36"/>
      <c r="I10" s="36"/>
      <c r="J10" s="36"/>
      <c r="K10" s="36"/>
      <c r="L10" s="36"/>
      <c r="M10" s="36"/>
      <c r="N10" s="36"/>
      <c r="O10" s="36"/>
      <c r="P10" s="36"/>
    </row>
    <row r="11" spans="1:19">
      <c r="A11" s="29">
        <v>3</v>
      </c>
      <c r="B11" s="23" t="s">
        <v>758</v>
      </c>
      <c r="C11" s="36">
        <v>389.52857779999897</v>
      </c>
      <c r="D11" s="36">
        <v>533.56349619999901</v>
      </c>
      <c r="E11" s="36">
        <v>1023.8779725000011</v>
      </c>
      <c r="F11" s="36">
        <v>1240.5517238999998</v>
      </c>
      <c r="G11" s="36">
        <v>1430.1132229999998</v>
      </c>
      <c r="H11" s="36">
        <v>3142.1199567000003</v>
      </c>
      <c r="I11" s="36">
        <v>1925.7412974000001</v>
      </c>
      <c r="J11" s="36">
        <v>2029.76273129999</v>
      </c>
      <c r="K11" s="36">
        <v>3259.9646001999999</v>
      </c>
      <c r="L11" s="36">
        <v>5293.1220415000098</v>
      </c>
      <c r="M11" s="36">
        <v>7041.8349170000001</v>
      </c>
      <c r="N11" s="36">
        <f>10425.1204485+793.900872100032</f>
        <v>11219.021320600032</v>
      </c>
      <c r="O11" s="36">
        <f>SUM(C11:N11)</f>
        <v>38529.20185810003</v>
      </c>
      <c r="P11" s="36"/>
    </row>
    <row r="12" spans="1:19">
      <c r="A12" s="29"/>
      <c r="B12" s="23"/>
      <c r="C12" s="36"/>
      <c r="D12" s="36"/>
      <c r="E12" s="36"/>
      <c r="F12" s="36"/>
      <c r="G12" s="36"/>
      <c r="H12" s="36"/>
      <c r="I12" s="36"/>
      <c r="J12" s="36"/>
      <c r="K12" s="36"/>
      <c r="L12" s="36"/>
      <c r="M12" s="36"/>
      <c r="N12" s="36"/>
      <c r="O12" s="36"/>
      <c r="P12" s="36"/>
    </row>
    <row r="13" spans="1:19">
      <c r="A13" s="29">
        <v>4</v>
      </c>
      <c r="B13" s="23" t="s">
        <v>759</v>
      </c>
      <c r="C13" s="36"/>
      <c r="D13" s="36"/>
      <c r="E13" s="36"/>
      <c r="F13" s="36"/>
      <c r="G13" s="36"/>
      <c r="H13" s="36"/>
      <c r="I13" s="36"/>
      <c r="J13" s="36"/>
      <c r="K13" s="36"/>
      <c r="L13" s="36"/>
      <c r="M13" s="36"/>
      <c r="N13" s="36"/>
      <c r="O13" s="36"/>
      <c r="P13" s="36"/>
    </row>
    <row r="14" spans="1:19">
      <c r="A14" s="29"/>
      <c r="B14" s="23" t="s">
        <v>760</v>
      </c>
      <c r="C14" s="36"/>
      <c r="D14" s="36"/>
      <c r="E14" s="36"/>
      <c r="F14" s="36"/>
      <c r="G14" s="36"/>
      <c r="H14" s="36"/>
      <c r="I14" s="36"/>
      <c r="J14" s="36"/>
      <c r="K14" s="36"/>
      <c r="L14" s="36"/>
      <c r="M14" s="36"/>
      <c r="N14" s="36"/>
      <c r="O14" s="36"/>
      <c r="P14" s="36"/>
    </row>
    <row r="15" spans="1:19">
      <c r="A15" s="29"/>
      <c r="B15" s="23"/>
      <c r="C15" s="36"/>
      <c r="D15" s="36"/>
      <c r="E15" s="36"/>
      <c r="F15" s="36"/>
      <c r="G15" s="36"/>
      <c r="H15" s="36"/>
      <c r="I15" s="36"/>
      <c r="J15" s="36"/>
      <c r="K15" s="36"/>
      <c r="L15" s="36"/>
      <c r="M15" s="36"/>
      <c r="N15" s="36"/>
      <c r="O15" s="36"/>
      <c r="P15" s="36"/>
    </row>
    <row r="16" spans="1:19" ht="13">
      <c r="A16" s="29">
        <v>5</v>
      </c>
      <c r="B16" s="23" t="s">
        <v>761</v>
      </c>
      <c r="C16" s="36">
        <f t="shared" ref="C16:N16" si="1">C7+C9-C11-C13</f>
        <v>8581.7279330999991</v>
      </c>
      <c r="D16" s="36">
        <f t="shared" si="1"/>
        <v>9219.2313040999998</v>
      </c>
      <c r="E16" s="36">
        <f t="shared" si="1"/>
        <v>9874.9287848000004</v>
      </c>
      <c r="F16" s="36">
        <f t="shared" si="1"/>
        <v>10676.956241000002</v>
      </c>
      <c r="G16" s="36">
        <f t="shared" si="1"/>
        <v>11654.849047400006</v>
      </c>
      <c r="H16" s="36">
        <f t="shared" si="1"/>
        <v>10597.599228300007</v>
      </c>
      <c r="I16" s="36">
        <f t="shared" si="1"/>
        <v>11929.962243300008</v>
      </c>
      <c r="J16" s="36">
        <f t="shared" si="1"/>
        <v>12245.184412300025</v>
      </c>
      <c r="K16" s="36">
        <f t="shared" si="1"/>
        <v>13396.599812100023</v>
      </c>
      <c r="L16" s="36">
        <f t="shared" si="1"/>
        <v>16646.807770600015</v>
      </c>
      <c r="M16" s="36">
        <f t="shared" si="1"/>
        <v>17356.172853600016</v>
      </c>
      <c r="N16" s="36">
        <f t="shared" si="1"/>
        <v>16246.981532999986</v>
      </c>
      <c r="O16" s="37">
        <f>O7+O9-O11-O13</f>
        <v>16246.981532999984</v>
      </c>
      <c r="P16" s="37">
        <f>SUM(C16:N16)/12</f>
        <v>12368.916763633342</v>
      </c>
      <c r="Q16" s="602"/>
      <c r="R16" s="7">
        <f>'F-21'!C27+'F-21'!C32</f>
        <v>16246.981533000002</v>
      </c>
      <c r="S16" s="228">
        <f>O16-R16</f>
        <v>-1.8189894035458565E-11</v>
      </c>
    </row>
    <row r="17" spans="1:18">
      <c r="A17" s="23"/>
      <c r="B17" s="23" t="s">
        <v>762</v>
      </c>
      <c r="C17" s="23"/>
      <c r="D17" s="23"/>
      <c r="E17" s="23"/>
      <c r="F17" s="23"/>
      <c r="G17" s="23"/>
      <c r="H17" s="23"/>
      <c r="I17" s="23"/>
      <c r="J17" s="23"/>
      <c r="K17" s="23"/>
      <c r="L17" s="23"/>
      <c r="M17" s="23"/>
      <c r="N17" s="23"/>
      <c r="O17" s="23"/>
      <c r="P17" s="23"/>
      <c r="Q17" s="7"/>
    </row>
    <row r="18" spans="1:18">
      <c r="B18" t="s">
        <v>763</v>
      </c>
      <c r="N18" s="7"/>
      <c r="O18" s="7"/>
      <c r="P18" s="7"/>
    </row>
    <row r="19" spans="1:18" ht="13">
      <c r="C19" s="7"/>
      <c r="D19" s="7"/>
      <c r="E19" s="7"/>
      <c r="F19" s="31" t="s">
        <v>764</v>
      </c>
      <c r="G19" s="7"/>
      <c r="H19" s="7"/>
      <c r="I19" s="7"/>
      <c r="J19" s="7"/>
      <c r="K19" s="7"/>
      <c r="L19" s="7"/>
      <c r="M19" s="7"/>
      <c r="N19" s="7"/>
      <c r="O19" s="7"/>
      <c r="P19" s="2" t="s">
        <v>496</v>
      </c>
    </row>
    <row r="20" spans="1:18" ht="13">
      <c r="A20" s="593" t="s">
        <v>754</v>
      </c>
      <c r="B20" s="594" t="s">
        <v>735</v>
      </c>
      <c r="C20" s="595">
        <v>45017</v>
      </c>
      <c r="D20" s="595">
        <v>45047</v>
      </c>
      <c r="E20" s="595">
        <v>45078</v>
      </c>
      <c r="F20" s="595">
        <v>45108</v>
      </c>
      <c r="G20" s="595">
        <v>45139</v>
      </c>
      <c r="H20" s="595">
        <v>45170</v>
      </c>
      <c r="I20" s="595">
        <v>45200</v>
      </c>
      <c r="J20" s="595">
        <v>45231</v>
      </c>
      <c r="K20" s="595">
        <v>45261</v>
      </c>
      <c r="L20" s="595">
        <v>45292</v>
      </c>
      <c r="M20" s="595">
        <v>45323</v>
      </c>
      <c r="N20" s="595">
        <v>45352</v>
      </c>
      <c r="O20" s="596" t="s">
        <v>145</v>
      </c>
      <c r="P20" s="596" t="s">
        <v>755</v>
      </c>
    </row>
    <row r="21" spans="1:18" ht="13">
      <c r="A21" s="597" t="s">
        <v>22</v>
      </c>
      <c r="B21" s="598"/>
      <c r="C21" s="599"/>
      <c r="D21" s="599"/>
      <c r="E21" s="599"/>
      <c r="F21" s="599"/>
      <c r="G21" s="599"/>
      <c r="H21" s="599"/>
      <c r="I21" s="599"/>
      <c r="J21" s="599"/>
      <c r="K21" s="599"/>
      <c r="L21" s="599"/>
      <c r="M21" s="599"/>
      <c r="N21" s="600"/>
      <c r="O21" s="601"/>
      <c r="P21" s="601"/>
    </row>
    <row r="22" spans="1:18">
      <c r="A22" s="23"/>
      <c r="B22" s="23"/>
      <c r="C22" s="36"/>
      <c r="D22" s="36"/>
      <c r="E22" s="36"/>
      <c r="F22" s="36"/>
      <c r="G22" s="36"/>
      <c r="H22" s="36"/>
      <c r="I22" s="36"/>
      <c r="J22" s="36"/>
      <c r="K22" s="36"/>
      <c r="L22" s="36"/>
      <c r="M22" s="36"/>
      <c r="N22" s="243"/>
      <c r="O22" s="36"/>
      <c r="P22" s="36"/>
    </row>
    <row r="23" spans="1:18">
      <c r="A23" s="29">
        <v>1</v>
      </c>
      <c r="B23" s="23" t="s">
        <v>756</v>
      </c>
      <c r="C23" s="36">
        <f>O16</f>
        <v>16246.981532999984</v>
      </c>
      <c r="D23" s="36">
        <f t="shared" ref="D23:N23" si="2">C32</f>
        <v>19548.528343899987</v>
      </c>
      <c r="E23" s="36">
        <f t="shared" si="2"/>
        <v>21121.225595199987</v>
      </c>
      <c r="F23" s="36">
        <f t="shared" si="2"/>
        <v>23938.449045899888</v>
      </c>
      <c r="G23" s="36">
        <f t="shared" si="2"/>
        <v>25112.219643500015</v>
      </c>
      <c r="H23" s="36">
        <f t="shared" si="2"/>
        <v>25528.94955470039</v>
      </c>
      <c r="I23" s="36">
        <f t="shared" si="2"/>
        <v>26749.877679901107</v>
      </c>
      <c r="J23" s="36">
        <f t="shared" si="2"/>
        <v>29024.667123901789</v>
      </c>
      <c r="K23" s="36">
        <f t="shared" si="2"/>
        <v>25249.158915641827</v>
      </c>
      <c r="L23" s="36">
        <f t="shared" si="2"/>
        <v>22253.168795201826</v>
      </c>
      <c r="M23" s="36">
        <f t="shared" si="2"/>
        <v>20005.963303901801</v>
      </c>
      <c r="N23" s="36">
        <f t="shared" si="2"/>
        <v>17969.5309284018</v>
      </c>
      <c r="O23" s="36">
        <f>C23</f>
        <v>16246.981532999984</v>
      </c>
      <c r="P23" s="36"/>
    </row>
    <row r="24" spans="1:18">
      <c r="A24" s="29"/>
      <c r="B24" s="23"/>
      <c r="C24" s="36"/>
      <c r="D24" s="36"/>
      <c r="E24" s="36"/>
      <c r="F24" s="36"/>
      <c r="G24" s="36"/>
      <c r="H24" s="36"/>
      <c r="I24" s="36"/>
      <c r="J24" s="36"/>
      <c r="K24" s="36"/>
      <c r="L24" s="36"/>
      <c r="M24" s="36"/>
      <c r="N24" s="36"/>
      <c r="O24" s="36"/>
      <c r="P24" s="36"/>
    </row>
    <row r="25" spans="1:18">
      <c r="A25" s="29">
        <v>2</v>
      </c>
      <c r="B25" s="23" t="s">
        <v>757</v>
      </c>
      <c r="C25" s="36">
        <v>4237.6499999999996</v>
      </c>
      <c r="D25" s="36">
        <v>3312.0891737999978</v>
      </c>
      <c r="E25" s="36">
        <v>4043.8894769999997</v>
      </c>
      <c r="F25" s="36">
        <v>3148.1257307999981</v>
      </c>
      <c r="G25" s="36">
        <v>2732.138787199995</v>
      </c>
      <c r="H25" s="36">
        <v>3994.8286858999968</v>
      </c>
      <c r="I25" s="36">
        <v>4289.5006494999998</v>
      </c>
      <c r="J25" s="36">
        <v>4689.9698006000153</v>
      </c>
      <c r="K25" s="36">
        <v>6175.9319999999998</v>
      </c>
      <c r="L25" s="36">
        <v>9397.6630000000005</v>
      </c>
      <c r="M25" s="36">
        <v>8526.32</v>
      </c>
      <c r="N25" s="36">
        <v>4263.16</v>
      </c>
      <c r="O25" s="36">
        <f>SUM(C25:N25)</f>
        <v>58811.2673048</v>
      </c>
      <c r="P25" s="36"/>
    </row>
    <row r="26" spans="1:18">
      <c r="A26" s="29"/>
      <c r="B26" s="23"/>
      <c r="C26" s="36"/>
      <c r="D26" s="36"/>
      <c r="E26" s="36"/>
      <c r="F26" s="36"/>
      <c r="G26" s="36"/>
      <c r="H26" s="36"/>
      <c r="I26" s="36"/>
      <c r="J26" s="36"/>
      <c r="K26" s="36"/>
      <c r="L26" s="36"/>
      <c r="M26" s="36"/>
      <c r="N26" s="36"/>
      <c r="O26" s="36"/>
      <c r="P26" s="36"/>
    </row>
    <row r="27" spans="1:18">
      <c r="A27" s="29">
        <v>3</v>
      </c>
      <c r="B27" s="23" t="s">
        <v>758</v>
      </c>
      <c r="C27" s="36">
        <v>936.10318910000001</v>
      </c>
      <c r="D27" s="36">
        <v>1739.3919225</v>
      </c>
      <c r="E27" s="36">
        <v>1226.6660263001002</v>
      </c>
      <c r="F27" s="36">
        <v>1974.3551331998701</v>
      </c>
      <c r="G27" s="36">
        <v>2315.4088759996202</v>
      </c>
      <c r="H27" s="36">
        <v>2773.90056069928</v>
      </c>
      <c r="I27" s="36">
        <v>2014.7112054993199</v>
      </c>
      <c r="J27" s="36">
        <f>4465.47800885998+4000</f>
        <v>8465.47800885998</v>
      </c>
      <c r="K27" s="36">
        <f>7171.92212044+2000</f>
        <v>9171.9221204400001</v>
      </c>
      <c r="L27" s="36">
        <v>11644.868491300023</v>
      </c>
      <c r="M27" s="36">
        <v>10562.7523755</v>
      </c>
      <c r="N27" s="36">
        <f>5281.37618775+5000</f>
        <v>10281.37618775</v>
      </c>
      <c r="O27" s="36">
        <f>SUM(C27:N27)</f>
        <v>63106.934097148194</v>
      </c>
      <c r="P27" s="36"/>
    </row>
    <row r="28" spans="1:18">
      <c r="A28" s="29"/>
      <c r="B28" s="23"/>
      <c r="C28" s="36"/>
      <c r="D28" s="36"/>
      <c r="E28" s="36"/>
      <c r="F28" s="36"/>
      <c r="G28" s="36"/>
      <c r="H28" s="36"/>
      <c r="I28" s="36"/>
      <c r="J28" s="36"/>
      <c r="K28" s="36"/>
      <c r="L28" s="36"/>
      <c r="M28" s="36"/>
      <c r="N28" s="36"/>
      <c r="O28" s="36"/>
      <c r="P28" s="36"/>
    </row>
    <row r="29" spans="1:18">
      <c r="A29" s="29">
        <v>4</v>
      </c>
      <c r="B29" s="23" t="s">
        <v>759</v>
      </c>
      <c r="C29" s="36"/>
      <c r="D29" s="36"/>
      <c r="E29" s="36"/>
      <c r="F29" s="36"/>
      <c r="G29" s="36"/>
      <c r="H29" s="36"/>
      <c r="I29" s="36"/>
      <c r="J29" s="36"/>
      <c r="K29" s="36"/>
      <c r="L29" s="36"/>
      <c r="M29" s="36"/>
      <c r="N29" s="36"/>
      <c r="O29" s="36"/>
      <c r="P29" s="36"/>
    </row>
    <row r="30" spans="1:18">
      <c r="A30" s="29"/>
      <c r="B30" s="23" t="s">
        <v>760</v>
      </c>
      <c r="C30" s="36"/>
      <c r="D30" s="36"/>
      <c r="E30" s="36"/>
      <c r="F30" s="36"/>
      <c r="G30" s="36"/>
      <c r="H30" s="36"/>
      <c r="I30" s="36"/>
      <c r="J30" s="36"/>
      <c r="K30" s="36"/>
      <c r="L30" s="36"/>
      <c r="M30" s="36"/>
      <c r="N30" s="36"/>
      <c r="O30" s="36"/>
      <c r="P30" s="36"/>
    </row>
    <row r="31" spans="1:18">
      <c r="A31" s="29"/>
      <c r="B31" s="23"/>
      <c r="C31" s="36"/>
      <c r="D31" s="36"/>
      <c r="E31" s="36"/>
      <c r="F31" s="36"/>
      <c r="G31" s="36"/>
      <c r="H31" s="36"/>
      <c r="I31" s="36"/>
      <c r="J31" s="36"/>
      <c r="K31" s="36"/>
      <c r="L31" s="36"/>
      <c r="M31" s="36"/>
      <c r="N31" s="36"/>
      <c r="O31" s="36"/>
      <c r="P31" s="36"/>
    </row>
    <row r="32" spans="1:18" ht="13">
      <c r="A32" s="29">
        <v>5</v>
      </c>
      <c r="B32" s="23" t="s">
        <v>761</v>
      </c>
      <c r="C32" s="36">
        <f t="shared" ref="C32:O32" si="3">C23+C25-C27-C29</f>
        <v>19548.528343899987</v>
      </c>
      <c r="D32" s="36">
        <f t="shared" si="3"/>
        <v>21121.225595199987</v>
      </c>
      <c r="E32" s="36">
        <f t="shared" si="3"/>
        <v>23938.449045899888</v>
      </c>
      <c r="F32" s="36">
        <f t="shared" si="3"/>
        <v>25112.219643500015</v>
      </c>
      <c r="G32" s="36">
        <f t="shared" si="3"/>
        <v>25528.94955470039</v>
      </c>
      <c r="H32" s="36">
        <f t="shared" si="3"/>
        <v>26749.877679901107</v>
      </c>
      <c r="I32" s="36">
        <f t="shared" si="3"/>
        <v>29024.667123901789</v>
      </c>
      <c r="J32" s="36">
        <f t="shared" si="3"/>
        <v>25249.158915641827</v>
      </c>
      <c r="K32" s="36">
        <f t="shared" si="3"/>
        <v>22253.168795201826</v>
      </c>
      <c r="L32" s="36">
        <f t="shared" si="3"/>
        <v>20005.963303901801</v>
      </c>
      <c r="M32" s="36">
        <f t="shared" si="3"/>
        <v>17969.5309284018</v>
      </c>
      <c r="N32" s="36">
        <f t="shared" si="3"/>
        <v>11951.3147406518</v>
      </c>
      <c r="O32" s="37">
        <f t="shared" si="3"/>
        <v>11951.314740651789</v>
      </c>
      <c r="P32" s="37">
        <f>SUM(C32:N32)/12</f>
        <v>22371.087805900184</v>
      </c>
      <c r="R32" s="7"/>
    </row>
    <row r="33" spans="1:16">
      <c r="A33" s="23"/>
      <c r="B33" s="23" t="s">
        <v>762</v>
      </c>
      <c r="C33" s="23"/>
      <c r="D33" s="23"/>
      <c r="E33" s="23"/>
      <c r="F33" s="23"/>
      <c r="G33" s="23"/>
      <c r="H33" s="36"/>
      <c r="I33" s="23"/>
      <c r="J33" s="23"/>
      <c r="K33" s="23"/>
      <c r="L33" s="23"/>
      <c r="M33" s="23"/>
      <c r="N33" s="23"/>
      <c r="O33" s="23"/>
      <c r="P33" s="23"/>
    </row>
    <row r="34" spans="1:16">
      <c r="B34" t="s">
        <v>763</v>
      </c>
    </row>
    <row r="36" spans="1:16" ht="13">
      <c r="C36" s="7"/>
      <c r="D36" s="7"/>
      <c r="E36" s="7"/>
      <c r="F36" s="31" t="s">
        <v>765</v>
      </c>
      <c r="G36" s="7"/>
      <c r="H36" s="7"/>
      <c r="I36" s="7"/>
      <c r="J36" s="7"/>
      <c r="K36" s="7"/>
      <c r="L36" s="7"/>
      <c r="M36" s="7"/>
      <c r="N36" s="7"/>
      <c r="O36" s="7"/>
      <c r="P36" s="2" t="s">
        <v>496</v>
      </c>
    </row>
    <row r="37" spans="1:16" ht="13">
      <c r="A37" s="593" t="s">
        <v>754</v>
      </c>
      <c r="B37" s="594" t="s">
        <v>735</v>
      </c>
      <c r="C37" s="595">
        <v>45383</v>
      </c>
      <c r="D37" s="595">
        <v>45413</v>
      </c>
      <c r="E37" s="595">
        <v>45444</v>
      </c>
      <c r="F37" s="595">
        <v>45474</v>
      </c>
      <c r="G37" s="595">
        <v>45505</v>
      </c>
      <c r="H37" s="595">
        <v>45536</v>
      </c>
      <c r="I37" s="595">
        <v>45566</v>
      </c>
      <c r="J37" s="595">
        <v>45597</v>
      </c>
      <c r="K37" s="595">
        <v>45627</v>
      </c>
      <c r="L37" s="595">
        <v>45658</v>
      </c>
      <c r="M37" s="595">
        <v>45689</v>
      </c>
      <c r="N37" s="595">
        <v>45717</v>
      </c>
      <c r="O37" s="596" t="s">
        <v>145</v>
      </c>
      <c r="P37" s="596" t="s">
        <v>755</v>
      </c>
    </row>
    <row r="38" spans="1:16" ht="13">
      <c r="A38" s="597" t="s">
        <v>22</v>
      </c>
      <c r="B38" s="598"/>
      <c r="C38" s="599"/>
      <c r="D38" s="599"/>
      <c r="E38" s="599"/>
      <c r="F38" s="599"/>
      <c r="G38" s="599"/>
      <c r="H38" s="599"/>
      <c r="I38" s="599"/>
      <c r="J38" s="599"/>
      <c r="K38" s="599"/>
      <c r="L38" s="599"/>
      <c r="M38" s="599"/>
      <c r="N38" s="600"/>
      <c r="O38" s="601"/>
      <c r="P38" s="601"/>
    </row>
    <row r="39" spans="1:16">
      <c r="A39" s="23"/>
      <c r="B39" s="23"/>
      <c r="C39" s="36"/>
      <c r="D39" s="36"/>
      <c r="E39" s="36"/>
      <c r="F39" s="36"/>
      <c r="G39" s="36"/>
      <c r="H39" s="36"/>
      <c r="I39" s="36"/>
      <c r="J39" s="36"/>
      <c r="K39" s="36"/>
      <c r="L39" s="36"/>
      <c r="M39" s="36"/>
      <c r="N39" s="36"/>
      <c r="O39" s="36"/>
      <c r="P39" s="36"/>
    </row>
    <row r="40" spans="1:16">
      <c r="A40" s="29">
        <v>1</v>
      </c>
      <c r="B40" s="23" t="s">
        <v>756</v>
      </c>
      <c r="C40" s="36">
        <f>O32</f>
        <v>11951.314740651789</v>
      </c>
      <c r="D40" s="36">
        <f t="shared" ref="D40:N40" si="4">C49</f>
        <v>15583.01623264179</v>
      </c>
      <c r="E40" s="36">
        <f t="shared" si="4"/>
        <v>17312.98320907179</v>
      </c>
      <c r="F40" s="36">
        <f t="shared" si="4"/>
        <v>20411.929004841681</v>
      </c>
      <c r="G40" s="36">
        <f t="shared" si="4"/>
        <v>21703.07666220182</v>
      </c>
      <c r="H40" s="36">
        <f t="shared" si="4"/>
        <v>21161.479564522237</v>
      </c>
      <c r="I40" s="36">
        <f t="shared" si="4"/>
        <v>21504.500502243023</v>
      </c>
      <c r="J40" s="36">
        <f t="shared" si="4"/>
        <v>23006.768890643772</v>
      </c>
      <c r="K40" s="36">
        <f t="shared" si="4"/>
        <v>23253.709861557811</v>
      </c>
      <c r="L40" s="36">
        <f t="shared" si="4"/>
        <v>20158.120729073809</v>
      </c>
      <c r="M40" s="36">
        <f t="shared" si="4"/>
        <v>17686.194688643787</v>
      </c>
      <c r="N40" s="36">
        <f t="shared" si="4"/>
        <v>15446.119075593788</v>
      </c>
      <c r="O40" s="36">
        <f>C40</f>
        <v>11951.314740651789</v>
      </c>
      <c r="P40" s="36"/>
    </row>
    <row r="41" spans="1:16">
      <c r="A41" s="29"/>
      <c r="B41" s="23"/>
      <c r="C41" s="36"/>
      <c r="D41" s="36"/>
      <c r="E41" s="36"/>
      <c r="F41" s="36"/>
      <c r="G41" s="36"/>
      <c r="H41" s="36"/>
      <c r="I41" s="36"/>
      <c r="J41" s="36"/>
      <c r="K41" s="36"/>
      <c r="L41" s="36"/>
      <c r="M41" s="36"/>
      <c r="N41" s="36"/>
      <c r="O41" s="36"/>
      <c r="P41" s="36"/>
    </row>
    <row r="42" spans="1:16">
      <c r="A42" s="29">
        <v>2</v>
      </c>
      <c r="B42" s="23" t="s">
        <v>757</v>
      </c>
      <c r="C42" s="36">
        <v>4661.415</v>
      </c>
      <c r="D42" s="36">
        <v>3643.2980911799978</v>
      </c>
      <c r="E42" s="36">
        <v>4448.2784247</v>
      </c>
      <c r="F42" s="36">
        <v>3462.9383038799983</v>
      </c>
      <c r="G42" s="36">
        <v>3005.3526659199947</v>
      </c>
      <c r="H42" s="36">
        <v>4394.3115544899965</v>
      </c>
      <c r="I42" s="36">
        <v>4718.4507144500003</v>
      </c>
      <c r="J42" s="36">
        <v>5158.9667806600173</v>
      </c>
      <c r="K42" s="36">
        <v>6793.5252</v>
      </c>
      <c r="L42" s="36">
        <v>10337.429300000002</v>
      </c>
      <c r="M42" s="36">
        <v>9378.9520000000011</v>
      </c>
      <c r="N42" s="36">
        <v>4689.4760000000006</v>
      </c>
      <c r="O42" s="36">
        <f>SUM(C42:N42)</f>
        <v>64692.39403528002</v>
      </c>
      <c r="P42" s="36"/>
    </row>
    <row r="43" spans="1:16">
      <c r="A43" s="29"/>
      <c r="B43" s="23"/>
      <c r="C43" s="36"/>
      <c r="D43" s="36"/>
      <c r="E43" s="36"/>
      <c r="F43" s="36"/>
      <c r="G43" s="36"/>
      <c r="H43" s="36"/>
      <c r="I43" s="36"/>
      <c r="J43" s="36"/>
      <c r="K43" s="36"/>
      <c r="L43" s="36"/>
      <c r="M43" s="36"/>
      <c r="N43" s="36"/>
      <c r="O43" s="36"/>
      <c r="P43" s="36"/>
    </row>
    <row r="44" spans="1:16">
      <c r="A44" s="29">
        <v>3</v>
      </c>
      <c r="B44" s="23" t="s">
        <v>758</v>
      </c>
      <c r="C44" s="36">
        <v>1029.7135080100002</v>
      </c>
      <c r="D44" s="36">
        <v>1913.3311147500001</v>
      </c>
      <c r="E44" s="36">
        <v>1349.3326289301103</v>
      </c>
      <c r="F44" s="36">
        <v>2171.7906465198571</v>
      </c>
      <c r="G44" s="36">
        <v>3546.9497635995799</v>
      </c>
      <c r="H44" s="36">
        <v>4051.2906167692099</v>
      </c>
      <c r="I44" s="36">
        <v>3216.1823260492502</v>
      </c>
      <c r="J44" s="36">
        <v>4912.0258097459764</v>
      </c>
      <c r="K44" s="36">
        <f>7889.114332484+2000</f>
        <v>9889.1143324840014</v>
      </c>
      <c r="L44" s="36">
        <v>12809.355340430027</v>
      </c>
      <c r="M44" s="36">
        <v>11619.027613050001</v>
      </c>
      <c r="N44" s="36">
        <f>5809.513806525+5000</f>
        <v>10809.513806524999</v>
      </c>
      <c r="O44" s="36">
        <f>SUM(C44:N44)</f>
        <v>67317.627506863006</v>
      </c>
      <c r="P44" s="36"/>
    </row>
    <row r="45" spans="1:16">
      <c r="A45" s="29"/>
      <c r="B45" s="23"/>
      <c r="C45" s="36"/>
      <c r="D45" s="36"/>
      <c r="E45" s="36"/>
      <c r="F45" s="36"/>
      <c r="G45" s="36"/>
      <c r="H45" s="36"/>
      <c r="I45" s="36"/>
      <c r="J45" s="36"/>
      <c r="K45" s="36"/>
      <c r="L45" s="36"/>
      <c r="M45" s="36"/>
      <c r="N45" s="36"/>
      <c r="O45" s="36"/>
      <c r="P45" s="36"/>
    </row>
    <row r="46" spans="1:16">
      <c r="A46" s="29">
        <v>4</v>
      </c>
      <c r="B46" s="23" t="s">
        <v>759</v>
      </c>
      <c r="C46" s="36"/>
      <c r="D46" s="36"/>
      <c r="E46" s="36"/>
      <c r="F46" s="36"/>
      <c r="G46" s="36"/>
      <c r="H46" s="36"/>
      <c r="I46" s="36"/>
      <c r="J46" s="36"/>
      <c r="K46" s="36"/>
      <c r="L46" s="36"/>
      <c r="M46" s="36"/>
      <c r="N46" s="36"/>
      <c r="O46" s="36"/>
      <c r="P46" s="36"/>
    </row>
    <row r="47" spans="1:16">
      <c r="A47" s="29"/>
      <c r="B47" s="23" t="s">
        <v>760</v>
      </c>
      <c r="C47" s="36"/>
      <c r="D47" s="36"/>
      <c r="E47" s="36"/>
      <c r="F47" s="36"/>
      <c r="G47" s="36"/>
      <c r="H47" s="36"/>
      <c r="I47" s="36"/>
      <c r="J47" s="36"/>
      <c r="K47" s="36"/>
      <c r="L47" s="36"/>
      <c r="M47" s="36"/>
      <c r="N47" s="36"/>
      <c r="O47" s="36"/>
      <c r="P47" s="36"/>
    </row>
    <row r="48" spans="1:16">
      <c r="A48" s="29"/>
      <c r="B48" s="23"/>
      <c r="C48" s="36"/>
      <c r="D48" s="36"/>
      <c r="E48" s="36"/>
      <c r="F48" s="36"/>
      <c r="G48" s="36"/>
      <c r="H48" s="36"/>
      <c r="I48" s="36"/>
      <c r="J48" s="36"/>
      <c r="K48" s="36"/>
      <c r="L48" s="36"/>
      <c r="M48" s="36"/>
      <c r="N48" s="36"/>
      <c r="O48" s="36"/>
      <c r="P48" s="36"/>
    </row>
    <row r="49" spans="1:16" ht="13">
      <c r="A49" s="29">
        <v>5</v>
      </c>
      <c r="B49" s="23" t="s">
        <v>761</v>
      </c>
      <c r="C49" s="36">
        <f t="shared" ref="C49:O49" si="5">C40+C42-C44-C46</f>
        <v>15583.01623264179</v>
      </c>
      <c r="D49" s="36">
        <f t="shared" si="5"/>
        <v>17312.98320907179</v>
      </c>
      <c r="E49" s="36">
        <f t="shared" si="5"/>
        <v>20411.929004841681</v>
      </c>
      <c r="F49" s="36">
        <f t="shared" si="5"/>
        <v>21703.07666220182</v>
      </c>
      <c r="G49" s="36">
        <f t="shared" si="5"/>
        <v>21161.479564522237</v>
      </c>
      <c r="H49" s="36">
        <f t="shared" si="5"/>
        <v>21504.500502243023</v>
      </c>
      <c r="I49" s="36">
        <f t="shared" si="5"/>
        <v>23006.768890643772</v>
      </c>
      <c r="J49" s="36">
        <f t="shared" si="5"/>
        <v>23253.709861557811</v>
      </c>
      <c r="K49" s="36">
        <f t="shared" si="5"/>
        <v>20158.120729073809</v>
      </c>
      <c r="L49" s="36">
        <f t="shared" si="5"/>
        <v>17686.194688643787</v>
      </c>
      <c r="M49" s="36">
        <f t="shared" si="5"/>
        <v>15446.119075593788</v>
      </c>
      <c r="N49" s="36">
        <f t="shared" si="5"/>
        <v>9326.081269068789</v>
      </c>
      <c r="O49" s="37">
        <f t="shared" si="5"/>
        <v>9326.0812690688035</v>
      </c>
      <c r="P49" s="37">
        <f>SUM(C49:N49)/12</f>
        <v>18879.498307508678</v>
      </c>
    </row>
    <row r="50" spans="1:16">
      <c r="A50" s="23"/>
      <c r="B50" s="23" t="s">
        <v>762</v>
      </c>
      <c r="C50" s="23"/>
      <c r="D50" s="23"/>
      <c r="E50" s="23"/>
      <c r="F50" s="23"/>
      <c r="G50" s="23"/>
      <c r="H50" s="23"/>
      <c r="I50" s="23"/>
      <c r="J50" s="23"/>
      <c r="K50" s="23"/>
      <c r="L50" s="23"/>
      <c r="M50" s="23"/>
      <c r="N50" s="23"/>
      <c r="O50" s="23"/>
      <c r="P50" s="23"/>
    </row>
    <row r="51" spans="1:16">
      <c r="C51" s="7"/>
      <c r="D51" s="7"/>
      <c r="E51" s="7"/>
      <c r="F51" s="7"/>
      <c r="G51" s="7"/>
      <c r="H51" s="7"/>
      <c r="I51" s="7"/>
      <c r="J51" s="7"/>
      <c r="K51" s="7"/>
      <c r="L51" s="7"/>
      <c r="M51" s="7"/>
      <c r="N51" s="7"/>
    </row>
    <row r="52" spans="1:16">
      <c r="B52" t="s">
        <v>763</v>
      </c>
    </row>
  </sheetData>
  <phoneticPr fontId="0" type="noConversion"/>
  <printOptions horizontalCentered="1" gridLines="1"/>
  <pageMargins left="0.23622047244094491" right="0" top="0.23622047244094491" bottom="0.39370078740157483" header="0.51181102362204722" footer="0.19685039370078741"/>
  <pageSetup paperSize="9" scale="83" orientation="landscape" r:id="rId1"/>
  <headerFooter alignWithMargins="0">
    <oddFooter>&amp;R
&amp;"Arial,Bold"&amp;12OERC FORM-&amp;A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1"/>
  <dimension ref="A1:N49"/>
  <sheetViews>
    <sheetView showGridLines="0" view="pageBreakPreview" topLeftCell="A24" zoomScale="75" zoomScaleNormal="75" workbookViewId="0">
      <selection activeCell="L17" sqref="L17"/>
    </sheetView>
  </sheetViews>
  <sheetFormatPr defaultRowHeight="12.5"/>
  <cols>
    <col min="1" max="1" width="6.54296875" customWidth="1"/>
    <col min="2" max="2" width="33" customWidth="1"/>
    <col min="3" max="3" width="16" customWidth="1"/>
    <col min="4" max="4" width="12.54296875" customWidth="1"/>
    <col min="5" max="5" width="13" customWidth="1"/>
    <col min="6" max="6" width="14.1796875" customWidth="1"/>
    <col min="7" max="7" width="12" customWidth="1"/>
    <col min="17" max="17" width="0" hidden="1" customWidth="1"/>
  </cols>
  <sheetData>
    <row r="1" spans="1:10" ht="13">
      <c r="A1" s="20" t="s">
        <v>104</v>
      </c>
      <c r="E1" s="3" t="s">
        <v>0</v>
      </c>
      <c r="F1" s="2" t="s">
        <v>766</v>
      </c>
    </row>
    <row r="2" spans="1:10" ht="13">
      <c r="F2" s="2"/>
    </row>
    <row r="3" spans="1:10" ht="15.5">
      <c r="A3" s="2006" t="s">
        <v>767</v>
      </c>
      <c r="B3" s="2006"/>
      <c r="C3" s="2006"/>
      <c r="D3" s="2006"/>
      <c r="E3" s="2006"/>
      <c r="F3" s="2006"/>
      <c r="G3" s="2006"/>
    </row>
    <row r="4" spans="1:10" ht="13">
      <c r="F4" s="2" t="s">
        <v>768</v>
      </c>
      <c r="G4" s="2"/>
    </row>
    <row r="5" spans="1:10" ht="15.5">
      <c r="A5" s="2006" t="s">
        <v>769</v>
      </c>
      <c r="B5" s="2006"/>
      <c r="C5" s="2006"/>
      <c r="D5" s="2006"/>
      <c r="E5" s="2006"/>
      <c r="F5" s="2006"/>
      <c r="G5" s="2006"/>
    </row>
    <row r="6" spans="1:10" ht="41.25" customHeight="1">
      <c r="A6" s="23"/>
      <c r="B6" s="28" t="s">
        <v>770</v>
      </c>
      <c r="C6" s="33" t="s">
        <v>771</v>
      </c>
      <c r="D6" s="33" t="s">
        <v>772</v>
      </c>
      <c r="E6" s="33" t="s">
        <v>773</v>
      </c>
      <c r="F6" s="33" t="s">
        <v>774</v>
      </c>
      <c r="G6" s="33" t="s">
        <v>775</v>
      </c>
    </row>
    <row r="7" spans="1:10" ht="13">
      <c r="A7" s="23"/>
      <c r="B7" s="28">
        <v>1</v>
      </c>
      <c r="C7" s="28">
        <v>2</v>
      </c>
      <c r="D7" s="28">
        <v>3</v>
      </c>
      <c r="E7" s="28">
        <v>4</v>
      </c>
      <c r="F7" s="28">
        <v>5</v>
      </c>
      <c r="G7" s="28">
        <v>6</v>
      </c>
    </row>
    <row r="8" spans="1:10" ht="13">
      <c r="A8" s="23"/>
      <c r="B8" s="28" t="s">
        <v>776</v>
      </c>
      <c r="C8" s="23"/>
      <c r="D8" s="23"/>
      <c r="E8" s="23"/>
      <c r="F8" s="23"/>
      <c r="G8" s="23"/>
    </row>
    <row r="9" spans="1:10">
      <c r="A9" s="23"/>
      <c r="B9" s="94" t="s">
        <v>777</v>
      </c>
      <c r="C9" s="36">
        <f>1000</f>
        <v>1000</v>
      </c>
      <c r="D9" s="36"/>
      <c r="E9" s="36"/>
      <c r="F9" s="36">
        <f>C9+D9-E9</f>
        <v>1000</v>
      </c>
      <c r="G9" s="36"/>
    </row>
    <row r="10" spans="1:10">
      <c r="A10" s="23"/>
      <c r="B10" s="94" t="s">
        <v>778</v>
      </c>
      <c r="C10" s="74">
        <f>1000000000</f>
        <v>1000000000</v>
      </c>
      <c r="D10" s="36"/>
      <c r="E10" s="36"/>
      <c r="F10" s="74">
        <f>C10+D10-E10</f>
        <v>1000000000</v>
      </c>
      <c r="G10" s="36"/>
    </row>
    <row r="11" spans="1:10">
      <c r="A11" s="23"/>
      <c r="B11" s="94" t="s">
        <v>779</v>
      </c>
      <c r="C11" s="36"/>
      <c r="D11" s="36"/>
      <c r="E11" s="36"/>
      <c r="F11" s="36"/>
      <c r="G11" s="36"/>
    </row>
    <row r="12" spans="1:10" ht="13">
      <c r="A12" s="23"/>
      <c r="B12" s="518" t="s">
        <v>780</v>
      </c>
      <c r="C12" s="36"/>
      <c r="D12" s="36"/>
      <c r="E12" s="36"/>
      <c r="F12" s="36"/>
      <c r="G12" s="36"/>
    </row>
    <row r="13" spans="1:10">
      <c r="A13" s="23"/>
      <c r="B13" s="94" t="s">
        <v>781</v>
      </c>
      <c r="C13" s="36"/>
      <c r="D13" s="36"/>
      <c r="E13" s="36"/>
      <c r="F13" s="36"/>
      <c r="G13" s="36"/>
    </row>
    <row r="14" spans="1:10">
      <c r="A14" s="23"/>
      <c r="B14" s="94" t="s">
        <v>779</v>
      </c>
      <c r="C14" s="36"/>
      <c r="D14" s="36"/>
      <c r="E14" s="36"/>
      <c r="F14" s="36"/>
      <c r="G14" s="36"/>
    </row>
    <row r="15" spans="1:10" ht="13">
      <c r="A15" s="23"/>
      <c r="B15" s="518" t="s">
        <v>782</v>
      </c>
      <c r="C15" s="36">
        <v>359.93464599999999</v>
      </c>
      <c r="D15" s="36">
        <v>120.265354</v>
      </c>
      <c r="E15" s="36"/>
      <c r="F15" s="36">
        <f>C15+D15-E15</f>
        <v>480.2</v>
      </c>
      <c r="G15" s="36"/>
      <c r="J15" s="7"/>
    </row>
    <row r="16" spans="1:10">
      <c r="A16" s="23"/>
      <c r="B16" s="94" t="s">
        <v>783</v>
      </c>
      <c r="C16" s="74">
        <f>C15*10^6</f>
        <v>359934646</v>
      </c>
      <c r="D16" s="74">
        <f>D15*10^6</f>
        <v>120265354</v>
      </c>
      <c r="E16" s="36"/>
      <c r="F16" s="74">
        <f>C16+D16-E16</f>
        <v>480200000</v>
      </c>
      <c r="G16" s="36"/>
    </row>
    <row r="17" spans="1:14">
      <c r="A17" s="23"/>
      <c r="B17" s="94" t="s">
        <v>779</v>
      </c>
      <c r="C17" s="36"/>
      <c r="D17" s="36"/>
      <c r="E17" s="36"/>
      <c r="F17" s="36"/>
      <c r="G17" s="36"/>
    </row>
    <row r="18" spans="1:14">
      <c r="A18" s="23"/>
      <c r="B18" s="94" t="s">
        <v>784</v>
      </c>
      <c r="C18" s="36"/>
      <c r="D18" s="36"/>
      <c r="E18" s="36"/>
      <c r="F18" s="36"/>
      <c r="G18" s="36"/>
    </row>
    <row r="19" spans="1:14">
      <c r="A19" s="23"/>
      <c r="B19" s="94" t="s">
        <v>781</v>
      </c>
      <c r="C19" s="36"/>
      <c r="D19" s="36"/>
      <c r="E19" s="36"/>
      <c r="F19" s="36"/>
      <c r="G19" s="36"/>
    </row>
    <row r="20" spans="1:14">
      <c r="A20" s="23"/>
      <c r="B20" s="94" t="s">
        <v>779</v>
      </c>
      <c r="C20" s="36"/>
      <c r="D20" s="36"/>
      <c r="E20" s="36"/>
      <c r="F20" s="36"/>
      <c r="G20" s="36"/>
    </row>
    <row r="21" spans="1:14">
      <c r="A21" s="23"/>
      <c r="B21" s="94" t="s">
        <v>785</v>
      </c>
      <c r="C21" s="36"/>
      <c r="D21" s="36"/>
      <c r="E21" s="36"/>
      <c r="F21" s="36"/>
      <c r="G21" s="36"/>
    </row>
    <row r="22" spans="1:14" ht="13">
      <c r="A22" s="23"/>
      <c r="B22" s="518" t="s">
        <v>786</v>
      </c>
      <c r="C22" s="36">
        <f>C15</f>
        <v>359.93464599999999</v>
      </c>
      <c r="D22" s="36">
        <v>120.265354</v>
      </c>
      <c r="E22" s="36"/>
      <c r="F22" s="36">
        <f>C22+D22-E22</f>
        <v>480.2</v>
      </c>
      <c r="G22" s="36"/>
      <c r="J22" s="7"/>
      <c r="N22" s="347"/>
    </row>
    <row r="23" spans="1:14">
      <c r="A23" s="23"/>
      <c r="B23" s="94" t="s">
        <v>781</v>
      </c>
      <c r="C23" s="74">
        <f>C16</f>
        <v>359934646</v>
      </c>
      <c r="D23" s="74">
        <f>D16</f>
        <v>120265354</v>
      </c>
      <c r="E23" s="36"/>
      <c r="F23" s="74">
        <f>C23+D23-E23</f>
        <v>480200000</v>
      </c>
      <c r="G23" s="36"/>
      <c r="N23" s="347"/>
    </row>
    <row r="24" spans="1:14">
      <c r="A24" s="23"/>
      <c r="B24" s="94" t="s">
        <v>779</v>
      </c>
      <c r="C24" s="36"/>
      <c r="D24" s="36"/>
      <c r="E24" s="36"/>
      <c r="F24" s="36"/>
      <c r="G24" s="36"/>
      <c r="N24" s="347"/>
    </row>
    <row r="25" spans="1:14" ht="13">
      <c r="A25" s="23"/>
      <c r="B25" s="28" t="s">
        <v>787</v>
      </c>
      <c r="C25" s="37">
        <f>C15</f>
        <v>359.93464599999999</v>
      </c>
      <c r="D25" s="37">
        <f>D15</f>
        <v>120.265354</v>
      </c>
      <c r="E25" s="37"/>
      <c r="F25" s="37">
        <f>C25+D25-E25</f>
        <v>480.2</v>
      </c>
      <c r="G25" s="36"/>
    </row>
    <row r="26" spans="1:14">
      <c r="C26" s="7"/>
      <c r="D26" s="7"/>
      <c r="E26" s="7"/>
      <c r="F26" s="7"/>
      <c r="G26" s="7"/>
    </row>
    <row r="27" spans="1:14" ht="15.5">
      <c r="A27" s="2006" t="s">
        <v>788</v>
      </c>
      <c r="B27" s="2006"/>
      <c r="C27" s="2006"/>
      <c r="D27" s="2006"/>
      <c r="E27" s="2006"/>
      <c r="F27" s="2006"/>
      <c r="G27" s="2006"/>
    </row>
    <row r="28" spans="1:14" ht="13">
      <c r="G28" s="2"/>
    </row>
    <row r="30" spans="1:14" ht="39">
      <c r="A30" s="23"/>
      <c r="B30" s="28" t="s">
        <v>770</v>
      </c>
      <c r="C30" s="33" t="s">
        <v>771</v>
      </c>
      <c r="D30" s="33" t="s">
        <v>772</v>
      </c>
      <c r="E30" s="33" t="s">
        <v>773</v>
      </c>
      <c r="F30" s="33" t="s">
        <v>774</v>
      </c>
      <c r="G30" s="33" t="s">
        <v>775</v>
      </c>
    </row>
    <row r="31" spans="1:14" ht="13">
      <c r="A31" s="23"/>
      <c r="B31" s="28">
        <v>1</v>
      </c>
      <c r="C31" s="28">
        <v>2</v>
      </c>
      <c r="D31" s="28">
        <v>3</v>
      </c>
      <c r="E31" s="28">
        <v>4</v>
      </c>
      <c r="F31" s="28">
        <v>5</v>
      </c>
      <c r="G31" s="28">
        <v>6</v>
      </c>
    </row>
    <row r="32" spans="1:14" ht="13">
      <c r="A32" s="23"/>
      <c r="B32" s="28" t="s">
        <v>776</v>
      </c>
      <c r="C32" s="23"/>
      <c r="D32" s="23"/>
      <c r="E32" s="23"/>
      <c r="F32" s="23"/>
      <c r="G32" s="23"/>
    </row>
    <row r="33" spans="1:7">
      <c r="A33" s="23"/>
      <c r="B33" s="94" t="s">
        <v>777</v>
      </c>
      <c r="C33" s="36">
        <f>1000</f>
        <v>1000</v>
      </c>
      <c r="D33" s="23"/>
      <c r="E33" s="23"/>
      <c r="F33" s="36">
        <f>C33+D33-E33</f>
        <v>1000</v>
      </c>
      <c r="G33" s="23"/>
    </row>
    <row r="34" spans="1:7">
      <c r="A34" s="23"/>
      <c r="B34" s="94" t="s">
        <v>778</v>
      </c>
      <c r="C34" s="74">
        <f>1000000000</f>
        <v>1000000000</v>
      </c>
      <c r="D34" s="23"/>
      <c r="E34" s="23"/>
      <c r="F34" s="23">
        <f>C34+D34-E34</f>
        <v>1000000000</v>
      </c>
      <c r="G34" s="23"/>
    </row>
    <row r="35" spans="1:7">
      <c r="A35" s="23"/>
      <c r="B35" s="94" t="s">
        <v>779</v>
      </c>
      <c r="C35" s="23"/>
      <c r="D35" s="23"/>
      <c r="E35" s="23"/>
      <c r="F35" s="23"/>
      <c r="G35" s="23"/>
    </row>
    <row r="36" spans="1:7">
      <c r="A36" s="23"/>
      <c r="B36" s="94" t="s">
        <v>780</v>
      </c>
      <c r="C36" s="23"/>
      <c r="D36" s="23"/>
      <c r="E36" s="23"/>
      <c r="F36" s="23"/>
      <c r="G36" s="23"/>
    </row>
    <row r="37" spans="1:7">
      <c r="A37" s="23"/>
      <c r="B37" s="94" t="s">
        <v>781</v>
      </c>
      <c r="C37" s="23"/>
      <c r="D37" s="23"/>
      <c r="E37" s="23"/>
      <c r="F37" s="23"/>
      <c r="G37" s="23"/>
    </row>
    <row r="38" spans="1:7">
      <c r="A38" s="23"/>
      <c r="B38" s="94" t="s">
        <v>779</v>
      </c>
      <c r="C38" s="23"/>
      <c r="D38" s="23"/>
      <c r="E38" s="23"/>
      <c r="F38" s="23"/>
      <c r="G38" s="23"/>
    </row>
    <row r="39" spans="1:7">
      <c r="A39" s="23"/>
      <c r="B39" s="94" t="s">
        <v>782</v>
      </c>
      <c r="C39" s="36">
        <f>F15</f>
        <v>480.2</v>
      </c>
      <c r="D39" s="36">
        <f>('F-21'!E10/100-C39)</f>
        <v>366.23543391319987</v>
      </c>
      <c r="E39" s="23"/>
      <c r="F39" s="36">
        <f>C39+D39-E39</f>
        <v>846.43543391319986</v>
      </c>
      <c r="G39" s="23"/>
    </row>
    <row r="40" spans="1:7">
      <c r="A40" s="23"/>
      <c r="B40" s="94" t="s">
        <v>783</v>
      </c>
      <c r="C40" s="74">
        <f>F16</f>
        <v>480200000</v>
      </c>
      <c r="D40" s="74">
        <f>D39*10^6</f>
        <v>366235433.91319984</v>
      </c>
      <c r="E40" s="23"/>
      <c r="F40" s="74">
        <f>C40+D40-E40</f>
        <v>846435433.9131999</v>
      </c>
      <c r="G40" s="23"/>
    </row>
    <row r="41" spans="1:7">
      <c r="A41" s="23"/>
      <c r="B41" s="94" t="s">
        <v>779</v>
      </c>
      <c r="C41" s="36"/>
      <c r="D41" s="23"/>
      <c r="E41" s="23"/>
      <c r="F41" s="23"/>
      <c r="G41" s="23"/>
    </row>
    <row r="42" spans="1:7">
      <c r="A42" s="23"/>
      <c r="B42" s="94" t="s">
        <v>784</v>
      </c>
      <c r="C42" s="36"/>
      <c r="D42" s="23"/>
      <c r="E42" s="23"/>
      <c r="F42" s="23"/>
      <c r="G42" s="23"/>
    </row>
    <row r="43" spans="1:7">
      <c r="A43" s="23"/>
      <c r="B43" s="94" t="s">
        <v>781</v>
      </c>
      <c r="C43" s="36"/>
      <c r="D43" s="23"/>
      <c r="E43" s="23"/>
      <c r="F43" s="23"/>
      <c r="G43" s="23"/>
    </row>
    <row r="44" spans="1:7">
      <c r="A44" s="23"/>
      <c r="B44" s="94" t="s">
        <v>779</v>
      </c>
      <c r="C44" s="36"/>
      <c r="D44" s="23"/>
      <c r="E44" s="23"/>
      <c r="F44" s="23"/>
      <c r="G44" s="23"/>
    </row>
    <row r="45" spans="1:7">
      <c r="A45" s="23"/>
      <c r="B45" s="94" t="s">
        <v>785</v>
      </c>
      <c r="C45" s="36"/>
      <c r="D45" s="23"/>
      <c r="E45" s="23"/>
      <c r="F45" s="23"/>
      <c r="G45" s="23"/>
    </row>
    <row r="46" spans="1:7">
      <c r="A46" s="23"/>
      <c r="B46" s="94" t="s">
        <v>786</v>
      </c>
      <c r="C46" s="36">
        <f>F22</f>
        <v>480.2</v>
      </c>
      <c r="D46" s="36">
        <f>('F-21'!E10/100-C46)</f>
        <v>366.23543391319987</v>
      </c>
      <c r="E46" s="23"/>
      <c r="F46" s="36">
        <f>C46+D46-E46</f>
        <v>846.43543391319986</v>
      </c>
      <c r="G46" s="23"/>
    </row>
    <row r="47" spans="1:7">
      <c r="A47" s="23"/>
      <c r="B47" s="94" t="s">
        <v>781</v>
      </c>
      <c r="C47" s="74">
        <f>F23</f>
        <v>480200000</v>
      </c>
      <c r="D47" s="74">
        <f>D46*10^6</f>
        <v>366235433.91319984</v>
      </c>
      <c r="E47" s="23"/>
      <c r="F47" s="74">
        <f>C47+D47-E47</f>
        <v>846435433.9131999</v>
      </c>
      <c r="G47" s="23"/>
    </row>
    <row r="48" spans="1:7">
      <c r="A48" s="23"/>
      <c r="B48" s="94" t="s">
        <v>779</v>
      </c>
      <c r="C48" s="23"/>
      <c r="D48" s="23"/>
      <c r="E48" s="23"/>
      <c r="F48" s="23"/>
      <c r="G48" s="23"/>
    </row>
    <row r="49" spans="1:7" ht="13">
      <c r="A49" s="23"/>
      <c r="B49" s="28" t="s">
        <v>787</v>
      </c>
      <c r="C49" s="37">
        <f>C39</f>
        <v>480.2</v>
      </c>
      <c r="D49" s="37">
        <f>D39</f>
        <v>366.23543391319987</v>
      </c>
      <c r="E49" s="28"/>
      <c r="F49" s="37">
        <f>C49+D49-E49</f>
        <v>846.43543391319986</v>
      </c>
      <c r="G49" s="23"/>
    </row>
  </sheetData>
  <mergeCells count="3">
    <mergeCell ref="A3:G3"/>
    <mergeCell ref="A5:G5"/>
    <mergeCell ref="A27:G27"/>
  </mergeCells>
  <phoneticPr fontId="0" type="noConversion"/>
  <printOptions horizontalCentered="1" gridLines="1"/>
  <pageMargins left="0.51181102362204722" right="0.23622047244094491" top="1.4960629921259843" bottom="0.98425196850393704" header="0.51181102362204722" footer="0.51181102362204722"/>
  <pageSetup paperSize="9" scale="90" orientation="portrait" r:id="rId1"/>
  <headerFooter alignWithMargins="0">
    <oddFooter xml:space="preserve">&amp;R&amp;"Arial,Bold"&amp;12OERC FORM-&amp;A&amp;"Arial,Regular"&amp;10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AS141"/>
  <sheetViews>
    <sheetView view="pageBreakPreview" zoomScale="110" zoomScaleSheetLayoutView="110" workbookViewId="0">
      <pane xSplit="2" ySplit="6" topLeftCell="Z31" activePane="bottomRight" state="frozen"/>
      <selection activeCell="L17" sqref="L17"/>
      <selection pane="topRight" activeCell="L17" sqref="L17"/>
      <selection pane="bottomLeft" activeCell="L17" sqref="L17"/>
      <selection pane="bottomRight" activeCell="L17" sqref="L17"/>
    </sheetView>
  </sheetViews>
  <sheetFormatPr defaultColWidth="11.7265625" defaultRowHeight="12.5"/>
  <cols>
    <col min="1" max="1" width="8.453125" style="489" customWidth="1"/>
    <col min="2" max="2" width="32.54296875" style="64" customWidth="1"/>
    <col min="3" max="4" width="11.7265625" customWidth="1"/>
    <col min="6" max="6" width="14.81640625" customWidth="1"/>
    <col min="7" max="7" width="13.54296875" customWidth="1"/>
    <col min="8" max="8" width="17.7265625" customWidth="1"/>
    <col min="10" max="18" width="11.7265625" customWidth="1"/>
    <col min="19" max="19" width="9.453125" bestFit="1" customWidth="1"/>
    <col min="20" max="20" width="11.7265625" customWidth="1"/>
    <col min="21" max="21" width="10.1796875" bestFit="1" customWidth="1"/>
    <col min="22" max="22" width="18.1796875" customWidth="1"/>
    <col min="24" max="25" width="11.7265625" customWidth="1"/>
    <col min="27" max="28" width="11.7265625" customWidth="1"/>
    <col min="29" max="29" width="18" customWidth="1"/>
  </cols>
  <sheetData>
    <row r="1" spans="1:42" ht="13">
      <c r="B1" s="558" t="s">
        <v>1</v>
      </c>
      <c r="F1" s="3" t="s">
        <v>0</v>
      </c>
      <c r="G1" s="2" t="s">
        <v>789</v>
      </c>
      <c r="H1" s="2"/>
      <c r="I1" s="2"/>
      <c r="J1" s="2"/>
      <c r="K1" s="2"/>
      <c r="L1" s="2"/>
      <c r="M1" s="2"/>
      <c r="N1" s="2"/>
      <c r="O1" s="2"/>
      <c r="P1" s="2"/>
      <c r="Q1" s="2"/>
      <c r="R1" s="2"/>
      <c r="S1" s="2"/>
      <c r="T1" s="2"/>
      <c r="U1" s="2"/>
      <c r="V1" s="2"/>
    </row>
    <row r="2" spans="1:42">
      <c r="X2" s="1000"/>
    </row>
    <row r="3" spans="1:42" ht="18.5" thickBot="1">
      <c r="B3" s="2041" t="s">
        <v>790</v>
      </c>
      <c r="C3" s="2041"/>
      <c r="D3" s="2041"/>
      <c r="E3" s="2041"/>
      <c r="F3" s="2041"/>
      <c r="G3" s="2041"/>
      <c r="H3" s="2041"/>
      <c r="I3" s="2041"/>
      <c r="J3" s="2041"/>
      <c r="K3" s="2041"/>
      <c r="L3" s="2041"/>
      <c r="M3" s="2041"/>
      <c r="N3" s="2041"/>
      <c r="O3" s="2041"/>
      <c r="P3" s="2041"/>
      <c r="Q3" s="2041"/>
      <c r="R3" s="2041"/>
      <c r="S3" s="2041"/>
      <c r="T3" s="2041"/>
      <c r="U3" s="2041"/>
      <c r="V3" s="2041"/>
      <c r="W3" s="2041"/>
      <c r="X3" s="2041"/>
      <c r="Y3" s="2041"/>
      <c r="Z3" s="2041"/>
      <c r="AA3" s="2041"/>
      <c r="AB3" s="2" t="s">
        <v>496</v>
      </c>
      <c r="AC3" s="2"/>
      <c r="AF3" s="6" t="s">
        <v>791</v>
      </c>
      <c r="AN3" s="206" t="s">
        <v>1944</v>
      </c>
    </row>
    <row r="4" spans="1:42" ht="13.5" customHeight="1" thickBot="1">
      <c r="A4" s="2035" t="s">
        <v>794</v>
      </c>
      <c r="B4" s="2038" t="s">
        <v>795</v>
      </c>
      <c r="C4" s="2021" t="s">
        <v>793</v>
      </c>
      <c r="D4" s="2022"/>
      <c r="E4" s="2022"/>
      <c r="F4" s="2022"/>
      <c r="G4" s="2022"/>
      <c r="H4" s="2022"/>
      <c r="I4" s="2023"/>
      <c r="J4" s="2021" t="s">
        <v>2299</v>
      </c>
      <c r="K4" s="2022"/>
      <c r="L4" s="2022"/>
      <c r="M4" s="2022"/>
      <c r="N4" s="2022"/>
      <c r="O4" s="2022"/>
      <c r="P4" s="2022"/>
      <c r="Q4" s="2024" t="s">
        <v>1846</v>
      </c>
      <c r="R4" s="2024"/>
      <c r="S4" s="2024"/>
      <c r="T4" s="2024"/>
      <c r="U4" s="2024"/>
      <c r="V4" s="2024"/>
      <c r="W4" s="2025"/>
      <c r="X4" s="2026" t="s">
        <v>2193</v>
      </c>
      <c r="Y4" s="2024"/>
      <c r="Z4" s="2024"/>
      <c r="AA4" s="2024"/>
      <c r="AB4" s="2024"/>
      <c r="AC4" s="2024"/>
      <c r="AD4" s="2025"/>
      <c r="AF4" s="16"/>
      <c r="AG4" s="16"/>
      <c r="AH4" s="1725"/>
      <c r="AI4" s="1726" t="s">
        <v>793</v>
      </c>
      <c r="AJ4" s="1727" t="s">
        <v>1846</v>
      </c>
      <c r="AK4" s="1727" t="s">
        <v>2193</v>
      </c>
      <c r="AN4" s="1728" t="s">
        <v>1943</v>
      </c>
      <c r="AO4" s="1001" t="s">
        <v>1942</v>
      </c>
    </row>
    <row r="5" spans="1:42" ht="13.5" thickTop="1">
      <c r="A5" s="2036"/>
      <c r="B5" s="2039"/>
      <c r="C5" s="2028" t="s">
        <v>1968</v>
      </c>
      <c r="D5" s="2027"/>
      <c r="E5" s="2027"/>
      <c r="F5" s="2027" t="s">
        <v>798</v>
      </c>
      <c r="G5" s="2027"/>
      <c r="H5" s="2027"/>
      <c r="I5" s="2029" t="s">
        <v>2165</v>
      </c>
      <c r="J5" s="2028" t="s">
        <v>1968</v>
      </c>
      <c r="K5" s="2027"/>
      <c r="L5" s="2027"/>
      <c r="M5" s="2027" t="s">
        <v>798</v>
      </c>
      <c r="N5" s="2027"/>
      <c r="O5" s="2027"/>
      <c r="P5" s="2031" t="s">
        <v>2300</v>
      </c>
      <c r="Q5" s="2027" t="s">
        <v>1968</v>
      </c>
      <c r="R5" s="2027"/>
      <c r="S5" s="2027"/>
      <c r="T5" s="2027" t="s">
        <v>798</v>
      </c>
      <c r="U5" s="2027"/>
      <c r="V5" s="2027"/>
      <c r="W5" s="2033" t="s">
        <v>2301</v>
      </c>
      <c r="X5" s="2028" t="s">
        <v>1969</v>
      </c>
      <c r="Y5" s="2027"/>
      <c r="Z5" s="2027"/>
      <c r="AA5" s="2027" t="s">
        <v>798</v>
      </c>
      <c r="AB5" s="2027"/>
      <c r="AC5" s="2027"/>
      <c r="AD5" s="2033" t="s">
        <v>2215</v>
      </c>
      <c r="AF5" s="347" t="s">
        <v>806</v>
      </c>
      <c r="AG5">
        <v>38</v>
      </c>
      <c r="AI5" s="9">
        <f>(AG5*3+AG6*6+AG7*3)/12</f>
        <v>42</v>
      </c>
      <c r="AJ5" s="9">
        <f>(AG6*3+AG7*6+AG8*3)/12</f>
        <v>46</v>
      </c>
      <c r="AK5" s="9">
        <f>(AG8*3+AG9*6+AG10*3)/12</f>
        <v>53</v>
      </c>
      <c r="AN5" s="656" t="s">
        <v>1605</v>
      </c>
      <c r="AO5" s="483">
        <v>508</v>
      </c>
    </row>
    <row r="6" spans="1:42" ht="26.5" thickBot="1">
      <c r="A6" s="2037"/>
      <c r="B6" s="2040"/>
      <c r="C6" s="1731" t="s">
        <v>799</v>
      </c>
      <c r="D6" s="1732" t="s">
        <v>800</v>
      </c>
      <c r="E6" s="1732" t="s">
        <v>801</v>
      </c>
      <c r="F6" s="1732" t="s">
        <v>799</v>
      </c>
      <c r="G6" s="1732" t="s">
        <v>800</v>
      </c>
      <c r="H6" s="1732" t="s">
        <v>802</v>
      </c>
      <c r="I6" s="2030"/>
      <c r="J6" s="1731" t="s">
        <v>799</v>
      </c>
      <c r="K6" s="1732" t="s">
        <v>800</v>
      </c>
      <c r="L6" s="1732" t="s">
        <v>801</v>
      </c>
      <c r="M6" s="1732" t="s">
        <v>799</v>
      </c>
      <c r="N6" s="1732" t="s">
        <v>800</v>
      </c>
      <c r="O6" s="1732" t="s">
        <v>802</v>
      </c>
      <c r="P6" s="2032"/>
      <c r="Q6" s="1733" t="s">
        <v>799</v>
      </c>
      <c r="R6" s="1733" t="s">
        <v>800</v>
      </c>
      <c r="S6" s="1733" t="s">
        <v>801</v>
      </c>
      <c r="T6" s="1733" t="s">
        <v>799</v>
      </c>
      <c r="U6" s="1733" t="s">
        <v>800</v>
      </c>
      <c r="V6" s="1733" t="s">
        <v>802</v>
      </c>
      <c r="W6" s="2034"/>
      <c r="X6" s="1734" t="s">
        <v>799</v>
      </c>
      <c r="Y6" s="1733" t="s">
        <v>800</v>
      </c>
      <c r="Z6" s="1733" t="s">
        <v>801</v>
      </c>
      <c r="AA6" s="1733" t="s">
        <v>799</v>
      </c>
      <c r="AB6" s="1733" t="s">
        <v>800</v>
      </c>
      <c r="AC6" s="1733" t="s">
        <v>802</v>
      </c>
      <c r="AD6" s="2034"/>
      <c r="AF6" s="347" t="s">
        <v>808</v>
      </c>
      <c r="AG6">
        <v>42</v>
      </c>
      <c r="AN6" s="656" t="s">
        <v>1606</v>
      </c>
      <c r="AO6" s="483">
        <v>645</v>
      </c>
    </row>
    <row r="7" spans="1:42">
      <c r="A7" s="1735">
        <v>1</v>
      </c>
      <c r="B7" s="1736" t="s">
        <v>803</v>
      </c>
      <c r="C7" s="2017">
        <f>E7</f>
        <v>2770.8699655999999</v>
      </c>
      <c r="D7" s="2011">
        <f>E7-C7</f>
        <v>0</v>
      </c>
      <c r="E7" s="2011">
        <f>277086996.56/100000</f>
        <v>2770.8699655999999</v>
      </c>
      <c r="F7" s="2011">
        <f>H7/$H$37*$F$37</f>
        <v>2415.487863151659</v>
      </c>
      <c r="G7" s="2011">
        <f>H7-F7</f>
        <v>8314.3634868483423</v>
      </c>
      <c r="H7" s="2011">
        <f>13229.85135-2500</f>
        <v>10729.851350000001</v>
      </c>
      <c r="I7" s="2019">
        <f>E7+H7</f>
        <v>13500.7213156</v>
      </c>
      <c r="J7" s="2013">
        <f>C7/E7*L7</f>
        <v>1806.5750762999999</v>
      </c>
      <c r="K7" s="2007"/>
      <c r="L7" s="2007">
        <f>180657507.63/100000</f>
        <v>1806.5750762999999</v>
      </c>
      <c r="M7" s="2007">
        <f>+O7/100*18</f>
        <v>948.80516579999994</v>
      </c>
      <c r="N7" s="2007">
        <f>+O7-M7</f>
        <v>4322.3346442000002</v>
      </c>
      <c r="O7" s="2007">
        <f>(527113981)/100000</f>
        <v>5271.1398099999997</v>
      </c>
      <c r="P7" s="2007">
        <f>+L7+O7</f>
        <v>7077.7148862999993</v>
      </c>
      <c r="Q7" s="2011">
        <f>J7*2+U84/10^5</f>
        <v>3923.1843192666665</v>
      </c>
      <c r="R7" s="2011">
        <f>K7*2+0</f>
        <v>0</v>
      </c>
      <c r="S7" s="2011">
        <f>Q7+R7</f>
        <v>3923.1843192666665</v>
      </c>
      <c r="T7" s="2011">
        <f>V7/$V$37*$T$37</f>
        <v>2931.6789897728422</v>
      </c>
      <c r="U7" s="2011">
        <f>V7-T7</f>
        <v>9243.7006302271584</v>
      </c>
      <c r="V7" s="2011">
        <f>(O7*2)-U75/100000+2000</f>
        <v>12175.37962</v>
      </c>
      <c r="W7" s="2042">
        <f>V7+S7</f>
        <v>16098.563939266667</v>
      </c>
      <c r="X7" s="2017">
        <f>S7*1.05+(AB83/10^5)</f>
        <v>5796.62353523</v>
      </c>
      <c r="Y7" s="2011"/>
      <c r="Z7" s="2011">
        <f>X7+Y7</f>
        <v>5796.62353523</v>
      </c>
      <c r="AA7" s="2011">
        <f>AC7/$AC$37*$AA$37</f>
        <v>3137.6990671287758</v>
      </c>
      <c r="AB7" s="2011">
        <f>AC7-AA7</f>
        <v>9406.4495338712259</v>
      </c>
      <c r="AC7" s="2011">
        <f>V7*1.05-AB75/100000</f>
        <v>12544.148601000001</v>
      </c>
      <c r="AD7" s="2042">
        <f>AC7+Z7</f>
        <v>18340.77213623</v>
      </c>
      <c r="AE7" s="7"/>
      <c r="AF7" s="347" t="s">
        <v>810</v>
      </c>
      <c r="AG7">
        <v>46</v>
      </c>
    </row>
    <row r="8" spans="1:42">
      <c r="A8" s="1737">
        <v>2</v>
      </c>
      <c r="B8" s="1738" t="s">
        <v>804</v>
      </c>
      <c r="C8" s="2018"/>
      <c r="D8" s="2012"/>
      <c r="E8" s="2012"/>
      <c r="F8" s="2012"/>
      <c r="G8" s="2012"/>
      <c r="H8" s="2012"/>
      <c r="I8" s="2020"/>
      <c r="J8" s="2014"/>
      <c r="K8" s="2008"/>
      <c r="L8" s="2008"/>
      <c r="M8" s="2008"/>
      <c r="N8" s="2008"/>
      <c r="O8" s="2008"/>
      <c r="P8" s="2008"/>
      <c r="Q8" s="2012"/>
      <c r="R8" s="2012"/>
      <c r="S8" s="2012"/>
      <c r="T8" s="2012"/>
      <c r="U8" s="2012"/>
      <c r="V8" s="2012"/>
      <c r="W8" s="2043"/>
      <c r="X8" s="2018"/>
      <c r="Y8" s="2012"/>
      <c r="Z8" s="2012"/>
      <c r="AA8" s="2012"/>
      <c r="AB8" s="2012"/>
      <c r="AC8" s="2012"/>
      <c r="AD8" s="2043"/>
      <c r="AE8" s="7"/>
      <c r="AF8" s="347" t="s">
        <v>1957</v>
      </c>
      <c r="AG8">
        <v>50</v>
      </c>
    </row>
    <row r="9" spans="1:42" ht="13">
      <c r="A9" s="1737">
        <v>3</v>
      </c>
      <c r="B9" s="1738" t="s">
        <v>805</v>
      </c>
      <c r="C9" s="1739"/>
      <c r="D9" s="718"/>
      <c r="E9" s="718"/>
      <c r="F9" s="718">
        <f>H9/$H$37*$F$37</f>
        <v>849.34084099526069</v>
      </c>
      <c r="G9" s="718">
        <f>H9-F9</f>
        <v>2923.5205790047394</v>
      </c>
      <c r="H9" s="718">
        <f>1272.86142+2500</f>
        <v>3772.8614200000002</v>
      </c>
      <c r="I9" s="1740">
        <f>E9+H9</f>
        <v>3772.8614200000002</v>
      </c>
      <c r="J9" s="1741"/>
      <c r="K9" s="881"/>
      <c r="L9" s="881"/>
      <c r="M9" s="881">
        <f>+O9/100*18</f>
        <v>414.24825779999998</v>
      </c>
      <c r="N9" s="881">
        <f>+O9-M9</f>
        <v>1887.1309522000001</v>
      </c>
      <c r="O9" s="881">
        <f>(230137921/100000)</f>
        <v>2301.3792100000001</v>
      </c>
      <c r="P9" s="881">
        <f>+L9+O9</f>
        <v>2301.3792100000001</v>
      </c>
      <c r="Q9" s="718"/>
      <c r="R9" s="718"/>
      <c r="S9" s="718">
        <f>Q9+R9</f>
        <v>0</v>
      </c>
      <c r="T9" s="718">
        <f>V9/$V$37*$T$37</f>
        <v>1348.5723352955074</v>
      </c>
      <c r="U9" s="718">
        <f>V9-T9</f>
        <v>4252.1022899044929</v>
      </c>
      <c r="V9" s="718">
        <f>V7*AJ5%</f>
        <v>5600.6746252000003</v>
      </c>
      <c r="W9" s="1742">
        <f>V9+S9</f>
        <v>5600.6746252000003</v>
      </c>
      <c r="X9" s="1739"/>
      <c r="Y9" s="718"/>
      <c r="Z9" s="718">
        <f t="shared" ref="Z9:Z30" si="0">X9+Y9</f>
        <v>0</v>
      </c>
      <c r="AA9" s="718">
        <f>AC9/$AC$37*$AA$37</f>
        <v>1662.9805055782515</v>
      </c>
      <c r="AB9" s="718">
        <f>AC9-AA9</f>
        <v>4985.4182529517493</v>
      </c>
      <c r="AC9" s="718">
        <f>AC7*AK5%</f>
        <v>6648.398758530001</v>
      </c>
      <c r="AD9" s="1742">
        <f>AC9+Z9</f>
        <v>6648.398758530001</v>
      </c>
      <c r="AE9" s="7"/>
      <c r="AF9" s="347" t="s">
        <v>1958</v>
      </c>
      <c r="AG9">
        <f>AG8+3</f>
        <v>53</v>
      </c>
    </row>
    <row r="10" spans="1:42" ht="13">
      <c r="A10" s="1737">
        <v>4</v>
      </c>
      <c r="B10" s="1743" t="s">
        <v>807</v>
      </c>
      <c r="C10" s="1739">
        <f>E10</f>
        <v>768.20017159999998</v>
      </c>
      <c r="D10" s="718">
        <f>E10-C10</f>
        <v>0</v>
      </c>
      <c r="E10" s="7">
        <f>(25020017.16/100000)+518</f>
        <v>768.20017159999998</v>
      </c>
      <c r="F10" s="718">
        <f>H10/$H$37*$F$37</f>
        <v>457.74502168246448</v>
      </c>
      <c r="G10" s="718">
        <f t="shared" ref="G10:G11" si="1">H10-F10</f>
        <v>1575.6065483175355</v>
      </c>
      <c r="H10" s="718">
        <v>2033.35157</v>
      </c>
      <c r="I10" s="1740">
        <f>E10+H10</f>
        <v>2801.5517416000002</v>
      </c>
      <c r="J10" s="1741">
        <f>C10/E10*L10</f>
        <v>572.17448000000002</v>
      </c>
      <c r="K10" s="881">
        <f>L10-J10</f>
        <v>0</v>
      </c>
      <c r="L10" s="881">
        <f>57217448/100000</f>
        <v>572.17448000000002</v>
      </c>
      <c r="M10" s="881">
        <f>+O10/100*18</f>
        <v>195.12</v>
      </c>
      <c r="N10" s="881">
        <f>+O10-M10</f>
        <v>888.88</v>
      </c>
      <c r="O10" s="881">
        <f>108400000/100000</f>
        <v>1084</v>
      </c>
      <c r="P10" s="881">
        <f>+L10+O10</f>
        <v>1656.1744800000001</v>
      </c>
      <c r="Q10" s="718">
        <f>L10*2+50</f>
        <v>1194.34896</v>
      </c>
      <c r="R10" s="718"/>
      <c r="S10" s="718">
        <f>Q10+R10</f>
        <v>1194.34896</v>
      </c>
      <c r="T10" s="718">
        <f>V10/$V$37*$T$37</f>
        <v>527.70221815911157</v>
      </c>
      <c r="U10" s="718">
        <f>V10-T10</f>
        <v>1663.8661134408885</v>
      </c>
      <c r="V10" s="718">
        <f>V7*0.18</f>
        <v>2191.5683316</v>
      </c>
      <c r="W10" s="1742">
        <f>V10+S10</f>
        <v>3385.9172915999998</v>
      </c>
      <c r="X10" s="1739">
        <f>Q10*1.03</f>
        <v>1230.1794288000001</v>
      </c>
      <c r="Y10" s="718"/>
      <c r="Z10" s="718">
        <f t="shared" si="0"/>
        <v>1230.1794288000001</v>
      </c>
      <c r="AA10" s="718">
        <f>AC10/$AC$37*$AA$37</f>
        <v>564.78583208317968</v>
      </c>
      <c r="AB10" s="718">
        <f>AC10-AA10</f>
        <v>1693.1609160968205</v>
      </c>
      <c r="AC10" s="718">
        <f>AC7*0.18</f>
        <v>2257.9467481800002</v>
      </c>
      <c r="AD10" s="1742">
        <f t="shared" ref="AD10:AD12" si="2">AC10+Z10</f>
        <v>3488.1261769800003</v>
      </c>
      <c r="AE10" s="7"/>
      <c r="AF10" s="347" t="s">
        <v>2307</v>
      </c>
      <c r="AG10">
        <f>AG9+3</f>
        <v>56</v>
      </c>
      <c r="AJ10" s="150"/>
    </row>
    <row r="11" spans="1:42" ht="13">
      <c r="A11" s="1737">
        <v>5</v>
      </c>
      <c r="B11" s="1743" t="s">
        <v>809</v>
      </c>
      <c r="C11" s="1739">
        <f>E11</f>
        <v>2708.3319068999999</v>
      </c>
      <c r="D11" s="718">
        <f>E11-C11</f>
        <v>0</v>
      </c>
      <c r="E11" s="718">
        <f>(270833190.69)/100000</f>
        <v>2708.3319068999999</v>
      </c>
      <c r="F11" s="718">
        <f>H11/$H$37*$F$37</f>
        <v>110.90290995260663</v>
      </c>
      <c r="G11" s="718">
        <f t="shared" si="1"/>
        <v>381.73949004739336</v>
      </c>
      <c r="H11" s="718">
        <f>492.6424</f>
        <v>492.64240000000001</v>
      </c>
      <c r="I11" s="1740">
        <f>E11+H11</f>
        <v>3200.9743069000001</v>
      </c>
      <c r="J11" s="1741">
        <f>C11/E11*L11</f>
        <v>1464.1581215000001</v>
      </c>
      <c r="K11" s="881">
        <f>L11-J11</f>
        <v>0</v>
      </c>
      <c r="L11" s="881">
        <f>(137113838+9301974.15)/100000</f>
        <v>1464.1581215000001</v>
      </c>
      <c r="M11" s="881">
        <f>+O11/100*18</f>
        <v>47.171851199999999</v>
      </c>
      <c r="N11" s="881">
        <f>+O11-M11</f>
        <v>214.89398879999999</v>
      </c>
      <c r="O11" s="881">
        <f>26206584/100000</f>
        <v>262.06583999999998</v>
      </c>
      <c r="P11" s="881">
        <f>+L11+O11</f>
        <v>1726.2239615000001</v>
      </c>
      <c r="Q11" s="718">
        <f>(L11*2)+150</f>
        <v>3078.3162430000002</v>
      </c>
      <c r="R11" s="718"/>
      <c r="S11" s="718">
        <f>Q11+R11</f>
        <v>3078.3162430000002</v>
      </c>
      <c r="T11" s="718">
        <f>V11/$V$37*$T$37</f>
        <v>127.61736496718828</v>
      </c>
      <c r="U11" s="718">
        <f>V11-T11</f>
        <v>402.38263503281172</v>
      </c>
      <c r="V11" s="718">
        <v>530</v>
      </c>
      <c r="W11" s="1742">
        <f>V11+S11</f>
        <v>3608.3162430000002</v>
      </c>
      <c r="X11" s="1739">
        <f>Q11*1.03</f>
        <v>3170.6657302900003</v>
      </c>
      <c r="Y11" s="718"/>
      <c r="Z11" s="718">
        <f t="shared" si="0"/>
        <v>3170.6657302900003</v>
      </c>
      <c r="AA11" s="718">
        <f>AC11/$AC$37*$AA$37</f>
        <v>136.58551580983487</v>
      </c>
      <c r="AB11" s="718">
        <f>AC11-AA11</f>
        <v>409.4671713366871</v>
      </c>
      <c r="AC11" s="718">
        <f>(V11/V7)*AC7</f>
        <v>546.05268714652198</v>
      </c>
      <c r="AD11" s="1742">
        <f t="shared" si="2"/>
        <v>3716.718417436522</v>
      </c>
      <c r="AE11" s="7"/>
      <c r="AF11" s="347" t="s">
        <v>2308</v>
      </c>
      <c r="AG11">
        <f>AG10+3</f>
        <v>59</v>
      </c>
      <c r="AH11" s="161"/>
    </row>
    <row r="12" spans="1:42" ht="15.5">
      <c r="A12" s="1737">
        <v>6</v>
      </c>
      <c r="B12" s="1743" t="s">
        <v>811</v>
      </c>
      <c r="C12" s="1739"/>
      <c r="D12" s="718"/>
      <c r="E12" s="718">
        <f>C12+D12</f>
        <v>0</v>
      </c>
      <c r="F12" s="718">
        <f>I12*100%</f>
        <v>0</v>
      </c>
      <c r="G12" s="718"/>
      <c r="H12" s="718"/>
      <c r="I12" s="1740">
        <f t="shared" ref="I12" si="3">E12+H12</f>
        <v>0</v>
      </c>
      <c r="J12" s="1741"/>
      <c r="K12" s="881"/>
      <c r="L12" s="881">
        <f>J12+K12</f>
        <v>0</v>
      </c>
      <c r="M12" s="881"/>
      <c r="N12" s="881"/>
      <c r="O12" s="881"/>
      <c r="P12" s="881">
        <f>O12+L12</f>
        <v>0</v>
      </c>
      <c r="Q12" s="718"/>
      <c r="R12" s="718"/>
      <c r="S12" s="718"/>
      <c r="T12" s="718"/>
      <c r="U12" s="718"/>
      <c r="V12" s="718"/>
      <c r="W12" s="1742"/>
      <c r="X12" s="1739"/>
      <c r="Y12" s="718"/>
      <c r="Z12" s="718">
        <f t="shared" si="0"/>
        <v>0</v>
      </c>
      <c r="AA12" s="718"/>
      <c r="AB12" s="718"/>
      <c r="AC12" s="718"/>
      <c r="AD12" s="1742">
        <f t="shared" si="2"/>
        <v>0</v>
      </c>
      <c r="AE12" s="7"/>
      <c r="AF12" s="206"/>
      <c r="AN12" s="1002"/>
    </row>
    <row r="13" spans="1:42" ht="15.5">
      <c r="A13" s="1737">
        <v>7</v>
      </c>
      <c r="B13" s="1744" t="s">
        <v>2309</v>
      </c>
      <c r="C13" s="1745">
        <f t="shared" ref="C13:AD13" si="4">SUM(C7:C12)</f>
        <v>6247.4020440999993</v>
      </c>
      <c r="D13" s="738">
        <f t="shared" si="4"/>
        <v>0</v>
      </c>
      <c r="E13" s="738">
        <f t="shared" si="4"/>
        <v>6247.4020440999993</v>
      </c>
      <c r="F13" s="738">
        <f t="shared" si="4"/>
        <v>3833.4766357819908</v>
      </c>
      <c r="G13" s="738">
        <f t="shared" si="4"/>
        <v>13195.230104218012</v>
      </c>
      <c r="H13" s="738">
        <f t="shared" si="4"/>
        <v>17028.706740000001</v>
      </c>
      <c r="I13" s="1740">
        <f t="shared" si="4"/>
        <v>23276.108784100001</v>
      </c>
      <c r="J13" s="1746">
        <f t="shared" si="4"/>
        <v>3842.9076777999999</v>
      </c>
      <c r="K13" s="1746">
        <f t="shared" si="4"/>
        <v>0</v>
      </c>
      <c r="L13" s="1746">
        <f t="shared" si="4"/>
        <v>3842.9076777999999</v>
      </c>
      <c r="M13" s="1746">
        <f t="shared" si="4"/>
        <v>1605.3452747999997</v>
      </c>
      <c r="N13" s="1746">
        <f t="shared" si="4"/>
        <v>7313.2395852000009</v>
      </c>
      <c r="O13" s="1747">
        <f t="shared" si="4"/>
        <v>8918.584859999999</v>
      </c>
      <c r="P13" s="900">
        <f t="shared" si="4"/>
        <v>12761.492537799999</v>
      </c>
      <c r="Q13" s="738">
        <f t="shared" si="4"/>
        <v>8195.8495222666679</v>
      </c>
      <c r="R13" s="738">
        <f t="shared" si="4"/>
        <v>0</v>
      </c>
      <c r="S13" s="738">
        <f t="shared" si="4"/>
        <v>8195.8495222666679</v>
      </c>
      <c r="T13" s="738">
        <f t="shared" si="4"/>
        <v>4935.5709081946497</v>
      </c>
      <c r="U13" s="738">
        <f t="shared" si="4"/>
        <v>15562.051668605351</v>
      </c>
      <c r="V13" s="738">
        <f t="shared" si="4"/>
        <v>20497.6225768</v>
      </c>
      <c r="W13" s="1740">
        <f t="shared" si="4"/>
        <v>28693.472099066668</v>
      </c>
      <c r="X13" s="1745">
        <f t="shared" si="4"/>
        <v>10197.468694319999</v>
      </c>
      <c r="Y13" s="738">
        <f t="shared" si="4"/>
        <v>0</v>
      </c>
      <c r="Z13" s="738">
        <f t="shared" si="4"/>
        <v>10197.468694319999</v>
      </c>
      <c r="AA13" s="738">
        <f t="shared" si="4"/>
        <v>5502.0509206000424</v>
      </c>
      <c r="AB13" s="738">
        <f t="shared" si="4"/>
        <v>16494.495874256481</v>
      </c>
      <c r="AC13" s="738">
        <f t="shared" si="4"/>
        <v>21996.546794856524</v>
      </c>
      <c r="AD13" s="1740">
        <f t="shared" si="4"/>
        <v>32194.015489176523</v>
      </c>
      <c r="AE13" s="7"/>
      <c r="AJ13" s="1748"/>
      <c r="AK13" s="1748"/>
      <c r="AL13" s="1748"/>
      <c r="AN13" s="1748"/>
      <c r="AO13" s="1748"/>
      <c r="AP13" s="1748"/>
    </row>
    <row r="14" spans="1:42" ht="13">
      <c r="A14" s="1737"/>
      <c r="B14" s="1749" t="s">
        <v>812</v>
      </c>
      <c r="C14" s="1739"/>
      <c r="D14" s="718"/>
      <c r="E14" s="718"/>
      <c r="F14" s="718"/>
      <c r="G14" s="718"/>
      <c r="H14" s="718"/>
      <c r="I14" s="1740"/>
      <c r="J14" s="1741"/>
      <c r="K14" s="881"/>
      <c r="L14" s="881"/>
      <c r="M14" s="881"/>
      <c r="N14" s="881"/>
      <c r="O14" s="881"/>
      <c r="P14" s="881"/>
      <c r="Q14" s="718"/>
      <c r="R14" s="718"/>
      <c r="S14" s="718"/>
      <c r="T14" s="718"/>
      <c r="U14" s="718"/>
      <c r="V14" s="718"/>
      <c r="W14" s="1742"/>
      <c r="X14" s="1739"/>
      <c r="Y14" s="718"/>
      <c r="Z14" s="718"/>
      <c r="AA14" s="718"/>
      <c r="AB14" s="718"/>
      <c r="AC14" s="718"/>
      <c r="AD14" s="1742"/>
      <c r="AE14" s="7"/>
      <c r="AF14" s="347"/>
    </row>
    <row r="15" spans="1:42" ht="13">
      <c r="A15" s="1737">
        <v>8</v>
      </c>
      <c r="B15" s="1738" t="s">
        <v>813</v>
      </c>
      <c r="C15" s="1739"/>
      <c r="D15" s="718"/>
      <c r="E15" s="718">
        <f>C15+D15</f>
        <v>0</v>
      </c>
      <c r="F15" s="718"/>
      <c r="G15" s="718">
        <f>185451551.15/10^5</f>
        <v>1854.5155115</v>
      </c>
      <c r="H15" s="718">
        <f>G15+F15</f>
        <v>1854.5155115</v>
      </c>
      <c r="I15" s="1740">
        <f>E15+H15</f>
        <v>1854.5155115</v>
      </c>
      <c r="J15" s="1741"/>
      <c r="K15" s="881"/>
      <c r="L15" s="881"/>
      <c r="M15" s="881"/>
      <c r="N15" s="881">
        <f>O15</f>
        <v>1026.9385299999999</v>
      </c>
      <c r="O15" s="881">
        <f>(102693853)/100000</f>
        <v>1026.9385299999999</v>
      </c>
      <c r="P15" s="881">
        <f>+L15+O15</f>
        <v>1026.9385299999999</v>
      </c>
      <c r="Q15" s="718"/>
      <c r="R15" s="718"/>
      <c r="S15" s="718"/>
      <c r="T15" s="718"/>
      <c r="U15" s="718">
        <f>V15</f>
        <v>2053.8770599999998</v>
      </c>
      <c r="V15" s="718">
        <f>O15*2</f>
        <v>2053.8770599999998</v>
      </c>
      <c r="W15" s="1742">
        <f>V15+S15</f>
        <v>2053.8770599999998</v>
      </c>
      <c r="X15" s="1739"/>
      <c r="Y15" s="718"/>
      <c r="Z15" s="718"/>
      <c r="AA15" s="718">
        <f>AC15/$AC$37*$AA$37</f>
        <v>529.15361499183882</v>
      </c>
      <c r="AB15" s="718">
        <f>AC15-AA15</f>
        <v>1586.3397568081609</v>
      </c>
      <c r="AC15" s="718">
        <f>V15*1.03</f>
        <v>2115.4933717999997</v>
      </c>
      <c r="AD15" s="1742">
        <f t="shared" ref="AD15:AD16" si="5">AC15+Z15</f>
        <v>2115.4933717999997</v>
      </c>
      <c r="AE15" s="7"/>
      <c r="AF15" s="402"/>
      <c r="AG15" s="7"/>
      <c r="AH15" s="7"/>
      <c r="AI15" s="7"/>
      <c r="AJ15" s="7"/>
      <c r="AK15" s="7"/>
      <c r="AL15" s="7"/>
      <c r="AM15" s="7"/>
    </row>
    <row r="16" spans="1:42" ht="25">
      <c r="A16" s="1737">
        <v>9</v>
      </c>
      <c r="B16" s="1738" t="s">
        <v>814</v>
      </c>
      <c r="C16" s="1739"/>
      <c r="D16" s="718"/>
      <c r="E16" s="718"/>
      <c r="F16" s="718"/>
      <c r="G16" s="718">
        <f>201337366.176/10^5</f>
        <v>2013.37366176</v>
      </c>
      <c r="H16" s="718">
        <f>G16+F16</f>
        <v>2013.37366176</v>
      </c>
      <c r="I16" s="1740">
        <f>E16+H16</f>
        <v>2013.37366176</v>
      </c>
      <c r="J16" s="1741"/>
      <c r="K16" s="881"/>
      <c r="L16" s="881"/>
      <c r="M16" s="881"/>
      <c r="N16" s="881">
        <f>O16</f>
        <v>1094.7426</v>
      </c>
      <c r="O16" s="881">
        <f>(74878275+34595985)/10^5</f>
        <v>1094.7426</v>
      </c>
      <c r="P16" s="881">
        <f>+L16+O16</f>
        <v>1094.7426</v>
      </c>
      <c r="Q16" s="718"/>
      <c r="R16" s="718"/>
      <c r="S16" s="718"/>
      <c r="T16" s="718"/>
      <c r="U16" s="718">
        <f>V16</f>
        <v>2189.4852000000001</v>
      </c>
      <c r="V16" s="718">
        <f>O16*2</f>
        <v>2189.4852000000001</v>
      </c>
      <c r="W16" s="1742">
        <f>V16+S16</f>
        <v>2189.4852000000001</v>
      </c>
      <c r="X16" s="1739"/>
      <c r="Y16" s="718"/>
      <c r="Z16" s="718"/>
      <c r="AA16" s="718">
        <f>AC16/AC37*AA37</f>
        <v>564.09121612718604</v>
      </c>
      <c r="AB16" s="718">
        <f>AC16-AA16</f>
        <v>1691.0785398728142</v>
      </c>
      <c r="AC16" s="718">
        <f>V16*1.03</f>
        <v>2255.1697560000002</v>
      </c>
      <c r="AD16" s="1742">
        <f t="shared" si="5"/>
        <v>2255.1697560000002</v>
      </c>
      <c r="AE16" s="7"/>
      <c r="AF16" s="402"/>
      <c r="AG16" s="7"/>
      <c r="AH16" s="7"/>
      <c r="AI16" s="7"/>
      <c r="AJ16" s="7"/>
      <c r="AK16" s="7"/>
      <c r="AL16" s="7"/>
      <c r="AM16" s="7"/>
    </row>
    <row r="17" spans="1:42" ht="13">
      <c r="A17" s="1737">
        <v>10</v>
      </c>
      <c r="B17" s="1738" t="s">
        <v>815</v>
      </c>
      <c r="C17" s="1739"/>
      <c r="D17" s="718">
        <f>E17</f>
        <v>0</v>
      </c>
      <c r="E17" s="718"/>
      <c r="F17" s="718"/>
      <c r="G17" s="718">
        <f>H17</f>
        <v>0</v>
      </c>
      <c r="H17" s="718"/>
      <c r="I17" s="1740">
        <f t="shared" ref="I17" si="6">E17+H17</f>
        <v>0</v>
      </c>
      <c r="J17" s="1741"/>
      <c r="K17" s="881"/>
      <c r="L17" s="881"/>
      <c r="M17" s="881"/>
      <c r="N17" s="881"/>
      <c r="O17" s="881"/>
      <c r="P17" s="881"/>
      <c r="Q17" s="718"/>
      <c r="R17" s="718"/>
      <c r="S17" s="718"/>
      <c r="T17" s="718"/>
      <c r="U17" s="718"/>
      <c r="V17" s="718"/>
      <c r="W17" s="1742"/>
      <c r="X17" s="1739"/>
      <c r="Y17" s="718"/>
      <c r="Z17" s="718"/>
      <c r="AA17" s="718"/>
      <c r="AB17" s="718"/>
      <c r="AC17" s="718"/>
      <c r="AD17" s="1742"/>
      <c r="AE17" s="7"/>
      <c r="AF17" s="206"/>
      <c r="AG17" s="12"/>
      <c r="AH17" s="12"/>
      <c r="AI17" s="12"/>
      <c r="AJ17" s="12"/>
      <c r="AK17" s="12"/>
      <c r="AL17" s="12"/>
      <c r="AM17" s="7"/>
    </row>
    <row r="18" spans="1:42" ht="26">
      <c r="A18" s="1737">
        <v>11</v>
      </c>
      <c r="B18" s="1750" t="s">
        <v>2310</v>
      </c>
      <c r="C18" s="1745">
        <f t="shared" ref="C18:AD18" si="7">SUM(C14:C17)</f>
        <v>0</v>
      </c>
      <c r="D18" s="738">
        <f t="shared" si="7"/>
        <v>0</v>
      </c>
      <c r="E18" s="738">
        <f t="shared" si="7"/>
        <v>0</v>
      </c>
      <c r="F18" s="738">
        <f t="shared" si="7"/>
        <v>0</v>
      </c>
      <c r="G18" s="738">
        <f t="shared" si="7"/>
        <v>3867.88917326</v>
      </c>
      <c r="H18" s="738">
        <f t="shared" si="7"/>
        <v>3867.88917326</v>
      </c>
      <c r="I18" s="1740">
        <f>SUM(I14:I17)</f>
        <v>3867.88917326</v>
      </c>
      <c r="J18" s="1746"/>
      <c r="K18" s="900"/>
      <c r="L18" s="900"/>
      <c r="M18" s="900"/>
      <c r="N18" s="900">
        <f>SUM(N15:N17)</f>
        <v>2121.6811299999999</v>
      </c>
      <c r="O18" s="900">
        <f>SUM(O15:O17)</f>
        <v>2121.6811299999999</v>
      </c>
      <c r="P18" s="900">
        <f>SUM(P15:P17)</f>
        <v>2121.6811299999999</v>
      </c>
      <c r="Q18" s="738">
        <f t="shared" si="7"/>
        <v>0</v>
      </c>
      <c r="R18" s="738">
        <f t="shared" si="7"/>
        <v>0</v>
      </c>
      <c r="S18" s="738">
        <f t="shared" si="7"/>
        <v>0</v>
      </c>
      <c r="T18" s="738">
        <f t="shared" si="7"/>
        <v>0</v>
      </c>
      <c r="U18" s="738">
        <f t="shared" si="7"/>
        <v>4243.3622599999999</v>
      </c>
      <c r="V18" s="738">
        <f t="shared" ref="V18" si="8">SUM(V14:V17)</f>
        <v>4243.3622599999999</v>
      </c>
      <c r="W18" s="1740">
        <f t="shared" si="7"/>
        <v>4243.3622599999999</v>
      </c>
      <c r="X18" s="1745">
        <f t="shared" si="7"/>
        <v>0</v>
      </c>
      <c r="Y18" s="738">
        <f t="shared" si="7"/>
        <v>0</v>
      </c>
      <c r="Z18" s="738">
        <f t="shared" si="7"/>
        <v>0</v>
      </c>
      <c r="AA18" s="738">
        <f t="shared" si="7"/>
        <v>1093.2448311190249</v>
      </c>
      <c r="AB18" s="738">
        <f t="shared" si="7"/>
        <v>3277.4182966809749</v>
      </c>
      <c r="AC18" s="738">
        <f t="shared" ref="AC18" si="9">SUM(AC14:AC17)</f>
        <v>4370.6631278000004</v>
      </c>
      <c r="AD18" s="1740">
        <f t="shared" si="7"/>
        <v>4370.6631278000004</v>
      </c>
      <c r="AE18" s="7"/>
      <c r="AF18" s="347"/>
      <c r="AJ18" s="7"/>
      <c r="AL18" s="7"/>
    </row>
    <row r="19" spans="1:42" ht="13">
      <c r="A19" s="1737"/>
      <c r="B19" s="1749" t="s">
        <v>816</v>
      </c>
      <c r="C19" s="1739"/>
      <c r="D19" s="718"/>
      <c r="E19" s="718"/>
      <c r="F19" s="718"/>
      <c r="G19" s="718"/>
      <c r="H19" s="718"/>
      <c r="I19" s="1740"/>
      <c r="J19" s="1741"/>
      <c r="K19" s="881"/>
      <c r="L19" s="881"/>
      <c r="M19" s="881"/>
      <c r="N19" s="881"/>
      <c r="O19" s="881"/>
      <c r="P19" s="881"/>
      <c r="Q19" s="1003"/>
      <c r="R19" s="718"/>
      <c r="S19" s="718"/>
      <c r="T19" s="718"/>
      <c r="U19" s="718"/>
      <c r="V19" s="718"/>
      <c r="W19" s="1742"/>
      <c r="X19" s="1739"/>
      <c r="Y19" s="718"/>
      <c r="Z19" s="718"/>
      <c r="AA19" s="718"/>
      <c r="AB19" s="718"/>
      <c r="AC19" s="718"/>
      <c r="AD19" s="1742"/>
      <c r="AE19" s="7"/>
      <c r="AF19" s="402"/>
      <c r="AL19" s="7"/>
    </row>
    <row r="20" spans="1:42" ht="13">
      <c r="A20" s="1737">
        <v>12</v>
      </c>
      <c r="B20" s="1743" t="s">
        <v>817</v>
      </c>
      <c r="C20" s="1739"/>
      <c r="D20" s="718"/>
      <c r="E20" s="718"/>
      <c r="F20" s="718">
        <f>H20/$H$37*$F$37</f>
        <v>12.235537088862559</v>
      </c>
      <c r="G20" s="718">
        <f>H20-F20</f>
        <v>42.116006611137443</v>
      </c>
      <c r="H20" s="718">
        <f>5435154.37/100000</f>
        <v>54.351543700000001</v>
      </c>
      <c r="I20" s="1740">
        <f>E20+H20</f>
        <v>54.351543700000001</v>
      </c>
      <c r="J20" s="1741"/>
      <c r="K20" s="881"/>
      <c r="L20" s="881"/>
      <c r="M20" s="881">
        <f t="shared" ref="M20:M25" si="10">+O20/100*18</f>
        <v>0.8641818</v>
      </c>
      <c r="N20" s="881">
        <f t="shared" ref="N20:N25" si="11">+O20-M20</f>
        <v>3.9368281999999999</v>
      </c>
      <c r="O20" s="881">
        <f>480101/100000</f>
        <v>4.8010099999999998</v>
      </c>
      <c r="P20" s="881">
        <f>O20+L20</f>
        <v>4.8010099999999998</v>
      </c>
      <c r="Q20" s="718">
        <f>S20/$S$37*$Q$37</f>
        <v>0</v>
      </c>
      <c r="R20" s="718">
        <f>S20-Q20</f>
        <v>0</v>
      </c>
      <c r="S20" s="718">
        <f>E20*1.08</f>
        <v>0</v>
      </c>
      <c r="T20" s="718">
        <f t="shared" ref="T20:T27" si="12">V20/$V$37*$T$37</f>
        <v>146.58394948864213</v>
      </c>
      <c r="U20" s="718">
        <f t="shared" ref="U20:U27" si="13">V20-T20</f>
        <v>462.18503151135792</v>
      </c>
      <c r="V20" s="718">
        <f>(V7*0.05)</f>
        <v>608.76898100000005</v>
      </c>
      <c r="W20" s="1742">
        <f>V20+S20</f>
        <v>608.76898100000005</v>
      </c>
      <c r="X20" s="1739"/>
      <c r="Y20" s="718"/>
      <c r="Z20" s="718"/>
      <c r="AA20" s="718">
        <f>AC20/$AC$37*$AA$37</f>
        <v>156.88495335643881</v>
      </c>
      <c r="AB20" s="718">
        <f t="shared" ref="AB20:AB27" si="14">AC20-AA20</f>
        <v>470.32247669356127</v>
      </c>
      <c r="AC20" s="718">
        <f>(AC7*0.05)</f>
        <v>627.20743005000008</v>
      </c>
      <c r="AD20" s="1742">
        <f t="shared" ref="AD20:AD21" si="15">AC20+Z20</f>
        <v>627.20743005000008</v>
      </c>
      <c r="AE20" s="7"/>
      <c r="AF20" s="402"/>
      <c r="AJ20" s="7"/>
      <c r="AL20" s="7"/>
    </row>
    <row r="21" spans="1:42" ht="13">
      <c r="A21" s="1737">
        <v>13</v>
      </c>
      <c r="B21" s="1743" t="s">
        <v>818</v>
      </c>
      <c r="C21" s="1739">
        <f t="shared" ref="C21:C24" si="16">E21/$E$37*$C$37</f>
        <v>8.2878012000000005</v>
      </c>
      <c r="D21" s="718">
        <f t="shared" ref="D21:D27" si="17">E21-C21</f>
        <v>0</v>
      </c>
      <c r="E21" s="718">
        <f>828780.12/100000</f>
        <v>8.2878012000000005</v>
      </c>
      <c r="F21" s="718">
        <f t="shared" ref="F21:F27" si="18">H21/$H$37*$F$37</f>
        <v>3.5746776267772513</v>
      </c>
      <c r="G21" s="718">
        <f t="shared" ref="G21:G27" si="19">H21-F21</f>
        <v>12.304416673222748</v>
      </c>
      <c r="H21" s="718">
        <f>1587909.43/100000</f>
        <v>15.8790943</v>
      </c>
      <c r="I21" s="1740">
        <f t="shared" ref="I21:I27" si="20">E21+H21</f>
        <v>24.166895500000003</v>
      </c>
      <c r="J21" s="1741">
        <f t="shared" ref="J21:J24" si="21">C21/E21*L21</f>
        <v>0.20028479999999999</v>
      </c>
      <c r="K21" s="881">
        <f t="shared" ref="K21:K27" si="22">L21-J21</f>
        <v>0</v>
      </c>
      <c r="L21" s="1010">
        <f>20028.48/100000</f>
        <v>0.20028479999999999</v>
      </c>
      <c r="M21" s="881">
        <f>+O21/100*18</f>
        <v>2.2728675599999999</v>
      </c>
      <c r="N21" s="881">
        <f t="shared" si="11"/>
        <v>10.35417444</v>
      </c>
      <c r="O21" s="1010">
        <f>1262704.2/100000</f>
        <v>12.627041999999999</v>
      </c>
      <c r="P21" s="881">
        <f>O21+L21</f>
        <v>12.8273268</v>
      </c>
      <c r="Q21" s="718">
        <f>S21/$S$37*$Q$37</f>
        <v>0.40056959999999997</v>
      </c>
      <c r="R21" s="718">
        <f t="shared" ref="R21:R27" si="23">S21-Q21</f>
        <v>0</v>
      </c>
      <c r="S21" s="718">
        <f>L21*2</f>
        <v>0.40056959999999997</v>
      </c>
      <c r="T21" s="718">
        <f t="shared" si="12"/>
        <v>6.0808672730943965</v>
      </c>
      <c r="U21" s="718">
        <f t="shared" si="13"/>
        <v>19.173216726905601</v>
      </c>
      <c r="V21" s="718">
        <f>O21*2</f>
        <v>25.254083999999999</v>
      </c>
      <c r="W21" s="1742">
        <f>V21+S21</f>
        <v>25.6546536</v>
      </c>
      <c r="X21" s="1739">
        <f t="shared" ref="X21" si="24">Z21/$Z$37*$X$37</f>
        <v>0.37779676964426878</v>
      </c>
      <c r="Y21" s="718">
        <f t="shared" ref="Y21:Y27" si="25">Z21-X21</f>
        <v>3.4789918355731198E-2</v>
      </c>
      <c r="Z21" s="718">
        <f>S21*1.03</f>
        <v>0.41258668799999998</v>
      </c>
      <c r="AA21" s="718">
        <f>AC21/$AC$37*$AA$37</f>
        <v>6.506372802034976</v>
      </c>
      <c r="AB21" s="718">
        <f t="shared" si="14"/>
        <v>19.505333717965023</v>
      </c>
      <c r="AC21" s="718">
        <f>V21*1.03</f>
        <v>26.011706520000001</v>
      </c>
      <c r="AD21" s="1742">
        <f t="shared" si="15"/>
        <v>26.424293208000002</v>
      </c>
      <c r="AE21" s="7"/>
      <c r="AF21" s="347"/>
      <c r="AG21" s="12"/>
      <c r="AI21" s="12"/>
      <c r="AJ21" s="12"/>
      <c r="AK21" s="12"/>
      <c r="AL21" s="12"/>
    </row>
    <row r="22" spans="1:42" ht="13">
      <c r="A22" s="1737">
        <v>14</v>
      </c>
      <c r="B22" s="1743" t="s">
        <v>819</v>
      </c>
      <c r="C22" s="1739"/>
      <c r="D22" s="718"/>
      <c r="E22" s="718"/>
      <c r="F22" s="718"/>
      <c r="G22" s="718"/>
      <c r="H22" s="718"/>
      <c r="I22" s="1740">
        <f t="shared" si="20"/>
        <v>0</v>
      </c>
      <c r="J22" s="1741"/>
      <c r="K22" s="881"/>
      <c r="L22" s="881"/>
      <c r="M22" s="881">
        <f t="shared" si="10"/>
        <v>0</v>
      </c>
      <c r="N22" s="881">
        <f t="shared" si="11"/>
        <v>0</v>
      </c>
      <c r="O22" s="881"/>
      <c r="P22" s="881"/>
      <c r="Q22" s="718"/>
      <c r="R22" s="718"/>
      <c r="S22" s="718">
        <f t="shared" ref="S22:S30" si="26">Q22+R22</f>
        <v>0</v>
      </c>
      <c r="T22" s="718"/>
      <c r="U22" s="718"/>
      <c r="V22" s="718"/>
      <c r="W22" s="1742"/>
      <c r="X22" s="1739"/>
      <c r="Y22" s="718"/>
      <c r="Z22" s="718"/>
      <c r="AA22" s="718"/>
      <c r="AB22" s="718"/>
      <c r="AC22" s="718"/>
      <c r="AD22" s="1742"/>
      <c r="AE22" s="7"/>
      <c r="AF22" s="347"/>
      <c r="AJ22" s="9"/>
      <c r="AL22" s="12"/>
      <c r="AP22" s="12"/>
    </row>
    <row r="23" spans="1:42" ht="13">
      <c r="A23" s="1737">
        <v>15</v>
      </c>
      <c r="B23" s="1738" t="s">
        <v>820</v>
      </c>
      <c r="C23" s="1739">
        <f t="shared" si="16"/>
        <v>186.55052000000001</v>
      </c>
      <c r="D23" s="718">
        <f t="shared" si="17"/>
        <v>0</v>
      </c>
      <c r="E23" s="718">
        <f>18655052/100000</f>
        <v>186.55052000000001</v>
      </c>
      <c r="F23" s="718">
        <f>H23/$H$37*$F$37</f>
        <v>6.9471563981042648</v>
      </c>
      <c r="G23" s="718">
        <f>H23-F23</f>
        <v>23.912843601895734</v>
      </c>
      <c r="H23" s="718">
        <v>30.86</v>
      </c>
      <c r="I23" s="1740">
        <f t="shared" si="20"/>
        <v>217.41052000000002</v>
      </c>
      <c r="J23" s="1741">
        <f t="shared" ref="J23" si="27">C23/E23*L23</f>
        <v>168.56850710000001</v>
      </c>
      <c r="K23" s="881">
        <f t="shared" ref="K23" si="28">L23-J23</f>
        <v>0</v>
      </c>
      <c r="L23" s="881">
        <f>16856850.71/100000</f>
        <v>168.56850710000001</v>
      </c>
      <c r="M23" s="881">
        <f t="shared" si="10"/>
        <v>0.21452399999999999</v>
      </c>
      <c r="N23" s="881">
        <f t="shared" si="11"/>
        <v>0.97727600000000003</v>
      </c>
      <c r="O23" s="881">
        <f>119180/100000</f>
        <v>1.1918</v>
      </c>
      <c r="P23" s="881">
        <f>O23+L23</f>
        <v>169.76030710000001</v>
      </c>
      <c r="Q23" s="718">
        <f t="shared" ref="Q23:Q27" si="29">S23/$S$37*$Q$37</f>
        <v>337.13701420000001</v>
      </c>
      <c r="R23" s="718">
        <f t="shared" si="23"/>
        <v>0</v>
      </c>
      <c r="S23" s="718">
        <f>L23*2+0</f>
        <v>337.13701420000001</v>
      </c>
      <c r="T23" s="718">
        <f>V23/V37*T37</f>
        <v>7.5105949520444222</v>
      </c>
      <c r="U23" s="718">
        <f>V23-T23</f>
        <v>23.681205047955579</v>
      </c>
      <c r="V23" s="718">
        <f>O23+30</f>
        <v>31.191800000000001</v>
      </c>
      <c r="W23" s="1742">
        <f>V23+S23</f>
        <v>368.32881420000001</v>
      </c>
      <c r="X23" s="1739">
        <f t="shared" ref="X23:X24" si="30">Z23/$Z$37*$X$37</f>
        <v>317.97039738480902</v>
      </c>
      <c r="Y23" s="718">
        <f t="shared" si="25"/>
        <v>29.280727241191016</v>
      </c>
      <c r="Z23" s="718">
        <f>S23*1.03</f>
        <v>347.25112462600003</v>
      </c>
      <c r="AA23" s="718">
        <f>AC23/AC37*AA37</f>
        <v>8.0361449326974039</v>
      </c>
      <c r="AB23" s="718">
        <f t="shared" si="14"/>
        <v>24.0914090673026</v>
      </c>
      <c r="AC23" s="718">
        <f>V23*1.03</f>
        <v>32.127554000000003</v>
      </c>
      <c r="AD23" s="1742">
        <f t="shared" ref="AD23:AD27" si="31">AC23+Z23</f>
        <v>379.37867862600001</v>
      </c>
      <c r="AE23" s="7"/>
      <c r="AF23" s="347"/>
      <c r="AG23" s="146"/>
      <c r="AH23" s="2"/>
      <c r="AI23" s="146"/>
      <c r="AJ23" s="146"/>
      <c r="AK23" s="146"/>
      <c r="AL23" s="146"/>
    </row>
    <row r="24" spans="1:42" ht="13">
      <c r="A24" s="1737">
        <v>16</v>
      </c>
      <c r="B24" s="1743" t="s">
        <v>821</v>
      </c>
      <c r="C24" s="1739">
        <f t="shared" si="16"/>
        <v>12.615</v>
      </c>
      <c r="D24" s="718">
        <f t="shared" si="17"/>
        <v>0</v>
      </c>
      <c r="E24" s="718">
        <f>1261500/100000</f>
        <v>12.615</v>
      </c>
      <c r="F24" s="718"/>
      <c r="G24" s="718"/>
      <c r="H24" s="718"/>
      <c r="I24" s="1740">
        <f t="shared" si="20"/>
        <v>12.615</v>
      </c>
      <c r="J24" s="1741">
        <f t="shared" si="21"/>
        <v>8.4224999999999994</v>
      </c>
      <c r="K24" s="881">
        <f t="shared" si="22"/>
        <v>0</v>
      </c>
      <c r="L24" s="881">
        <f>842250/100000</f>
        <v>8.4224999999999994</v>
      </c>
      <c r="M24" s="881">
        <f t="shared" si="10"/>
        <v>0</v>
      </c>
      <c r="N24" s="881">
        <f t="shared" si="11"/>
        <v>0</v>
      </c>
      <c r="O24" s="881"/>
      <c r="P24" s="881">
        <f>O24+L24</f>
        <v>8.4224999999999994</v>
      </c>
      <c r="Q24" s="718">
        <f t="shared" si="29"/>
        <v>26.844999999999999</v>
      </c>
      <c r="R24" s="718">
        <f t="shared" si="23"/>
        <v>0</v>
      </c>
      <c r="S24" s="718">
        <f>L24*2+10</f>
        <v>26.844999999999999</v>
      </c>
      <c r="T24" s="718">
        <f t="shared" si="12"/>
        <v>0</v>
      </c>
      <c r="U24" s="718">
        <f t="shared" si="13"/>
        <v>0</v>
      </c>
      <c r="V24" s="718"/>
      <c r="W24" s="1742">
        <f>V24+S24</f>
        <v>26.844999999999999</v>
      </c>
      <c r="X24" s="1739">
        <f t="shared" si="30"/>
        <v>25.318831686429512</v>
      </c>
      <c r="Y24" s="718">
        <f t="shared" si="25"/>
        <v>2.3315183135704878</v>
      </c>
      <c r="Z24" s="718">
        <f>S24*1.03</f>
        <v>27.65035</v>
      </c>
      <c r="AA24" s="718"/>
      <c r="AB24" s="718"/>
      <c r="AC24" s="718"/>
      <c r="AD24" s="1742">
        <f t="shared" si="31"/>
        <v>27.65035</v>
      </c>
      <c r="AE24" s="7"/>
      <c r="AF24" s="206"/>
    </row>
    <row r="25" spans="1:42" ht="25">
      <c r="A25" s="1737">
        <v>17</v>
      </c>
      <c r="B25" s="1743" t="s">
        <v>822</v>
      </c>
      <c r="C25" s="1739">
        <f>E25/$E$37*$C$37</f>
        <v>0</v>
      </c>
      <c r="D25" s="718">
        <f>E25-C25</f>
        <v>0</v>
      </c>
      <c r="E25" s="718"/>
      <c r="F25" s="718"/>
      <c r="G25" s="718"/>
      <c r="H25" s="718">
        <v>0</v>
      </c>
      <c r="I25" s="1740">
        <f t="shared" si="20"/>
        <v>0</v>
      </c>
      <c r="J25" s="1751"/>
      <c r="K25" s="1752"/>
      <c r="L25" s="718"/>
      <c r="M25" s="718">
        <f t="shared" si="10"/>
        <v>0</v>
      </c>
      <c r="N25" s="718">
        <f t="shared" si="11"/>
        <v>0</v>
      </c>
      <c r="O25" s="718"/>
      <c r="P25" s="718">
        <f>O25+L25</f>
        <v>0</v>
      </c>
      <c r="Q25" s="718"/>
      <c r="R25" s="718"/>
      <c r="S25" s="718">
        <f t="shared" si="26"/>
        <v>0</v>
      </c>
      <c r="T25" s="718"/>
      <c r="U25" s="718"/>
      <c r="V25" s="718">
        <v>0</v>
      </c>
      <c r="W25" s="1742">
        <f>V25+S25</f>
        <v>0</v>
      </c>
      <c r="X25" s="1739"/>
      <c r="Y25" s="718"/>
      <c r="Z25" s="718"/>
      <c r="AA25" s="718"/>
      <c r="AB25" s="718"/>
      <c r="AC25" s="718"/>
      <c r="AD25" s="1742">
        <f t="shared" si="31"/>
        <v>0</v>
      </c>
      <c r="AE25" s="7"/>
      <c r="AF25" s="347"/>
      <c r="AJ25" s="7"/>
      <c r="AK25" s="7"/>
      <c r="AL25" s="7"/>
    </row>
    <row r="26" spans="1:42" ht="13">
      <c r="A26" s="1737">
        <v>18</v>
      </c>
      <c r="B26" s="1743" t="s">
        <v>824</v>
      </c>
      <c r="C26" s="1739">
        <f>E26/$E$37*$C$37</f>
        <v>924.29872430000012</v>
      </c>
      <c r="D26" s="718">
        <f>E26-C26</f>
        <v>0</v>
      </c>
      <c r="E26" s="718">
        <f>92429872.43/100000</f>
        <v>924.29872430000012</v>
      </c>
      <c r="F26" s="718">
        <f>H26/$H$37*$F$37</f>
        <v>350.70533175355445</v>
      </c>
      <c r="G26" s="718">
        <f>H26-F26</f>
        <v>1207.1646682464454</v>
      </c>
      <c r="H26" s="718">
        <f>1098.11+459.76</f>
        <v>1557.87</v>
      </c>
      <c r="I26" s="1740">
        <f t="shared" si="20"/>
        <v>2482.1687243000001</v>
      </c>
      <c r="J26" s="1741">
        <f>C26/E26*L26</f>
        <v>1198.37526</v>
      </c>
      <c r="K26" s="881">
        <f>L26-J26</f>
        <v>0</v>
      </c>
      <c r="L26" s="718">
        <f>(110141696+9695830)/100000</f>
        <v>1198.37526</v>
      </c>
      <c r="M26" s="718">
        <f>F26/H26*O26</f>
        <v>43.963467417061608</v>
      </c>
      <c r="N26" s="718">
        <f>O26-M26</f>
        <v>151.32688258293837</v>
      </c>
      <c r="O26" s="718">
        <f>19529035/100000</f>
        <v>195.29034999999999</v>
      </c>
      <c r="P26" s="718">
        <f>O26+L26</f>
        <v>1393.66561</v>
      </c>
      <c r="Q26" s="718">
        <f>L26*2+100</f>
        <v>2496.7505200000001</v>
      </c>
      <c r="R26" s="718"/>
      <c r="S26" s="718">
        <f t="shared" si="26"/>
        <v>2496.7505200000001</v>
      </c>
      <c r="T26" s="718">
        <f>V26/V37*T37</f>
        <v>373.22059565875821</v>
      </c>
      <c r="U26" s="718">
        <f>V26-T26</f>
        <v>1176.7794043412418</v>
      </c>
      <c r="V26" s="718">
        <v>1550</v>
      </c>
      <c r="W26" s="1742">
        <f>V26+S26</f>
        <v>4046.7505200000001</v>
      </c>
      <c r="X26" s="1739">
        <f>Z26</f>
        <v>2571.6530356000003</v>
      </c>
      <c r="Y26" s="718"/>
      <c r="Z26" s="718">
        <f>S26*1.03</f>
        <v>2571.6530356000003</v>
      </c>
      <c r="AA26" s="718">
        <f>AC26/$AC$37*$AA$37</f>
        <v>399.33651298357177</v>
      </c>
      <c r="AB26" s="718">
        <f t="shared" si="14"/>
        <v>1197.1634870164282</v>
      </c>
      <c r="AC26" s="718">
        <f>V26*1.03</f>
        <v>1596.5</v>
      </c>
      <c r="AD26" s="1742">
        <f t="shared" si="31"/>
        <v>4168.1530356000003</v>
      </c>
      <c r="AE26" s="7"/>
      <c r="AF26" s="347"/>
      <c r="AJ26" s="7"/>
      <c r="AK26" s="7"/>
      <c r="AL26" s="12"/>
      <c r="AN26" s="7"/>
      <c r="AO26" s="9"/>
      <c r="AP26" s="9"/>
    </row>
    <row r="27" spans="1:42" ht="13">
      <c r="A27" s="1737">
        <v>19</v>
      </c>
      <c r="B27" s="1743" t="s">
        <v>825</v>
      </c>
      <c r="C27" s="1739">
        <f t="shared" ref="C27" si="32">E27/$E$37*$C$37</f>
        <v>336.10743040000023</v>
      </c>
      <c r="D27" s="718">
        <f t="shared" si="17"/>
        <v>0</v>
      </c>
      <c r="E27" s="718">
        <f>6661.98122-E13-E21-E23-E26+522.6653+518</f>
        <v>336.10743040000023</v>
      </c>
      <c r="F27" s="718">
        <f t="shared" si="18"/>
        <v>485.48750068720386</v>
      </c>
      <c r="G27" s="718">
        <f t="shared" si="19"/>
        <v>1671.0990813127964</v>
      </c>
      <c r="H27" s="718">
        <f>19853.84974-H13-H20-H21-H23-H26+1070.33422-80+0.07</f>
        <v>2156.5865820000004</v>
      </c>
      <c r="I27" s="1740">
        <f t="shared" si="20"/>
        <v>2492.6940124000007</v>
      </c>
      <c r="J27" s="1741">
        <f t="shared" ref="J27" si="33">C27/E27*L27</f>
        <v>582.66270999999995</v>
      </c>
      <c r="K27" s="881">
        <f t="shared" si="22"/>
        <v>0</v>
      </c>
      <c r="L27" s="718">
        <f>(37739621+20526650)/100000</f>
        <v>582.66270999999995</v>
      </c>
      <c r="M27" s="718">
        <f>F27/H27*O27</f>
        <v>224.71243495260663</v>
      </c>
      <c r="N27" s="718">
        <f>O27-M27</f>
        <v>773.48385504739338</v>
      </c>
      <c r="O27" s="718">
        <f>(61378259+38441370)/100000</f>
        <v>998.19628999999998</v>
      </c>
      <c r="P27" s="718">
        <f>O27+L27</f>
        <v>1580.8589999999999</v>
      </c>
      <c r="Q27" s="718">
        <f t="shared" si="29"/>
        <v>1165.3254199999997</v>
      </c>
      <c r="R27" s="718">
        <f t="shared" si="23"/>
        <v>0</v>
      </c>
      <c r="S27" s="718">
        <f>L27*2+0</f>
        <v>1165.3254199999999</v>
      </c>
      <c r="T27" s="718">
        <f t="shared" si="12"/>
        <v>480.70634056537102</v>
      </c>
      <c r="U27" s="718">
        <f t="shared" si="13"/>
        <v>1515.686239434629</v>
      </c>
      <c r="V27" s="718">
        <f>O27*2</f>
        <v>1996.39258</v>
      </c>
      <c r="W27" s="1742">
        <f>V27+S27</f>
        <v>3161.7179999999998</v>
      </c>
      <c r="X27" s="1739">
        <f>Z27</f>
        <v>1200.2851825999999</v>
      </c>
      <c r="Y27" s="718">
        <f t="shared" si="25"/>
        <v>0</v>
      </c>
      <c r="Z27" s="718">
        <f>S27*1.03</f>
        <v>1200.2851825999999</v>
      </c>
      <c r="AA27" s="718">
        <f>AC27/$AC$37*$AA$37</f>
        <v>514.34351706030736</v>
      </c>
      <c r="AB27" s="718">
        <f t="shared" si="14"/>
        <v>1541.9408403396924</v>
      </c>
      <c r="AC27" s="718">
        <f>V27*1.03</f>
        <v>2056.2843573999999</v>
      </c>
      <c r="AD27" s="1742">
        <f t="shared" si="31"/>
        <v>3256.5695399999995</v>
      </c>
      <c r="AE27" s="7"/>
      <c r="AF27" s="347"/>
      <c r="AI27" s="1753"/>
      <c r="AJ27" s="7"/>
      <c r="AK27" s="7"/>
      <c r="AL27" s="7"/>
    </row>
    <row r="28" spans="1:42" ht="13">
      <c r="A28" s="1737">
        <v>20</v>
      </c>
      <c r="B28" s="1744" t="s">
        <v>2311</v>
      </c>
      <c r="C28" s="1745">
        <f t="shared" ref="C28:W28" si="34">SUM(C20:C27)</f>
        <v>1467.8594759000002</v>
      </c>
      <c r="D28" s="738">
        <f t="shared" si="34"/>
        <v>0</v>
      </c>
      <c r="E28" s="738">
        <f>SUM(E20:E27)</f>
        <v>1467.8594759000002</v>
      </c>
      <c r="F28" s="738">
        <f t="shared" si="34"/>
        <v>858.95020355450242</v>
      </c>
      <c r="G28" s="738">
        <f t="shared" si="34"/>
        <v>2956.5970164454975</v>
      </c>
      <c r="H28" s="738">
        <f t="shared" si="34"/>
        <v>3815.5472200000004</v>
      </c>
      <c r="I28" s="1740">
        <f>SUM(I20:I27)</f>
        <v>5283.4066959000011</v>
      </c>
      <c r="J28" s="1746">
        <f>SUM(J20:J27)</f>
        <v>1958.2292619</v>
      </c>
      <c r="K28" s="1746">
        <f t="shared" ref="K28:O28" si="35">SUM(K20:K27)</f>
        <v>0</v>
      </c>
      <c r="L28" s="1746">
        <f t="shared" si="35"/>
        <v>1958.2292619</v>
      </c>
      <c r="M28" s="1746">
        <f t="shared" si="35"/>
        <v>272.02747572966825</v>
      </c>
      <c r="N28" s="1746">
        <f t="shared" si="35"/>
        <v>940.07901627033175</v>
      </c>
      <c r="O28" s="1746">
        <f t="shared" si="35"/>
        <v>1212.1064919999999</v>
      </c>
      <c r="P28" s="1746">
        <f>SUM(P20:P27)</f>
        <v>3170.3357538999999</v>
      </c>
      <c r="Q28" s="738">
        <f t="shared" si="34"/>
        <v>4026.4585237999995</v>
      </c>
      <c r="R28" s="738">
        <f t="shared" si="34"/>
        <v>0</v>
      </c>
      <c r="S28" s="738">
        <f t="shared" si="34"/>
        <v>4026.4585238</v>
      </c>
      <c r="T28" s="738">
        <f t="shared" si="34"/>
        <v>1014.1023479379101</v>
      </c>
      <c r="U28" s="738">
        <f t="shared" si="34"/>
        <v>3197.50509706209</v>
      </c>
      <c r="V28" s="738">
        <f t="shared" ref="V28" si="36">SUM(V20:V27)</f>
        <v>4211.6074449999996</v>
      </c>
      <c r="W28" s="1740">
        <f t="shared" si="34"/>
        <v>8238.0659687999996</v>
      </c>
      <c r="X28" s="1745">
        <f>SUM(X20:X27)</f>
        <v>4115.605244040883</v>
      </c>
      <c r="Y28" s="738">
        <f>SUM(Y20:Y27)</f>
        <v>31.647035473117235</v>
      </c>
      <c r="Z28" s="738">
        <f>SUM(Z19:Z27)</f>
        <v>4147.2522795140003</v>
      </c>
      <c r="AA28" s="738">
        <f>SUM(AA20:AA27)</f>
        <v>1085.1075011350504</v>
      </c>
      <c r="AB28" s="738">
        <f>SUM(AB20:AB27)</f>
        <v>3253.0235468349492</v>
      </c>
      <c r="AC28" s="738">
        <f>SUM(AC20:AC27)</f>
        <v>4338.1310479700005</v>
      </c>
      <c r="AD28" s="1740">
        <f>SUM(AD20:AD27)</f>
        <v>8485.3833274839999</v>
      </c>
      <c r="AE28" s="7"/>
      <c r="AF28" s="347"/>
      <c r="AJ28" s="7"/>
      <c r="AK28" s="7"/>
      <c r="AL28" s="7"/>
    </row>
    <row r="29" spans="1:42" ht="13">
      <c r="A29" s="1737">
        <v>21</v>
      </c>
      <c r="B29" s="1743" t="s">
        <v>826</v>
      </c>
      <c r="C29" s="1739">
        <f>E29/$E$37*$C$37</f>
        <v>256.93143164542295</v>
      </c>
      <c r="D29" s="718">
        <f>E29-C29</f>
        <v>0</v>
      </c>
      <c r="E29" s="718">
        <f>I29/$I$37*$E$37</f>
        <v>256.93143164542295</v>
      </c>
      <c r="F29" s="718">
        <f>H29/$H$37*$F$37</f>
        <v>254.78586645422945</v>
      </c>
      <c r="G29" s="718">
        <f>H29-F29</f>
        <v>876.99977190034781</v>
      </c>
      <c r="H29" s="718">
        <f>I29/$I$37*$H$37</f>
        <v>1131.7856383545773</v>
      </c>
      <c r="I29" s="1740">
        <f>120621898/100000+182.49809</f>
        <v>1388.7170700000001</v>
      </c>
      <c r="J29" s="1741">
        <f>C29/E29*L29</f>
        <v>152.37562431826959</v>
      </c>
      <c r="K29" s="881">
        <f>L29-J29</f>
        <v>0</v>
      </c>
      <c r="L29" s="718">
        <f>E29/I29*P29</f>
        <v>152.37562431826959</v>
      </c>
      <c r="M29" s="718">
        <f>F29/H29*O29</f>
        <v>151.10317651602935</v>
      </c>
      <c r="N29" s="718">
        <f>O29-M29</f>
        <v>520.11303916570114</v>
      </c>
      <c r="O29" s="718">
        <f>H29/I29*P29</f>
        <v>671.21621568173043</v>
      </c>
      <c r="P29" s="718">
        <f>82359184/100000</f>
        <v>823.59184000000005</v>
      </c>
      <c r="Q29" s="718">
        <f>S29/$S$37*$Q$37</f>
        <v>454.75124863653917</v>
      </c>
      <c r="R29" s="718">
        <f>S29-Q29</f>
        <v>0</v>
      </c>
      <c r="S29" s="718">
        <f>L29*2+150</f>
        <v>454.75124863653917</v>
      </c>
      <c r="T29" s="718">
        <f>V29/$V$37*$T$37</f>
        <v>323.24092365490702</v>
      </c>
      <c r="U29" s="718">
        <f>V29-T29</f>
        <v>1019.1915077085539</v>
      </c>
      <c r="V29" s="718">
        <f>O29*2</f>
        <v>1342.4324313634609</v>
      </c>
      <c r="W29" s="1742">
        <f>V29+S29</f>
        <v>1797.1836800000001</v>
      </c>
      <c r="X29" s="1739">
        <f>Z29/$Z$37*$X$37</f>
        <v>428.89813087808506</v>
      </c>
      <c r="Y29" s="718">
        <f>Z29-X29</f>
        <v>39.495655217550279</v>
      </c>
      <c r="Z29" s="718">
        <f>S29*1.03</f>
        <v>468.39378609563533</v>
      </c>
      <c r="AA29" s="718">
        <f>AC29/$AC$37*$AA$37</f>
        <v>345.85953939144679</v>
      </c>
      <c r="AB29" s="718">
        <f>AC29-AA29</f>
        <v>1036.8458649129179</v>
      </c>
      <c r="AC29" s="718">
        <f>V29*1.03</f>
        <v>1382.7054043043647</v>
      </c>
      <c r="AD29" s="1742">
        <f t="shared" ref="AD29:AD31" si="37">AC29+Z29</f>
        <v>1851.0991904</v>
      </c>
      <c r="AE29" s="7"/>
      <c r="AL29" s="12"/>
      <c r="AP29" s="12"/>
    </row>
    <row r="30" spans="1:42" ht="13">
      <c r="A30" s="1737">
        <v>22</v>
      </c>
      <c r="B30" s="1743" t="s">
        <v>827</v>
      </c>
      <c r="C30" s="1739"/>
      <c r="D30" s="718"/>
      <c r="E30" s="718"/>
      <c r="F30" s="718">
        <f t="shared" ref="F30:F31" si="38">H30/$H$37*$F$37</f>
        <v>2580.8438388625591</v>
      </c>
      <c r="G30" s="718">
        <f t="shared" ref="G30:G31" si="39">H30-F30</f>
        <v>8883.5361611374392</v>
      </c>
      <c r="H30" s="718">
        <v>11464.38</v>
      </c>
      <c r="I30" s="1740">
        <f t="shared" ref="I30:I31" si="40">E30+H30</f>
        <v>11464.38</v>
      </c>
      <c r="J30" s="1741"/>
      <c r="K30" s="881"/>
      <c r="L30" s="718"/>
      <c r="M30" s="718">
        <f t="shared" ref="M30:M31" si="41">+O30/100*18</f>
        <v>1223.469846</v>
      </c>
      <c r="N30" s="718">
        <f t="shared" ref="N30:N31" si="42">+O30-M30</f>
        <v>5573.5848539999997</v>
      </c>
      <c r="O30" s="718">
        <f>679705470/100000</f>
        <v>6797.0546999999997</v>
      </c>
      <c r="P30" s="718">
        <f>O30+L30</f>
        <v>6797.0546999999997</v>
      </c>
      <c r="Q30" s="718"/>
      <c r="R30" s="718"/>
      <c r="S30" s="718">
        <f t="shared" si="26"/>
        <v>0</v>
      </c>
      <c r="T30" s="718">
        <f>V30/$V$37*$T$37</f>
        <v>3202.1558513881873</v>
      </c>
      <c r="U30" s="718">
        <f>V30-T30</f>
        <v>10096.524948611812</v>
      </c>
      <c r="V30" s="718">
        <f>I30*1.16</f>
        <v>13298.680799999998</v>
      </c>
      <c r="W30" s="1742">
        <f>V30+S30</f>
        <v>13298.680799999998</v>
      </c>
      <c r="X30" s="1739"/>
      <c r="Y30" s="718"/>
      <c r="Z30" s="718">
        <f t="shared" si="0"/>
        <v>0</v>
      </c>
      <c r="AA30" s="718">
        <f>AC30/$AC$37*$AA$37</f>
        <v>3426.2250438410174</v>
      </c>
      <c r="AB30" s="718">
        <f>AC30-AA30</f>
        <v>10271.416180158982</v>
      </c>
      <c r="AC30" s="1754">
        <f>V30*1.03</f>
        <v>13697.641223999999</v>
      </c>
      <c r="AD30" s="1742">
        <f t="shared" si="37"/>
        <v>13697.641223999999</v>
      </c>
      <c r="AE30" s="216"/>
      <c r="AF30" s="206"/>
      <c r="AL30" s="7"/>
    </row>
    <row r="31" spans="1:42" ht="38">
      <c r="A31" s="1737">
        <v>23</v>
      </c>
      <c r="B31" s="1738" t="s">
        <v>828</v>
      </c>
      <c r="C31" s="1739">
        <f t="shared" ref="C31" si="43">E31/$E$37*$C$37</f>
        <v>520.18246439999996</v>
      </c>
      <c r="D31" s="718">
        <f t="shared" ref="D31" si="44">E31-C31</f>
        <v>0</v>
      </c>
      <c r="E31" s="718">
        <f>(43020660.24+8997586.2)/100000</f>
        <v>520.18246439999996</v>
      </c>
      <c r="F31" s="718">
        <f t="shared" si="38"/>
        <v>369.1222748815166</v>
      </c>
      <c r="G31" s="718">
        <f t="shared" si="39"/>
        <v>1270.5577251184834</v>
      </c>
      <c r="H31" s="718">
        <v>1639.68</v>
      </c>
      <c r="I31" s="1740">
        <f t="shared" si="40"/>
        <v>2159.8624644000001</v>
      </c>
      <c r="J31" s="1741">
        <f t="shared" ref="J31" si="45">C31/E31*L31</f>
        <v>119.20368000000001</v>
      </c>
      <c r="K31" s="881">
        <f t="shared" ref="K31" si="46">L31-J31</f>
        <v>0</v>
      </c>
      <c r="L31" s="718">
        <f>11920368/100000</f>
        <v>119.20368000000001</v>
      </c>
      <c r="M31" s="718">
        <f t="shared" si="41"/>
        <v>158.54480099999998</v>
      </c>
      <c r="N31" s="718">
        <f t="shared" si="42"/>
        <v>722.25964899999997</v>
      </c>
      <c r="O31" s="718">
        <f>(34735047+50478382+2867016)/100000</f>
        <v>880.80444999999997</v>
      </c>
      <c r="P31" s="718">
        <f>O31+L31</f>
        <v>1000.0081299999999</v>
      </c>
      <c r="Q31" s="718">
        <f t="shared" ref="Q31" si="47">S31/$S$37*$Q$37</f>
        <v>238.40736000000001</v>
      </c>
      <c r="R31" s="718">
        <f>S31-Q31</f>
        <v>0</v>
      </c>
      <c r="S31" s="718">
        <f>L31*2</f>
        <v>238.40736000000001</v>
      </c>
      <c r="T31" s="718">
        <f>V31/$V$37*$T$37</f>
        <v>424.17336966178698</v>
      </c>
      <c r="U31" s="718">
        <f>V31-T31</f>
        <v>1337.4355303382131</v>
      </c>
      <c r="V31" s="718">
        <f>O31*2</f>
        <v>1761.6088999999999</v>
      </c>
      <c r="W31" s="1742">
        <f>V31+S31</f>
        <v>2000.0162599999999</v>
      </c>
      <c r="X31" s="1739">
        <f t="shared" ref="X31" si="48">Z31/$Z$37*$X$37</f>
        <v>224.85363459288538</v>
      </c>
      <c r="Y31" s="718">
        <f t="shared" ref="Y31" si="49">Z31-X31</f>
        <v>20.705946207114636</v>
      </c>
      <c r="Z31" s="718">
        <f>S31*1.03</f>
        <v>245.55958080000002</v>
      </c>
      <c r="AA31" s="718">
        <f>AC31/$AC$37*$AA$37</f>
        <v>453.85468088182301</v>
      </c>
      <c r="AB31" s="718">
        <f>AC31-AA31</f>
        <v>1360.602486118177</v>
      </c>
      <c r="AC31" s="1754">
        <f>V31*1.03</f>
        <v>1814.457167</v>
      </c>
      <c r="AD31" s="1742">
        <f t="shared" si="37"/>
        <v>2060.0167477999998</v>
      </c>
      <c r="AE31" s="216"/>
      <c r="AF31" s="347"/>
      <c r="AI31" s="2"/>
      <c r="AJ31" s="7"/>
      <c r="AK31" s="7"/>
      <c r="AL31" s="7"/>
      <c r="AM31" s="2"/>
    </row>
    <row r="32" spans="1:42" ht="13">
      <c r="A32" s="1737">
        <v>24</v>
      </c>
      <c r="B32" s="1749" t="s">
        <v>2312</v>
      </c>
      <c r="C32" s="1745">
        <f t="shared" ref="C32:H32" si="50">C13+C18+C28+C29+C30+C31</f>
        <v>8492.3754160454228</v>
      </c>
      <c r="D32" s="738">
        <f t="shared" si="50"/>
        <v>0</v>
      </c>
      <c r="E32" s="738">
        <f t="shared" si="50"/>
        <v>8492.3754160454228</v>
      </c>
      <c r="F32" s="738">
        <f t="shared" si="50"/>
        <v>7897.1788195347972</v>
      </c>
      <c r="G32" s="738">
        <f t="shared" si="50"/>
        <v>31050.809952079777</v>
      </c>
      <c r="H32" s="738">
        <f t="shared" si="50"/>
        <v>38947.988771614575</v>
      </c>
      <c r="I32" s="1740">
        <f>I13+I18+I28+I29+I30+I31</f>
        <v>47440.364187660001</v>
      </c>
      <c r="J32" s="1745">
        <f>J13+J18+J28+J29+J30+J31</f>
        <v>6072.7162440182692</v>
      </c>
      <c r="K32" s="1745">
        <f t="shared" ref="K32:P32" si="51">K13+K18+K28+K29+K30+K31</f>
        <v>0</v>
      </c>
      <c r="L32" s="1745">
        <f t="shared" si="51"/>
        <v>6072.7162440182692</v>
      </c>
      <c r="M32" s="1745">
        <f t="shared" si="51"/>
        <v>3410.490574045697</v>
      </c>
      <c r="N32" s="1745">
        <f t="shared" si="51"/>
        <v>17190.957273636035</v>
      </c>
      <c r="O32" s="1745">
        <f t="shared" si="51"/>
        <v>20601.447847681728</v>
      </c>
      <c r="P32" s="1745">
        <f t="shared" si="51"/>
        <v>26674.164091699997</v>
      </c>
      <c r="Q32" s="738">
        <f>Q13+Q18+Q28+Q29+Q30+Q31</f>
        <v>12915.466654703207</v>
      </c>
      <c r="R32" s="738">
        <f>R13+R18+R28+R29+R30+R31</f>
        <v>0</v>
      </c>
      <c r="S32" s="738">
        <f>S13+S18+S28+S29+S30+S31</f>
        <v>12915.466654703207</v>
      </c>
      <c r="T32" s="738">
        <f>T13+T18+T28+T29+T30+T31</f>
        <v>9899.2434008374421</v>
      </c>
      <c r="U32" s="738">
        <f>U13+U18+U28+U29+U30+U31</f>
        <v>35456.071012326014</v>
      </c>
      <c r="V32" s="738">
        <f>V13+V31+V29+V28+V18+V30</f>
        <v>45355.314413163462</v>
      </c>
      <c r="W32" s="1740">
        <f>W13+W31+W29+W28+W18+W30</f>
        <v>58270.781067866672</v>
      </c>
      <c r="X32" s="1745">
        <f>X13+X18+X28+X29+X30+X31</f>
        <v>14966.825703831853</v>
      </c>
      <c r="Y32" s="738">
        <f>Y13+Y18+Y28+Y29+Y30+Y31</f>
        <v>91.848636897782143</v>
      </c>
      <c r="Z32" s="738">
        <f>Z13+Z18+Z28+Z29+Z30+Z31</f>
        <v>15058.674340729634</v>
      </c>
      <c r="AA32" s="738">
        <f>AA13+AA18+AA28+AA29+AA30+AA31</f>
        <v>11906.342516968403</v>
      </c>
      <c r="AB32" s="738">
        <f>AB13+AB18+AB28+AB29+AB30+AB31</f>
        <v>35693.802248962485</v>
      </c>
      <c r="AC32" s="738">
        <f>AC13+AC31+AC29+AC28+AC18+AC30</f>
        <v>47600.144765930891</v>
      </c>
      <c r="AD32" s="1740">
        <f>AD13+AD31+AD29+AD28+AD18+AD30</f>
        <v>62658.819106660514</v>
      </c>
      <c r="AE32" s="1755"/>
      <c r="AF32" s="347"/>
      <c r="AJ32" s="7"/>
      <c r="AK32" s="7"/>
      <c r="AL32" s="7"/>
      <c r="AM32" s="7"/>
      <c r="AN32" s="7"/>
      <c r="AP32" s="9"/>
    </row>
    <row r="33" spans="1:45" ht="13">
      <c r="A33" s="1737">
        <v>25</v>
      </c>
      <c r="B33" s="1749" t="s">
        <v>829</v>
      </c>
      <c r="C33" s="1745">
        <f>E33/$E$37*$C$37</f>
        <v>281.78036792970261</v>
      </c>
      <c r="D33" s="738">
        <f>E33-C33</f>
        <v>0</v>
      </c>
      <c r="E33" s="738">
        <f>I33/$I$37*$E$37</f>
        <v>281.78036792970261</v>
      </c>
      <c r="F33" s="738">
        <f>H33/$H$37*$F$37</f>
        <v>279.42729596369253</v>
      </c>
      <c r="G33" s="738">
        <f>H33-F33</f>
        <v>961.81816610660485</v>
      </c>
      <c r="H33" s="738">
        <f>I33/$I$37*$H$37</f>
        <v>1241.2454620702974</v>
      </c>
      <c r="I33" s="1740">
        <f>152302583/100000</f>
        <v>1523.02583</v>
      </c>
      <c r="J33" s="1745">
        <f>C33/E33*L33</f>
        <v>50.97514299729626</v>
      </c>
      <c r="K33" s="738">
        <f>L33-J33</f>
        <v>0</v>
      </c>
      <c r="L33" s="738">
        <f>E33/I33*P33</f>
        <v>50.97514299729626</v>
      </c>
      <c r="M33" s="738">
        <f>F33/H33*O33</f>
        <v>50.54946330629587</v>
      </c>
      <c r="N33" s="738">
        <f>O33-M33</f>
        <v>173.99657369640789</v>
      </c>
      <c r="O33" s="738">
        <f>H33/I33*P33</f>
        <v>224.54603700270377</v>
      </c>
      <c r="P33" s="738">
        <f>27552118/100000</f>
        <v>275.52118000000002</v>
      </c>
      <c r="Q33" s="738">
        <f>$W$33/$W$32*Q32</f>
        <v>493.6702822862481</v>
      </c>
      <c r="R33" s="738">
        <f>$W$33/$W$32*R32</f>
        <v>0</v>
      </c>
      <c r="S33" s="738">
        <f>$W$33/$W$32*S32</f>
        <v>493.6702822862481</v>
      </c>
      <c r="T33" s="738">
        <f>$W$33/$W$32*T32</f>
        <v>378.38062028769951</v>
      </c>
      <c r="U33" s="738">
        <f>V33-T33</f>
        <v>1355.2439918260523</v>
      </c>
      <c r="V33" s="738">
        <f>$W$33/$W$32*V32</f>
        <v>1733.6246121137517</v>
      </c>
      <c r="W33" s="1740">
        <f>CWIP!Q40</f>
        <v>2227.2948944</v>
      </c>
      <c r="X33" s="1745">
        <f>$AD$33/$AD$32*X32</f>
        <v>479.84999268691229</v>
      </c>
      <c r="Y33" s="738">
        <f>$AD$33/$AD$32*Y32</f>
        <v>2.9447505179685343</v>
      </c>
      <c r="Z33" s="738">
        <f>$AD$33/$AD$32*Z32</f>
        <v>482.79474320488077</v>
      </c>
      <c r="AA33" s="738">
        <f>$AD$33/$AD$32*AA32</f>
        <v>381.72812877966737</v>
      </c>
      <c r="AB33" s="738">
        <f>AC33-AA33</f>
        <v>1144.3756403034522</v>
      </c>
      <c r="AC33" s="738">
        <f>$AD$33/$AD$32*AC32</f>
        <v>1526.1037690831195</v>
      </c>
      <c r="AD33" s="1740">
        <f>CWIP!AB40</f>
        <v>2008.8985122879999</v>
      </c>
      <c r="AE33" s="1756"/>
      <c r="AF33" s="1757"/>
      <c r="AJ33" s="7"/>
      <c r="AK33" s="7"/>
      <c r="AL33" s="7"/>
      <c r="AM33" s="7"/>
    </row>
    <row r="34" spans="1:45" ht="13.5" thickBot="1">
      <c r="A34" s="1737">
        <v>26</v>
      </c>
      <c r="B34" s="1758" t="s">
        <v>2034</v>
      </c>
      <c r="C34" s="1759">
        <f t="shared" ref="C34:H34" si="52">C32-C33</f>
        <v>8210.5950481157197</v>
      </c>
      <c r="D34" s="1760">
        <f t="shared" si="52"/>
        <v>0</v>
      </c>
      <c r="E34" s="1760">
        <f>E32-E33</f>
        <v>8210.5950481157197</v>
      </c>
      <c r="F34" s="1760">
        <f t="shared" si="52"/>
        <v>7617.7515235711044</v>
      </c>
      <c r="G34" s="1760">
        <f t="shared" si="52"/>
        <v>30088.991785973172</v>
      </c>
      <c r="H34" s="1760">
        <f t="shared" si="52"/>
        <v>37706.743309544276</v>
      </c>
      <c r="I34" s="1761">
        <f>(I32-I33)</f>
        <v>45917.338357660003</v>
      </c>
      <c r="J34" s="1759">
        <v>4064.7391083986086</v>
      </c>
      <c r="K34" s="1760">
        <v>354.6314166181885</v>
      </c>
      <c r="L34" s="1760">
        <v>4419.3705250167986</v>
      </c>
      <c r="M34" s="1760">
        <v>3932.5399510501679</v>
      </c>
      <c r="N34" s="1760">
        <v>19011.051493933035</v>
      </c>
      <c r="O34" s="1760">
        <v>22943.591444983202</v>
      </c>
      <c r="P34" s="1761">
        <f>(P32-P33)</f>
        <v>26398.642911699997</v>
      </c>
      <c r="Q34" s="1760">
        <f t="shared" ref="Q34:AD34" si="53">Q32-Q33</f>
        <v>12421.796372416959</v>
      </c>
      <c r="R34" s="1760">
        <f t="shared" si="53"/>
        <v>0</v>
      </c>
      <c r="S34" s="1760">
        <f t="shared" si="53"/>
        <v>12421.796372416959</v>
      </c>
      <c r="T34" s="1760">
        <f t="shared" si="53"/>
        <v>9520.8627805497417</v>
      </c>
      <c r="U34" s="1760">
        <f t="shared" si="53"/>
        <v>34100.827020499964</v>
      </c>
      <c r="V34" s="1760">
        <f>V32-V33</f>
        <v>43621.68980104971</v>
      </c>
      <c r="W34" s="1761">
        <f>W32-W33</f>
        <v>56043.48617346667</v>
      </c>
      <c r="X34" s="1759">
        <f t="shared" si="53"/>
        <v>14486.975711144942</v>
      </c>
      <c r="Y34" s="1760">
        <f t="shared" si="53"/>
        <v>88.903886379813613</v>
      </c>
      <c r="Z34" s="1760">
        <f t="shared" ref="Z34" si="54">Z32-Z33</f>
        <v>14575.879597524754</v>
      </c>
      <c r="AA34" s="1760">
        <f t="shared" si="53"/>
        <v>11524.614388188736</v>
      </c>
      <c r="AB34" s="1760">
        <f t="shared" si="53"/>
        <v>34549.426608659036</v>
      </c>
      <c r="AC34" s="1760">
        <f t="shared" ref="AC34" si="55">AC32-AC33</f>
        <v>46074.040996847769</v>
      </c>
      <c r="AD34" s="1761">
        <f t="shared" si="53"/>
        <v>60649.920594372517</v>
      </c>
      <c r="AE34" s="12"/>
      <c r="AF34" s="347"/>
      <c r="AJ34" s="7"/>
      <c r="AK34" s="7"/>
      <c r="AL34" s="7"/>
      <c r="AM34" s="7"/>
    </row>
    <row r="35" spans="1:45" ht="5.25" customHeight="1" thickBot="1">
      <c r="B35" s="557"/>
      <c r="C35" s="91"/>
      <c r="D35" s="12"/>
      <c r="E35" s="12"/>
      <c r="F35" s="12"/>
      <c r="G35" s="12"/>
      <c r="H35" s="12"/>
      <c r="I35" s="89"/>
      <c r="J35" s="12"/>
      <c r="K35" s="12"/>
      <c r="L35" s="12"/>
      <c r="M35" s="12"/>
      <c r="N35" s="12"/>
      <c r="O35" s="12"/>
      <c r="P35" s="12"/>
      <c r="Q35" s="12"/>
      <c r="R35" s="12"/>
      <c r="S35" s="12"/>
      <c r="T35" s="12"/>
      <c r="U35" s="12"/>
      <c r="V35" s="12"/>
      <c r="W35" s="1004"/>
      <c r="X35" s="12"/>
      <c r="Y35" s="12"/>
      <c r="Z35" s="12"/>
      <c r="AA35" s="12"/>
      <c r="AB35" s="12"/>
      <c r="AC35" s="12"/>
      <c r="AD35" s="1004"/>
      <c r="AF35" s="12"/>
      <c r="AK35" s="7"/>
      <c r="AL35" s="12"/>
      <c r="AM35" s="12"/>
      <c r="AN35" s="12"/>
      <c r="AP35" s="12"/>
    </row>
    <row r="36" spans="1:45" ht="13">
      <c r="A36" s="1762"/>
      <c r="B36" s="1763" t="s">
        <v>830</v>
      </c>
      <c r="C36" s="1764"/>
      <c r="D36" s="1765"/>
      <c r="E36" s="1765"/>
      <c r="F36" s="1765"/>
      <c r="G36" s="1765"/>
      <c r="H36" s="1765"/>
      <c r="I36" s="1766"/>
      <c r="J36" s="1767"/>
      <c r="K36" s="1768"/>
      <c r="L36" s="1768"/>
      <c r="M36" s="1768"/>
      <c r="N36" s="1768"/>
      <c r="O36" s="1768"/>
      <c r="P36" s="1768"/>
      <c r="Q36" s="1765"/>
      <c r="R36" s="1765"/>
      <c r="S36" s="1765"/>
      <c r="T36" s="1765"/>
      <c r="U36" s="1765"/>
      <c r="V36" s="1765"/>
      <c r="W36" s="1769"/>
      <c r="X36" s="1764"/>
      <c r="Y36" s="1765"/>
      <c r="Z36" s="1765"/>
      <c r="AA36" s="1765"/>
      <c r="AB36" s="1765"/>
      <c r="AC36" s="1765"/>
      <c r="AD36" s="1770"/>
      <c r="AF36" s="2"/>
      <c r="AJ36" s="12"/>
      <c r="AK36" s="12"/>
      <c r="AL36" s="12"/>
      <c r="AP36" s="12"/>
    </row>
    <row r="37" spans="1:45">
      <c r="A37" s="1771">
        <v>1</v>
      </c>
      <c r="B37" s="1772" t="s">
        <v>831</v>
      </c>
      <c r="C37" s="1773">
        <v>479</v>
      </c>
      <c r="D37" s="893">
        <v>0</v>
      </c>
      <c r="E37" s="893">
        <f>C37+D37</f>
        <v>479</v>
      </c>
      <c r="F37" s="893">
        <v>475</v>
      </c>
      <c r="G37" s="893">
        <v>1635</v>
      </c>
      <c r="H37" s="893">
        <f>F37+G37</f>
        <v>2110</v>
      </c>
      <c r="I37" s="1774">
        <f>E37+H37</f>
        <v>2589</v>
      </c>
      <c r="J37" s="1775"/>
      <c r="K37" s="726"/>
      <c r="L37" s="726"/>
      <c r="M37" s="726"/>
      <c r="N37" s="726"/>
      <c r="O37" s="726"/>
      <c r="P37" s="726"/>
      <c r="Q37" s="726">
        <f>C40</f>
        <v>1062</v>
      </c>
      <c r="R37" s="726">
        <f>D40</f>
        <v>0</v>
      </c>
      <c r="S37" s="726">
        <f>Q37+R37</f>
        <v>1062</v>
      </c>
      <c r="T37" s="893">
        <f>F40</f>
        <v>477</v>
      </c>
      <c r="U37" s="893">
        <f>G40</f>
        <v>1504</v>
      </c>
      <c r="V37" s="893">
        <f>T37+U37</f>
        <v>1981</v>
      </c>
      <c r="W37" s="1774">
        <f>S37+V37</f>
        <v>3043</v>
      </c>
      <c r="X37" s="1775">
        <f>Q40</f>
        <v>1390</v>
      </c>
      <c r="Y37" s="726">
        <f>R40</f>
        <v>128</v>
      </c>
      <c r="Z37" s="893">
        <f>Y37+X37</f>
        <v>1518</v>
      </c>
      <c r="AA37" s="726">
        <f>T40</f>
        <v>472</v>
      </c>
      <c r="AB37" s="726">
        <f>U40</f>
        <v>1415</v>
      </c>
      <c r="AC37" s="893">
        <f>AB37+AA37</f>
        <v>1887</v>
      </c>
      <c r="AD37" s="1309">
        <f>AC37+Z37</f>
        <v>3405</v>
      </c>
      <c r="AI37" s="68"/>
      <c r="AJ37" s="2010"/>
      <c r="AK37" s="2010"/>
      <c r="AL37" s="2010"/>
      <c r="AM37" s="1776"/>
      <c r="AN37" s="1776"/>
      <c r="AO37" s="1776"/>
      <c r="AP37" s="1776"/>
      <c r="AQ37" s="1776"/>
      <c r="AR37" s="1776"/>
      <c r="AS37" s="1776"/>
    </row>
    <row r="38" spans="1:45">
      <c r="A38" s="1771">
        <v>2</v>
      </c>
      <c r="B38" s="1772" t="s">
        <v>832</v>
      </c>
      <c r="C38" s="1773">
        <v>590</v>
      </c>
      <c r="D38" s="893">
        <v>0</v>
      </c>
      <c r="E38" s="893">
        <f t="shared" ref="E38:E39" si="56">C38+D38</f>
        <v>590</v>
      </c>
      <c r="F38" s="893">
        <v>9</v>
      </c>
      <c r="G38" s="893">
        <v>185</v>
      </c>
      <c r="H38" s="893">
        <f t="shared" ref="H38:H39" si="57">F38+G38</f>
        <v>194</v>
      </c>
      <c r="I38" s="1774">
        <f>E38+H38</f>
        <v>784</v>
      </c>
      <c r="J38" s="1775"/>
      <c r="K38" s="726"/>
      <c r="L38" s="726"/>
      <c r="M38" s="726"/>
      <c r="N38" s="726"/>
      <c r="O38" s="726"/>
      <c r="P38" s="726"/>
      <c r="Q38" s="726">
        <v>383</v>
      </c>
      <c r="R38" s="726">
        <v>128</v>
      </c>
      <c r="S38" s="726">
        <f t="shared" ref="S38:S39" si="58">Q38+R38</f>
        <v>511</v>
      </c>
      <c r="T38" s="893">
        <v>0</v>
      </c>
      <c r="U38" s="893">
        <v>0</v>
      </c>
      <c r="V38" s="893">
        <f t="shared" ref="V38:V39" si="59">T38+U38</f>
        <v>0</v>
      </c>
      <c r="W38" s="1774">
        <f t="shared" ref="W38:W39" si="60">S38+V38</f>
        <v>511</v>
      </c>
      <c r="X38" s="1773">
        <v>180</v>
      </c>
      <c r="Y38" s="893">
        <v>150</v>
      </c>
      <c r="Z38" s="893">
        <f>Y38+X38</f>
        <v>330</v>
      </c>
      <c r="AA38" s="893">
        <v>0</v>
      </c>
      <c r="AB38" s="893">
        <v>0</v>
      </c>
      <c r="AC38" s="893">
        <f>AB38+AA38</f>
        <v>0</v>
      </c>
      <c r="AD38" s="1309">
        <f>Z38+AC38</f>
        <v>330</v>
      </c>
      <c r="AI38" s="68"/>
      <c r="AJ38" s="1776"/>
      <c r="AK38" s="1776"/>
      <c r="AL38" s="1776"/>
      <c r="AM38" s="1776"/>
      <c r="AN38" s="1776"/>
      <c r="AO38" s="1776"/>
      <c r="AP38" s="1776"/>
      <c r="AQ38" s="1776"/>
      <c r="AR38" s="1776"/>
      <c r="AS38" s="1776"/>
    </row>
    <row r="39" spans="1:45">
      <c r="A39" s="1771">
        <v>3</v>
      </c>
      <c r="B39" s="1772" t="s">
        <v>833</v>
      </c>
      <c r="C39" s="1773">
        <v>7</v>
      </c>
      <c r="D39" s="893">
        <v>0</v>
      </c>
      <c r="E39" s="893">
        <f t="shared" si="56"/>
        <v>7</v>
      </c>
      <c r="F39" s="893">
        <v>7</v>
      </c>
      <c r="G39" s="893">
        <v>316</v>
      </c>
      <c r="H39" s="893">
        <f t="shared" si="57"/>
        <v>323</v>
      </c>
      <c r="I39" s="1774">
        <f t="shared" ref="I39" si="61">E39+H39</f>
        <v>330</v>
      </c>
      <c r="J39" s="1775"/>
      <c r="K39" s="726"/>
      <c r="L39" s="726"/>
      <c r="M39" s="726"/>
      <c r="N39" s="726"/>
      <c r="O39" s="726"/>
      <c r="P39" s="726"/>
      <c r="Q39" s="726">
        <v>55</v>
      </c>
      <c r="R39" s="726">
        <v>0</v>
      </c>
      <c r="S39" s="726">
        <f t="shared" si="58"/>
        <v>55</v>
      </c>
      <c r="T39" s="893">
        <v>5</v>
      </c>
      <c r="U39" s="893">
        <v>89</v>
      </c>
      <c r="V39" s="893">
        <f t="shared" si="59"/>
        <v>94</v>
      </c>
      <c r="W39" s="1774">
        <f t="shared" si="60"/>
        <v>149</v>
      </c>
      <c r="X39" s="1773">
        <v>0</v>
      </c>
      <c r="Y39" s="893">
        <v>0</v>
      </c>
      <c r="Z39" s="893">
        <f>Y39+X39</f>
        <v>0</v>
      </c>
      <c r="AA39" s="893">
        <v>5</v>
      </c>
      <c r="AB39" s="893">
        <v>50</v>
      </c>
      <c r="AC39" s="893">
        <f>AB39+AA39</f>
        <v>55</v>
      </c>
      <c r="AD39" s="1309">
        <f>Z39+AC39</f>
        <v>55</v>
      </c>
      <c r="AI39" s="68"/>
      <c r="AJ39" s="1776"/>
      <c r="AK39" s="1776"/>
      <c r="AL39" s="1776"/>
      <c r="AM39" s="1776"/>
      <c r="AN39" s="1776"/>
      <c r="AO39" s="1776"/>
      <c r="AP39" s="1776"/>
      <c r="AQ39" s="1776"/>
      <c r="AR39" s="1776"/>
      <c r="AS39" s="1776"/>
    </row>
    <row r="40" spans="1:45" s="2" customFormat="1" ht="13">
      <c r="A40" s="1777"/>
      <c r="B40" s="1778" t="s">
        <v>1949</v>
      </c>
      <c r="C40" s="1729">
        <f>C37+C38-C39</f>
        <v>1062</v>
      </c>
      <c r="D40" s="656">
        <f t="shared" ref="D40:E40" si="62">D37+D38-D39</f>
        <v>0</v>
      </c>
      <c r="E40" s="656">
        <f t="shared" si="62"/>
        <v>1062</v>
      </c>
      <c r="F40" s="656">
        <f>F37+F38-F39</f>
        <v>477</v>
      </c>
      <c r="G40" s="656">
        <f t="shared" ref="G40:H40" si="63">G37+G38-G39</f>
        <v>1504</v>
      </c>
      <c r="H40" s="656">
        <f t="shared" si="63"/>
        <v>1981</v>
      </c>
      <c r="I40" s="1779">
        <f>I37+I38-I39</f>
        <v>3043</v>
      </c>
      <c r="J40" s="1780"/>
      <c r="K40" s="1781"/>
      <c r="L40" s="1781"/>
      <c r="M40" s="1781"/>
      <c r="N40" s="1781"/>
      <c r="O40" s="1781"/>
      <c r="P40" s="1781"/>
      <c r="Q40" s="1781">
        <f>Q37+Q38-Q39</f>
        <v>1390</v>
      </c>
      <c r="R40" s="1781">
        <f t="shared" ref="R40:S40" si="64">R37+R38-R39</f>
        <v>128</v>
      </c>
      <c r="S40" s="1781">
        <f t="shared" si="64"/>
        <v>1518</v>
      </c>
      <c r="T40" s="1781">
        <f t="shared" ref="T40" si="65">T37+T38-T39</f>
        <v>472</v>
      </c>
      <c r="U40" s="1781">
        <f t="shared" ref="U40:W40" si="66">U37+U38-U39</f>
        <v>1415</v>
      </c>
      <c r="V40" s="1781">
        <f t="shared" si="66"/>
        <v>1887</v>
      </c>
      <c r="W40" s="1779">
        <f t="shared" si="66"/>
        <v>3405</v>
      </c>
      <c r="X40" s="1729">
        <f>X37+X38-X39</f>
        <v>1570</v>
      </c>
      <c r="Y40" s="656">
        <f t="shared" ref="Y40:AD40" si="67">Y37+Y38-Y39</f>
        <v>278</v>
      </c>
      <c r="Z40" s="656">
        <f t="shared" si="67"/>
        <v>1848</v>
      </c>
      <c r="AA40" s="656">
        <f t="shared" si="67"/>
        <v>467</v>
      </c>
      <c r="AB40" s="656">
        <f t="shared" si="67"/>
        <v>1365</v>
      </c>
      <c r="AC40" s="656">
        <f t="shared" si="67"/>
        <v>1832</v>
      </c>
      <c r="AD40" s="1730">
        <f t="shared" si="67"/>
        <v>3680</v>
      </c>
      <c r="AI40" s="68"/>
      <c r="AJ40" s="1776"/>
      <c r="AK40" s="1776"/>
      <c r="AL40" s="1776"/>
      <c r="AM40" s="1776"/>
      <c r="AN40" s="1776"/>
      <c r="AO40" s="1776"/>
      <c r="AP40" s="1776"/>
      <c r="AQ40" s="1776"/>
      <c r="AR40" s="1776"/>
      <c r="AS40" s="1776"/>
    </row>
    <row r="41" spans="1:45" ht="12.75" customHeight="1">
      <c r="A41" s="1771">
        <v>4</v>
      </c>
      <c r="B41" s="1772" t="s">
        <v>834</v>
      </c>
      <c r="C41" s="92"/>
      <c r="D41" s="23"/>
      <c r="E41" s="23"/>
      <c r="F41" s="23"/>
      <c r="G41" s="23"/>
      <c r="H41" s="23"/>
      <c r="I41" s="1782"/>
      <c r="J41" s="92"/>
      <c r="K41" s="23"/>
      <c r="L41" s="23"/>
      <c r="M41" s="23"/>
      <c r="N41" s="23"/>
      <c r="O41" s="23"/>
      <c r="P41" s="23"/>
      <c r="Q41" s="23"/>
      <c r="R41" s="23"/>
      <c r="S41" s="23"/>
      <c r="T41" s="23"/>
      <c r="U41" s="23"/>
      <c r="V41" s="23"/>
      <c r="W41" s="269"/>
      <c r="X41" s="92"/>
      <c r="Y41" s="23"/>
      <c r="Z41" s="23"/>
      <c r="AA41" s="23"/>
      <c r="AB41" s="23"/>
      <c r="AC41" s="23"/>
      <c r="AD41" s="269"/>
      <c r="AI41" s="68"/>
      <c r="AJ41" s="1776"/>
      <c r="AK41" s="1776"/>
      <c r="AL41" s="1776"/>
      <c r="AM41" s="1776"/>
      <c r="AN41" s="1776"/>
      <c r="AO41" s="1776"/>
      <c r="AP41" s="1776"/>
      <c r="AQ41" s="1776"/>
      <c r="AR41" s="1776"/>
      <c r="AS41" s="1776"/>
    </row>
    <row r="42" spans="1:45">
      <c r="A42" s="1771">
        <v>5</v>
      </c>
      <c r="B42" s="1772" t="s">
        <v>835</v>
      </c>
      <c r="C42" s="92"/>
      <c r="D42" s="23"/>
      <c r="E42" s="23"/>
      <c r="F42" s="23"/>
      <c r="G42" s="1005"/>
      <c r="H42" s="1005"/>
      <c r="I42" s="289"/>
      <c r="J42" s="1783"/>
      <c r="K42" s="36"/>
      <c r="L42" s="36"/>
      <c r="M42" s="36"/>
      <c r="N42" s="36"/>
      <c r="O42" s="36"/>
      <c r="P42" s="36"/>
      <c r="Q42" s="29">
        <v>1342</v>
      </c>
      <c r="R42" s="29">
        <v>126</v>
      </c>
      <c r="S42" s="29">
        <f>Q42+R42</f>
        <v>1468</v>
      </c>
      <c r="T42" s="1784">
        <v>473</v>
      </c>
      <c r="U42" s="29">
        <v>1468</v>
      </c>
      <c r="V42" s="1784">
        <f>T42+U42</f>
        <v>1941</v>
      </c>
      <c r="W42" s="1785">
        <v>3380</v>
      </c>
      <c r="X42" s="92"/>
      <c r="Y42" s="23"/>
      <c r="Z42" s="23"/>
      <c r="AA42" s="23"/>
      <c r="AB42" s="23"/>
      <c r="AC42" s="23"/>
      <c r="AD42" s="1786"/>
      <c r="AI42" s="68"/>
      <c r="AJ42" s="1787"/>
      <c r="AK42" s="1787"/>
      <c r="AL42" s="1787"/>
      <c r="AM42" s="1788"/>
      <c r="AN42" s="1788"/>
      <c r="AO42" s="1788"/>
      <c r="AP42" s="1788"/>
      <c r="AQ42" s="1788"/>
      <c r="AR42" s="1788"/>
      <c r="AS42" s="1788"/>
    </row>
    <row r="43" spans="1:45">
      <c r="A43" s="1771">
        <v>6</v>
      </c>
      <c r="B43" s="1772" t="s">
        <v>836</v>
      </c>
      <c r="C43" s="92"/>
      <c r="D43" s="23"/>
      <c r="E43" s="23"/>
      <c r="F43" s="23"/>
      <c r="G43" s="1005"/>
      <c r="H43" s="1005"/>
      <c r="I43" s="1006"/>
      <c r="J43" s="1007"/>
      <c r="K43" s="1005"/>
      <c r="L43" s="1005"/>
      <c r="M43" s="1005"/>
      <c r="N43" s="1005"/>
      <c r="O43" s="1005"/>
      <c r="P43" s="1005"/>
      <c r="Q43" s="29"/>
      <c r="R43" s="29"/>
      <c r="S43" s="23"/>
      <c r="T43" s="23"/>
      <c r="U43" s="23"/>
      <c r="V43" s="74"/>
      <c r="W43" s="1789">
        <f>W40-W42</f>
        <v>25</v>
      </c>
      <c r="X43" s="92"/>
      <c r="Y43" s="23"/>
      <c r="Z43" s="23"/>
      <c r="AA43" s="23"/>
      <c r="AB43" s="23"/>
      <c r="AC43" s="23"/>
      <c r="AD43" s="1786"/>
      <c r="AI43" s="68"/>
      <c r="AJ43" s="1787"/>
      <c r="AK43" s="1787"/>
      <c r="AL43" s="1787"/>
      <c r="AM43" s="1788"/>
      <c r="AN43" s="1788"/>
      <c r="AO43" s="1788"/>
      <c r="AP43" s="1788"/>
      <c r="AQ43" s="1788"/>
      <c r="AR43" s="1788"/>
      <c r="AS43" s="1788"/>
    </row>
    <row r="44" spans="1:45">
      <c r="A44" s="1771">
        <v>7</v>
      </c>
      <c r="B44" s="1772" t="s">
        <v>837</v>
      </c>
      <c r="C44" s="1008"/>
      <c r="D44" s="1009"/>
      <c r="E44" s="1009"/>
      <c r="F44" s="1009"/>
      <c r="G44" s="1009"/>
      <c r="H44" s="1009"/>
      <c r="I44" s="289"/>
      <c r="J44" s="1783"/>
      <c r="K44" s="36"/>
      <c r="L44" s="36"/>
      <c r="M44" s="36"/>
      <c r="N44" s="36"/>
      <c r="O44" s="36"/>
      <c r="P44" s="36"/>
      <c r="Q44" s="23"/>
      <c r="R44" s="23"/>
      <c r="S44" s="23"/>
      <c r="T44" s="23"/>
      <c r="U44" s="23"/>
      <c r="V44" s="23"/>
      <c r="W44" s="269"/>
      <c r="X44" s="92"/>
      <c r="Y44" s="23"/>
      <c r="Z44" s="23"/>
      <c r="AA44" s="23"/>
      <c r="AB44" s="23"/>
      <c r="AC44" s="23"/>
      <c r="AD44" s="289"/>
      <c r="AI44" s="1790"/>
      <c r="AJ44" s="1790"/>
      <c r="AK44" s="1790"/>
      <c r="AL44" s="1791"/>
      <c r="AM44" s="1790"/>
      <c r="AN44" s="1791"/>
      <c r="AO44" s="1790"/>
      <c r="AP44" s="1791"/>
      <c r="AQ44" s="1790"/>
      <c r="AR44" s="1791"/>
      <c r="AS44" s="1790"/>
    </row>
    <row r="45" spans="1:45" ht="13" thickBot="1">
      <c r="A45" s="1792">
        <v>8</v>
      </c>
      <c r="B45" s="1793" t="s">
        <v>838</v>
      </c>
      <c r="C45" s="1794"/>
      <c r="D45" s="1795"/>
      <c r="E45" s="1795"/>
      <c r="F45" s="1795"/>
      <c r="G45" s="1795"/>
      <c r="H45" s="1795"/>
      <c r="I45" s="619"/>
      <c r="J45" s="740"/>
      <c r="K45" s="739"/>
      <c r="L45" s="739"/>
      <c r="M45" s="739"/>
      <c r="N45" s="739"/>
      <c r="O45" s="739"/>
      <c r="P45" s="739"/>
      <c r="Q45" s="1795"/>
      <c r="R45" s="1795"/>
      <c r="S45" s="1795"/>
      <c r="T45" s="1795"/>
      <c r="U45" s="1795"/>
      <c r="V45" s="1795"/>
      <c r="W45" s="517"/>
      <c r="X45" s="1794"/>
      <c r="Y45" s="1795"/>
      <c r="Z45" s="1795"/>
      <c r="AA45" s="1795"/>
      <c r="AB45" s="1795"/>
      <c r="AC45" s="1795"/>
      <c r="AD45" s="517"/>
      <c r="AI45" s="951"/>
      <c r="AJ45" s="1796"/>
      <c r="AK45" s="1796"/>
      <c r="AL45" s="1797"/>
      <c r="AM45" s="270"/>
      <c r="AN45" s="270"/>
      <c r="AO45" s="270"/>
      <c r="AP45" s="1790"/>
      <c r="AQ45" s="951"/>
      <c r="AR45" s="951"/>
      <c r="AS45" s="270"/>
    </row>
    <row r="46" spans="1:45" ht="24.65" customHeight="1" thickBot="1">
      <c r="B46" s="2015" t="s">
        <v>2302</v>
      </c>
      <c r="C46" s="2016"/>
      <c r="D46" s="2016"/>
      <c r="E46" s="2016"/>
      <c r="F46" s="2016"/>
      <c r="G46" s="2016"/>
      <c r="H46" s="2016"/>
      <c r="I46" s="2016"/>
      <c r="AI46" s="951"/>
      <c r="AJ46" s="1796"/>
      <c r="AK46" s="1796"/>
      <c r="AL46" s="1797"/>
      <c r="AM46" s="270"/>
      <c r="AN46" s="270"/>
      <c r="AO46" s="270"/>
      <c r="AP46" s="951"/>
      <c r="AQ46" s="951"/>
      <c r="AR46" s="951"/>
      <c r="AS46" s="270"/>
    </row>
    <row r="47" spans="1:45" ht="39">
      <c r="D47" s="2009" t="s">
        <v>839</v>
      </c>
      <c r="E47" s="2009"/>
      <c r="F47" s="2009"/>
      <c r="G47" s="2009"/>
      <c r="H47" s="2009"/>
      <c r="I47" s="2009"/>
      <c r="J47" s="30"/>
      <c r="K47" s="30"/>
      <c r="L47" s="30"/>
      <c r="M47" s="30"/>
      <c r="N47" s="30"/>
      <c r="O47" s="30"/>
      <c r="P47" s="30"/>
      <c r="R47" s="2009" t="s">
        <v>840</v>
      </c>
      <c r="S47" s="2009"/>
      <c r="T47" s="2009"/>
      <c r="U47" s="2009"/>
      <c r="V47" s="2009"/>
      <c r="W47" s="2009"/>
      <c r="X47" s="2009" t="s">
        <v>1970</v>
      </c>
      <c r="Y47" s="2009"/>
      <c r="Z47" s="2009"/>
      <c r="AA47" s="2009"/>
      <c r="AB47" s="2009"/>
      <c r="AC47" s="30"/>
      <c r="AH47" s="1798" t="s">
        <v>385</v>
      </c>
      <c r="AI47" s="1799" t="s">
        <v>841</v>
      </c>
      <c r="AJ47" s="1769" t="s">
        <v>842</v>
      </c>
      <c r="AK47" s="1800"/>
      <c r="AL47" s="1011"/>
      <c r="AM47" s="1011"/>
      <c r="AN47" s="1011"/>
      <c r="AO47" s="1011"/>
      <c r="AP47" s="1011"/>
      <c r="AQ47" s="1011"/>
      <c r="AR47" s="1011"/>
      <c r="AS47" s="1011"/>
    </row>
    <row r="48" spans="1:45" ht="50.5" thickBot="1">
      <c r="D48" s="1801" t="s">
        <v>90</v>
      </c>
      <c r="E48" s="1801"/>
      <c r="F48" s="1801" t="s">
        <v>76</v>
      </c>
      <c r="G48" s="1801" t="s">
        <v>44</v>
      </c>
      <c r="H48" s="1801"/>
      <c r="I48" s="1801" t="s">
        <v>145</v>
      </c>
      <c r="J48" s="8"/>
      <c r="K48" s="8"/>
      <c r="L48" s="8"/>
      <c r="M48" s="8"/>
      <c r="N48" s="8"/>
      <c r="O48" s="8"/>
      <c r="P48" s="8"/>
      <c r="R48" s="1801" t="s">
        <v>90</v>
      </c>
      <c r="S48" s="1801"/>
      <c r="T48" s="1801" t="s">
        <v>76</v>
      </c>
      <c r="U48" s="1801" t="s">
        <v>44</v>
      </c>
      <c r="V48" s="1801"/>
      <c r="W48" s="1801" t="s">
        <v>145</v>
      </c>
      <c r="X48" s="1801" t="s">
        <v>90</v>
      </c>
      <c r="Y48" s="1801" t="s">
        <v>76</v>
      </c>
      <c r="Z48" s="1801"/>
      <c r="AA48" s="1801" t="s">
        <v>44</v>
      </c>
      <c r="AB48" s="1801" t="s">
        <v>145</v>
      </c>
      <c r="AC48" s="8"/>
      <c r="AH48" s="1802">
        <v>1</v>
      </c>
      <c r="AI48" s="1803" t="s">
        <v>843</v>
      </c>
      <c r="AJ48" s="1012">
        <f>(126061.24999+122.99203+9259.69768+10328.62845)/100</f>
        <v>1457.7256814999998</v>
      </c>
      <c r="AK48" s="951"/>
      <c r="AL48" s="951"/>
      <c r="AM48" s="951"/>
      <c r="AN48" s="951"/>
      <c r="AO48" s="951"/>
      <c r="AP48" s="951"/>
      <c r="AQ48" s="1796"/>
      <c r="AR48" s="951"/>
      <c r="AS48" s="951"/>
    </row>
    <row r="49" spans="2:45" ht="51" thickTop="1" thickBot="1">
      <c r="C49" s="972" t="s">
        <v>844</v>
      </c>
      <c r="D49" s="1804">
        <f>'T-1'!G69</f>
        <v>5862.6969984000007</v>
      </c>
      <c r="E49" s="1804"/>
      <c r="F49" s="1804">
        <f>'T-1'!G56</f>
        <v>2164.9413414999999</v>
      </c>
      <c r="G49" s="1804">
        <f>'T-1'!G37</f>
        <v>2581.9842146790297</v>
      </c>
      <c r="H49" s="1804"/>
      <c r="I49" s="1804">
        <f>SUM(D49:G49)</f>
        <v>10609.622554579029</v>
      </c>
      <c r="J49" s="1804"/>
      <c r="K49" s="1804"/>
      <c r="L49" s="1804"/>
      <c r="M49" s="1804"/>
      <c r="N49" s="1804"/>
      <c r="O49" s="1804"/>
      <c r="P49" s="1804"/>
      <c r="Q49" s="972"/>
      <c r="R49" s="1804">
        <f>'T-1'!N69</f>
        <v>4930</v>
      </c>
      <c r="S49" s="1804"/>
      <c r="T49" s="1804">
        <f>'T-1'!N56</f>
        <v>2444</v>
      </c>
      <c r="U49" s="1804">
        <f>'T-1'!N37</f>
        <v>3340.5</v>
      </c>
      <c r="V49" s="1804"/>
      <c r="W49" s="1805">
        <f>SUM(R49:U49)</f>
        <v>10714.5</v>
      </c>
      <c r="X49" s="1804">
        <f>'T-1'!S69</f>
        <v>3480</v>
      </c>
      <c r="Y49" s="1804">
        <f>'T-1'!S56</f>
        <v>2590.0000019999998</v>
      </c>
      <c r="Z49" s="1804"/>
      <c r="AA49" s="1804">
        <f>'T-1'!S37</f>
        <v>3544.0999999999995</v>
      </c>
      <c r="AB49" s="1805">
        <f>SUM(X49:AA49)</f>
        <v>9614.1000019999992</v>
      </c>
      <c r="AC49" s="4"/>
      <c r="AH49" s="1802">
        <v>2</v>
      </c>
      <c r="AI49" s="1803" t="s">
        <v>845</v>
      </c>
      <c r="AJ49" s="1012">
        <f>AJ55</f>
        <v>1457.5279989000003</v>
      </c>
      <c r="AK49" s="951"/>
      <c r="AL49" s="1806"/>
      <c r="AM49" s="951"/>
      <c r="AN49" s="951"/>
      <c r="AO49" s="951"/>
      <c r="AP49" s="951"/>
      <c r="AQ49" s="1796"/>
      <c r="AR49" s="951"/>
      <c r="AS49" s="951"/>
    </row>
    <row r="50" spans="2:45" ht="50">
      <c r="C50" t="s">
        <v>846</v>
      </c>
      <c r="D50" s="7">
        <f>I50/$I$49*D49</f>
        <v>4692.7422351558826</v>
      </c>
      <c r="E50" s="7"/>
      <c r="F50" s="7">
        <f>I50/$I$49*F49</f>
        <v>1732.9075121338753</v>
      </c>
      <c r="G50" s="7">
        <f>I50/$I$49*G49</f>
        <v>2066.7256687556655</v>
      </c>
      <c r="H50" s="7"/>
      <c r="I50" s="7">
        <f>C32+D32</f>
        <v>8492.3754160454228</v>
      </c>
      <c r="J50" s="7"/>
      <c r="K50" s="7"/>
      <c r="L50" s="7"/>
      <c r="M50" s="7"/>
      <c r="N50" s="7"/>
      <c r="O50" s="7"/>
      <c r="P50" s="7"/>
      <c r="R50" s="4">
        <f>W50/$W$49*R49</f>
        <v>5942.717869026721</v>
      </c>
      <c r="S50" s="4"/>
      <c r="T50" s="4">
        <f>W50/$W$49*T49</f>
        <v>2946.0451261463099</v>
      </c>
      <c r="U50" s="4">
        <f>W50/$W$49*U49</f>
        <v>4026.7036595301752</v>
      </c>
      <c r="V50" s="4"/>
      <c r="W50" s="4">
        <f>Q32+R32</f>
        <v>12915.466654703207</v>
      </c>
      <c r="X50" s="4">
        <f>$AB$50/$AB$49*X49</f>
        <v>5450.7636382851861</v>
      </c>
      <c r="Y50" s="4">
        <f>$AB$50/$AB$49*Y49</f>
        <v>4056.7465040402753</v>
      </c>
      <c r="Z50" s="4"/>
      <c r="AA50" s="4">
        <f>$AB$50/$AB$49*AA49</f>
        <v>5551.1641984041735</v>
      </c>
      <c r="AB50" s="7">
        <f>X32+Y32</f>
        <v>15058.674340729636</v>
      </c>
      <c r="AC50" s="4"/>
      <c r="AH50" s="1802">
        <v>3</v>
      </c>
      <c r="AI50" s="1803" t="s">
        <v>847</v>
      </c>
      <c r="AJ50" s="1012">
        <f>(213.04+34.77+0.1535)*8%</f>
        <v>19.83708</v>
      </c>
      <c r="AK50" s="68"/>
      <c r="AL50" s="1807"/>
      <c r="AM50" s="270"/>
      <c r="AN50" s="68"/>
      <c r="AO50" s="68"/>
      <c r="AP50" s="68"/>
      <c r="AQ50" s="1800"/>
      <c r="AR50" s="68"/>
      <c r="AS50" s="68"/>
    </row>
    <row r="51" spans="2:45" ht="50">
      <c r="C51" t="s">
        <v>848</v>
      </c>
      <c r="F51" s="7">
        <f>I51/SUM(F49:G49)*F49</f>
        <v>17763.099518210787</v>
      </c>
      <c r="G51" s="7">
        <f>I51/SUM(F49:G49)*G49</f>
        <v>21184.889253403788</v>
      </c>
      <c r="H51" s="7"/>
      <c r="I51" s="7">
        <f>F32+G32</f>
        <v>38947.988771614575</v>
      </c>
      <c r="J51" s="7"/>
      <c r="K51" s="7"/>
      <c r="L51" s="7"/>
      <c r="M51" s="7"/>
      <c r="N51" s="7"/>
      <c r="O51" s="7"/>
      <c r="P51" s="7"/>
      <c r="R51" s="4"/>
      <c r="S51" s="4"/>
      <c r="T51" s="7">
        <f>W51/SUM(T49:U49)*T49</f>
        <v>19163.002580304517</v>
      </c>
      <c r="U51" s="7">
        <f>W51/SUM(T49:U49)*U49</f>
        <v>26192.311832858937</v>
      </c>
      <c r="V51" s="7"/>
      <c r="W51" s="7">
        <f>T32+U32</f>
        <v>45355.314413163454</v>
      </c>
      <c r="X51" s="7"/>
      <c r="Y51" s="7">
        <f>AB51/SUM(Y49:AA49)*Y49</f>
        <v>20098.201039886033</v>
      </c>
      <c r="Z51" s="7"/>
      <c r="AA51" s="7">
        <f>AB51/SUM(Y49:AA49)*AA49</f>
        <v>27501.943726044861</v>
      </c>
      <c r="AB51" s="7">
        <f>AA32+AB32</f>
        <v>47600.144765930891</v>
      </c>
      <c r="AC51" s="4"/>
      <c r="AH51" s="1802">
        <v>4</v>
      </c>
      <c r="AI51" s="1803" t="s">
        <v>849</v>
      </c>
      <c r="AJ51" s="1808">
        <f>129+(153*1500000)/10000000</f>
        <v>151.94999999999999</v>
      </c>
      <c r="AL51" s="1809"/>
    </row>
    <row r="52" spans="2:45" ht="75.5" thickBot="1">
      <c r="C52" t="s">
        <v>145</v>
      </c>
      <c r="D52" s="14">
        <f>SUM(D50:D51)</f>
        <v>4692.7422351558826</v>
      </c>
      <c r="E52" s="14"/>
      <c r="F52" s="14">
        <f>SUM(F50:F51)</f>
        <v>19496.007030344663</v>
      </c>
      <c r="G52" s="14">
        <f>SUM(G50:G51)</f>
        <v>23251.614922159453</v>
      </c>
      <c r="H52" s="14"/>
      <c r="I52" s="14">
        <f>SUM(I50:I51)</f>
        <v>47440.364187660001</v>
      </c>
      <c r="J52" s="12"/>
      <c r="K52" s="12"/>
      <c r="L52" s="12"/>
      <c r="M52" s="12"/>
      <c r="N52" s="12"/>
      <c r="O52" s="12"/>
      <c r="P52" s="12"/>
      <c r="R52" s="14">
        <f t="shared" ref="R52:AB52" si="68">SUM(R50:R51)</f>
        <v>5942.717869026721</v>
      </c>
      <c r="S52" s="14"/>
      <c r="T52" s="14">
        <f t="shared" si="68"/>
        <v>22109.047706450827</v>
      </c>
      <c r="U52" s="14">
        <f t="shared" si="68"/>
        <v>30219.015492389113</v>
      </c>
      <c r="V52" s="14"/>
      <c r="W52" s="14">
        <f t="shared" si="68"/>
        <v>58270.781067866657</v>
      </c>
      <c r="X52" s="14">
        <f t="shared" si="68"/>
        <v>5450.7636382851861</v>
      </c>
      <c r="Y52" s="14">
        <f t="shared" si="68"/>
        <v>24154.947543926308</v>
      </c>
      <c r="Z52" s="14"/>
      <c r="AA52" s="14">
        <f t="shared" si="68"/>
        <v>33053.107924449032</v>
      </c>
      <c r="AB52" s="14">
        <f t="shared" si="68"/>
        <v>62658.819106660529</v>
      </c>
      <c r="AC52" s="12"/>
      <c r="AH52" s="1802">
        <v>5</v>
      </c>
      <c r="AI52" s="1803" t="s">
        <v>850</v>
      </c>
      <c r="AJ52" s="1810">
        <f>AJ48-AJ49+AJ51-AJ50</f>
        <v>132.31060259999953</v>
      </c>
      <c r="AL52" s="1809"/>
    </row>
    <row r="53" spans="2:45" ht="13.5" thickTop="1">
      <c r="D53" s="1000">
        <f>D52/$I$52</f>
        <v>9.891876496969515E-2</v>
      </c>
      <c r="E53" s="1000"/>
      <c r="F53" s="1000">
        <f>F52/$I$52</f>
        <v>0.41095820751342138</v>
      </c>
      <c r="G53" s="1000">
        <f>G52/$I$52</f>
        <v>0.49012302751688341</v>
      </c>
      <c r="H53" s="1000"/>
      <c r="I53" s="97">
        <f>SUM(D53:G53)</f>
        <v>0.99999999999999989</v>
      </c>
      <c r="J53" s="97"/>
      <c r="K53" s="97"/>
      <c r="L53" s="97"/>
      <c r="M53" s="97"/>
      <c r="N53" s="97"/>
      <c r="O53" s="97"/>
      <c r="P53" s="97"/>
      <c r="R53" s="1000">
        <f>R52/$W$52</f>
        <v>0.10198452397789851</v>
      </c>
      <c r="S53" s="1000"/>
      <c r="T53" s="1000">
        <f>T52/$W$52</f>
        <v>0.37941910681960689</v>
      </c>
      <c r="U53" s="1000">
        <f>U52/$W$52</f>
        <v>0.51859636920249463</v>
      </c>
      <c r="V53" s="1000"/>
      <c r="W53" s="97">
        <f>SUM(R53:U53)</f>
        <v>1</v>
      </c>
      <c r="X53" s="1000">
        <f>X52/$AB$52</f>
        <v>8.6991164468112017E-2</v>
      </c>
      <c r="Y53" s="1000">
        <f>Y52/$AB$52</f>
        <v>0.38549956555690462</v>
      </c>
      <c r="Z53" s="1000"/>
      <c r="AA53" s="1000">
        <f>AA52/$AB$52</f>
        <v>0.52750926997498337</v>
      </c>
      <c r="AB53" s="97">
        <f>SUM(X53:AA53)</f>
        <v>1</v>
      </c>
      <c r="AC53" s="97"/>
      <c r="AH53" s="1811"/>
      <c r="AI53" s="23"/>
      <c r="AJ53" s="269"/>
    </row>
    <row r="54" spans="2:45" ht="52">
      <c r="C54" t="s">
        <v>846</v>
      </c>
      <c r="D54" s="7">
        <f>I54/$I$49*D49</f>
        <v>155.70703941362439</v>
      </c>
      <c r="E54" s="7"/>
      <c r="F54" s="7">
        <f>I54/$I$49*F49</f>
        <v>57.498555166866552</v>
      </c>
      <c r="G54" s="7">
        <f>I54/$I$49*G49</f>
        <v>68.574773349211682</v>
      </c>
      <c r="H54" s="7"/>
      <c r="I54" s="7">
        <f>C33+D33</f>
        <v>281.78036792970261</v>
      </c>
      <c r="J54" s="7"/>
      <c r="K54" s="7"/>
      <c r="L54" s="7"/>
      <c r="M54" s="7"/>
      <c r="N54" s="7"/>
      <c r="O54" s="7"/>
      <c r="P54" s="7"/>
      <c r="R54" s="7">
        <f>W54/$W$49*R49</f>
        <v>227.14960956378769</v>
      </c>
      <c r="S54" s="7"/>
      <c r="T54" s="7">
        <f>W54/$W$49*T49</f>
        <v>112.60723038010084</v>
      </c>
      <c r="U54" s="7">
        <f>W54/$W$49*U49</f>
        <v>153.91344234235959</v>
      </c>
      <c r="V54" s="7"/>
      <c r="W54" s="7">
        <f>Q33+R33</f>
        <v>493.6702822862481</v>
      </c>
      <c r="X54" s="7">
        <f>+$AB$54/$AB$49*X49</f>
        <v>174.75642088219101</v>
      </c>
      <c r="Y54" s="7">
        <f>+$AB$54/$AB$49*Y49</f>
        <v>130.0629685156286</v>
      </c>
      <c r="Z54" s="7"/>
      <c r="AA54" s="7">
        <f>+$AB$54/$AB$49*AA49</f>
        <v>177.97535380706123</v>
      </c>
      <c r="AB54" s="7">
        <f>X33+Y33</f>
        <v>482.79474320488083</v>
      </c>
      <c r="AC54" s="7"/>
      <c r="AH54" s="1811" t="s">
        <v>491</v>
      </c>
      <c r="AI54" s="1812" t="s">
        <v>851</v>
      </c>
      <c r="AJ54" s="269"/>
    </row>
    <row r="55" spans="2:45" ht="50">
      <c r="C55" t="s">
        <v>848</v>
      </c>
      <c r="F55" s="7">
        <f>I55/SUM(F49:G49)*F49</f>
        <v>566.09769502016366</v>
      </c>
      <c r="G55" s="7">
        <f>I55/SUM(F49:G49)*G49</f>
        <v>675.14776705013378</v>
      </c>
      <c r="H55" s="7"/>
      <c r="I55" s="7">
        <f>F33+G33</f>
        <v>1241.2454620702974</v>
      </c>
      <c r="J55" s="7"/>
      <c r="K55" s="7"/>
      <c r="L55" s="7"/>
      <c r="M55" s="7"/>
      <c r="N55" s="7"/>
      <c r="O55" s="7"/>
      <c r="P55" s="7"/>
      <c r="T55" s="7">
        <f>W55/SUM(T49:U49)*T49</f>
        <v>732.4710090770177</v>
      </c>
      <c r="U55" s="7">
        <f>W55/SUM(T49:U49)*U49</f>
        <v>1001.153603036734</v>
      </c>
      <c r="V55" s="7"/>
      <c r="W55" s="7">
        <f>T33+U33</f>
        <v>1733.6246121137517</v>
      </c>
      <c r="Y55" s="7">
        <f>+AB55/(Y49+AA49)*Y49</f>
        <v>644.36653521930748</v>
      </c>
      <c r="Z55" s="7"/>
      <c r="AA55" s="7">
        <f>+AB55/(Y49+AA49)*AA49</f>
        <v>881.73723386381198</v>
      </c>
      <c r="AB55" s="7">
        <f>+AA33+AB33</f>
        <v>1526.1037690831195</v>
      </c>
      <c r="AC55" s="7"/>
      <c r="AH55" s="1802">
        <v>1</v>
      </c>
      <c r="AI55" s="1803" t="s">
        <v>845</v>
      </c>
      <c r="AJ55" s="1012">
        <f>(126880.78041+126.20139+9090.51868+9655.29941)/100</f>
        <v>1457.5279989000003</v>
      </c>
    </row>
    <row r="56" spans="2:45" ht="13">
      <c r="D56" s="12">
        <f>SUM(D54:D55)</f>
        <v>155.70703941362439</v>
      </c>
      <c r="E56" s="12"/>
      <c r="F56" s="12">
        <f>SUM(F54:F55)</f>
        <v>623.59625018703025</v>
      </c>
      <c r="G56" s="12">
        <f>SUM(G54:G55)</f>
        <v>743.72254039934546</v>
      </c>
      <c r="H56" s="12"/>
      <c r="I56" s="12">
        <f>SUM(D56:G56)</f>
        <v>1523.02583</v>
      </c>
      <c r="J56" s="12"/>
      <c r="K56" s="12"/>
      <c r="L56" s="12"/>
      <c r="M56" s="12"/>
      <c r="N56" s="12"/>
      <c r="O56" s="12"/>
      <c r="P56" s="12"/>
      <c r="R56" s="12">
        <f>SUM(R54:R55)</f>
        <v>227.14960956378769</v>
      </c>
      <c r="S56" s="12"/>
      <c r="T56" s="12">
        <f>SUM(T54:T55)</f>
        <v>845.07823945711857</v>
      </c>
      <c r="U56" s="12">
        <f>SUM(U54:U55)</f>
        <v>1155.0670453790935</v>
      </c>
      <c r="V56" s="12"/>
      <c r="W56" s="12">
        <f>SUM(R56:U56)</f>
        <v>2227.2948944</v>
      </c>
      <c r="X56" s="12">
        <f>SUM(X54:X55)</f>
        <v>174.75642088219101</v>
      </c>
      <c r="Y56" s="12">
        <f>SUM(Y54:Y55)</f>
        <v>774.42950373493613</v>
      </c>
      <c r="Z56" s="12"/>
      <c r="AA56" s="12">
        <f>SUM(AA54:AA55)</f>
        <v>1059.7125876708733</v>
      </c>
      <c r="AB56" s="12">
        <f>SUM(X56:AA56)</f>
        <v>2008.8985122880003</v>
      </c>
      <c r="AC56" s="12"/>
      <c r="AH56" s="1802"/>
      <c r="AI56" s="1803"/>
      <c r="AJ56" s="1012"/>
    </row>
    <row r="57" spans="2:45" ht="50">
      <c r="C57" t="s">
        <v>796</v>
      </c>
      <c r="D57" t="s">
        <v>797</v>
      </c>
      <c r="Q57" s="347" t="s">
        <v>852</v>
      </c>
      <c r="X57" s="347" t="s">
        <v>852</v>
      </c>
      <c r="AH57" s="1802">
        <v>2</v>
      </c>
      <c r="AI57" s="1803" t="s">
        <v>853</v>
      </c>
      <c r="AJ57" s="1012">
        <f>(125054.28665+120.45752+8449.69837+8606.92338)/100</f>
        <v>1422.3136591999998</v>
      </c>
    </row>
    <row r="58" spans="2:45" ht="50">
      <c r="B58" s="64" t="s">
        <v>854</v>
      </c>
      <c r="C58">
        <f>C37+D37</f>
        <v>479</v>
      </c>
      <c r="D58">
        <f>F37+G37</f>
        <v>2110</v>
      </c>
      <c r="Q58" s="30" t="s">
        <v>796</v>
      </c>
      <c r="R58" s="30"/>
      <c r="S58" s="30"/>
      <c r="U58" s="9">
        <f>T39+Q39</f>
        <v>60</v>
      </c>
      <c r="X58" s="30" t="s">
        <v>796</v>
      </c>
      <c r="Y58" s="30"/>
      <c r="Z58" s="30"/>
      <c r="AB58">
        <f>X39+AA39</f>
        <v>5</v>
      </c>
      <c r="AH58" s="1802">
        <v>3</v>
      </c>
      <c r="AI58" s="1803" t="s">
        <v>855</v>
      </c>
      <c r="AJ58" s="1012">
        <f>(213.04+34.77+0.1535)*8%</f>
        <v>19.83708</v>
      </c>
    </row>
    <row r="59" spans="2:45" ht="50">
      <c r="B59" s="64" t="s">
        <v>856</v>
      </c>
      <c r="C59" s="7">
        <f>950.12</f>
        <v>950.12</v>
      </c>
      <c r="D59" s="7">
        <f>5770.61-C59</f>
        <v>4820.49</v>
      </c>
      <c r="E59" s="7"/>
      <c r="F59" s="7">
        <f>SUM(C59:D59)</f>
        <v>5770.61</v>
      </c>
      <c r="Q59" s="31" t="s">
        <v>797</v>
      </c>
      <c r="R59" s="30"/>
      <c r="S59" s="30"/>
      <c r="U59">
        <f>U39+R39</f>
        <v>89</v>
      </c>
      <c r="X59" s="31" t="s">
        <v>797</v>
      </c>
      <c r="Y59" s="30"/>
      <c r="Z59" s="30"/>
      <c r="AB59">
        <f>Y39+AB39</f>
        <v>50</v>
      </c>
      <c r="AH59" s="1802">
        <v>4</v>
      </c>
      <c r="AI59" s="1803" t="s">
        <v>857</v>
      </c>
      <c r="AJ59" s="1813">
        <f>124.56+(184*1500000)/10000000</f>
        <v>152.16</v>
      </c>
    </row>
    <row r="60" spans="2:45" ht="17.25" customHeight="1">
      <c r="C60" s="299">
        <f>C59/F59</f>
        <v>0.16464810479308081</v>
      </c>
      <c r="D60" s="299">
        <f>D59/F59</f>
        <v>0.83535189520691921</v>
      </c>
      <c r="E60" s="299"/>
      <c r="F60" s="7"/>
      <c r="T60" t="s">
        <v>145</v>
      </c>
      <c r="U60" s="2">
        <f>U59+U58</f>
        <v>149</v>
      </c>
      <c r="V60" s="2"/>
      <c r="AA60" t="s">
        <v>145</v>
      </c>
      <c r="AB60" s="2">
        <f>AB59+AB58</f>
        <v>55</v>
      </c>
      <c r="AC60" s="2"/>
      <c r="AH60" s="1802">
        <v>5</v>
      </c>
      <c r="AI60" s="1803" t="s">
        <v>858</v>
      </c>
      <c r="AJ60" s="1810">
        <f>AJ55-AJ57+AJ59-AJ58</f>
        <v>167.53725970000045</v>
      </c>
    </row>
    <row r="61" spans="2:45" ht="13">
      <c r="B61" s="64" t="s">
        <v>859</v>
      </c>
      <c r="C61" s="7">
        <f>C59*0.9</f>
        <v>855.10800000000006</v>
      </c>
      <c r="D61" s="7">
        <f>7102.96-C61</f>
        <v>6247.8519999999999</v>
      </c>
      <c r="E61" s="7"/>
      <c r="F61" s="7">
        <f>SUM(C61:D61)</f>
        <v>7102.96</v>
      </c>
      <c r="Q61" t="s">
        <v>860</v>
      </c>
      <c r="U61">
        <v>100000</v>
      </c>
      <c r="X61" t="s">
        <v>860</v>
      </c>
      <c r="AB61">
        <v>100000</v>
      </c>
      <c r="AH61" s="1802"/>
      <c r="AI61" s="1814"/>
      <c r="AJ61" s="1813"/>
    </row>
    <row r="62" spans="2:45" ht="13">
      <c r="C62" s="299">
        <f>C61/F61</f>
        <v>0.12038755673690969</v>
      </c>
      <c r="D62" s="299">
        <f>D61/F61</f>
        <v>0.87961244326309029</v>
      </c>
      <c r="E62" s="299"/>
      <c r="Q62" t="s">
        <v>861</v>
      </c>
      <c r="U62">
        <v>70000</v>
      </c>
      <c r="X62" t="s">
        <v>861</v>
      </c>
      <c r="AB62">
        <v>70000</v>
      </c>
      <c r="AF62" s="7"/>
      <c r="AH62" s="1802"/>
      <c r="AI62" s="1814"/>
      <c r="AJ62" s="269"/>
    </row>
    <row r="63" spans="2:45" ht="13">
      <c r="Q63" t="s">
        <v>862</v>
      </c>
      <c r="X63" t="s">
        <v>862</v>
      </c>
      <c r="AH63" s="1811"/>
      <c r="AI63" s="1814"/>
      <c r="AJ63" s="269"/>
    </row>
    <row r="64" spans="2:45" ht="13.5" thickBot="1">
      <c r="C64" s="299"/>
      <c r="D64" s="299"/>
      <c r="E64" s="299"/>
      <c r="Q64" t="s">
        <v>796</v>
      </c>
      <c r="U64">
        <f>U58*U61*6</f>
        <v>36000000</v>
      </c>
      <c r="X64" t="s">
        <v>796</v>
      </c>
      <c r="AB64">
        <f>AB58*AB61*12</f>
        <v>6000000</v>
      </c>
      <c r="AH64" s="1815"/>
      <c r="AI64" s="1816"/>
      <c r="AJ64" s="1817"/>
    </row>
    <row r="65" spans="3:29">
      <c r="Q65" t="s">
        <v>863</v>
      </c>
      <c r="U65">
        <f>U59*U62*6</f>
        <v>37380000</v>
      </c>
      <c r="X65" t="s">
        <v>863</v>
      </c>
      <c r="AB65">
        <f>AB59*AB62*12</f>
        <v>42000000</v>
      </c>
    </row>
    <row r="66" spans="3:29">
      <c r="T66" t="s">
        <v>864</v>
      </c>
      <c r="U66">
        <f>U65+U64</f>
        <v>73380000</v>
      </c>
      <c r="AA66" t="s">
        <v>864</v>
      </c>
      <c r="AB66">
        <f>AB65+AB64</f>
        <v>48000000</v>
      </c>
    </row>
    <row r="67" spans="3:29">
      <c r="Q67" t="s">
        <v>865</v>
      </c>
      <c r="X67" t="s">
        <v>865</v>
      </c>
    </row>
    <row r="68" spans="3:29">
      <c r="Q68" t="s">
        <v>866</v>
      </c>
      <c r="X68" t="s">
        <v>866</v>
      </c>
    </row>
    <row r="69" spans="3:29">
      <c r="C69" s="299"/>
      <c r="D69" s="299"/>
      <c r="E69" s="299"/>
      <c r="Q69" t="s">
        <v>867</v>
      </c>
      <c r="U69">
        <f>U61/2</f>
        <v>50000</v>
      </c>
      <c r="X69" t="s">
        <v>867</v>
      </c>
      <c r="AB69">
        <f>AB61/2</f>
        <v>50000</v>
      </c>
    </row>
    <row r="70" spans="3:29">
      <c r="Q70" t="s">
        <v>868</v>
      </c>
      <c r="U70">
        <f>U62/2</f>
        <v>35000</v>
      </c>
      <c r="X70" t="s">
        <v>868</v>
      </c>
      <c r="AB70">
        <f>AB62/2</f>
        <v>35000</v>
      </c>
    </row>
    <row r="71" spans="3:29">
      <c r="Q71" t="s">
        <v>796</v>
      </c>
      <c r="U71">
        <f>U69*U58*6</f>
        <v>18000000</v>
      </c>
      <c r="X71" t="s">
        <v>796</v>
      </c>
      <c r="AB71">
        <f>AB69*AB58*12</f>
        <v>3000000</v>
      </c>
    </row>
    <row r="72" spans="3:29">
      <c r="Q72" t="s">
        <v>863</v>
      </c>
      <c r="U72">
        <f>U70*U59*6</f>
        <v>18690000</v>
      </c>
      <c r="X72" t="s">
        <v>863</v>
      </c>
      <c r="AB72">
        <f>AB70*AB59*12</f>
        <v>21000000</v>
      </c>
    </row>
    <row r="73" spans="3:29" ht="13">
      <c r="T73" t="s">
        <v>869</v>
      </c>
      <c r="U73">
        <f>SUM(U71:U72)</f>
        <v>36690000</v>
      </c>
      <c r="AA73" t="s">
        <v>869</v>
      </c>
      <c r="AB73" s="2">
        <f>SUM(AB71:AB72)</f>
        <v>24000000</v>
      </c>
    </row>
    <row r="74" spans="3:29">
      <c r="Q74" s="347" t="s">
        <v>2113</v>
      </c>
      <c r="X74" s="347" t="s">
        <v>2113</v>
      </c>
    </row>
    <row r="75" spans="3:29" ht="13">
      <c r="T75" t="s">
        <v>870</v>
      </c>
      <c r="U75" s="2">
        <f>U66-U73</f>
        <v>36690000</v>
      </c>
      <c r="V75" s="2"/>
      <c r="AA75" t="s">
        <v>870</v>
      </c>
      <c r="AB75" s="2">
        <f>AB66-AB73</f>
        <v>24000000</v>
      </c>
      <c r="AC75" s="2"/>
    </row>
    <row r="76" spans="3:29" ht="13">
      <c r="Q76" s="2" t="s">
        <v>871</v>
      </c>
      <c r="X76" s="2" t="s">
        <v>872</v>
      </c>
    </row>
    <row r="77" spans="3:29" ht="13">
      <c r="Q77" s="347" t="s">
        <v>796</v>
      </c>
      <c r="R77" s="2"/>
      <c r="S77" s="2"/>
      <c r="U77" s="9">
        <f>Q38+T38</f>
        <v>383</v>
      </c>
      <c r="X77" s="347" t="s">
        <v>796</v>
      </c>
      <c r="Y77" s="2"/>
      <c r="Z77" s="2"/>
      <c r="AB77">
        <f>X38+AA38</f>
        <v>180</v>
      </c>
    </row>
    <row r="78" spans="3:29">
      <c r="Q78" t="s">
        <v>797</v>
      </c>
      <c r="U78">
        <f>R38+U38</f>
        <v>128</v>
      </c>
      <c r="X78" t="s">
        <v>797</v>
      </c>
      <c r="AB78">
        <f>Y38+AB38</f>
        <v>150</v>
      </c>
    </row>
    <row r="79" spans="3:29" ht="13">
      <c r="T79" t="s">
        <v>145</v>
      </c>
      <c r="U79" s="2">
        <f>U78+U77</f>
        <v>511</v>
      </c>
      <c r="V79" s="2"/>
      <c r="AA79" t="s">
        <v>145</v>
      </c>
      <c r="AB79" s="2">
        <f>AB78+AB77</f>
        <v>330</v>
      </c>
      <c r="AC79" s="2"/>
    </row>
    <row r="80" spans="3:29">
      <c r="Q80" t="s">
        <v>873</v>
      </c>
      <c r="X80" t="s">
        <v>873</v>
      </c>
    </row>
    <row r="81" spans="9:29">
      <c r="Q81" t="s">
        <v>796</v>
      </c>
      <c r="U81">
        <f>21000*U77*6</f>
        <v>48258000</v>
      </c>
      <c r="X81" t="s">
        <v>796</v>
      </c>
      <c r="AB81">
        <f>1257.28*10^5</f>
        <v>125728000</v>
      </c>
    </row>
    <row r="82" spans="9:29">
      <c r="Q82" t="s">
        <v>797</v>
      </c>
      <c r="U82">
        <f>17000*U78*6</f>
        <v>13056000</v>
      </c>
      <c r="X82" t="s">
        <v>797</v>
      </c>
      <c r="AB82">
        <f>280000*AB78</f>
        <v>42000000</v>
      </c>
    </row>
    <row r="83" spans="9:29" ht="13">
      <c r="T83" t="s">
        <v>874</v>
      </c>
      <c r="U83" s="2">
        <f>SUM(U81:U82)</f>
        <v>61314000</v>
      </c>
      <c r="V83" s="2"/>
      <c r="AA83" t="s">
        <v>875</v>
      </c>
      <c r="AB83" s="2">
        <f>SUM(AB81:AB82)</f>
        <v>167728000</v>
      </c>
      <c r="AC83" s="2"/>
    </row>
    <row r="84" spans="9:29" ht="13">
      <c r="Q84" s="347" t="s">
        <v>2306</v>
      </c>
      <c r="U84" s="9">
        <f>310.034166666667*10^5</f>
        <v>31003416.666666698</v>
      </c>
      <c r="X84" s="2"/>
    </row>
    <row r="88" spans="9:29" ht="13">
      <c r="AB88" s="2"/>
      <c r="AC88" s="2"/>
    </row>
    <row r="90" spans="9:29">
      <c r="I90">
        <f>514+57</f>
        <v>571</v>
      </c>
    </row>
    <row r="91" spans="9:29" ht="13">
      <c r="I91">
        <f>131+80+6+28+4+6+31+6+10+1+15+5+7+4+1+3+23+11+3+3+23+11+66+36</f>
        <v>514</v>
      </c>
      <c r="X91" s="206" t="s">
        <v>876</v>
      </c>
    </row>
    <row r="92" spans="9:29">
      <c r="W92" t="s">
        <v>877</v>
      </c>
      <c r="AB92">
        <f>514+694+57</f>
        <v>1265</v>
      </c>
    </row>
    <row r="93" spans="9:29">
      <c r="W93" t="s">
        <v>878</v>
      </c>
      <c r="AB93">
        <v>8000</v>
      </c>
    </row>
    <row r="94" spans="9:29">
      <c r="W94" t="s">
        <v>879</v>
      </c>
      <c r="AB94">
        <f>AB93*AB92*12</f>
        <v>121440000</v>
      </c>
    </row>
    <row r="95" spans="9:29">
      <c r="W95" t="s">
        <v>880</v>
      </c>
      <c r="AB95">
        <f>(42500*3+25000*1+25500*2+24500*8)*12</f>
        <v>4794000</v>
      </c>
    </row>
    <row r="96" spans="9:29">
      <c r="Q96" s="151"/>
      <c r="R96" s="151"/>
      <c r="S96" s="151"/>
      <c r="T96" s="151"/>
      <c r="U96" s="151"/>
      <c r="V96" s="151"/>
      <c r="W96" s="7" t="s">
        <v>145</v>
      </c>
      <c r="AB96">
        <f>AB95+AB94</f>
        <v>126234000</v>
      </c>
    </row>
    <row r="100" spans="3:30">
      <c r="X100" s="151"/>
      <c r="Y100" s="151"/>
      <c r="Z100" s="151"/>
      <c r="AA100" s="151"/>
      <c r="AB100" s="151"/>
      <c r="AC100" s="151"/>
      <c r="AD100" s="7"/>
    </row>
    <row r="102" spans="3:30">
      <c r="W102">
        <f>1265*12*15000</f>
        <v>227700000</v>
      </c>
    </row>
    <row r="103" spans="3:30" ht="15.5">
      <c r="C103" s="1002" t="s">
        <v>2000</v>
      </c>
      <c r="D103" s="1818" t="s">
        <v>2002</v>
      </c>
      <c r="F103" s="1819" t="s">
        <v>2027</v>
      </c>
    </row>
    <row r="104" spans="3:30" ht="13">
      <c r="C104" s="737" t="s">
        <v>1987</v>
      </c>
      <c r="D104" s="737" t="s">
        <v>2001</v>
      </c>
      <c r="E104" s="737" t="s">
        <v>1605</v>
      </c>
      <c r="F104" s="737" t="s">
        <v>2001</v>
      </c>
      <c r="G104" s="737" t="s">
        <v>1606</v>
      </c>
      <c r="H104" s="737" t="s">
        <v>2001</v>
      </c>
    </row>
    <row r="105" spans="3:30">
      <c r="C105" s="1820" t="s">
        <v>1989</v>
      </c>
      <c r="D105" s="1821">
        <f>329/2.88</f>
        <v>114.23611111111111</v>
      </c>
      <c r="E105" s="1820" t="s">
        <v>2003</v>
      </c>
      <c r="F105" s="1820">
        <v>120.1</v>
      </c>
      <c r="G105" s="1820" t="s">
        <v>2015</v>
      </c>
      <c r="H105" s="1820">
        <v>127.7</v>
      </c>
    </row>
    <row r="106" spans="3:30">
      <c r="C106" s="1820" t="s">
        <v>1990</v>
      </c>
      <c r="D106" s="1821">
        <f>330/2.88</f>
        <v>114.58333333333334</v>
      </c>
      <c r="E106" s="1820" t="s">
        <v>2004</v>
      </c>
      <c r="F106" s="1820">
        <v>120.6</v>
      </c>
      <c r="G106" s="1820" t="s">
        <v>2016</v>
      </c>
      <c r="H106" s="1822">
        <v>129</v>
      </c>
    </row>
    <row r="107" spans="3:30">
      <c r="C107" s="1820" t="s">
        <v>1991</v>
      </c>
      <c r="D107" s="1821">
        <f>332/2.88</f>
        <v>115.27777777777779</v>
      </c>
      <c r="E107" s="1820" t="s">
        <v>2005</v>
      </c>
      <c r="F107" s="1820">
        <v>121.7</v>
      </c>
      <c r="G107" s="1820" t="s">
        <v>2017</v>
      </c>
      <c r="H107" s="1820">
        <v>129.19999999999999</v>
      </c>
    </row>
    <row r="108" spans="3:30">
      <c r="C108" s="1820" t="s">
        <v>1992</v>
      </c>
      <c r="D108" s="1821">
        <f>336/2.88</f>
        <v>116.66666666666667</v>
      </c>
      <c r="E108" s="1820" t="s">
        <v>2006</v>
      </c>
      <c r="F108" s="1820">
        <v>122.8</v>
      </c>
      <c r="G108" s="1820" t="s">
        <v>2018</v>
      </c>
      <c r="H108" s="1820">
        <v>129.9</v>
      </c>
    </row>
    <row r="109" spans="3:30">
      <c r="C109" s="1820" t="s">
        <v>1993</v>
      </c>
      <c r="D109" s="1821">
        <f>338/2.88</f>
        <v>117.36111111111111</v>
      </c>
      <c r="E109" s="1820" t="s">
        <v>2007</v>
      </c>
      <c r="F109" s="1821">
        <v>123</v>
      </c>
      <c r="G109" s="1820" t="s">
        <v>2019</v>
      </c>
      <c r="H109" s="1821">
        <v>130.19999999999999</v>
      </c>
    </row>
    <row r="110" spans="3:30">
      <c r="C110" s="1820" t="s">
        <v>1994</v>
      </c>
      <c r="D110" s="1820">
        <v>118.1</v>
      </c>
      <c r="E110" s="1820" t="s">
        <v>2008</v>
      </c>
      <c r="F110" s="1820">
        <v>123.3</v>
      </c>
      <c r="G110" s="1820" t="s">
        <v>2020</v>
      </c>
      <c r="H110" s="1820">
        <v>131.30000000000001</v>
      </c>
    </row>
    <row r="111" spans="3:30">
      <c r="C111" s="1820" t="s">
        <v>1995</v>
      </c>
      <c r="D111" s="1820">
        <v>119.5</v>
      </c>
      <c r="E111" s="1820" t="s">
        <v>2009</v>
      </c>
      <c r="F111" s="1820">
        <v>124.9</v>
      </c>
      <c r="G111" s="1820" t="s">
        <v>2021</v>
      </c>
      <c r="H111" s="1820"/>
    </row>
    <row r="112" spans="3:30">
      <c r="C112" s="1820" t="s">
        <v>1996</v>
      </c>
      <c r="D112" s="1820">
        <v>119.9</v>
      </c>
      <c r="E112" s="1820" t="s">
        <v>2010</v>
      </c>
      <c r="F112" s="1820">
        <v>125.7</v>
      </c>
      <c r="G112" s="1820" t="s">
        <v>2022</v>
      </c>
      <c r="H112" s="1820"/>
    </row>
    <row r="113" spans="3:8">
      <c r="C113" s="1820" t="s">
        <v>1997</v>
      </c>
      <c r="D113" s="1820">
        <v>118.8</v>
      </c>
      <c r="E113" s="1820" t="s">
        <v>2011</v>
      </c>
      <c r="F113" s="1820">
        <v>125.4</v>
      </c>
      <c r="G113" s="1820" t="s">
        <v>2023</v>
      </c>
      <c r="H113" s="1820"/>
    </row>
    <row r="114" spans="3:8">
      <c r="C114" s="1820" t="s">
        <v>1988</v>
      </c>
      <c r="D114" s="1820">
        <v>118.2</v>
      </c>
      <c r="E114" s="1820" t="s">
        <v>2012</v>
      </c>
      <c r="F114" s="1820">
        <v>125.1</v>
      </c>
      <c r="G114" s="1820" t="s">
        <v>2024</v>
      </c>
      <c r="H114" s="1820"/>
    </row>
    <row r="115" spans="3:8">
      <c r="C115" s="1820" t="s">
        <v>1998</v>
      </c>
      <c r="D115" s="1821">
        <v>119</v>
      </c>
      <c r="E115" s="1820" t="s">
        <v>2013</v>
      </c>
      <c r="F115" s="1821">
        <v>125</v>
      </c>
      <c r="G115" s="1820" t="s">
        <v>2025</v>
      </c>
      <c r="H115" s="1821"/>
    </row>
    <row r="116" spans="3:8">
      <c r="C116" s="1820" t="s">
        <v>1999</v>
      </c>
      <c r="D116" s="1820">
        <v>119.6</v>
      </c>
      <c r="E116" s="1820" t="s">
        <v>2014</v>
      </c>
      <c r="F116" s="1821">
        <v>126</v>
      </c>
      <c r="G116" s="1820" t="s">
        <v>2026</v>
      </c>
      <c r="H116" s="1821"/>
    </row>
    <row r="117" spans="3:8" ht="13">
      <c r="D117" s="1823">
        <f>AVERAGE(D105:D116)</f>
        <v>117.60208333333333</v>
      </c>
      <c r="F117" s="1823">
        <f>AVERAGE(F105:F116)</f>
        <v>123.63333333333333</v>
      </c>
      <c r="H117" s="1823">
        <f>AVERAGE(H105:H116)</f>
        <v>129.54999999999998</v>
      </c>
    </row>
    <row r="120" spans="3:8" ht="15.5">
      <c r="C120" s="1002" t="s">
        <v>2028</v>
      </c>
    </row>
    <row r="121" spans="3:8" ht="13">
      <c r="C121" s="737" t="s">
        <v>1987</v>
      </c>
      <c r="D121" s="737" t="s">
        <v>2001</v>
      </c>
      <c r="E121" s="737" t="s">
        <v>1605</v>
      </c>
      <c r="F121" s="737" t="s">
        <v>2001</v>
      </c>
      <c r="G121" s="737" t="s">
        <v>1606</v>
      </c>
      <c r="H121" s="737" t="s">
        <v>2001</v>
      </c>
    </row>
    <row r="122" spans="3:8">
      <c r="C122" s="1820" t="s">
        <v>1989</v>
      </c>
      <c r="D122" s="1824">
        <v>124.11369390103569</v>
      </c>
      <c r="E122" s="1820" t="s">
        <v>2003</v>
      </c>
      <c r="F122" s="1825">
        <v>133.55189873417731</v>
      </c>
      <c r="G122" s="1820" t="s">
        <v>2015</v>
      </c>
      <c r="H122" s="1825">
        <v>149.3883774453395</v>
      </c>
    </row>
    <row r="123" spans="3:8">
      <c r="C123" s="1820" t="s">
        <v>1990</v>
      </c>
      <c r="D123" s="1824">
        <v>122.84280782508638</v>
      </c>
      <c r="E123" s="1820" t="s">
        <v>2004</v>
      </c>
      <c r="F123" s="1825">
        <v>133.62428078250866</v>
      </c>
      <c r="G123" s="1820" t="s">
        <v>2016</v>
      </c>
      <c r="H123" s="1825">
        <v>149.12497123130069</v>
      </c>
    </row>
    <row r="124" spans="3:8">
      <c r="C124" s="1820" t="s">
        <v>1991</v>
      </c>
      <c r="D124" s="1824">
        <v>123.77790563866519</v>
      </c>
      <c r="E124" s="1820" t="s">
        <v>2005</v>
      </c>
      <c r="F124" s="1825">
        <v>134.72163406214034</v>
      </c>
      <c r="G124" s="1820" t="s">
        <v>2017</v>
      </c>
      <c r="H124" s="1825">
        <v>149.48872266973532</v>
      </c>
    </row>
    <row r="125" spans="3:8">
      <c r="C125" s="1820" t="s">
        <v>1992</v>
      </c>
      <c r="D125" s="1824">
        <v>124.032336018412</v>
      </c>
      <c r="E125" s="1820" t="s">
        <v>2006</v>
      </c>
      <c r="F125" s="1825">
        <v>135.43268124280777</v>
      </c>
      <c r="G125" s="1820" t="s">
        <v>2018</v>
      </c>
      <c r="H125" s="1825">
        <v>149.07238204833149</v>
      </c>
    </row>
    <row r="126" spans="3:8">
      <c r="C126" s="1820" t="s">
        <v>1993</v>
      </c>
      <c r="D126" s="1824">
        <v>124.98446490218642</v>
      </c>
      <c r="E126" s="1820" t="s">
        <v>2007</v>
      </c>
      <c r="F126" s="1825">
        <v>136.19171461449943</v>
      </c>
      <c r="G126" s="1820" t="s">
        <v>2019</v>
      </c>
      <c r="H126" s="1825">
        <v>149.01565017261231</v>
      </c>
    </row>
    <row r="127" spans="3:8">
      <c r="C127" s="1820" t="s">
        <v>1994</v>
      </c>
      <c r="D127" s="1824">
        <v>126.08354430379734</v>
      </c>
      <c r="E127" s="1820" t="s">
        <v>2008</v>
      </c>
      <c r="F127" s="1825">
        <v>137.43222094361334</v>
      </c>
      <c r="G127" s="1820" t="s">
        <v>2020</v>
      </c>
      <c r="H127" s="1825">
        <v>148.49102416570764</v>
      </c>
    </row>
    <row r="128" spans="3:8">
      <c r="C128" s="1820" t="s">
        <v>1995</v>
      </c>
      <c r="D128" s="1824">
        <v>127.03463751438429</v>
      </c>
      <c r="E128" s="1820" t="s">
        <v>2009</v>
      </c>
      <c r="F128" s="1825">
        <v>140.24062140391263</v>
      </c>
      <c r="G128" s="1820" t="s">
        <v>2021</v>
      </c>
      <c r="H128" s="1825">
        <v>149.37054085155347</v>
      </c>
    </row>
    <row r="129" spans="3:8">
      <c r="C129" s="1820" t="s">
        <v>1996</v>
      </c>
      <c r="D129" s="1824">
        <v>128.4848101265824</v>
      </c>
      <c r="E129" s="1820" t="s">
        <v>2010</v>
      </c>
      <c r="F129" s="1825">
        <v>143.0180667433832</v>
      </c>
      <c r="G129" s="1820" t="s">
        <v>2022</v>
      </c>
    </row>
    <row r="130" spans="3:8">
      <c r="C130" s="1820" t="s">
        <v>1997</v>
      </c>
      <c r="D130" s="1824">
        <v>128.3698504027619</v>
      </c>
      <c r="E130" s="1820" t="s">
        <v>2011</v>
      </c>
      <c r="F130" s="1825">
        <v>144.02186421173772</v>
      </c>
      <c r="G130" s="1820" t="s">
        <v>2023</v>
      </c>
    </row>
    <row r="131" spans="3:8">
      <c r="C131" s="1820" t="s">
        <v>1988</v>
      </c>
      <c r="D131" s="1824">
        <v>129.23716915995405</v>
      </c>
      <c r="E131" s="1820" t="s">
        <v>2012</v>
      </c>
      <c r="F131" s="1825">
        <v>144.4714614499425</v>
      </c>
      <c r="G131" s="1820" t="s">
        <v>2024</v>
      </c>
    </row>
    <row r="132" spans="3:8">
      <c r="C132" s="1820" t="s">
        <v>1998</v>
      </c>
      <c r="D132" s="1824">
        <v>130.1887226697354</v>
      </c>
      <c r="E132" s="1820" t="s">
        <v>2013</v>
      </c>
      <c r="F132" s="1825">
        <v>145.32002301495962</v>
      </c>
      <c r="G132" s="1820" t="s">
        <v>2025</v>
      </c>
    </row>
    <row r="133" spans="3:8">
      <c r="C133" s="1820" t="s">
        <v>1999</v>
      </c>
      <c r="D133" s="1824">
        <v>131.43440736478732</v>
      </c>
      <c r="E133" s="1820" t="s">
        <v>2014</v>
      </c>
      <c r="F133" s="1825">
        <v>146.6726121979286</v>
      </c>
      <c r="G133" s="1820" t="s">
        <v>2026</v>
      </c>
    </row>
    <row r="134" spans="3:8" ht="13">
      <c r="D134" s="1823">
        <f>AVERAGE(D122:D133)</f>
        <v>126.71536248561569</v>
      </c>
      <c r="F134" s="1823">
        <f>AVERAGE(F122:F133)</f>
        <v>139.55825661680095</v>
      </c>
      <c r="H134" s="1823">
        <f>AVERAGE(H122:H133)</f>
        <v>149.13595265494004</v>
      </c>
    </row>
    <row r="137" spans="3:8" ht="15.5">
      <c r="C137" s="1002" t="s">
        <v>2030</v>
      </c>
      <c r="E137" s="1818" t="s">
        <v>2031</v>
      </c>
    </row>
    <row r="138" spans="3:8" ht="13">
      <c r="C138" s="737" t="s">
        <v>1943</v>
      </c>
      <c r="D138" s="737" t="s">
        <v>2032</v>
      </c>
      <c r="E138" s="737" t="s">
        <v>2029</v>
      </c>
    </row>
    <row r="139" spans="3:8">
      <c r="C139" s="347" t="s">
        <v>1987</v>
      </c>
      <c r="D139" s="1825">
        <f>(60%*D134)+(40%*D117)</f>
        <v>123.07005082470275</v>
      </c>
    </row>
    <row r="140" spans="3:8">
      <c r="C140" s="347" t="s">
        <v>1605</v>
      </c>
      <c r="D140" s="1825">
        <f>(60%*F134)+(40%*F117)</f>
        <v>133.18828730341392</v>
      </c>
      <c r="E140" s="1000">
        <f>(D140-D139)/D139</f>
        <v>8.2215262047167573E-2</v>
      </c>
    </row>
    <row r="141" spans="3:8">
      <c r="C141" s="347" t="s">
        <v>1606</v>
      </c>
      <c r="D141" s="1825">
        <f>(60%*H134)+(40%*H117)</f>
        <v>141.30157159296402</v>
      </c>
      <c r="E141" s="1000">
        <f>(D141-D140)/D140</f>
        <v>6.0915899241705672E-2</v>
      </c>
    </row>
  </sheetData>
  <mergeCells count="52">
    <mergeCell ref="A4:A6"/>
    <mergeCell ref="B4:B6"/>
    <mergeCell ref="B3:AA3"/>
    <mergeCell ref="AD7:AD8"/>
    <mergeCell ref="R7:R8"/>
    <mergeCell ref="T7:T8"/>
    <mergeCell ref="U7:U8"/>
    <mergeCell ref="W7:W8"/>
    <mergeCell ref="X7:X8"/>
    <mergeCell ref="Y7:Y8"/>
    <mergeCell ref="V7:V8"/>
    <mergeCell ref="S7:S8"/>
    <mergeCell ref="X5:Z5"/>
    <mergeCell ref="AA5:AC5"/>
    <mergeCell ref="AC7:AC8"/>
    <mergeCell ref="Z7:Z8"/>
    <mergeCell ref="C4:I4"/>
    <mergeCell ref="Q4:W4"/>
    <mergeCell ref="X4:AD4"/>
    <mergeCell ref="Q5:S5"/>
    <mergeCell ref="T5:V5"/>
    <mergeCell ref="C5:E5"/>
    <mergeCell ref="F5:H5"/>
    <mergeCell ref="J4:P4"/>
    <mergeCell ref="J5:L5"/>
    <mergeCell ref="M5:O5"/>
    <mergeCell ref="I5:I6"/>
    <mergeCell ref="P5:P6"/>
    <mergeCell ref="W5:W6"/>
    <mergeCell ref="AD5:AD6"/>
    <mergeCell ref="D7:D8"/>
    <mergeCell ref="F7:F8"/>
    <mergeCell ref="G7:G8"/>
    <mergeCell ref="I7:I8"/>
    <mergeCell ref="H7:H8"/>
    <mergeCell ref="E7:E8"/>
    <mergeCell ref="P7:P8"/>
    <mergeCell ref="D47:I47"/>
    <mergeCell ref="AJ37:AL37"/>
    <mergeCell ref="X47:AB47"/>
    <mergeCell ref="R47:W47"/>
    <mergeCell ref="Q7:Q8"/>
    <mergeCell ref="J7:J8"/>
    <mergeCell ref="K7:K8"/>
    <mergeCell ref="L7:L8"/>
    <mergeCell ref="M7:M8"/>
    <mergeCell ref="N7:N8"/>
    <mergeCell ref="O7:O8"/>
    <mergeCell ref="AA7:AA8"/>
    <mergeCell ref="AB7:AB8"/>
    <mergeCell ref="B46:I46"/>
    <mergeCell ref="C7:C8"/>
  </mergeCells>
  <phoneticPr fontId="0" type="noConversion"/>
  <printOptions horizontalCentered="1" gridLines="1"/>
  <pageMargins left="0" right="0" top="0.59055118110236227" bottom="0" header="0" footer="0.19685039370078741"/>
  <pageSetup paperSize="9" scale="83" fitToWidth="3" fitToHeight="5" orientation="landscape" r:id="rId1"/>
  <headerFooter>
    <oddFooter xml:space="preserve">&amp;R&amp;"Arial,Bold"&amp;12
OERC FORM-&amp;A
&amp;"Arial,Regular"&amp;10
</oddFooter>
  </headerFooter>
  <colBreaks count="1" manualBreakCount="1">
    <brk id="9" max="3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FD2BA-BD7A-4F7A-86C3-12B0D1BE4DC8}">
  <dimension ref="A1:Q42"/>
  <sheetViews>
    <sheetView showGridLines="0" view="pageBreakPreview" zoomScale="110" zoomScaleSheetLayoutView="110" workbookViewId="0">
      <pane xSplit="2" ySplit="6" topLeftCell="E7" activePane="bottomRight" state="frozen"/>
      <selection activeCell="L17" sqref="L17"/>
      <selection pane="topRight" activeCell="L17" sqref="L17"/>
      <selection pane="bottomLeft" activeCell="L17" sqref="L17"/>
      <selection pane="bottomRight" activeCell="L17" sqref="L17"/>
    </sheetView>
  </sheetViews>
  <sheetFormatPr defaultRowHeight="12.5"/>
  <cols>
    <col min="1" max="1" width="5.453125" style="489" customWidth="1"/>
    <col min="2" max="2" width="24.1796875" style="64" customWidth="1"/>
    <col min="3" max="3" width="9.453125" customWidth="1"/>
    <col min="4" max="4" width="9.54296875" customWidth="1"/>
    <col min="5" max="5" width="9.1796875" bestFit="1" customWidth="1"/>
    <col min="6" max="6" width="10" customWidth="1"/>
    <col min="7" max="7" width="8.453125" customWidth="1"/>
    <col min="8" max="8" width="9.54296875" customWidth="1"/>
    <col min="9" max="11" width="9.7265625" customWidth="1"/>
    <col min="12" max="12" width="8.81640625" customWidth="1"/>
    <col min="13" max="13" width="9.26953125" customWidth="1"/>
    <col min="14" max="14" width="9.7265625" customWidth="1"/>
    <col min="15" max="15" width="9.1796875" customWidth="1"/>
    <col min="16" max="16" width="11" customWidth="1"/>
    <col min="17" max="17" width="8.54296875" customWidth="1"/>
  </cols>
  <sheetData>
    <row r="1" spans="1:17" ht="13">
      <c r="B1" s="558" t="s">
        <v>1</v>
      </c>
      <c r="E1" s="3" t="s">
        <v>0</v>
      </c>
      <c r="F1" s="2" t="s">
        <v>2125</v>
      </c>
      <c r="G1" s="2"/>
      <c r="H1" s="2"/>
      <c r="I1" s="2"/>
      <c r="J1" s="2"/>
      <c r="K1" s="2"/>
      <c r="L1" s="2"/>
      <c r="M1" s="2"/>
      <c r="N1" s="2"/>
      <c r="O1" s="2"/>
      <c r="P1" s="2"/>
    </row>
    <row r="2" spans="1:17" ht="13">
      <c r="P2" s="2" t="s">
        <v>496</v>
      </c>
    </row>
    <row r="3" spans="1:17" ht="13">
      <c r="B3" s="2041" t="s">
        <v>2126</v>
      </c>
      <c r="C3" s="2041"/>
      <c r="D3" s="2041"/>
      <c r="E3" s="2041"/>
      <c r="F3" s="2041"/>
      <c r="G3" s="2041"/>
      <c r="H3" s="2041"/>
      <c r="I3" s="2041"/>
      <c r="J3" s="2041"/>
      <c r="K3" s="2041"/>
      <c r="L3" s="2041"/>
      <c r="M3" s="2041"/>
      <c r="N3" s="2041"/>
      <c r="O3" s="2041"/>
      <c r="P3" s="2041"/>
      <c r="Q3" s="2041"/>
    </row>
    <row r="4" spans="1:17" ht="13.5" customHeight="1">
      <c r="A4" s="2044" t="s">
        <v>794</v>
      </c>
      <c r="B4" s="2004" t="s">
        <v>735</v>
      </c>
      <c r="C4" s="2045" t="s">
        <v>913</v>
      </c>
      <c r="D4" s="2045"/>
      <c r="E4" s="2045"/>
      <c r="F4" s="2045"/>
      <c r="G4" s="2045"/>
      <c r="H4" s="2045" t="s">
        <v>158</v>
      </c>
      <c r="I4" s="2045"/>
      <c r="J4" s="2045"/>
      <c r="K4" s="2045"/>
      <c r="L4" s="2045"/>
      <c r="M4" s="2046" t="s">
        <v>915</v>
      </c>
      <c r="N4" s="2046"/>
      <c r="O4" s="2046"/>
      <c r="P4" s="2046"/>
      <c r="Q4" s="2046"/>
    </row>
    <row r="5" spans="1:17" ht="13.5" customHeight="1">
      <c r="A5" s="2044"/>
      <c r="B5" s="2004"/>
      <c r="C5" s="2027" t="s">
        <v>799</v>
      </c>
      <c r="D5" s="2027"/>
      <c r="E5" s="2027" t="s">
        <v>800</v>
      </c>
      <c r="F5" s="2027"/>
      <c r="G5" s="2027" t="s">
        <v>145</v>
      </c>
      <c r="H5" s="2027" t="s">
        <v>799</v>
      </c>
      <c r="I5" s="2027"/>
      <c r="J5" s="2027" t="s">
        <v>800</v>
      </c>
      <c r="K5" s="2027"/>
      <c r="L5" s="2027" t="s">
        <v>145</v>
      </c>
      <c r="M5" s="2027" t="s">
        <v>799</v>
      </c>
      <c r="N5" s="2027"/>
      <c r="O5" s="2027" t="s">
        <v>800</v>
      </c>
      <c r="P5" s="2027"/>
      <c r="Q5" s="2027" t="s">
        <v>145</v>
      </c>
    </row>
    <row r="6" spans="1:17" ht="26">
      <c r="A6" s="2044"/>
      <c r="B6" s="2004"/>
      <c r="C6" s="618" t="s">
        <v>2127</v>
      </c>
      <c r="D6" s="618" t="s">
        <v>2128</v>
      </c>
      <c r="E6" s="618" t="s">
        <v>2127</v>
      </c>
      <c r="F6" s="618" t="s">
        <v>2128</v>
      </c>
      <c r="G6" s="2027"/>
      <c r="H6" s="618" t="s">
        <v>2127</v>
      </c>
      <c r="I6" s="618" t="s">
        <v>2128</v>
      </c>
      <c r="J6" s="618" t="s">
        <v>2127</v>
      </c>
      <c r="K6" s="618" t="s">
        <v>2128</v>
      </c>
      <c r="L6" s="2027"/>
      <c r="M6" s="618" t="s">
        <v>2127</v>
      </c>
      <c r="N6" s="618" t="s">
        <v>2128</v>
      </c>
      <c r="O6" s="618" t="s">
        <v>2127</v>
      </c>
      <c r="P6" s="618" t="s">
        <v>2128</v>
      </c>
      <c r="Q6" s="2027"/>
    </row>
    <row r="7" spans="1:17" ht="13">
      <c r="A7" s="560">
        <v>1</v>
      </c>
      <c r="B7" s="350" t="s">
        <v>2129</v>
      </c>
      <c r="C7" s="718">
        <v>523</v>
      </c>
      <c r="D7" s="718">
        <v>0</v>
      </c>
      <c r="E7" s="718">
        <v>67</v>
      </c>
      <c r="F7" s="718">
        <v>0</v>
      </c>
      <c r="G7" s="738">
        <f>C7+D7+E7+F7</f>
        <v>590</v>
      </c>
      <c r="H7" s="881">
        <v>305</v>
      </c>
      <c r="I7" s="881">
        <v>128</v>
      </c>
      <c r="J7" s="881">
        <v>78</v>
      </c>
      <c r="K7" s="881">
        <v>0</v>
      </c>
      <c r="L7" s="738">
        <f>H7+I7+J7+K7</f>
        <v>511</v>
      </c>
      <c r="M7" s="903">
        <f>60+60+40</f>
        <v>160</v>
      </c>
      <c r="N7" s="903">
        <f>3+3+4+10</f>
        <v>20</v>
      </c>
      <c r="O7" s="903">
        <v>150</v>
      </c>
      <c r="P7" s="738">
        <v>0</v>
      </c>
      <c r="Q7" s="738">
        <f>M7+N7+O7+P7</f>
        <v>330</v>
      </c>
    </row>
    <row r="8" spans="1:17" ht="13">
      <c r="A8" s="560"/>
      <c r="B8" s="66"/>
      <c r="C8" s="718"/>
      <c r="D8" s="718"/>
      <c r="E8" s="718"/>
      <c r="F8" s="718"/>
      <c r="G8" s="738"/>
      <c r="H8" s="881"/>
      <c r="I8" s="881"/>
      <c r="J8" s="881"/>
      <c r="K8" s="881"/>
      <c r="L8" s="881"/>
      <c r="M8" s="718"/>
      <c r="N8" s="718"/>
      <c r="O8" s="718"/>
      <c r="P8" s="718"/>
      <c r="Q8" s="718"/>
    </row>
    <row r="9" spans="1:17" s="347" customFormat="1" ht="13">
      <c r="A9" s="903">
        <v>2</v>
      </c>
      <c r="B9" s="350" t="s">
        <v>1969</v>
      </c>
      <c r="C9" s="904"/>
      <c r="D9" s="904"/>
      <c r="E9" s="904"/>
      <c r="F9" s="904"/>
      <c r="G9" s="904">
        <f>'F-12'!E32</f>
        <v>8492.3754160454228</v>
      </c>
      <c r="H9" s="905"/>
      <c r="I9" s="905"/>
      <c r="J9" s="905"/>
      <c r="K9" s="905"/>
      <c r="L9" s="904">
        <f>'F-12'!S32</f>
        <v>12915.466654703207</v>
      </c>
      <c r="M9" s="904"/>
      <c r="N9" s="904"/>
      <c r="O9" s="904"/>
      <c r="P9" s="904">
        <f>'F-12'!Z32</f>
        <v>15058.674340729634</v>
      </c>
      <c r="Q9" s="738">
        <f t="shared" ref="Q9:Q14" si="0">G9+L9+P9</f>
        <v>36466.516411478267</v>
      </c>
    </row>
    <row r="10" spans="1:17" s="347" customFormat="1" ht="13">
      <c r="A10" s="903">
        <v>3</v>
      </c>
      <c r="B10" s="350" t="s">
        <v>2130</v>
      </c>
      <c r="C10" s="904"/>
      <c r="D10" s="904"/>
      <c r="E10" s="904"/>
      <c r="F10" s="904"/>
      <c r="G10" s="904">
        <f>'F-12'!E13</f>
        <v>6247.4020440999993</v>
      </c>
      <c r="H10" s="905"/>
      <c r="I10" s="905"/>
      <c r="J10" s="905"/>
      <c r="K10" s="905"/>
      <c r="L10" s="904">
        <f>'F-12'!S13</f>
        <v>8195.8495222666679</v>
      </c>
      <c r="M10" s="904"/>
      <c r="N10" s="904"/>
      <c r="O10" s="904"/>
      <c r="P10" s="904">
        <f>'F-12'!Z13</f>
        <v>10197.468694319999</v>
      </c>
      <c r="Q10" s="738">
        <f t="shared" si="0"/>
        <v>24640.720260686667</v>
      </c>
    </row>
    <row r="11" spans="1:17" s="347" customFormat="1" ht="13">
      <c r="A11" s="903">
        <v>4</v>
      </c>
      <c r="B11" s="902" t="s">
        <v>2131</v>
      </c>
      <c r="C11" s="904"/>
      <c r="D11" s="904"/>
      <c r="E11" s="904"/>
      <c r="F11" s="904"/>
      <c r="G11" s="904">
        <f>'F-12'!E18+'F-12'!E28+'F-12'!E29+'F-12'!E31</f>
        <v>2244.973371945423</v>
      </c>
      <c r="H11" s="905"/>
      <c r="I11" s="905"/>
      <c r="J11" s="905"/>
      <c r="K11" s="905"/>
      <c r="L11" s="904">
        <f>'F-12'!S18+'F-12'!S28+'F-12'!S29+'F-12'!S30+'F-12'!S31</f>
        <v>4719.6171324365396</v>
      </c>
      <c r="M11" s="904"/>
      <c r="N11" s="904"/>
      <c r="O11" s="904"/>
      <c r="P11" s="904">
        <f>'F-12'!Z18+'F-12'!Z28+'F-12'!Z29+'F-12'!Z30+'F-12'!Z31</f>
        <v>4861.2056464096358</v>
      </c>
      <c r="Q11" s="738">
        <f t="shared" si="0"/>
        <v>11825.796150791597</v>
      </c>
    </row>
    <row r="12" spans="1:17" s="2" customFormat="1" ht="13">
      <c r="A12" s="618">
        <v>5</v>
      </c>
      <c r="B12" s="901" t="s">
        <v>2132</v>
      </c>
      <c r="C12" s="738"/>
      <c r="D12" s="738"/>
      <c r="E12" s="738"/>
      <c r="F12" s="738"/>
      <c r="G12" s="738">
        <f>G10+G11</f>
        <v>8492.3754160454228</v>
      </c>
      <c r="H12" s="900"/>
      <c r="I12" s="900"/>
      <c r="J12" s="900"/>
      <c r="K12" s="900"/>
      <c r="L12" s="738">
        <f>L10+L11</f>
        <v>12915.466654703207</v>
      </c>
      <c r="M12" s="738"/>
      <c r="N12" s="738"/>
      <c r="O12" s="738"/>
      <c r="P12" s="738">
        <f>P10+P11</f>
        <v>15058.674340729634</v>
      </c>
      <c r="Q12" s="738">
        <f t="shared" si="0"/>
        <v>36466.516411478267</v>
      </c>
    </row>
    <row r="13" spans="1:17" s="347" customFormat="1" ht="25">
      <c r="A13" s="903">
        <v>6</v>
      </c>
      <c r="B13" s="350" t="s">
        <v>2133</v>
      </c>
      <c r="C13" s="904"/>
      <c r="D13" s="904"/>
      <c r="E13" s="904"/>
      <c r="F13" s="904"/>
      <c r="G13" s="904">
        <f>'F-12'!E33</f>
        <v>281.78036792970261</v>
      </c>
      <c r="H13" s="905"/>
      <c r="I13" s="905"/>
      <c r="J13" s="905"/>
      <c r="K13" s="905"/>
      <c r="L13" s="904">
        <f>'F-12'!S33</f>
        <v>493.6702822862481</v>
      </c>
      <c r="M13" s="904"/>
      <c r="N13" s="904"/>
      <c r="O13" s="904"/>
      <c r="P13" s="904">
        <f>'F-12'!Z33</f>
        <v>482.79474320488077</v>
      </c>
      <c r="Q13" s="738">
        <f t="shared" si="0"/>
        <v>1258.2453934208315</v>
      </c>
    </row>
    <row r="14" spans="1:17" s="2" customFormat="1" ht="13">
      <c r="A14" s="906">
        <v>7</v>
      </c>
      <c r="B14" s="907" t="s">
        <v>2034</v>
      </c>
      <c r="C14" s="908"/>
      <c r="D14" s="908"/>
      <c r="E14" s="908"/>
      <c r="F14" s="908"/>
      <c r="G14" s="908">
        <f>G12-G13</f>
        <v>8210.5950481157197</v>
      </c>
      <c r="H14" s="909"/>
      <c r="I14" s="909"/>
      <c r="J14" s="909"/>
      <c r="K14" s="909"/>
      <c r="L14" s="908">
        <f>L12-L13</f>
        <v>12421.796372416959</v>
      </c>
      <c r="M14" s="908"/>
      <c r="N14" s="908"/>
      <c r="O14" s="908"/>
      <c r="P14" s="908">
        <f>P12-P13</f>
        <v>14575.879597524754</v>
      </c>
      <c r="Q14" s="738">
        <f t="shared" si="0"/>
        <v>35208.271018057436</v>
      </c>
    </row>
    <row r="15" spans="1:17" ht="13">
      <c r="A15" s="910"/>
      <c r="B15" s="911"/>
      <c r="C15" s="912"/>
      <c r="D15" s="912"/>
      <c r="E15" s="912"/>
      <c r="F15" s="912"/>
      <c r="G15" s="912"/>
      <c r="H15" s="913"/>
      <c r="I15" s="913"/>
      <c r="J15" s="913"/>
      <c r="K15" s="913"/>
      <c r="L15" s="912"/>
      <c r="M15" s="912"/>
      <c r="N15" s="912"/>
      <c r="O15" s="912"/>
      <c r="P15" s="912"/>
      <c r="Q15" s="912"/>
    </row>
    <row r="16" spans="1:17" ht="13">
      <c r="A16" s="910"/>
      <c r="B16" s="557"/>
      <c r="C16" s="914"/>
      <c r="D16" s="914"/>
      <c r="E16" s="914"/>
      <c r="F16" s="914"/>
      <c r="G16" s="912"/>
      <c r="H16" s="915"/>
      <c r="I16" s="915"/>
      <c r="J16" s="915"/>
      <c r="K16" s="915"/>
      <c r="L16" s="915"/>
      <c r="M16" s="916"/>
      <c r="N16" s="914"/>
      <c r="O16" s="914"/>
      <c r="P16" s="914"/>
      <c r="Q16" s="914"/>
    </row>
    <row r="17" spans="1:17">
      <c r="A17" s="910"/>
      <c r="C17" s="914"/>
      <c r="D17" s="914"/>
      <c r="E17" s="914"/>
      <c r="F17" s="914"/>
      <c r="G17" s="64"/>
      <c r="H17" s="64"/>
      <c r="I17" s="64"/>
      <c r="J17" s="915"/>
      <c r="K17" s="915"/>
      <c r="L17" s="915"/>
      <c r="M17" s="914"/>
      <c r="N17" s="914"/>
      <c r="O17" s="914"/>
      <c r="P17" s="914"/>
      <c r="Q17" s="914"/>
    </row>
    <row r="18" spans="1:17" ht="13">
      <c r="A18" s="910"/>
      <c r="C18" s="914"/>
      <c r="D18" s="914"/>
      <c r="E18" s="914"/>
      <c r="F18" s="914"/>
      <c r="G18" s="912"/>
      <c r="H18" s="915"/>
      <c r="I18" s="915"/>
      <c r="J18" s="915"/>
      <c r="K18" s="915"/>
      <c r="L18" s="915"/>
      <c r="M18" s="914"/>
      <c r="N18" s="914"/>
      <c r="O18" s="914"/>
      <c r="P18" s="914"/>
      <c r="Q18" s="914"/>
    </row>
    <row r="19" spans="1:17" ht="13">
      <c r="A19" s="910"/>
      <c r="C19" s="914"/>
      <c r="D19" s="914"/>
      <c r="E19" s="914"/>
      <c r="F19" s="914"/>
      <c r="G19" s="912"/>
      <c r="H19" s="915"/>
      <c r="I19" s="915"/>
      <c r="J19" s="915"/>
      <c r="K19" s="915"/>
      <c r="L19" s="915"/>
      <c r="M19" s="914"/>
      <c r="N19" s="914"/>
      <c r="O19" s="914"/>
      <c r="P19" s="914"/>
      <c r="Q19" s="914"/>
    </row>
    <row r="20" spans="1:17" ht="13">
      <c r="A20" s="910"/>
      <c r="B20" s="488"/>
      <c r="C20" s="914"/>
      <c r="D20" s="914"/>
      <c r="E20" s="914"/>
      <c r="F20" s="914"/>
      <c r="G20" s="912"/>
      <c r="H20" s="915"/>
      <c r="I20" s="915"/>
      <c r="J20" s="915"/>
      <c r="K20" s="915"/>
      <c r="L20" s="915"/>
      <c r="M20" s="914"/>
      <c r="N20" s="914"/>
      <c r="O20" s="914"/>
      <c r="P20" s="914"/>
      <c r="Q20" s="914"/>
    </row>
    <row r="21" spans="1:17" ht="13">
      <c r="A21" s="910"/>
      <c r="C21" s="914"/>
      <c r="D21" s="914"/>
      <c r="E21" s="914"/>
      <c r="F21" s="914"/>
      <c r="G21" s="912"/>
      <c r="H21" s="915"/>
      <c r="I21" s="915"/>
      <c r="J21" s="915"/>
      <c r="K21" s="915"/>
      <c r="L21" s="915"/>
      <c r="M21" s="914"/>
      <c r="N21" s="914"/>
      <c r="O21" s="914"/>
      <c r="P21" s="914"/>
      <c r="Q21" s="914"/>
    </row>
    <row r="22" spans="1:17" ht="13">
      <c r="A22" s="910"/>
      <c r="C22" s="914"/>
      <c r="D22" s="914"/>
      <c r="E22" s="914"/>
      <c r="F22" s="914"/>
      <c r="G22" s="912"/>
      <c r="H22" s="917"/>
      <c r="I22" s="917"/>
      <c r="J22" s="914"/>
      <c r="K22" s="914"/>
      <c r="L22" s="914"/>
      <c r="M22" s="914"/>
      <c r="N22" s="914"/>
      <c r="O22" s="914"/>
      <c r="P22" s="914"/>
      <c r="Q22" s="914"/>
    </row>
    <row r="23" spans="1:17" ht="13">
      <c r="A23" s="910"/>
      <c r="C23" s="914"/>
      <c r="D23" s="914"/>
      <c r="E23" s="914"/>
      <c r="F23" s="914"/>
      <c r="G23" s="912"/>
      <c r="H23" s="917"/>
      <c r="I23" s="917"/>
      <c r="J23" s="914"/>
      <c r="K23" s="914"/>
      <c r="L23" s="914"/>
      <c r="M23" s="914"/>
      <c r="N23" s="914"/>
      <c r="O23" s="914"/>
      <c r="P23" s="914"/>
      <c r="Q23" s="914"/>
    </row>
    <row r="24" spans="1:17" ht="13">
      <c r="A24" s="910"/>
      <c r="C24" s="914"/>
      <c r="D24" s="914"/>
      <c r="E24" s="914"/>
      <c r="F24" s="914"/>
      <c r="G24" s="912"/>
      <c r="H24" s="915"/>
      <c r="I24" s="915"/>
      <c r="J24" s="914"/>
      <c r="K24" s="914"/>
      <c r="L24" s="914"/>
      <c r="M24" s="914"/>
      <c r="N24" s="914"/>
      <c r="O24" s="914"/>
      <c r="P24" s="914"/>
      <c r="Q24" s="914"/>
    </row>
    <row r="25" spans="1:17" ht="13">
      <c r="A25" s="910"/>
      <c r="B25" s="911"/>
      <c r="C25" s="912"/>
      <c r="D25" s="912"/>
      <c r="E25" s="912"/>
      <c r="F25" s="912"/>
      <c r="G25" s="912"/>
      <c r="H25" s="913"/>
      <c r="I25" s="913"/>
      <c r="J25" s="912"/>
      <c r="K25" s="912"/>
      <c r="L25" s="912"/>
      <c r="M25" s="912"/>
      <c r="N25" s="912"/>
      <c r="O25" s="912"/>
      <c r="P25" s="912"/>
      <c r="Q25" s="912"/>
    </row>
    <row r="26" spans="1:17" ht="13">
      <c r="A26" s="910"/>
      <c r="C26" s="914"/>
      <c r="D26" s="914"/>
      <c r="E26" s="914"/>
      <c r="F26" s="914"/>
      <c r="G26" s="912"/>
      <c r="H26" s="915"/>
      <c r="I26" s="915"/>
      <c r="J26" s="914"/>
      <c r="K26" s="914"/>
      <c r="L26" s="914"/>
      <c r="M26" s="914"/>
      <c r="N26" s="914"/>
      <c r="O26" s="914"/>
      <c r="P26" s="914"/>
      <c r="Q26" s="914"/>
    </row>
    <row r="27" spans="1:17" ht="13">
      <c r="A27" s="910"/>
      <c r="C27" s="914"/>
      <c r="D27" s="914"/>
      <c r="E27" s="914"/>
      <c r="F27" s="914"/>
      <c r="G27" s="912"/>
      <c r="H27" s="915"/>
      <c r="I27" s="915"/>
      <c r="J27" s="914"/>
      <c r="K27" s="914"/>
      <c r="L27" s="914"/>
      <c r="M27" s="914"/>
      <c r="N27" s="914"/>
      <c r="O27" s="914"/>
      <c r="P27" s="914"/>
      <c r="Q27" s="914"/>
    </row>
    <row r="28" spans="1:17" ht="13">
      <c r="A28" s="910"/>
      <c r="B28" s="488"/>
      <c r="C28" s="914"/>
      <c r="D28" s="914"/>
      <c r="E28" s="914"/>
      <c r="F28" s="914"/>
      <c r="G28" s="912"/>
      <c r="H28" s="915"/>
      <c r="I28" s="915"/>
      <c r="J28" s="914"/>
      <c r="K28" s="914"/>
      <c r="L28" s="914"/>
      <c r="M28" s="914"/>
      <c r="N28" s="914"/>
      <c r="O28" s="914"/>
      <c r="P28" s="914"/>
      <c r="Q28" s="914"/>
    </row>
    <row r="29" spans="1:17" ht="13">
      <c r="A29" s="910"/>
      <c r="B29" s="557"/>
      <c r="C29" s="912"/>
      <c r="D29" s="912"/>
      <c r="E29" s="912"/>
      <c r="F29" s="912"/>
      <c r="G29" s="912"/>
      <c r="H29" s="912"/>
      <c r="I29" s="912"/>
      <c r="J29" s="912"/>
      <c r="K29" s="912"/>
      <c r="L29" s="912"/>
      <c r="M29" s="912"/>
      <c r="N29" s="912"/>
      <c r="O29" s="912"/>
      <c r="P29" s="912"/>
      <c r="Q29" s="912"/>
    </row>
    <row r="30" spans="1:17" ht="13">
      <c r="A30" s="910"/>
      <c r="B30" s="557"/>
      <c r="C30" s="912"/>
      <c r="D30" s="912"/>
      <c r="E30" s="912"/>
      <c r="F30" s="912"/>
      <c r="G30" s="912"/>
      <c r="H30" s="912"/>
      <c r="I30" s="912"/>
      <c r="J30" s="912"/>
      <c r="K30" s="912"/>
      <c r="L30" s="914"/>
      <c r="M30" s="912"/>
      <c r="N30" s="912"/>
      <c r="O30" s="912"/>
      <c r="P30" s="912"/>
      <c r="Q30" s="912"/>
    </row>
    <row r="31" spans="1:17" ht="13">
      <c r="A31" s="910"/>
      <c r="B31" s="557"/>
      <c r="C31" s="912"/>
      <c r="D31" s="912"/>
      <c r="E31" s="912"/>
      <c r="F31" s="912"/>
      <c r="G31" s="912"/>
      <c r="H31" s="912"/>
      <c r="I31" s="912"/>
      <c r="J31" s="912"/>
      <c r="K31" s="912"/>
      <c r="L31" s="912"/>
      <c r="M31" s="912"/>
      <c r="N31" s="912"/>
      <c r="O31" s="912"/>
      <c r="P31" s="912"/>
      <c r="Q31" s="912"/>
    </row>
    <row r="32" spans="1:17" ht="5.25" customHeight="1">
      <c r="B32" s="557"/>
      <c r="C32" s="12"/>
      <c r="D32" s="12"/>
      <c r="E32" s="12"/>
      <c r="F32" s="12"/>
      <c r="G32" s="12"/>
      <c r="H32" s="12"/>
      <c r="I32" s="12"/>
      <c r="J32" s="12"/>
      <c r="K32" s="12"/>
      <c r="L32" s="12"/>
      <c r="M32" s="12"/>
      <c r="N32" s="12"/>
      <c r="O32" s="12"/>
      <c r="P32" s="12"/>
      <c r="Q32" s="918"/>
    </row>
    <row r="33" spans="1:17" ht="13">
      <c r="B33" s="557"/>
      <c r="G33" s="7"/>
      <c r="H33" s="7"/>
      <c r="I33" s="7"/>
      <c r="J33" s="7"/>
      <c r="K33" s="7"/>
      <c r="L33" s="7"/>
    </row>
    <row r="34" spans="1:17">
      <c r="A34" s="919"/>
      <c r="B34" s="920"/>
      <c r="C34" s="921"/>
      <c r="D34" s="921"/>
      <c r="E34" s="921"/>
      <c r="F34" s="921"/>
      <c r="G34" s="922"/>
      <c r="H34" s="922"/>
      <c r="I34" s="922"/>
      <c r="J34" s="922"/>
      <c r="K34" s="922"/>
      <c r="L34" s="922"/>
      <c r="M34" s="922"/>
      <c r="N34" s="922"/>
      <c r="O34" s="921"/>
      <c r="P34" s="921"/>
      <c r="Q34" s="922"/>
    </row>
    <row r="35" spans="1:17">
      <c r="A35" s="919"/>
      <c r="B35" s="920"/>
      <c r="C35" s="921"/>
      <c r="D35" s="921"/>
      <c r="E35" s="921"/>
      <c r="F35" s="921"/>
      <c r="G35" s="922"/>
      <c r="H35" s="922"/>
      <c r="I35" s="922"/>
      <c r="J35" s="922"/>
      <c r="K35" s="922"/>
      <c r="L35" s="922"/>
      <c r="M35" s="922"/>
      <c r="N35" s="922"/>
      <c r="O35" s="921"/>
      <c r="P35" s="921"/>
      <c r="Q35" s="922"/>
    </row>
    <row r="36" spans="1:17">
      <c r="A36" s="919"/>
      <c r="B36" s="920"/>
      <c r="C36" s="921"/>
      <c r="D36" s="921"/>
      <c r="E36" s="921"/>
      <c r="F36" s="921"/>
      <c r="G36" s="922"/>
      <c r="H36" s="922"/>
      <c r="I36" s="922"/>
      <c r="J36" s="922"/>
      <c r="K36" s="922"/>
      <c r="L36" s="922"/>
      <c r="M36" s="922"/>
      <c r="N36" s="922"/>
      <c r="O36" s="921"/>
      <c r="P36" s="921"/>
      <c r="Q36" s="922"/>
    </row>
    <row r="37" spans="1:17" s="2" customFormat="1" ht="13">
      <c r="A37" s="923"/>
      <c r="B37" s="924"/>
      <c r="C37" s="925"/>
      <c r="D37" s="925"/>
      <c r="E37" s="925"/>
      <c r="F37" s="925"/>
      <c r="G37" s="926"/>
      <c r="H37" s="926"/>
      <c r="I37" s="926"/>
      <c r="J37" s="926"/>
      <c r="K37" s="926"/>
      <c r="L37" s="926"/>
      <c r="M37" s="926"/>
      <c r="N37" s="926"/>
      <c r="O37" s="926"/>
      <c r="P37" s="926"/>
      <c r="Q37" s="926"/>
    </row>
    <row r="38" spans="1:17" ht="12.75" customHeight="1">
      <c r="A38" s="919"/>
      <c r="B38" s="920"/>
    </row>
    <row r="39" spans="1:17">
      <c r="A39" s="919"/>
      <c r="B39" s="920"/>
      <c r="F39" s="927"/>
      <c r="G39" s="7"/>
      <c r="H39" s="7"/>
      <c r="I39" s="7"/>
      <c r="J39" s="7"/>
      <c r="K39" s="7"/>
      <c r="L39" s="7"/>
      <c r="Q39" s="7"/>
    </row>
    <row r="40" spans="1:17">
      <c r="A40" s="919"/>
      <c r="B40" s="920"/>
      <c r="F40" s="927"/>
      <c r="G40" s="927"/>
      <c r="H40" s="927"/>
      <c r="I40" s="927"/>
      <c r="J40" s="927"/>
      <c r="K40" s="927"/>
      <c r="L40" s="927"/>
      <c r="Q40" s="7"/>
    </row>
    <row r="41" spans="1:17">
      <c r="A41" s="919"/>
      <c r="B41" s="920"/>
      <c r="C41" s="928"/>
      <c r="D41" s="928"/>
      <c r="E41" s="928"/>
      <c r="F41" s="928"/>
      <c r="G41" s="7"/>
      <c r="H41" s="7"/>
      <c r="I41" s="7"/>
      <c r="J41" s="7"/>
      <c r="K41" s="7"/>
      <c r="L41" s="7"/>
    </row>
    <row r="42" spans="1:17">
      <c r="A42" s="919"/>
      <c r="B42" s="920"/>
      <c r="G42" s="628"/>
      <c r="H42" s="628"/>
      <c r="I42" s="628"/>
      <c r="J42" s="628"/>
      <c r="K42" s="628"/>
      <c r="L42" s="628"/>
    </row>
  </sheetData>
  <mergeCells count="15">
    <mergeCell ref="Q5:Q6"/>
    <mergeCell ref="B3:Q3"/>
    <mergeCell ref="A4:A6"/>
    <mergeCell ref="B4:B6"/>
    <mergeCell ref="C4:G4"/>
    <mergeCell ref="H4:L4"/>
    <mergeCell ref="M4:Q4"/>
    <mergeCell ref="C5:D5"/>
    <mergeCell ref="E5:F5"/>
    <mergeCell ref="G5:G6"/>
    <mergeCell ref="H5:I5"/>
    <mergeCell ref="J5:K5"/>
    <mergeCell ref="L5:L6"/>
    <mergeCell ref="M5:N5"/>
    <mergeCell ref="O5:P5"/>
  </mergeCells>
  <printOptions horizontalCentered="1" verticalCentered="1" gridLines="1"/>
  <pageMargins left="0" right="0" top="0.39370078740157483" bottom="0.31496062992125984" header="0" footer="0"/>
  <pageSetup paperSize="9" scale="85" orientation="landscape" r:id="rId1"/>
  <headerFooter alignWithMargins="0">
    <oddFooter xml:space="preserve">&amp;R&amp;"Arial,Bold"&amp;12OERC FORM-&amp;A
&amp;"Arial,Regular"&amp;10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1"/>
  <sheetViews>
    <sheetView showGridLines="0" view="pageBreakPreview" zoomScale="55" zoomScaleNormal="83" zoomScaleSheetLayoutView="55" workbookViewId="0">
      <selection activeCell="N26" sqref="N26:P34"/>
    </sheetView>
  </sheetViews>
  <sheetFormatPr defaultColWidth="14.7265625" defaultRowHeight="15.5"/>
  <cols>
    <col min="1" max="1" width="6" style="354" customWidth="1"/>
    <col min="2" max="2" width="37.1796875" style="381" customWidth="1"/>
    <col min="3" max="3" width="17.1796875" style="359" customWidth="1"/>
    <col min="4" max="4" width="13.7265625" style="359" customWidth="1"/>
    <col min="5" max="5" width="14.453125" style="359" customWidth="1"/>
    <col min="6" max="8" width="12.54296875" style="359" customWidth="1"/>
    <col min="9" max="9" width="13.1796875" style="359" customWidth="1"/>
    <col min="10" max="10" width="12.54296875" style="359" customWidth="1"/>
    <col min="11" max="11" width="14.26953125" style="359" customWidth="1"/>
    <col min="12" max="12" width="14.453125" style="359" customWidth="1"/>
    <col min="13" max="14" width="12.81640625" style="359" customWidth="1"/>
    <col min="15" max="16" width="14.7265625" style="359" customWidth="1"/>
    <col min="17" max="17" width="16.26953125" style="359" customWidth="1"/>
    <col min="18" max="256" width="14.7265625" style="359"/>
    <col min="257" max="257" width="6" style="359" customWidth="1"/>
    <col min="258" max="258" width="37.1796875" style="359" customWidth="1"/>
    <col min="259" max="259" width="17.1796875" style="359" customWidth="1"/>
    <col min="260" max="260" width="13.7265625" style="359" customWidth="1"/>
    <col min="261" max="261" width="14.453125" style="359" customWidth="1"/>
    <col min="262" max="264" width="12.54296875" style="359" customWidth="1"/>
    <col min="265" max="265" width="13.1796875" style="359" customWidth="1"/>
    <col min="266" max="268" width="12.54296875" style="359" customWidth="1"/>
    <col min="269" max="270" width="12.81640625" style="359" customWidth="1"/>
    <col min="271" max="272" width="14.7265625" style="359" customWidth="1"/>
    <col min="273" max="273" width="16.26953125" style="359" customWidth="1"/>
    <col min="274" max="512" width="14.7265625" style="359"/>
    <col min="513" max="513" width="6" style="359" customWidth="1"/>
    <col min="514" max="514" width="37.1796875" style="359" customWidth="1"/>
    <col min="515" max="515" width="17.1796875" style="359" customWidth="1"/>
    <col min="516" max="516" width="13.7265625" style="359" customWidth="1"/>
    <col min="517" max="517" width="14.453125" style="359" customWidth="1"/>
    <col min="518" max="520" width="12.54296875" style="359" customWidth="1"/>
    <col min="521" max="521" width="13.1796875" style="359" customWidth="1"/>
    <col min="522" max="524" width="12.54296875" style="359" customWidth="1"/>
    <col min="525" max="526" width="12.81640625" style="359" customWidth="1"/>
    <col min="527" max="528" width="14.7265625" style="359" customWidth="1"/>
    <col min="529" max="529" width="16.26953125" style="359" customWidth="1"/>
    <col min="530" max="768" width="14.7265625" style="359"/>
    <col min="769" max="769" width="6" style="359" customWidth="1"/>
    <col min="770" max="770" width="37.1796875" style="359" customWidth="1"/>
    <col min="771" max="771" width="17.1796875" style="359" customWidth="1"/>
    <col min="772" max="772" width="13.7265625" style="359" customWidth="1"/>
    <col min="773" max="773" width="14.453125" style="359" customWidth="1"/>
    <col min="774" max="776" width="12.54296875" style="359" customWidth="1"/>
    <col min="777" max="777" width="13.1796875" style="359" customWidth="1"/>
    <col min="778" max="780" width="12.54296875" style="359" customWidth="1"/>
    <col min="781" max="782" width="12.81640625" style="359" customWidth="1"/>
    <col min="783" max="784" width="14.7265625" style="359" customWidth="1"/>
    <col min="785" max="785" width="16.26953125" style="359" customWidth="1"/>
    <col min="786" max="1024" width="14.7265625" style="359"/>
    <col min="1025" max="1025" width="6" style="359" customWidth="1"/>
    <col min="1026" max="1026" width="37.1796875" style="359" customWidth="1"/>
    <col min="1027" max="1027" width="17.1796875" style="359" customWidth="1"/>
    <col min="1028" max="1028" width="13.7265625" style="359" customWidth="1"/>
    <col min="1029" max="1029" width="14.453125" style="359" customWidth="1"/>
    <col min="1030" max="1032" width="12.54296875" style="359" customWidth="1"/>
    <col min="1033" max="1033" width="13.1796875" style="359" customWidth="1"/>
    <col min="1034" max="1036" width="12.54296875" style="359" customWidth="1"/>
    <col min="1037" max="1038" width="12.81640625" style="359" customWidth="1"/>
    <col min="1039" max="1040" width="14.7265625" style="359" customWidth="1"/>
    <col min="1041" max="1041" width="16.26953125" style="359" customWidth="1"/>
    <col min="1042" max="1280" width="14.7265625" style="359"/>
    <col min="1281" max="1281" width="6" style="359" customWidth="1"/>
    <col min="1282" max="1282" width="37.1796875" style="359" customWidth="1"/>
    <col min="1283" max="1283" width="17.1796875" style="359" customWidth="1"/>
    <col min="1284" max="1284" width="13.7265625" style="359" customWidth="1"/>
    <col min="1285" max="1285" width="14.453125" style="359" customWidth="1"/>
    <col min="1286" max="1288" width="12.54296875" style="359" customWidth="1"/>
    <col min="1289" max="1289" width="13.1796875" style="359" customWidth="1"/>
    <col min="1290" max="1292" width="12.54296875" style="359" customWidth="1"/>
    <col min="1293" max="1294" width="12.81640625" style="359" customWidth="1"/>
    <col min="1295" max="1296" width="14.7265625" style="359" customWidth="1"/>
    <col min="1297" max="1297" width="16.26953125" style="359" customWidth="1"/>
    <col min="1298" max="1536" width="14.7265625" style="359"/>
    <col min="1537" max="1537" width="6" style="359" customWidth="1"/>
    <col min="1538" max="1538" width="37.1796875" style="359" customWidth="1"/>
    <col min="1539" max="1539" width="17.1796875" style="359" customWidth="1"/>
    <col min="1540" max="1540" width="13.7265625" style="359" customWidth="1"/>
    <col min="1541" max="1541" width="14.453125" style="359" customWidth="1"/>
    <col min="1542" max="1544" width="12.54296875" style="359" customWidth="1"/>
    <col min="1545" max="1545" width="13.1796875" style="359" customWidth="1"/>
    <col min="1546" max="1548" width="12.54296875" style="359" customWidth="1"/>
    <col min="1549" max="1550" width="12.81640625" style="359" customWidth="1"/>
    <col min="1551" max="1552" width="14.7265625" style="359" customWidth="1"/>
    <col min="1553" max="1553" width="16.26953125" style="359" customWidth="1"/>
    <col min="1554" max="1792" width="14.7265625" style="359"/>
    <col min="1793" max="1793" width="6" style="359" customWidth="1"/>
    <col min="1794" max="1794" width="37.1796875" style="359" customWidth="1"/>
    <col min="1795" max="1795" width="17.1796875" style="359" customWidth="1"/>
    <col min="1796" max="1796" width="13.7265625" style="359" customWidth="1"/>
    <col min="1797" max="1797" width="14.453125" style="359" customWidth="1"/>
    <col min="1798" max="1800" width="12.54296875" style="359" customWidth="1"/>
    <col min="1801" max="1801" width="13.1796875" style="359" customWidth="1"/>
    <col min="1802" max="1804" width="12.54296875" style="359" customWidth="1"/>
    <col min="1805" max="1806" width="12.81640625" style="359" customWidth="1"/>
    <col min="1807" max="1808" width="14.7265625" style="359" customWidth="1"/>
    <col min="1809" max="1809" width="16.26953125" style="359" customWidth="1"/>
    <col min="1810" max="2048" width="14.7265625" style="359"/>
    <col min="2049" max="2049" width="6" style="359" customWidth="1"/>
    <col min="2050" max="2050" width="37.1796875" style="359" customWidth="1"/>
    <col min="2051" max="2051" width="17.1796875" style="359" customWidth="1"/>
    <col min="2052" max="2052" width="13.7265625" style="359" customWidth="1"/>
    <col min="2053" max="2053" width="14.453125" style="359" customWidth="1"/>
    <col min="2054" max="2056" width="12.54296875" style="359" customWidth="1"/>
    <col min="2057" max="2057" width="13.1796875" style="359" customWidth="1"/>
    <col min="2058" max="2060" width="12.54296875" style="359" customWidth="1"/>
    <col min="2061" max="2062" width="12.81640625" style="359" customWidth="1"/>
    <col min="2063" max="2064" width="14.7265625" style="359" customWidth="1"/>
    <col min="2065" max="2065" width="16.26953125" style="359" customWidth="1"/>
    <col min="2066" max="2304" width="14.7265625" style="359"/>
    <col min="2305" max="2305" width="6" style="359" customWidth="1"/>
    <col min="2306" max="2306" width="37.1796875" style="359" customWidth="1"/>
    <col min="2307" max="2307" width="17.1796875" style="359" customWidth="1"/>
    <col min="2308" max="2308" width="13.7265625" style="359" customWidth="1"/>
    <col min="2309" max="2309" width="14.453125" style="359" customWidth="1"/>
    <col min="2310" max="2312" width="12.54296875" style="359" customWidth="1"/>
    <col min="2313" max="2313" width="13.1796875" style="359" customWidth="1"/>
    <col min="2314" max="2316" width="12.54296875" style="359" customWidth="1"/>
    <col min="2317" max="2318" width="12.81640625" style="359" customWidth="1"/>
    <col min="2319" max="2320" width="14.7265625" style="359" customWidth="1"/>
    <col min="2321" max="2321" width="16.26953125" style="359" customWidth="1"/>
    <col min="2322" max="2560" width="14.7265625" style="359"/>
    <col min="2561" max="2561" width="6" style="359" customWidth="1"/>
    <col min="2562" max="2562" width="37.1796875" style="359" customWidth="1"/>
    <col min="2563" max="2563" width="17.1796875" style="359" customWidth="1"/>
    <col min="2564" max="2564" width="13.7265625" style="359" customWidth="1"/>
    <col min="2565" max="2565" width="14.453125" style="359" customWidth="1"/>
    <col min="2566" max="2568" width="12.54296875" style="359" customWidth="1"/>
    <col min="2569" max="2569" width="13.1796875" style="359" customWidth="1"/>
    <col min="2570" max="2572" width="12.54296875" style="359" customWidth="1"/>
    <col min="2573" max="2574" width="12.81640625" style="359" customWidth="1"/>
    <col min="2575" max="2576" width="14.7265625" style="359" customWidth="1"/>
    <col min="2577" max="2577" width="16.26953125" style="359" customWidth="1"/>
    <col min="2578" max="2816" width="14.7265625" style="359"/>
    <col min="2817" max="2817" width="6" style="359" customWidth="1"/>
    <col min="2818" max="2818" width="37.1796875" style="359" customWidth="1"/>
    <col min="2819" max="2819" width="17.1796875" style="359" customWidth="1"/>
    <col min="2820" max="2820" width="13.7265625" style="359" customWidth="1"/>
    <col min="2821" max="2821" width="14.453125" style="359" customWidth="1"/>
    <col min="2822" max="2824" width="12.54296875" style="359" customWidth="1"/>
    <col min="2825" max="2825" width="13.1796875" style="359" customWidth="1"/>
    <col min="2826" max="2828" width="12.54296875" style="359" customWidth="1"/>
    <col min="2829" max="2830" width="12.81640625" style="359" customWidth="1"/>
    <col min="2831" max="2832" width="14.7265625" style="359" customWidth="1"/>
    <col min="2833" max="2833" width="16.26953125" style="359" customWidth="1"/>
    <col min="2834" max="3072" width="14.7265625" style="359"/>
    <col min="3073" max="3073" width="6" style="359" customWidth="1"/>
    <col min="3074" max="3074" width="37.1796875" style="359" customWidth="1"/>
    <col min="3075" max="3075" width="17.1796875" style="359" customWidth="1"/>
    <col min="3076" max="3076" width="13.7265625" style="359" customWidth="1"/>
    <col min="3077" max="3077" width="14.453125" style="359" customWidth="1"/>
    <col min="3078" max="3080" width="12.54296875" style="359" customWidth="1"/>
    <col min="3081" max="3081" width="13.1796875" style="359" customWidth="1"/>
    <col min="3082" max="3084" width="12.54296875" style="359" customWidth="1"/>
    <col min="3085" max="3086" width="12.81640625" style="359" customWidth="1"/>
    <col min="3087" max="3088" width="14.7265625" style="359" customWidth="1"/>
    <col min="3089" max="3089" width="16.26953125" style="359" customWidth="1"/>
    <col min="3090" max="3328" width="14.7265625" style="359"/>
    <col min="3329" max="3329" width="6" style="359" customWidth="1"/>
    <col min="3330" max="3330" width="37.1796875" style="359" customWidth="1"/>
    <col min="3331" max="3331" width="17.1796875" style="359" customWidth="1"/>
    <col min="3332" max="3332" width="13.7265625" style="359" customWidth="1"/>
    <col min="3333" max="3333" width="14.453125" style="359" customWidth="1"/>
    <col min="3334" max="3336" width="12.54296875" style="359" customWidth="1"/>
    <col min="3337" max="3337" width="13.1796875" style="359" customWidth="1"/>
    <col min="3338" max="3340" width="12.54296875" style="359" customWidth="1"/>
    <col min="3341" max="3342" width="12.81640625" style="359" customWidth="1"/>
    <col min="3343" max="3344" width="14.7265625" style="359" customWidth="1"/>
    <col min="3345" max="3345" width="16.26953125" style="359" customWidth="1"/>
    <col min="3346" max="3584" width="14.7265625" style="359"/>
    <col min="3585" max="3585" width="6" style="359" customWidth="1"/>
    <col min="3586" max="3586" width="37.1796875" style="359" customWidth="1"/>
    <col min="3587" max="3587" width="17.1796875" style="359" customWidth="1"/>
    <col min="3588" max="3588" width="13.7265625" style="359" customWidth="1"/>
    <col min="3589" max="3589" width="14.453125" style="359" customWidth="1"/>
    <col min="3590" max="3592" width="12.54296875" style="359" customWidth="1"/>
    <col min="3593" max="3593" width="13.1796875" style="359" customWidth="1"/>
    <col min="3594" max="3596" width="12.54296875" style="359" customWidth="1"/>
    <col min="3597" max="3598" width="12.81640625" style="359" customWidth="1"/>
    <col min="3599" max="3600" width="14.7265625" style="359" customWidth="1"/>
    <col min="3601" max="3601" width="16.26953125" style="359" customWidth="1"/>
    <col min="3602" max="3840" width="14.7265625" style="359"/>
    <col min="3841" max="3841" width="6" style="359" customWidth="1"/>
    <col min="3842" max="3842" width="37.1796875" style="359" customWidth="1"/>
    <col min="3843" max="3843" width="17.1796875" style="359" customWidth="1"/>
    <col min="3844" max="3844" width="13.7265625" style="359" customWidth="1"/>
    <col min="3845" max="3845" width="14.453125" style="359" customWidth="1"/>
    <col min="3846" max="3848" width="12.54296875" style="359" customWidth="1"/>
    <col min="3849" max="3849" width="13.1796875" style="359" customWidth="1"/>
    <col min="3850" max="3852" width="12.54296875" style="359" customWidth="1"/>
    <col min="3853" max="3854" width="12.81640625" style="359" customWidth="1"/>
    <col min="3855" max="3856" width="14.7265625" style="359" customWidth="1"/>
    <col min="3857" max="3857" width="16.26953125" style="359" customWidth="1"/>
    <col min="3858" max="4096" width="14.7265625" style="359"/>
    <col min="4097" max="4097" width="6" style="359" customWidth="1"/>
    <col min="4098" max="4098" width="37.1796875" style="359" customWidth="1"/>
    <col min="4099" max="4099" width="17.1796875" style="359" customWidth="1"/>
    <col min="4100" max="4100" width="13.7265625" style="359" customWidth="1"/>
    <col min="4101" max="4101" width="14.453125" style="359" customWidth="1"/>
    <col min="4102" max="4104" width="12.54296875" style="359" customWidth="1"/>
    <col min="4105" max="4105" width="13.1796875" style="359" customWidth="1"/>
    <col min="4106" max="4108" width="12.54296875" style="359" customWidth="1"/>
    <col min="4109" max="4110" width="12.81640625" style="359" customWidth="1"/>
    <col min="4111" max="4112" width="14.7265625" style="359" customWidth="1"/>
    <col min="4113" max="4113" width="16.26953125" style="359" customWidth="1"/>
    <col min="4114" max="4352" width="14.7265625" style="359"/>
    <col min="4353" max="4353" width="6" style="359" customWidth="1"/>
    <col min="4354" max="4354" width="37.1796875" style="359" customWidth="1"/>
    <col min="4355" max="4355" width="17.1796875" style="359" customWidth="1"/>
    <col min="4356" max="4356" width="13.7265625" style="359" customWidth="1"/>
    <col min="4357" max="4357" width="14.453125" style="359" customWidth="1"/>
    <col min="4358" max="4360" width="12.54296875" style="359" customWidth="1"/>
    <col min="4361" max="4361" width="13.1796875" style="359" customWidth="1"/>
    <col min="4362" max="4364" width="12.54296875" style="359" customWidth="1"/>
    <col min="4365" max="4366" width="12.81640625" style="359" customWidth="1"/>
    <col min="4367" max="4368" width="14.7265625" style="359" customWidth="1"/>
    <col min="4369" max="4369" width="16.26953125" style="359" customWidth="1"/>
    <col min="4370" max="4608" width="14.7265625" style="359"/>
    <col min="4609" max="4609" width="6" style="359" customWidth="1"/>
    <col min="4610" max="4610" width="37.1796875" style="359" customWidth="1"/>
    <col min="4611" max="4611" width="17.1796875" style="359" customWidth="1"/>
    <col min="4612" max="4612" width="13.7265625" style="359" customWidth="1"/>
    <col min="4613" max="4613" width="14.453125" style="359" customWidth="1"/>
    <col min="4614" max="4616" width="12.54296875" style="359" customWidth="1"/>
    <col min="4617" max="4617" width="13.1796875" style="359" customWidth="1"/>
    <col min="4618" max="4620" width="12.54296875" style="359" customWidth="1"/>
    <col min="4621" max="4622" width="12.81640625" style="359" customWidth="1"/>
    <col min="4623" max="4624" width="14.7265625" style="359" customWidth="1"/>
    <col min="4625" max="4625" width="16.26953125" style="359" customWidth="1"/>
    <col min="4626" max="4864" width="14.7265625" style="359"/>
    <col min="4865" max="4865" width="6" style="359" customWidth="1"/>
    <col min="4866" max="4866" width="37.1796875" style="359" customWidth="1"/>
    <col min="4867" max="4867" width="17.1796875" style="359" customWidth="1"/>
    <col min="4868" max="4868" width="13.7265625" style="359" customWidth="1"/>
    <col min="4869" max="4869" width="14.453125" style="359" customWidth="1"/>
    <col min="4870" max="4872" width="12.54296875" style="359" customWidth="1"/>
    <col min="4873" max="4873" width="13.1796875" style="359" customWidth="1"/>
    <col min="4874" max="4876" width="12.54296875" style="359" customWidth="1"/>
    <col min="4877" max="4878" width="12.81640625" style="359" customWidth="1"/>
    <col min="4879" max="4880" width="14.7265625" style="359" customWidth="1"/>
    <col min="4881" max="4881" width="16.26953125" style="359" customWidth="1"/>
    <col min="4882" max="5120" width="14.7265625" style="359"/>
    <col min="5121" max="5121" width="6" style="359" customWidth="1"/>
    <col min="5122" max="5122" width="37.1796875" style="359" customWidth="1"/>
    <col min="5123" max="5123" width="17.1796875" style="359" customWidth="1"/>
    <col min="5124" max="5124" width="13.7265625" style="359" customWidth="1"/>
    <col min="5125" max="5125" width="14.453125" style="359" customWidth="1"/>
    <col min="5126" max="5128" width="12.54296875" style="359" customWidth="1"/>
    <col min="5129" max="5129" width="13.1796875" style="359" customWidth="1"/>
    <col min="5130" max="5132" width="12.54296875" style="359" customWidth="1"/>
    <col min="5133" max="5134" width="12.81640625" style="359" customWidth="1"/>
    <col min="5135" max="5136" width="14.7265625" style="359" customWidth="1"/>
    <col min="5137" max="5137" width="16.26953125" style="359" customWidth="1"/>
    <col min="5138" max="5376" width="14.7265625" style="359"/>
    <col min="5377" max="5377" width="6" style="359" customWidth="1"/>
    <col min="5378" max="5378" width="37.1796875" style="359" customWidth="1"/>
    <col min="5379" max="5379" width="17.1796875" style="359" customWidth="1"/>
    <col min="5380" max="5380" width="13.7265625" style="359" customWidth="1"/>
    <col min="5381" max="5381" width="14.453125" style="359" customWidth="1"/>
    <col min="5382" max="5384" width="12.54296875" style="359" customWidth="1"/>
    <col min="5385" max="5385" width="13.1796875" style="359" customWidth="1"/>
    <col min="5386" max="5388" width="12.54296875" style="359" customWidth="1"/>
    <col min="5389" max="5390" width="12.81640625" style="359" customWidth="1"/>
    <col min="5391" max="5392" width="14.7265625" style="359" customWidth="1"/>
    <col min="5393" max="5393" width="16.26953125" style="359" customWidth="1"/>
    <col min="5394" max="5632" width="14.7265625" style="359"/>
    <col min="5633" max="5633" width="6" style="359" customWidth="1"/>
    <col min="5634" max="5634" width="37.1796875" style="359" customWidth="1"/>
    <col min="5635" max="5635" width="17.1796875" style="359" customWidth="1"/>
    <col min="5636" max="5636" width="13.7265625" style="359" customWidth="1"/>
    <col min="5637" max="5637" width="14.453125" style="359" customWidth="1"/>
    <col min="5638" max="5640" width="12.54296875" style="359" customWidth="1"/>
    <col min="5641" max="5641" width="13.1796875" style="359" customWidth="1"/>
    <col min="5642" max="5644" width="12.54296875" style="359" customWidth="1"/>
    <col min="5645" max="5646" width="12.81640625" style="359" customWidth="1"/>
    <col min="5647" max="5648" width="14.7265625" style="359" customWidth="1"/>
    <col min="5649" max="5649" width="16.26953125" style="359" customWidth="1"/>
    <col min="5650" max="5888" width="14.7265625" style="359"/>
    <col min="5889" max="5889" width="6" style="359" customWidth="1"/>
    <col min="5890" max="5890" width="37.1796875" style="359" customWidth="1"/>
    <col min="5891" max="5891" width="17.1796875" style="359" customWidth="1"/>
    <col min="5892" max="5892" width="13.7265625" style="359" customWidth="1"/>
    <col min="5893" max="5893" width="14.453125" style="359" customWidth="1"/>
    <col min="5894" max="5896" width="12.54296875" style="359" customWidth="1"/>
    <col min="5897" max="5897" width="13.1796875" style="359" customWidth="1"/>
    <col min="5898" max="5900" width="12.54296875" style="359" customWidth="1"/>
    <col min="5901" max="5902" width="12.81640625" style="359" customWidth="1"/>
    <col min="5903" max="5904" width="14.7265625" style="359" customWidth="1"/>
    <col min="5905" max="5905" width="16.26953125" style="359" customWidth="1"/>
    <col min="5906" max="6144" width="14.7265625" style="359"/>
    <col min="6145" max="6145" width="6" style="359" customWidth="1"/>
    <col min="6146" max="6146" width="37.1796875" style="359" customWidth="1"/>
    <col min="6147" max="6147" width="17.1796875" style="359" customWidth="1"/>
    <col min="6148" max="6148" width="13.7265625" style="359" customWidth="1"/>
    <col min="6149" max="6149" width="14.453125" style="359" customWidth="1"/>
    <col min="6150" max="6152" width="12.54296875" style="359" customWidth="1"/>
    <col min="6153" max="6153" width="13.1796875" style="359" customWidth="1"/>
    <col min="6154" max="6156" width="12.54296875" style="359" customWidth="1"/>
    <col min="6157" max="6158" width="12.81640625" style="359" customWidth="1"/>
    <col min="6159" max="6160" width="14.7265625" style="359" customWidth="1"/>
    <col min="6161" max="6161" width="16.26953125" style="359" customWidth="1"/>
    <col min="6162" max="6400" width="14.7265625" style="359"/>
    <col min="6401" max="6401" width="6" style="359" customWidth="1"/>
    <col min="6402" max="6402" width="37.1796875" style="359" customWidth="1"/>
    <col min="6403" max="6403" width="17.1796875" style="359" customWidth="1"/>
    <col min="6404" max="6404" width="13.7265625" style="359" customWidth="1"/>
    <col min="6405" max="6405" width="14.453125" style="359" customWidth="1"/>
    <col min="6406" max="6408" width="12.54296875" style="359" customWidth="1"/>
    <col min="6409" max="6409" width="13.1796875" style="359" customWidth="1"/>
    <col min="6410" max="6412" width="12.54296875" style="359" customWidth="1"/>
    <col min="6413" max="6414" width="12.81640625" style="359" customWidth="1"/>
    <col min="6415" max="6416" width="14.7265625" style="359" customWidth="1"/>
    <col min="6417" max="6417" width="16.26953125" style="359" customWidth="1"/>
    <col min="6418" max="6656" width="14.7265625" style="359"/>
    <col min="6657" max="6657" width="6" style="359" customWidth="1"/>
    <col min="6658" max="6658" width="37.1796875" style="359" customWidth="1"/>
    <col min="6659" max="6659" width="17.1796875" style="359" customWidth="1"/>
    <col min="6660" max="6660" width="13.7265625" style="359" customWidth="1"/>
    <col min="6661" max="6661" width="14.453125" style="359" customWidth="1"/>
    <col min="6662" max="6664" width="12.54296875" style="359" customWidth="1"/>
    <col min="6665" max="6665" width="13.1796875" style="359" customWidth="1"/>
    <col min="6666" max="6668" width="12.54296875" style="359" customWidth="1"/>
    <col min="6669" max="6670" width="12.81640625" style="359" customWidth="1"/>
    <col min="6671" max="6672" width="14.7265625" style="359" customWidth="1"/>
    <col min="6673" max="6673" width="16.26953125" style="359" customWidth="1"/>
    <col min="6674" max="6912" width="14.7265625" style="359"/>
    <col min="6913" max="6913" width="6" style="359" customWidth="1"/>
    <col min="6914" max="6914" width="37.1796875" style="359" customWidth="1"/>
    <col min="6915" max="6915" width="17.1796875" style="359" customWidth="1"/>
    <col min="6916" max="6916" width="13.7265625" style="359" customWidth="1"/>
    <col min="6917" max="6917" width="14.453125" style="359" customWidth="1"/>
    <col min="6918" max="6920" width="12.54296875" style="359" customWidth="1"/>
    <col min="6921" max="6921" width="13.1796875" style="359" customWidth="1"/>
    <col min="6922" max="6924" width="12.54296875" style="359" customWidth="1"/>
    <col min="6925" max="6926" width="12.81640625" style="359" customWidth="1"/>
    <col min="6927" max="6928" width="14.7265625" style="359" customWidth="1"/>
    <col min="6929" max="6929" width="16.26953125" style="359" customWidth="1"/>
    <col min="6930" max="7168" width="14.7265625" style="359"/>
    <col min="7169" max="7169" width="6" style="359" customWidth="1"/>
    <col min="7170" max="7170" width="37.1796875" style="359" customWidth="1"/>
    <col min="7171" max="7171" width="17.1796875" style="359" customWidth="1"/>
    <col min="7172" max="7172" width="13.7265625" style="359" customWidth="1"/>
    <col min="7173" max="7173" width="14.453125" style="359" customWidth="1"/>
    <col min="7174" max="7176" width="12.54296875" style="359" customWidth="1"/>
    <col min="7177" max="7177" width="13.1796875" style="359" customWidth="1"/>
    <col min="7178" max="7180" width="12.54296875" style="359" customWidth="1"/>
    <col min="7181" max="7182" width="12.81640625" style="359" customWidth="1"/>
    <col min="7183" max="7184" width="14.7265625" style="359" customWidth="1"/>
    <col min="7185" max="7185" width="16.26953125" style="359" customWidth="1"/>
    <col min="7186" max="7424" width="14.7265625" style="359"/>
    <col min="7425" max="7425" width="6" style="359" customWidth="1"/>
    <col min="7426" max="7426" width="37.1796875" style="359" customWidth="1"/>
    <col min="7427" max="7427" width="17.1796875" style="359" customWidth="1"/>
    <col min="7428" max="7428" width="13.7265625" style="359" customWidth="1"/>
    <col min="7429" max="7429" width="14.453125" style="359" customWidth="1"/>
    <col min="7430" max="7432" width="12.54296875" style="359" customWidth="1"/>
    <col min="7433" max="7433" width="13.1796875" style="359" customWidth="1"/>
    <col min="7434" max="7436" width="12.54296875" style="359" customWidth="1"/>
    <col min="7437" max="7438" width="12.81640625" style="359" customWidth="1"/>
    <col min="7439" max="7440" width="14.7265625" style="359" customWidth="1"/>
    <col min="7441" max="7441" width="16.26953125" style="359" customWidth="1"/>
    <col min="7442" max="7680" width="14.7265625" style="359"/>
    <col min="7681" max="7681" width="6" style="359" customWidth="1"/>
    <col min="7682" max="7682" width="37.1796875" style="359" customWidth="1"/>
    <col min="7683" max="7683" width="17.1796875" style="359" customWidth="1"/>
    <col min="7684" max="7684" width="13.7265625" style="359" customWidth="1"/>
    <col min="7685" max="7685" width="14.453125" style="359" customWidth="1"/>
    <col min="7686" max="7688" width="12.54296875" style="359" customWidth="1"/>
    <col min="7689" max="7689" width="13.1796875" style="359" customWidth="1"/>
    <col min="7690" max="7692" width="12.54296875" style="359" customWidth="1"/>
    <col min="7693" max="7694" width="12.81640625" style="359" customWidth="1"/>
    <col min="7695" max="7696" width="14.7265625" style="359" customWidth="1"/>
    <col min="7697" max="7697" width="16.26953125" style="359" customWidth="1"/>
    <col min="7698" max="7936" width="14.7265625" style="359"/>
    <col min="7937" max="7937" width="6" style="359" customWidth="1"/>
    <col min="7938" max="7938" width="37.1796875" style="359" customWidth="1"/>
    <col min="7939" max="7939" width="17.1796875" style="359" customWidth="1"/>
    <col min="7940" max="7940" width="13.7265625" style="359" customWidth="1"/>
    <col min="7941" max="7941" width="14.453125" style="359" customWidth="1"/>
    <col min="7942" max="7944" width="12.54296875" style="359" customWidth="1"/>
    <col min="7945" max="7945" width="13.1796875" style="359" customWidth="1"/>
    <col min="7946" max="7948" width="12.54296875" style="359" customWidth="1"/>
    <col min="7949" max="7950" width="12.81640625" style="359" customWidth="1"/>
    <col min="7951" max="7952" width="14.7265625" style="359" customWidth="1"/>
    <col min="7953" max="7953" width="16.26953125" style="359" customWidth="1"/>
    <col min="7954" max="8192" width="14.7265625" style="359"/>
    <col min="8193" max="8193" width="6" style="359" customWidth="1"/>
    <col min="8194" max="8194" width="37.1796875" style="359" customWidth="1"/>
    <col min="8195" max="8195" width="17.1796875" style="359" customWidth="1"/>
    <col min="8196" max="8196" width="13.7265625" style="359" customWidth="1"/>
    <col min="8197" max="8197" width="14.453125" style="359" customWidth="1"/>
    <col min="8198" max="8200" width="12.54296875" style="359" customWidth="1"/>
    <col min="8201" max="8201" width="13.1796875" style="359" customWidth="1"/>
    <col min="8202" max="8204" width="12.54296875" style="359" customWidth="1"/>
    <col min="8205" max="8206" width="12.81640625" style="359" customWidth="1"/>
    <col min="8207" max="8208" width="14.7265625" style="359" customWidth="1"/>
    <col min="8209" max="8209" width="16.26953125" style="359" customWidth="1"/>
    <col min="8210" max="8448" width="14.7265625" style="359"/>
    <col min="8449" max="8449" width="6" style="359" customWidth="1"/>
    <col min="8450" max="8450" width="37.1796875" style="359" customWidth="1"/>
    <col min="8451" max="8451" width="17.1796875" style="359" customWidth="1"/>
    <col min="8452" max="8452" width="13.7265625" style="359" customWidth="1"/>
    <col min="8453" max="8453" width="14.453125" style="359" customWidth="1"/>
    <col min="8454" max="8456" width="12.54296875" style="359" customWidth="1"/>
    <col min="8457" max="8457" width="13.1796875" style="359" customWidth="1"/>
    <col min="8458" max="8460" width="12.54296875" style="359" customWidth="1"/>
    <col min="8461" max="8462" width="12.81640625" style="359" customWidth="1"/>
    <col min="8463" max="8464" width="14.7265625" style="359" customWidth="1"/>
    <col min="8465" max="8465" width="16.26953125" style="359" customWidth="1"/>
    <col min="8466" max="8704" width="14.7265625" style="359"/>
    <col min="8705" max="8705" width="6" style="359" customWidth="1"/>
    <col min="8706" max="8706" width="37.1796875" style="359" customWidth="1"/>
    <col min="8707" max="8707" width="17.1796875" style="359" customWidth="1"/>
    <col min="8708" max="8708" width="13.7265625" style="359" customWidth="1"/>
    <col min="8709" max="8709" width="14.453125" style="359" customWidth="1"/>
    <col min="8710" max="8712" width="12.54296875" style="359" customWidth="1"/>
    <col min="8713" max="8713" width="13.1796875" style="359" customWidth="1"/>
    <col min="8714" max="8716" width="12.54296875" style="359" customWidth="1"/>
    <col min="8717" max="8718" width="12.81640625" style="359" customWidth="1"/>
    <col min="8719" max="8720" width="14.7265625" style="359" customWidth="1"/>
    <col min="8721" max="8721" width="16.26953125" style="359" customWidth="1"/>
    <col min="8722" max="8960" width="14.7265625" style="359"/>
    <col min="8961" max="8961" width="6" style="359" customWidth="1"/>
    <col min="8962" max="8962" width="37.1796875" style="359" customWidth="1"/>
    <col min="8963" max="8963" width="17.1796875" style="359" customWidth="1"/>
    <col min="8964" max="8964" width="13.7265625" style="359" customWidth="1"/>
    <col min="8965" max="8965" width="14.453125" style="359" customWidth="1"/>
    <col min="8966" max="8968" width="12.54296875" style="359" customWidth="1"/>
    <col min="8969" max="8969" width="13.1796875" style="359" customWidth="1"/>
    <col min="8970" max="8972" width="12.54296875" style="359" customWidth="1"/>
    <col min="8973" max="8974" width="12.81640625" style="359" customWidth="1"/>
    <col min="8975" max="8976" width="14.7265625" style="359" customWidth="1"/>
    <col min="8977" max="8977" width="16.26953125" style="359" customWidth="1"/>
    <col min="8978" max="9216" width="14.7265625" style="359"/>
    <col min="9217" max="9217" width="6" style="359" customWidth="1"/>
    <col min="9218" max="9218" width="37.1796875" style="359" customWidth="1"/>
    <col min="9219" max="9219" width="17.1796875" style="359" customWidth="1"/>
    <col min="9220" max="9220" width="13.7265625" style="359" customWidth="1"/>
    <col min="9221" max="9221" width="14.453125" style="359" customWidth="1"/>
    <col min="9222" max="9224" width="12.54296875" style="359" customWidth="1"/>
    <col min="9225" max="9225" width="13.1796875" style="359" customWidth="1"/>
    <col min="9226" max="9228" width="12.54296875" style="359" customWidth="1"/>
    <col min="9229" max="9230" width="12.81640625" style="359" customWidth="1"/>
    <col min="9231" max="9232" width="14.7265625" style="359" customWidth="1"/>
    <col min="9233" max="9233" width="16.26953125" style="359" customWidth="1"/>
    <col min="9234" max="9472" width="14.7265625" style="359"/>
    <col min="9473" max="9473" width="6" style="359" customWidth="1"/>
    <col min="9474" max="9474" width="37.1796875" style="359" customWidth="1"/>
    <col min="9475" max="9475" width="17.1796875" style="359" customWidth="1"/>
    <col min="9476" max="9476" width="13.7265625" style="359" customWidth="1"/>
    <col min="9477" max="9477" width="14.453125" style="359" customWidth="1"/>
    <col min="9478" max="9480" width="12.54296875" style="359" customWidth="1"/>
    <col min="9481" max="9481" width="13.1796875" style="359" customWidth="1"/>
    <col min="9482" max="9484" width="12.54296875" style="359" customWidth="1"/>
    <col min="9485" max="9486" width="12.81640625" style="359" customWidth="1"/>
    <col min="9487" max="9488" width="14.7265625" style="359" customWidth="1"/>
    <col min="9489" max="9489" width="16.26953125" style="359" customWidth="1"/>
    <col min="9490" max="9728" width="14.7265625" style="359"/>
    <col min="9729" max="9729" width="6" style="359" customWidth="1"/>
    <col min="9730" max="9730" width="37.1796875" style="359" customWidth="1"/>
    <col min="9731" max="9731" width="17.1796875" style="359" customWidth="1"/>
    <col min="9732" max="9732" width="13.7265625" style="359" customWidth="1"/>
    <col min="9733" max="9733" width="14.453125" style="359" customWidth="1"/>
    <col min="9734" max="9736" width="12.54296875" style="359" customWidth="1"/>
    <col min="9737" max="9737" width="13.1796875" style="359" customWidth="1"/>
    <col min="9738" max="9740" width="12.54296875" style="359" customWidth="1"/>
    <col min="9741" max="9742" width="12.81640625" style="359" customWidth="1"/>
    <col min="9743" max="9744" width="14.7265625" style="359" customWidth="1"/>
    <col min="9745" max="9745" width="16.26953125" style="359" customWidth="1"/>
    <col min="9746" max="9984" width="14.7265625" style="359"/>
    <col min="9985" max="9985" width="6" style="359" customWidth="1"/>
    <col min="9986" max="9986" width="37.1796875" style="359" customWidth="1"/>
    <col min="9987" max="9987" width="17.1796875" style="359" customWidth="1"/>
    <col min="9988" max="9988" width="13.7265625" style="359" customWidth="1"/>
    <col min="9989" max="9989" width="14.453125" style="359" customWidth="1"/>
    <col min="9990" max="9992" width="12.54296875" style="359" customWidth="1"/>
    <col min="9993" max="9993" width="13.1796875" style="359" customWidth="1"/>
    <col min="9994" max="9996" width="12.54296875" style="359" customWidth="1"/>
    <col min="9997" max="9998" width="12.81640625" style="359" customWidth="1"/>
    <col min="9999" max="10000" width="14.7265625" style="359" customWidth="1"/>
    <col min="10001" max="10001" width="16.26953125" style="359" customWidth="1"/>
    <col min="10002" max="10240" width="14.7265625" style="359"/>
    <col min="10241" max="10241" width="6" style="359" customWidth="1"/>
    <col min="10242" max="10242" width="37.1796875" style="359" customWidth="1"/>
    <col min="10243" max="10243" width="17.1796875" style="359" customWidth="1"/>
    <col min="10244" max="10244" width="13.7265625" style="359" customWidth="1"/>
    <col min="10245" max="10245" width="14.453125" style="359" customWidth="1"/>
    <col min="10246" max="10248" width="12.54296875" style="359" customWidth="1"/>
    <col min="10249" max="10249" width="13.1796875" style="359" customWidth="1"/>
    <col min="10250" max="10252" width="12.54296875" style="359" customWidth="1"/>
    <col min="10253" max="10254" width="12.81640625" style="359" customWidth="1"/>
    <col min="10255" max="10256" width="14.7265625" style="359" customWidth="1"/>
    <col min="10257" max="10257" width="16.26953125" style="359" customWidth="1"/>
    <col min="10258" max="10496" width="14.7265625" style="359"/>
    <col min="10497" max="10497" width="6" style="359" customWidth="1"/>
    <col min="10498" max="10498" width="37.1796875" style="359" customWidth="1"/>
    <col min="10499" max="10499" width="17.1796875" style="359" customWidth="1"/>
    <col min="10500" max="10500" width="13.7265625" style="359" customWidth="1"/>
    <col min="10501" max="10501" width="14.453125" style="359" customWidth="1"/>
    <col min="10502" max="10504" width="12.54296875" style="359" customWidth="1"/>
    <col min="10505" max="10505" width="13.1796875" style="359" customWidth="1"/>
    <col min="10506" max="10508" width="12.54296875" style="359" customWidth="1"/>
    <col min="10509" max="10510" width="12.81640625" style="359" customWidth="1"/>
    <col min="10511" max="10512" width="14.7265625" style="359" customWidth="1"/>
    <col min="10513" max="10513" width="16.26953125" style="359" customWidth="1"/>
    <col min="10514" max="10752" width="14.7265625" style="359"/>
    <col min="10753" max="10753" width="6" style="359" customWidth="1"/>
    <col min="10754" max="10754" width="37.1796875" style="359" customWidth="1"/>
    <col min="10755" max="10755" width="17.1796875" style="359" customWidth="1"/>
    <col min="10756" max="10756" width="13.7265625" style="359" customWidth="1"/>
    <col min="10757" max="10757" width="14.453125" style="359" customWidth="1"/>
    <col min="10758" max="10760" width="12.54296875" style="359" customWidth="1"/>
    <col min="10761" max="10761" width="13.1796875" style="359" customWidth="1"/>
    <col min="10762" max="10764" width="12.54296875" style="359" customWidth="1"/>
    <col min="10765" max="10766" width="12.81640625" style="359" customWidth="1"/>
    <col min="10767" max="10768" width="14.7265625" style="359" customWidth="1"/>
    <col min="10769" max="10769" width="16.26953125" style="359" customWidth="1"/>
    <col min="10770" max="11008" width="14.7265625" style="359"/>
    <col min="11009" max="11009" width="6" style="359" customWidth="1"/>
    <col min="11010" max="11010" width="37.1796875" style="359" customWidth="1"/>
    <col min="11011" max="11011" width="17.1796875" style="359" customWidth="1"/>
    <col min="11012" max="11012" width="13.7265625" style="359" customWidth="1"/>
    <col min="11013" max="11013" width="14.453125" style="359" customWidth="1"/>
    <col min="11014" max="11016" width="12.54296875" style="359" customWidth="1"/>
    <col min="11017" max="11017" width="13.1796875" style="359" customWidth="1"/>
    <col min="11018" max="11020" width="12.54296875" style="359" customWidth="1"/>
    <col min="11021" max="11022" width="12.81640625" style="359" customWidth="1"/>
    <col min="11023" max="11024" width="14.7265625" style="359" customWidth="1"/>
    <col min="11025" max="11025" width="16.26953125" style="359" customWidth="1"/>
    <col min="11026" max="11264" width="14.7265625" style="359"/>
    <col min="11265" max="11265" width="6" style="359" customWidth="1"/>
    <col min="11266" max="11266" width="37.1796875" style="359" customWidth="1"/>
    <col min="11267" max="11267" width="17.1796875" style="359" customWidth="1"/>
    <col min="11268" max="11268" width="13.7265625" style="359" customWidth="1"/>
    <col min="11269" max="11269" width="14.453125" style="359" customWidth="1"/>
    <col min="11270" max="11272" width="12.54296875" style="359" customWidth="1"/>
    <col min="11273" max="11273" width="13.1796875" style="359" customWidth="1"/>
    <col min="11274" max="11276" width="12.54296875" style="359" customWidth="1"/>
    <col min="11277" max="11278" width="12.81640625" style="359" customWidth="1"/>
    <col min="11279" max="11280" width="14.7265625" style="359" customWidth="1"/>
    <col min="11281" max="11281" width="16.26953125" style="359" customWidth="1"/>
    <col min="11282" max="11520" width="14.7265625" style="359"/>
    <col min="11521" max="11521" width="6" style="359" customWidth="1"/>
    <col min="11522" max="11522" width="37.1796875" style="359" customWidth="1"/>
    <col min="11523" max="11523" width="17.1796875" style="359" customWidth="1"/>
    <col min="11524" max="11524" width="13.7265625" style="359" customWidth="1"/>
    <col min="11525" max="11525" width="14.453125" style="359" customWidth="1"/>
    <col min="11526" max="11528" width="12.54296875" style="359" customWidth="1"/>
    <col min="11529" max="11529" width="13.1796875" style="359" customWidth="1"/>
    <col min="11530" max="11532" width="12.54296875" style="359" customWidth="1"/>
    <col min="11533" max="11534" width="12.81640625" style="359" customWidth="1"/>
    <col min="11535" max="11536" width="14.7265625" style="359" customWidth="1"/>
    <col min="11537" max="11537" width="16.26953125" style="359" customWidth="1"/>
    <col min="11538" max="11776" width="14.7265625" style="359"/>
    <col min="11777" max="11777" width="6" style="359" customWidth="1"/>
    <col min="11778" max="11778" width="37.1796875" style="359" customWidth="1"/>
    <col min="11779" max="11779" width="17.1796875" style="359" customWidth="1"/>
    <col min="11780" max="11780" width="13.7265625" style="359" customWidth="1"/>
    <col min="11781" max="11781" width="14.453125" style="359" customWidth="1"/>
    <col min="11782" max="11784" width="12.54296875" style="359" customWidth="1"/>
    <col min="11785" max="11785" width="13.1796875" style="359" customWidth="1"/>
    <col min="11786" max="11788" width="12.54296875" style="359" customWidth="1"/>
    <col min="11789" max="11790" width="12.81640625" style="359" customWidth="1"/>
    <col min="11791" max="11792" width="14.7265625" style="359" customWidth="1"/>
    <col min="11793" max="11793" width="16.26953125" style="359" customWidth="1"/>
    <col min="11794" max="12032" width="14.7265625" style="359"/>
    <col min="12033" max="12033" width="6" style="359" customWidth="1"/>
    <col min="12034" max="12034" width="37.1796875" style="359" customWidth="1"/>
    <col min="12035" max="12035" width="17.1796875" style="359" customWidth="1"/>
    <col min="12036" max="12036" width="13.7265625" style="359" customWidth="1"/>
    <col min="12037" max="12037" width="14.453125" style="359" customWidth="1"/>
    <col min="12038" max="12040" width="12.54296875" style="359" customWidth="1"/>
    <col min="12041" max="12041" width="13.1796875" style="359" customWidth="1"/>
    <col min="12042" max="12044" width="12.54296875" style="359" customWidth="1"/>
    <col min="12045" max="12046" width="12.81640625" style="359" customWidth="1"/>
    <col min="12047" max="12048" width="14.7265625" style="359" customWidth="1"/>
    <col min="12049" max="12049" width="16.26953125" style="359" customWidth="1"/>
    <col min="12050" max="12288" width="14.7265625" style="359"/>
    <col min="12289" max="12289" width="6" style="359" customWidth="1"/>
    <col min="12290" max="12290" width="37.1796875" style="359" customWidth="1"/>
    <col min="12291" max="12291" width="17.1796875" style="359" customWidth="1"/>
    <col min="12292" max="12292" width="13.7265625" style="359" customWidth="1"/>
    <col min="12293" max="12293" width="14.453125" style="359" customWidth="1"/>
    <col min="12294" max="12296" width="12.54296875" style="359" customWidth="1"/>
    <col min="12297" max="12297" width="13.1796875" style="359" customWidth="1"/>
    <col min="12298" max="12300" width="12.54296875" style="359" customWidth="1"/>
    <col min="12301" max="12302" width="12.81640625" style="359" customWidth="1"/>
    <col min="12303" max="12304" width="14.7265625" style="359" customWidth="1"/>
    <col min="12305" max="12305" width="16.26953125" style="359" customWidth="1"/>
    <col min="12306" max="12544" width="14.7265625" style="359"/>
    <col min="12545" max="12545" width="6" style="359" customWidth="1"/>
    <col min="12546" max="12546" width="37.1796875" style="359" customWidth="1"/>
    <col min="12547" max="12547" width="17.1796875" style="359" customWidth="1"/>
    <col min="12548" max="12548" width="13.7265625" style="359" customWidth="1"/>
    <col min="12549" max="12549" width="14.453125" style="359" customWidth="1"/>
    <col min="12550" max="12552" width="12.54296875" style="359" customWidth="1"/>
    <col min="12553" max="12553" width="13.1796875" style="359" customWidth="1"/>
    <col min="12554" max="12556" width="12.54296875" style="359" customWidth="1"/>
    <col min="12557" max="12558" width="12.81640625" style="359" customWidth="1"/>
    <col min="12559" max="12560" width="14.7265625" style="359" customWidth="1"/>
    <col min="12561" max="12561" width="16.26953125" style="359" customWidth="1"/>
    <col min="12562" max="12800" width="14.7265625" style="359"/>
    <col min="12801" max="12801" width="6" style="359" customWidth="1"/>
    <col min="12802" max="12802" width="37.1796875" style="359" customWidth="1"/>
    <col min="12803" max="12803" width="17.1796875" style="359" customWidth="1"/>
    <col min="12804" max="12804" width="13.7265625" style="359" customWidth="1"/>
    <col min="12805" max="12805" width="14.453125" style="359" customWidth="1"/>
    <col min="12806" max="12808" width="12.54296875" style="359" customWidth="1"/>
    <col min="12809" max="12809" width="13.1796875" style="359" customWidth="1"/>
    <col min="12810" max="12812" width="12.54296875" style="359" customWidth="1"/>
    <col min="12813" max="12814" width="12.81640625" style="359" customWidth="1"/>
    <col min="12815" max="12816" width="14.7265625" style="359" customWidth="1"/>
    <col min="12817" max="12817" width="16.26953125" style="359" customWidth="1"/>
    <col min="12818" max="13056" width="14.7265625" style="359"/>
    <col min="13057" max="13057" width="6" style="359" customWidth="1"/>
    <col min="13058" max="13058" width="37.1796875" style="359" customWidth="1"/>
    <col min="13059" max="13059" width="17.1796875" style="359" customWidth="1"/>
    <col min="13060" max="13060" width="13.7265625" style="359" customWidth="1"/>
    <col min="13061" max="13061" width="14.453125" style="359" customWidth="1"/>
    <col min="13062" max="13064" width="12.54296875" style="359" customWidth="1"/>
    <col min="13065" max="13065" width="13.1796875" style="359" customWidth="1"/>
    <col min="13066" max="13068" width="12.54296875" style="359" customWidth="1"/>
    <col min="13069" max="13070" width="12.81640625" style="359" customWidth="1"/>
    <col min="13071" max="13072" width="14.7265625" style="359" customWidth="1"/>
    <col min="13073" max="13073" width="16.26953125" style="359" customWidth="1"/>
    <col min="13074" max="13312" width="14.7265625" style="359"/>
    <col min="13313" max="13313" width="6" style="359" customWidth="1"/>
    <col min="13314" max="13314" width="37.1796875" style="359" customWidth="1"/>
    <col min="13315" max="13315" width="17.1796875" style="359" customWidth="1"/>
    <col min="13316" max="13316" width="13.7265625" style="359" customWidth="1"/>
    <col min="13317" max="13317" width="14.453125" style="359" customWidth="1"/>
    <col min="13318" max="13320" width="12.54296875" style="359" customWidth="1"/>
    <col min="13321" max="13321" width="13.1796875" style="359" customWidth="1"/>
    <col min="13322" max="13324" width="12.54296875" style="359" customWidth="1"/>
    <col min="13325" max="13326" width="12.81640625" style="359" customWidth="1"/>
    <col min="13327" max="13328" width="14.7265625" style="359" customWidth="1"/>
    <col min="13329" max="13329" width="16.26953125" style="359" customWidth="1"/>
    <col min="13330" max="13568" width="14.7265625" style="359"/>
    <col min="13569" max="13569" width="6" style="359" customWidth="1"/>
    <col min="13570" max="13570" width="37.1796875" style="359" customWidth="1"/>
    <col min="13571" max="13571" width="17.1796875" style="359" customWidth="1"/>
    <col min="13572" max="13572" width="13.7265625" style="359" customWidth="1"/>
    <col min="13573" max="13573" width="14.453125" style="359" customWidth="1"/>
    <col min="13574" max="13576" width="12.54296875" style="359" customWidth="1"/>
    <col min="13577" max="13577" width="13.1796875" style="359" customWidth="1"/>
    <col min="13578" max="13580" width="12.54296875" style="359" customWidth="1"/>
    <col min="13581" max="13582" width="12.81640625" style="359" customWidth="1"/>
    <col min="13583" max="13584" width="14.7265625" style="359" customWidth="1"/>
    <col min="13585" max="13585" width="16.26953125" style="359" customWidth="1"/>
    <col min="13586" max="13824" width="14.7265625" style="359"/>
    <col min="13825" max="13825" width="6" style="359" customWidth="1"/>
    <col min="13826" max="13826" width="37.1796875" style="359" customWidth="1"/>
    <col min="13827" max="13827" width="17.1796875" style="359" customWidth="1"/>
    <col min="13828" max="13828" width="13.7265625" style="359" customWidth="1"/>
    <col min="13829" max="13829" width="14.453125" style="359" customWidth="1"/>
    <col min="13830" max="13832" width="12.54296875" style="359" customWidth="1"/>
    <col min="13833" max="13833" width="13.1796875" style="359" customWidth="1"/>
    <col min="13834" max="13836" width="12.54296875" style="359" customWidth="1"/>
    <col min="13837" max="13838" width="12.81640625" style="359" customWidth="1"/>
    <col min="13839" max="13840" width="14.7265625" style="359" customWidth="1"/>
    <col min="13841" max="13841" width="16.26953125" style="359" customWidth="1"/>
    <col min="13842" max="14080" width="14.7265625" style="359"/>
    <col min="14081" max="14081" width="6" style="359" customWidth="1"/>
    <col min="14082" max="14082" width="37.1796875" style="359" customWidth="1"/>
    <col min="14083" max="14083" width="17.1796875" style="359" customWidth="1"/>
    <col min="14084" max="14084" width="13.7265625" style="359" customWidth="1"/>
    <col min="14085" max="14085" width="14.453125" style="359" customWidth="1"/>
    <col min="14086" max="14088" width="12.54296875" style="359" customWidth="1"/>
    <col min="14089" max="14089" width="13.1796875" style="359" customWidth="1"/>
    <col min="14090" max="14092" width="12.54296875" style="359" customWidth="1"/>
    <col min="14093" max="14094" width="12.81640625" style="359" customWidth="1"/>
    <col min="14095" max="14096" width="14.7265625" style="359" customWidth="1"/>
    <col min="14097" max="14097" width="16.26953125" style="359" customWidth="1"/>
    <col min="14098" max="14336" width="14.7265625" style="359"/>
    <col min="14337" max="14337" width="6" style="359" customWidth="1"/>
    <col min="14338" max="14338" width="37.1796875" style="359" customWidth="1"/>
    <col min="14339" max="14339" width="17.1796875" style="359" customWidth="1"/>
    <col min="14340" max="14340" width="13.7265625" style="359" customWidth="1"/>
    <col min="14341" max="14341" width="14.453125" style="359" customWidth="1"/>
    <col min="14342" max="14344" width="12.54296875" style="359" customWidth="1"/>
    <col min="14345" max="14345" width="13.1796875" style="359" customWidth="1"/>
    <col min="14346" max="14348" width="12.54296875" style="359" customWidth="1"/>
    <col min="14349" max="14350" width="12.81640625" style="359" customWidth="1"/>
    <col min="14351" max="14352" width="14.7265625" style="359" customWidth="1"/>
    <col min="14353" max="14353" width="16.26953125" style="359" customWidth="1"/>
    <col min="14354" max="14592" width="14.7265625" style="359"/>
    <col min="14593" max="14593" width="6" style="359" customWidth="1"/>
    <col min="14594" max="14594" width="37.1796875" style="359" customWidth="1"/>
    <col min="14595" max="14595" width="17.1796875" style="359" customWidth="1"/>
    <col min="14596" max="14596" width="13.7265625" style="359" customWidth="1"/>
    <col min="14597" max="14597" width="14.453125" style="359" customWidth="1"/>
    <col min="14598" max="14600" width="12.54296875" style="359" customWidth="1"/>
    <col min="14601" max="14601" width="13.1796875" style="359" customWidth="1"/>
    <col min="14602" max="14604" width="12.54296875" style="359" customWidth="1"/>
    <col min="14605" max="14606" width="12.81640625" style="359" customWidth="1"/>
    <col min="14607" max="14608" width="14.7265625" style="359" customWidth="1"/>
    <col min="14609" max="14609" width="16.26953125" style="359" customWidth="1"/>
    <col min="14610" max="14848" width="14.7265625" style="359"/>
    <col min="14849" max="14849" width="6" style="359" customWidth="1"/>
    <col min="14850" max="14850" width="37.1796875" style="359" customWidth="1"/>
    <col min="14851" max="14851" width="17.1796875" style="359" customWidth="1"/>
    <col min="14852" max="14852" width="13.7265625" style="359" customWidth="1"/>
    <col min="14853" max="14853" width="14.453125" style="359" customWidth="1"/>
    <col min="14854" max="14856" width="12.54296875" style="359" customWidth="1"/>
    <col min="14857" max="14857" width="13.1796875" style="359" customWidth="1"/>
    <col min="14858" max="14860" width="12.54296875" style="359" customWidth="1"/>
    <col min="14861" max="14862" width="12.81640625" style="359" customWidth="1"/>
    <col min="14863" max="14864" width="14.7265625" style="359" customWidth="1"/>
    <col min="14865" max="14865" width="16.26953125" style="359" customWidth="1"/>
    <col min="14866" max="15104" width="14.7265625" style="359"/>
    <col min="15105" max="15105" width="6" style="359" customWidth="1"/>
    <col min="15106" max="15106" width="37.1796875" style="359" customWidth="1"/>
    <col min="15107" max="15107" width="17.1796875" style="359" customWidth="1"/>
    <col min="15108" max="15108" width="13.7265625" style="359" customWidth="1"/>
    <col min="15109" max="15109" width="14.453125" style="359" customWidth="1"/>
    <col min="15110" max="15112" width="12.54296875" style="359" customWidth="1"/>
    <col min="15113" max="15113" width="13.1796875" style="359" customWidth="1"/>
    <col min="15114" max="15116" width="12.54296875" style="359" customWidth="1"/>
    <col min="15117" max="15118" width="12.81640625" style="359" customWidth="1"/>
    <col min="15119" max="15120" width="14.7265625" style="359" customWidth="1"/>
    <col min="15121" max="15121" width="16.26953125" style="359" customWidth="1"/>
    <col min="15122" max="15360" width="14.7265625" style="359"/>
    <col min="15361" max="15361" width="6" style="359" customWidth="1"/>
    <col min="15362" max="15362" width="37.1796875" style="359" customWidth="1"/>
    <col min="15363" max="15363" width="17.1796875" style="359" customWidth="1"/>
    <col min="15364" max="15364" width="13.7265625" style="359" customWidth="1"/>
    <col min="15365" max="15365" width="14.453125" style="359" customWidth="1"/>
    <col min="15366" max="15368" width="12.54296875" style="359" customWidth="1"/>
    <col min="15369" max="15369" width="13.1796875" style="359" customWidth="1"/>
    <col min="15370" max="15372" width="12.54296875" style="359" customWidth="1"/>
    <col min="15373" max="15374" width="12.81640625" style="359" customWidth="1"/>
    <col min="15375" max="15376" width="14.7265625" style="359" customWidth="1"/>
    <col min="15377" max="15377" width="16.26953125" style="359" customWidth="1"/>
    <col min="15378" max="15616" width="14.7265625" style="359"/>
    <col min="15617" max="15617" width="6" style="359" customWidth="1"/>
    <col min="15618" max="15618" width="37.1796875" style="359" customWidth="1"/>
    <col min="15619" max="15619" width="17.1796875" style="359" customWidth="1"/>
    <col min="15620" max="15620" width="13.7265625" style="359" customWidth="1"/>
    <col min="15621" max="15621" width="14.453125" style="359" customWidth="1"/>
    <col min="15622" max="15624" width="12.54296875" style="359" customWidth="1"/>
    <col min="15625" max="15625" width="13.1796875" style="359" customWidth="1"/>
    <col min="15626" max="15628" width="12.54296875" style="359" customWidth="1"/>
    <col min="15629" max="15630" width="12.81640625" style="359" customWidth="1"/>
    <col min="15631" max="15632" width="14.7265625" style="359" customWidth="1"/>
    <col min="15633" max="15633" width="16.26953125" style="359" customWidth="1"/>
    <col min="15634" max="15872" width="14.7265625" style="359"/>
    <col min="15873" max="15873" width="6" style="359" customWidth="1"/>
    <col min="15874" max="15874" width="37.1796875" style="359" customWidth="1"/>
    <col min="15875" max="15875" width="17.1796875" style="359" customWidth="1"/>
    <col min="15876" max="15876" width="13.7265625" style="359" customWidth="1"/>
    <col min="15877" max="15877" width="14.453125" style="359" customWidth="1"/>
    <col min="15878" max="15880" width="12.54296875" style="359" customWidth="1"/>
    <col min="15881" max="15881" width="13.1796875" style="359" customWidth="1"/>
    <col min="15882" max="15884" width="12.54296875" style="359" customWidth="1"/>
    <col min="15885" max="15886" width="12.81640625" style="359" customWidth="1"/>
    <col min="15887" max="15888" width="14.7265625" style="359" customWidth="1"/>
    <col min="15889" max="15889" width="16.26953125" style="359" customWidth="1"/>
    <col min="15890" max="16128" width="14.7265625" style="359"/>
    <col min="16129" max="16129" width="6" style="359" customWidth="1"/>
    <col min="16130" max="16130" width="37.1796875" style="359" customWidth="1"/>
    <col min="16131" max="16131" width="17.1796875" style="359" customWidth="1"/>
    <col min="16132" max="16132" width="13.7265625" style="359" customWidth="1"/>
    <col min="16133" max="16133" width="14.453125" style="359" customWidth="1"/>
    <col min="16134" max="16136" width="12.54296875" style="359" customWidth="1"/>
    <col min="16137" max="16137" width="13.1796875" style="359" customWidth="1"/>
    <col min="16138" max="16140" width="12.54296875" style="359" customWidth="1"/>
    <col min="16141" max="16142" width="12.81640625" style="359" customWidth="1"/>
    <col min="16143" max="16144" width="14.7265625" style="359" customWidth="1"/>
    <col min="16145" max="16145" width="16.26953125" style="359" customWidth="1"/>
    <col min="16146" max="16384" width="14.7265625" style="359"/>
  </cols>
  <sheetData>
    <row r="1" spans="1:24" ht="18">
      <c r="B1" s="355" t="s">
        <v>104</v>
      </c>
      <c r="C1" s="356"/>
      <c r="D1" s="356"/>
      <c r="E1" s="356"/>
      <c r="F1" s="356"/>
      <c r="G1" s="356"/>
      <c r="H1" s="356"/>
      <c r="I1" s="356"/>
      <c r="J1" s="356"/>
      <c r="K1" s="357" t="s">
        <v>0</v>
      </c>
      <c r="L1" s="358" t="s">
        <v>105</v>
      </c>
    </row>
    <row r="2" spans="1:24" ht="18">
      <c r="B2" s="360" t="s">
        <v>146</v>
      </c>
      <c r="C2" s="356"/>
      <c r="D2" s="356"/>
      <c r="E2" s="356"/>
      <c r="F2" s="356"/>
      <c r="G2" s="356"/>
      <c r="H2" s="356"/>
      <c r="I2" s="356"/>
      <c r="J2" s="356"/>
      <c r="K2" s="356"/>
    </row>
    <row r="3" spans="1:24" ht="5.25" customHeight="1">
      <c r="B3" s="361"/>
      <c r="C3" s="356"/>
      <c r="D3" s="356"/>
      <c r="E3" s="356"/>
      <c r="F3" s="356"/>
      <c r="G3" s="356"/>
      <c r="H3" s="356"/>
      <c r="I3" s="356"/>
      <c r="J3" s="356"/>
      <c r="K3" s="356"/>
      <c r="L3" s="356"/>
    </row>
    <row r="4" spans="1:24" ht="18">
      <c r="A4" s="374" t="s">
        <v>107</v>
      </c>
      <c r="B4" s="363" t="s">
        <v>108</v>
      </c>
      <c r="C4" s="360" t="s">
        <v>109</v>
      </c>
      <c r="D4" s="356"/>
      <c r="E4" s="356"/>
      <c r="G4" s="356"/>
      <c r="H4" s="356"/>
      <c r="I4" s="356"/>
      <c r="J4" s="356"/>
      <c r="K4" s="356"/>
      <c r="L4" s="356"/>
    </row>
    <row r="5" spans="1:24" ht="18.5" thickBot="1">
      <c r="B5" s="356"/>
      <c r="C5" s="361"/>
      <c r="D5" s="356"/>
      <c r="E5" s="356"/>
      <c r="F5" s="360" t="s">
        <v>110</v>
      </c>
      <c r="G5" s="356"/>
      <c r="H5" s="356"/>
      <c r="I5" s="360" t="s">
        <v>111</v>
      </c>
      <c r="J5" s="356"/>
      <c r="K5" s="356"/>
      <c r="L5" s="356"/>
    </row>
    <row r="6" spans="1:24" ht="18">
      <c r="A6" s="1909" t="s">
        <v>2035</v>
      </c>
      <c r="B6" s="1911" t="s">
        <v>112</v>
      </c>
      <c r="C6" s="1911" t="s">
        <v>113</v>
      </c>
      <c r="D6" s="1913" t="s">
        <v>114</v>
      </c>
      <c r="E6" s="769"/>
      <c r="F6" s="741" t="s">
        <v>115</v>
      </c>
      <c r="G6" s="741"/>
      <c r="H6" s="741"/>
      <c r="I6" s="742"/>
      <c r="J6" s="763"/>
      <c r="K6" s="741"/>
      <c r="L6" s="742"/>
    </row>
    <row r="7" spans="1:24" s="367" customFormat="1" ht="54" customHeight="1" thickBot="1">
      <c r="A7" s="1910"/>
      <c r="B7" s="1912"/>
      <c r="C7" s="1912"/>
      <c r="D7" s="1914"/>
      <c r="E7" s="770" t="s">
        <v>116</v>
      </c>
      <c r="F7" s="757" t="s">
        <v>117</v>
      </c>
      <c r="G7" s="757" t="s">
        <v>118</v>
      </c>
      <c r="H7" s="757" t="s">
        <v>119</v>
      </c>
      <c r="I7" s="758" t="s">
        <v>120</v>
      </c>
      <c r="J7" s="764" t="s">
        <v>121</v>
      </c>
      <c r="K7" s="757" t="s">
        <v>122</v>
      </c>
      <c r="L7" s="758" t="s">
        <v>123</v>
      </c>
    </row>
    <row r="8" spans="1:24" ht="17.5">
      <c r="A8" s="752"/>
      <c r="B8" s="753" t="s">
        <v>124</v>
      </c>
      <c r="C8" s="754"/>
      <c r="D8" s="759"/>
      <c r="E8" s="771"/>
      <c r="F8" s="754"/>
      <c r="G8" s="754"/>
      <c r="H8" s="754"/>
      <c r="I8" s="772"/>
      <c r="J8" s="765"/>
      <c r="K8" s="755"/>
      <c r="L8" s="756"/>
      <c r="N8" s="356"/>
    </row>
    <row r="9" spans="1:24" ht="17.5">
      <c r="A9" s="743">
        <v>1</v>
      </c>
      <c r="B9" s="369" t="s">
        <v>125</v>
      </c>
      <c r="C9" s="365">
        <v>108999</v>
      </c>
      <c r="D9" s="760">
        <v>97263.89599999995</v>
      </c>
      <c r="E9" s="773"/>
      <c r="F9" s="370">
        <v>23.252869254565585</v>
      </c>
      <c r="G9" s="370">
        <v>26.021333151063139</v>
      </c>
      <c r="H9" s="370">
        <v>7.8355993805261148</v>
      </c>
      <c r="I9" s="774">
        <v>6.9237599030036758</v>
      </c>
      <c r="J9" s="766">
        <f t="shared" ref="J9:J14" si="0">F9+G9+H9+I9</f>
        <v>64.033561689158518</v>
      </c>
      <c r="K9" s="371">
        <v>2972.3991712841153</v>
      </c>
      <c r="L9" s="744"/>
      <c r="M9" s="376"/>
      <c r="N9" s="416"/>
      <c r="O9" s="386"/>
      <c r="P9" s="416"/>
      <c r="Q9" s="386"/>
      <c r="R9" s="386"/>
      <c r="S9" s="386"/>
      <c r="T9" s="386"/>
      <c r="U9" s="386"/>
      <c r="V9" s="386"/>
      <c r="W9" s="386"/>
      <c r="X9" s="386"/>
    </row>
    <row r="10" spans="1:24" ht="17.5">
      <c r="A10" s="743">
        <v>2</v>
      </c>
      <c r="B10" s="369" t="s">
        <v>126</v>
      </c>
      <c r="C10" s="365">
        <v>141422</v>
      </c>
      <c r="D10" s="760">
        <v>270675.32700000022</v>
      </c>
      <c r="E10" s="773"/>
      <c r="F10" s="370">
        <v>35.30367439834199</v>
      </c>
      <c r="G10" s="370">
        <v>63.655378292213882</v>
      </c>
      <c r="H10" s="370">
        <v>29.79578674188771</v>
      </c>
      <c r="I10" s="774">
        <v>22.466361697375007</v>
      </c>
      <c r="J10" s="766">
        <f t="shared" si="0"/>
        <v>151.22120112981861</v>
      </c>
      <c r="K10" s="371">
        <v>7579.4195108323875</v>
      </c>
      <c r="L10" s="744"/>
      <c r="M10" s="376"/>
      <c r="N10" s="416"/>
      <c r="O10" s="386"/>
      <c r="P10" s="416"/>
      <c r="Q10" s="386"/>
      <c r="R10" s="386"/>
      <c r="S10" s="386"/>
      <c r="T10" s="386"/>
      <c r="U10" s="386"/>
      <c r="V10" s="386"/>
      <c r="W10" s="386"/>
      <c r="X10" s="386"/>
    </row>
    <row r="11" spans="1:24" ht="17.5">
      <c r="A11" s="743">
        <v>3</v>
      </c>
      <c r="B11" s="369" t="s">
        <v>127</v>
      </c>
      <c r="C11" s="365">
        <v>66946</v>
      </c>
      <c r="D11" s="760">
        <v>191664.02000000016</v>
      </c>
      <c r="E11" s="773"/>
      <c r="F11" s="370">
        <v>17.316031687741624</v>
      </c>
      <c r="G11" s="370">
        <v>35.304742270931818</v>
      </c>
      <c r="H11" s="370">
        <v>20.188973644975608</v>
      </c>
      <c r="I11" s="774">
        <v>16.907629802068147</v>
      </c>
      <c r="J11" s="766">
        <f t="shared" si="0"/>
        <v>89.717377405717187</v>
      </c>
      <c r="K11" s="371">
        <v>4657.6463455525673</v>
      </c>
      <c r="L11" s="744"/>
      <c r="M11" s="376"/>
      <c r="N11" s="416"/>
      <c r="O11" s="386"/>
      <c r="P11" s="416"/>
      <c r="Q11" s="386"/>
      <c r="R11" s="386"/>
      <c r="S11" s="386"/>
      <c r="T11" s="386"/>
      <c r="U11" s="386"/>
      <c r="V11" s="386"/>
      <c r="W11" s="386"/>
      <c r="X11" s="386"/>
    </row>
    <row r="12" spans="1:24" ht="17.5">
      <c r="A12" s="743">
        <v>4</v>
      </c>
      <c r="B12" s="369">
        <v>4</v>
      </c>
      <c r="C12" s="365">
        <v>22565</v>
      </c>
      <c r="D12" s="760">
        <v>86545.749999999971</v>
      </c>
      <c r="E12" s="773"/>
      <c r="F12" s="370">
        <v>6.0850303832652397</v>
      </c>
      <c r="G12" s="370">
        <v>13.460837088898792</v>
      </c>
      <c r="H12" s="370">
        <v>9.0614905010283593</v>
      </c>
      <c r="I12" s="774">
        <v>8.2705524437652187</v>
      </c>
      <c r="J12" s="766">
        <f t="shared" si="0"/>
        <v>36.877910416957612</v>
      </c>
      <c r="K12" s="371">
        <v>1966.7997040542566</v>
      </c>
      <c r="L12" s="744"/>
      <c r="M12" s="376"/>
      <c r="N12" s="416"/>
      <c r="O12" s="386"/>
      <c r="P12" s="416"/>
      <c r="Q12" s="386"/>
      <c r="R12" s="386"/>
      <c r="S12" s="386"/>
      <c r="T12" s="386"/>
      <c r="U12" s="386"/>
      <c r="V12" s="386"/>
      <c r="W12" s="386"/>
      <c r="X12" s="386"/>
    </row>
    <row r="13" spans="1:24" ht="17.5">
      <c r="A13" s="743">
        <v>5</v>
      </c>
      <c r="B13" s="372" t="s">
        <v>128</v>
      </c>
      <c r="C13" s="365">
        <v>17386</v>
      </c>
      <c r="D13" s="760">
        <v>107882.34599999858</v>
      </c>
      <c r="E13" s="773"/>
      <c r="F13" s="370">
        <v>4.9162688105292922</v>
      </c>
      <c r="G13" s="370">
        <v>12.017898313162176</v>
      </c>
      <c r="H13" s="370">
        <v>10.662764150086053</v>
      </c>
      <c r="I13" s="774">
        <v>33.225364230111239</v>
      </c>
      <c r="J13" s="766">
        <f t="shared" si="0"/>
        <v>60.82229550388876</v>
      </c>
      <c r="K13" s="371">
        <v>3456.1078600721944</v>
      </c>
      <c r="L13" s="744"/>
      <c r="M13" s="376"/>
      <c r="N13" s="416"/>
      <c r="O13" s="386"/>
      <c r="P13" s="416"/>
      <c r="Q13" s="386"/>
      <c r="R13" s="386"/>
      <c r="S13" s="386"/>
      <c r="T13" s="386"/>
      <c r="U13" s="386"/>
      <c r="V13" s="386"/>
      <c r="W13" s="386"/>
      <c r="X13" s="386"/>
    </row>
    <row r="14" spans="1:24" ht="18">
      <c r="A14" s="801">
        <v>6</v>
      </c>
      <c r="B14" s="375" t="s">
        <v>129</v>
      </c>
      <c r="C14" s="366">
        <f>SUM(C9:C13)</f>
        <v>357318</v>
      </c>
      <c r="D14" s="761">
        <f>SUM(D9:D13)</f>
        <v>754031.33899999899</v>
      </c>
      <c r="E14" s="1141"/>
      <c r="F14" s="669">
        <f t="shared" ref="F14:L14" si="1">SUM(F9:F13)</f>
        <v>86.873874534443729</v>
      </c>
      <c r="G14" s="669">
        <f t="shared" si="1"/>
        <v>150.46018911626979</v>
      </c>
      <c r="H14" s="669">
        <f t="shared" si="1"/>
        <v>77.544614418503841</v>
      </c>
      <c r="I14" s="775">
        <f t="shared" si="1"/>
        <v>87.793668076323286</v>
      </c>
      <c r="J14" s="767">
        <f t="shared" si="0"/>
        <v>402.67234614554064</v>
      </c>
      <c r="K14" s="670">
        <f>SUM(K9:K13)</f>
        <v>20632.372591795523</v>
      </c>
      <c r="L14" s="745">
        <f t="shared" si="1"/>
        <v>0</v>
      </c>
      <c r="M14" s="376"/>
      <c r="N14" s="416"/>
      <c r="O14" s="386"/>
      <c r="Q14" s="386"/>
      <c r="R14" s="692"/>
    </row>
    <row r="15" spans="1:24" ht="36.65" customHeight="1">
      <c r="A15" s="743">
        <v>7</v>
      </c>
      <c r="B15" s="372" t="s">
        <v>130</v>
      </c>
      <c r="C15" s="372">
        <v>25</v>
      </c>
      <c r="D15" s="1143">
        <v>9239.2000000000007</v>
      </c>
      <c r="E15" s="773"/>
      <c r="F15" s="370"/>
      <c r="G15" s="370"/>
      <c r="H15" s="370"/>
      <c r="I15" s="774">
        <v>10.130901698399093</v>
      </c>
      <c r="J15" s="766">
        <v>10.130901698399093</v>
      </c>
      <c r="K15" s="371">
        <v>514.77696709798897</v>
      </c>
      <c r="L15" s="744"/>
      <c r="N15" s="416"/>
      <c r="P15" s="693"/>
    </row>
    <row r="16" spans="1:24" ht="18">
      <c r="A16" s="801">
        <v>8</v>
      </c>
      <c r="B16" s="375" t="s">
        <v>129</v>
      </c>
      <c r="C16" s="366">
        <f>C15</f>
        <v>25</v>
      </c>
      <c r="D16" s="761">
        <f>D15</f>
        <v>9239.2000000000007</v>
      </c>
      <c r="E16" s="1141"/>
      <c r="F16" s="669"/>
      <c r="G16" s="669"/>
      <c r="H16" s="669"/>
      <c r="I16" s="775">
        <f t="shared" ref="I16" si="2">I15</f>
        <v>10.130901698399093</v>
      </c>
      <c r="J16" s="767">
        <f>J15</f>
        <v>10.130901698399093</v>
      </c>
      <c r="K16" s="670">
        <f t="shared" ref="K16:L16" si="3">K15</f>
        <v>514.77696709798897</v>
      </c>
      <c r="L16" s="745">
        <f t="shared" si="3"/>
        <v>0</v>
      </c>
      <c r="N16" s="416"/>
      <c r="Q16" s="386"/>
      <c r="R16" s="386"/>
      <c r="S16" s="386"/>
      <c r="T16" s="386"/>
    </row>
    <row r="17" spans="1:24" ht="17.5">
      <c r="A17" s="743">
        <v>9</v>
      </c>
      <c r="B17" s="372" t="s">
        <v>131</v>
      </c>
      <c r="C17" s="365">
        <v>2783</v>
      </c>
      <c r="D17" s="802">
        <v>1843.5399999999988</v>
      </c>
      <c r="E17" s="773"/>
      <c r="F17" s="370"/>
      <c r="G17" s="370"/>
      <c r="H17" s="370"/>
      <c r="I17" s="774"/>
      <c r="J17" s="766"/>
      <c r="K17" s="371"/>
      <c r="L17" s="744"/>
      <c r="N17" s="416"/>
      <c r="Q17" s="386"/>
    </row>
    <row r="18" spans="1:24" ht="17.5">
      <c r="A18" s="743">
        <v>10</v>
      </c>
      <c r="B18" s="372" t="s">
        <v>132</v>
      </c>
      <c r="C18" s="365"/>
      <c r="D18" s="802"/>
      <c r="E18" s="809">
        <v>0.15671195129044099</v>
      </c>
      <c r="F18" s="370"/>
      <c r="G18" s="370"/>
      <c r="H18" s="370"/>
      <c r="I18" s="774"/>
      <c r="J18" s="766">
        <f>E18</f>
        <v>0.15671195129044099</v>
      </c>
      <c r="K18" s="371">
        <v>6.686682633505761</v>
      </c>
      <c r="L18" s="744"/>
      <c r="N18" s="416"/>
    </row>
    <row r="19" spans="1:24" ht="18">
      <c r="A19" s="801">
        <v>11</v>
      </c>
      <c r="B19" s="375" t="s">
        <v>133</v>
      </c>
      <c r="C19" s="366"/>
      <c r="D19" s="803"/>
      <c r="E19" s="781">
        <f>E18</f>
        <v>0.15671195129044099</v>
      </c>
      <c r="F19" s="669">
        <f>F18</f>
        <v>0</v>
      </c>
      <c r="G19" s="669">
        <f t="shared" ref="G19:L19" si="4">G18</f>
        <v>0</v>
      </c>
      <c r="H19" s="669">
        <f t="shared" si="4"/>
        <v>0</v>
      </c>
      <c r="I19" s="775">
        <f t="shared" si="4"/>
        <v>0</v>
      </c>
      <c r="J19" s="767">
        <f t="shared" si="4"/>
        <v>0.15671195129044099</v>
      </c>
      <c r="K19" s="670">
        <f t="shared" si="4"/>
        <v>6.686682633505761</v>
      </c>
      <c r="L19" s="745">
        <f t="shared" si="4"/>
        <v>0</v>
      </c>
      <c r="N19" s="416"/>
    </row>
    <row r="20" spans="1:24" ht="6.75" customHeight="1">
      <c r="A20" s="743"/>
      <c r="B20" s="372"/>
      <c r="C20" s="365"/>
      <c r="D20" s="802"/>
      <c r="E20" s="773"/>
      <c r="F20" s="370"/>
      <c r="G20" s="370"/>
      <c r="H20" s="370"/>
      <c r="I20" s="774"/>
      <c r="J20" s="766"/>
      <c r="K20" s="371"/>
      <c r="L20" s="744"/>
      <c r="N20" s="416"/>
    </row>
    <row r="21" spans="1:24" ht="18.5" thickBot="1">
      <c r="A21" s="786">
        <v>12</v>
      </c>
      <c r="B21" s="747" t="s">
        <v>134</v>
      </c>
      <c r="C21" s="748">
        <f>C14+C16+C17</f>
        <v>360126</v>
      </c>
      <c r="D21" s="762">
        <f>D14+D16+D17</f>
        <v>765114.07899999898</v>
      </c>
      <c r="E21" s="784">
        <f>E19</f>
        <v>0.15671195129044099</v>
      </c>
      <c r="F21" s="749">
        <f>F14+F16+F19</f>
        <v>86.873874534443729</v>
      </c>
      <c r="G21" s="749">
        <f>G14+G16+G19</f>
        <v>150.46018911626979</v>
      </c>
      <c r="H21" s="749">
        <f>H14+H16+H19</f>
        <v>77.544614418503841</v>
      </c>
      <c r="I21" s="777">
        <f>I14+I19</f>
        <v>87.793668076323286</v>
      </c>
      <c r="J21" s="768">
        <f>J14</f>
        <v>402.67234614554064</v>
      </c>
      <c r="K21" s="750">
        <f>K14</f>
        <v>20632.372591795523</v>
      </c>
      <c r="L21" s="751">
        <f t="shared" ref="L21" si="5">L14+L16+L19</f>
        <v>0</v>
      </c>
      <c r="N21" s="417"/>
    </row>
    <row r="22" spans="1:24" ht="17.5">
      <c r="B22" s="373"/>
      <c r="C22" s="673"/>
      <c r="D22" s="673"/>
      <c r="E22" s="673"/>
      <c r="F22" s="673"/>
      <c r="G22" s="673"/>
      <c r="H22" s="673"/>
      <c r="I22" s="673"/>
      <c r="J22" s="673"/>
      <c r="K22" s="673"/>
      <c r="L22" s="673"/>
    </row>
    <row r="23" spans="1:24" ht="18">
      <c r="A23" s="374" t="s">
        <v>135</v>
      </c>
      <c r="B23" s="363" t="s">
        <v>108</v>
      </c>
      <c r="C23" s="360" t="s">
        <v>136</v>
      </c>
      <c r="D23" s="356"/>
      <c r="E23" s="356"/>
      <c r="G23" s="356"/>
      <c r="H23" s="356"/>
      <c r="I23" s="356"/>
      <c r="J23" s="356"/>
      <c r="K23" s="356"/>
      <c r="L23" s="356"/>
    </row>
    <row r="24" spans="1:24" ht="18.5" thickBot="1">
      <c r="B24" s="373"/>
      <c r="C24" s="361"/>
      <c r="D24" s="356"/>
      <c r="E24" s="356"/>
      <c r="F24" s="360" t="s">
        <v>110</v>
      </c>
      <c r="G24" s="356"/>
      <c r="H24" s="356"/>
      <c r="I24" s="360" t="s">
        <v>111</v>
      </c>
      <c r="J24" s="356"/>
      <c r="K24" s="356"/>
      <c r="L24" s="356"/>
    </row>
    <row r="25" spans="1:24" ht="18">
      <c r="A25" s="1909" t="s">
        <v>2035</v>
      </c>
      <c r="B25" s="1911" t="s">
        <v>112</v>
      </c>
      <c r="C25" s="1911" t="s">
        <v>113</v>
      </c>
      <c r="D25" s="1913" t="s">
        <v>114</v>
      </c>
      <c r="E25" s="769"/>
      <c r="F25" s="741" t="s">
        <v>115</v>
      </c>
      <c r="G25" s="741"/>
      <c r="H25" s="741"/>
      <c r="I25" s="742"/>
      <c r="J25" s="763"/>
      <c r="K25" s="741"/>
      <c r="L25" s="742"/>
    </row>
    <row r="26" spans="1:24" s="367" customFormat="1" ht="57" customHeight="1" thickBot="1">
      <c r="A26" s="1910"/>
      <c r="B26" s="1912"/>
      <c r="C26" s="1912"/>
      <c r="D26" s="1914"/>
      <c r="E26" s="770" t="s">
        <v>116</v>
      </c>
      <c r="F26" s="757" t="s">
        <v>117</v>
      </c>
      <c r="G26" s="757" t="s">
        <v>118</v>
      </c>
      <c r="H26" s="757" t="s">
        <v>119</v>
      </c>
      <c r="I26" s="758" t="s">
        <v>120</v>
      </c>
      <c r="J26" s="764" t="s">
        <v>121</v>
      </c>
      <c r="K26" s="757" t="s">
        <v>122</v>
      </c>
      <c r="L26" s="758" t="s">
        <v>123</v>
      </c>
    </row>
    <row r="27" spans="1:24" ht="17.5">
      <c r="A27" s="752"/>
      <c r="B27" s="753" t="s">
        <v>124</v>
      </c>
      <c r="C27" s="754"/>
      <c r="D27" s="759"/>
      <c r="E27" s="771"/>
      <c r="F27" s="754"/>
      <c r="G27" s="754"/>
      <c r="H27" s="754"/>
      <c r="I27" s="772"/>
      <c r="J27" s="765"/>
      <c r="K27" s="755"/>
      <c r="L27" s="756"/>
    </row>
    <row r="28" spans="1:24" ht="17.5">
      <c r="A28" s="743">
        <v>1</v>
      </c>
      <c r="B28" s="369" t="s">
        <v>125</v>
      </c>
      <c r="C28" s="365">
        <v>1319889</v>
      </c>
      <c r="D28" s="760">
        <v>820378.37500000291</v>
      </c>
      <c r="E28" s="773"/>
      <c r="F28" s="370">
        <v>191.57151169661319</v>
      </c>
      <c r="G28" s="370">
        <v>154.294611445714</v>
      </c>
      <c r="H28" s="370">
        <v>40.876877358282819</v>
      </c>
      <c r="I28" s="774">
        <v>67.14138265185241</v>
      </c>
      <c r="J28" s="766">
        <f>F28+G28+H28+I28</f>
        <v>453.88438315246242</v>
      </c>
      <c r="K28" s="371">
        <f>20510.1441873311+185</f>
        <v>20695.144187331101</v>
      </c>
      <c r="L28" s="744"/>
      <c r="M28" s="376"/>
      <c r="N28" s="416"/>
      <c r="O28" s="386"/>
      <c r="P28" s="416"/>
      <c r="Q28" s="386"/>
      <c r="R28" s="386"/>
      <c r="S28" s="386"/>
      <c r="T28" s="386"/>
      <c r="U28" s="386"/>
      <c r="V28" s="386"/>
      <c r="W28" s="386"/>
      <c r="X28" s="386"/>
    </row>
    <row r="29" spans="1:24" ht="17.5">
      <c r="A29" s="743">
        <v>2</v>
      </c>
      <c r="B29" s="369" t="s">
        <v>126</v>
      </c>
      <c r="C29" s="365">
        <v>194070</v>
      </c>
      <c r="D29" s="760">
        <v>348133.84299999976</v>
      </c>
      <c r="E29" s="773"/>
      <c r="F29" s="370">
        <v>35.901890797040444</v>
      </c>
      <c r="G29" s="370">
        <v>55.717045123820938</v>
      </c>
      <c r="H29" s="370">
        <v>18.736173213586234</v>
      </c>
      <c r="I29" s="774">
        <v>16.800686827526651</v>
      </c>
      <c r="J29" s="766">
        <f t="shared" ref="J29:J32" si="6">F29+G29+H29+I29</f>
        <v>127.15579596197426</v>
      </c>
      <c r="K29" s="371">
        <v>5868.2634241136166</v>
      </c>
      <c r="L29" s="744"/>
      <c r="M29" s="376"/>
      <c r="N29" s="416"/>
      <c r="O29" s="386"/>
      <c r="P29" s="416"/>
      <c r="Q29" s="386"/>
      <c r="R29" s="386"/>
      <c r="S29" s="386"/>
      <c r="T29" s="386"/>
      <c r="U29" s="386"/>
      <c r="V29" s="386"/>
      <c r="W29" s="386"/>
      <c r="X29" s="386"/>
    </row>
    <row r="30" spans="1:24" ht="17.5">
      <c r="A30" s="743">
        <v>3</v>
      </c>
      <c r="B30" s="369" t="s">
        <v>127</v>
      </c>
      <c r="C30" s="365">
        <v>58557</v>
      </c>
      <c r="D30" s="760">
        <v>154114.21799999991</v>
      </c>
      <c r="E30" s="773"/>
      <c r="F30" s="370">
        <v>13.239674965491981</v>
      </c>
      <c r="G30" s="370">
        <v>24.782878520538979</v>
      </c>
      <c r="H30" s="370">
        <v>10.182550050729148</v>
      </c>
      <c r="I30" s="774">
        <v>6.6676223482826282</v>
      </c>
      <c r="J30" s="766">
        <f t="shared" si="6"/>
        <v>54.872725885042733</v>
      </c>
      <c r="K30" s="371">
        <v>2620.7861235159548</v>
      </c>
      <c r="L30" s="744"/>
      <c r="M30" s="376"/>
      <c r="N30" s="416"/>
      <c r="O30" s="386"/>
      <c r="P30" s="416"/>
      <c r="Q30" s="386"/>
      <c r="R30" s="386"/>
      <c r="S30" s="386"/>
      <c r="T30" s="386"/>
      <c r="U30" s="386"/>
      <c r="V30" s="386"/>
      <c r="W30" s="386"/>
      <c r="X30" s="386"/>
    </row>
    <row r="31" spans="1:24" ht="17.5">
      <c r="A31" s="743">
        <v>4</v>
      </c>
      <c r="B31" s="369">
        <v>4</v>
      </c>
      <c r="C31" s="365">
        <v>6782</v>
      </c>
      <c r="D31" s="760">
        <v>25730.550000000017</v>
      </c>
      <c r="E31" s="773"/>
      <c r="F31" s="370">
        <v>1.6415260094995641</v>
      </c>
      <c r="G31" s="370">
        <v>4.0338265769645743</v>
      </c>
      <c r="H31" s="370">
        <v>2.6962607059747983</v>
      </c>
      <c r="I31" s="774">
        <v>2.2627593052192005</v>
      </c>
      <c r="J31" s="766">
        <f t="shared" si="6"/>
        <v>10.634372597658137</v>
      </c>
      <c r="K31" s="371">
        <v>533.63179955648866</v>
      </c>
      <c r="L31" s="744"/>
      <c r="M31" s="376"/>
      <c r="N31" s="416"/>
      <c r="O31" s="386"/>
      <c r="P31" s="416"/>
      <c r="Q31" s="386"/>
      <c r="R31" s="386"/>
      <c r="S31" s="386"/>
      <c r="T31" s="386"/>
      <c r="U31" s="386"/>
      <c r="V31" s="386"/>
      <c r="W31" s="386"/>
      <c r="X31" s="386"/>
    </row>
    <row r="32" spans="1:24" ht="17.5">
      <c r="A32" s="743">
        <v>5</v>
      </c>
      <c r="B32" s="372" t="s">
        <v>128</v>
      </c>
      <c r="C32" s="365">
        <v>5538</v>
      </c>
      <c r="D32" s="760">
        <v>33171.122999999978</v>
      </c>
      <c r="E32" s="773"/>
      <c r="F32" s="370">
        <v>1.1863480149897951</v>
      </c>
      <c r="G32" s="370">
        <v>3.5131807664628778</v>
      </c>
      <c r="H32" s="370">
        <v>3.0862124778384348</v>
      </c>
      <c r="I32" s="774">
        <v>7.1507477310943104</v>
      </c>
      <c r="J32" s="766">
        <f t="shared" si="6"/>
        <v>14.936488990385417</v>
      </c>
      <c r="K32" s="371">
        <v>796.41106497486328</v>
      </c>
      <c r="L32" s="744"/>
      <c r="M32" s="376"/>
      <c r="N32" s="416"/>
      <c r="O32" s="386"/>
      <c r="P32" s="416"/>
      <c r="Q32" s="386"/>
      <c r="R32" s="386"/>
      <c r="S32" s="386"/>
      <c r="T32" s="386"/>
      <c r="U32" s="386"/>
      <c r="V32" s="386"/>
      <c r="W32" s="386"/>
      <c r="X32" s="386"/>
    </row>
    <row r="33" spans="1:20" ht="18">
      <c r="A33" s="801">
        <v>6</v>
      </c>
      <c r="B33" s="375" t="s">
        <v>129</v>
      </c>
      <c r="C33" s="366">
        <f>SUM(C28:C32)</f>
        <v>1584836</v>
      </c>
      <c r="D33" s="761">
        <f t="shared" ref="D33:L33" si="7">SUM(D28:D32)</f>
        <v>1381528.1090000025</v>
      </c>
      <c r="E33" s="1141"/>
      <c r="F33" s="669">
        <f>SUM(F28:F32)</f>
        <v>243.54095148363496</v>
      </c>
      <c r="G33" s="669">
        <f>SUM(G28:G32)</f>
        <v>242.34154243350136</v>
      </c>
      <c r="H33" s="669">
        <f>SUM(H28:H32)</f>
        <v>75.578073806411425</v>
      </c>
      <c r="I33" s="775">
        <f>SUM(I28:I32)</f>
        <v>100.02319886397521</v>
      </c>
      <c r="J33" s="767">
        <f t="shared" si="7"/>
        <v>661.48376658752306</v>
      </c>
      <c r="K33" s="670">
        <f>SUM(K28:K32)</f>
        <v>30514.236599492022</v>
      </c>
      <c r="L33" s="745">
        <f t="shared" si="7"/>
        <v>0</v>
      </c>
      <c r="M33" s="376"/>
      <c r="N33" s="416"/>
      <c r="O33" s="386"/>
      <c r="Q33" s="386"/>
      <c r="R33" s="693"/>
    </row>
    <row r="34" spans="1:20" ht="36" customHeight="1">
      <c r="A34" s="743">
        <v>7</v>
      </c>
      <c r="B34" s="372" t="s">
        <v>130</v>
      </c>
      <c r="C34" s="372">
        <v>5</v>
      </c>
      <c r="D34" s="1143">
        <v>601.20000000000005</v>
      </c>
      <c r="E34" s="773"/>
      <c r="F34" s="370"/>
      <c r="G34" s="370"/>
      <c r="H34" s="370"/>
      <c r="I34" s="774">
        <v>0.52827821499423722</v>
      </c>
      <c r="J34" s="766">
        <v>0.52827821499423722</v>
      </c>
      <c r="K34" s="371">
        <v>26.695077205311634</v>
      </c>
      <c r="L34" s="744"/>
      <c r="N34" s="416"/>
      <c r="Q34" s="693"/>
    </row>
    <row r="35" spans="1:20" ht="18">
      <c r="A35" s="801">
        <v>8</v>
      </c>
      <c r="B35" s="375" t="s">
        <v>129</v>
      </c>
      <c r="C35" s="366">
        <f>C34</f>
        <v>5</v>
      </c>
      <c r="D35" s="761">
        <f>D34</f>
        <v>601.20000000000005</v>
      </c>
      <c r="E35" s="1141"/>
      <c r="F35" s="669">
        <f>F34</f>
        <v>0</v>
      </c>
      <c r="G35" s="669">
        <f t="shared" ref="G35:L35" si="8">G34</f>
        <v>0</v>
      </c>
      <c r="H35" s="669">
        <f t="shared" si="8"/>
        <v>0</v>
      </c>
      <c r="I35" s="775">
        <f t="shared" si="8"/>
        <v>0.52827821499423722</v>
      </c>
      <c r="J35" s="767">
        <f t="shared" si="8"/>
        <v>0.52827821499423722</v>
      </c>
      <c r="K35" s="670">
        <f t="shared" si="8"/>
        <v>26.695077205311634</v>
      </c>
      <c r="L35" s="745">
        <f t="shared" si="8"/>
        <v>0</v>
      </c>
      <c r="M35" s="376"/>
      <c r="N35" s="417"/>
    </row>
    <row r="36" spans="1:20" ht="17.5">
      <c r="A36" s="743">
        <v>9</v>
      </c>
      <c r="B36" s="372" t="s">
        <v>131</v>
      </c>
      <c r="C36" s="365">
        <v>115673</v>
      </c>
      <c r="D36" s="760">
        <v>40400.330000000358</v>
      </c>
      <c r="E36" s="773"/>
      <c r="F36" s="370"/>
      <c r="G36" s="370"/>
      <c r="H36" s="370"/>
      <c r="I36" s="774"/>
      <c r="J36" s="766"/>
      <c r="K36" s="371"/>
      <c r="L36" s="744"/>
      <c r="N36" s="416"/>
      <c r="Q36" s="386"/>
      <c r="R36" s="386"/>
      <c r="S36" s="386"/>
      <c r="T36" s="386"/>
    </row>
    <row r="37" spans="1:20" ht="17.5">
      <c r="A37" s="743">
        <v>10</v>
      </c>
      <c r="B37" s="372" t="s">
        <v>132</v>
      </c>
      <c r="C37" s="365"/>
      <c r="D37" s="760"/>
      <c r="E37" s="809">
        <v>5.7315435546848796</v>
      </c>
      <c r="F37" s="370"/>
      <c r="G37" s="370"/>
      <c r="H37" s="370"/>
      <c r="I37" s="774"/>
      <c r="J37" s="766">
        <f>E37</f>
        <v>5.7315435546848796</v>
      </c>
      <c r="K37" s="371">
        <f>343.581347249151-185</f>
        <v>158.58134724915101</v>
      </c>
      <c r="L37" s="744"/>
      <c r="M37" s="376"/>
      <c r="N37" s="416"/>
      <c r="Q37" s="386"/>
    </row>
    <row r="38" spans="1:20" ht="18">
      <c r="A38" s="801">
        <v>11</v>
      </c>
      <c r="B38" s="375" t="s">
        <v>133</v>
      </c>
      <c r="C38" s="366"/>
      <c r="D38" s="761"/>
      <c r="E38" s="781">
        <f>E37</f>
        <v>5.7315435546848796</v>
      </c>
      <c r="F38" s="669">
        <f>F37</f>
        <v>0</v>
      </c>
      <c r="G38" s="669">
        <f t="shared" ref="G38:J38" si="9">G37</f>
        <v>0</v>
      </c>
      <c r="H38" s="669">
        <f t="shared" si="9"/>
        <v>0</v>
      </c>
      <c r="I38" s="775">
        <f t="shared" si="9"/>
        <v>0</v>
      </c>
      <c r="J38" s="767">
        <f t="shared" si="9"/>
        <v>5.7315435546848796</v>
      </c>
      <c r="K38" s="670">
        <f>K37</f>
        <v>158.58134724915101</v>
      </c>
      <c r="L38" s="745"/>
      <c r="M38" s="376"/>
      <c r="N38" s="416"/>
    </row>
    <row r="39" spans="1:20" ht="9" customHeight="1">
      <c r="A39" s="743"/>
      <c r="B39" s="372"/>
      <c r="C39" s="365"/>
      <c r="D39" s="760"/>
      <c r="E39" s="773"/>
      <c r="F39" s="370"/>
      <c r="G39" s="370"/>
      <c r="H39" s="370"/>
      <c r="I39" s="774"/>
      <c r="J39" s="766"/>
      <c r="K39" s="371"/>
      <c r="L39" s="744"/>
      <c r="N39" s="416"/>
    </row>
    <row r="40" spans="1:20" ht="18">
      <c r="A40" s="801">
        <v>12</v>
      </c>
      <c r="B40" s="375" t="s">
        <v>137</v>
      </c>
      <c r="C40" s="366">
        <f>C33+C35+C36</f>
        <v>1700514</v>
      </c>
      <c r="D40" s="761">
        <f>D33+D35+D36</f>
        <v>1422529.6390000028</v>
      </c>
      <c r="E40" s="781">
        <f t="shared" ref="E40" si="10">E35+E36+E38</f>
        <v>5.7315435546848796</v>
      </c>
      <c r="F40" s="669">
        <f>F33+F35+F38</f>
        <v>243.54095148363496</v>
      </c>
      <c r="G40" s="669">
        <f t="shared" ref="G40:L40" si="11">G33+G35+G38</f>
        <v>242.34154243350136</v>
      </c>
      <c r="H40" s="669">
        <f t="shared" si="11"/>
        <v>75.578073806411425</v>
      </c>
      <c r="I40" s="775">
        <f>I33+I38</f>
        <v>100.02319886397521</v>
      </c>
      <c r="J40" s="767">
        <f>J33</f>
        <v>661.48376658752306</v>
      </c>
      <c r="K40" s="670">
        <f>K33</f>
        <v>30514.236599492022</v>
      </c>
      <c r="L40" s="745">
        <f t="shared" si="11"/>
        <v>0</v>
      </c>
      <c r="N40" s="417"/>
    </row>
    <row r="41" spans="1:20" ht="17.5">
      <c r="A41" s="743"/>
      <c r="B41" s="372"/>
      <c r="C41" s="674"/>
      <c r="D41" s="779"/>
      <c r="E41" s="782"/>
      <c r="F41" s="690"/>
      <c r="G41" s="690"/>
      <c r="H41" s="690"/>
      <c r="I41" s="783"/>
      <c r="J41" s="780"/>
      <c r="K41" s="689"/>
      <c r="L41" s="778"/>
      <c r="N41" s="416"/>
    </row>
    <row r="42" spans="1:20" ht="18.5" thickBot="1">
      <c r="A42" s="786"/>
      <c r="B42" s="747" t="s">
        <v>138</v>
      </c>
      <c r="C42" s="748">
        <f>C21+C40</f>
        <v>2060640</v>
      </c>
      <c r="D42" s="762">
        <f>D21+D40</f>
        <v>2187643.7180000017</v>
      </c>
      <c r="E42" s="784">
        <f t="shared" ref="E42" si="12">E40+E21</f>
        <v>5.8882555059753203</v>
      </c>
      <c r="F42" s="749">
        <f>F21+F40</f>
        <v>330.41482601807866</v>
      </c>
      <c r="G42" s="749">
        <f t="shared" ref="G42:L42" si="13">G21+G40</f>
        <v>392.80173154977115</v>
      </c>
      <c r="H42" s="749">
        <f t="shared" si="13"/>
        <v>153.12268822491527</v>
      </c>
      <c r="I42" s="777">
        <f t="shared" si="13"/>
        <v>187.8168669402985</v>
      </c>
      <c r="J42" s="768">
        <f>J21+J40</f>
        <v>1064.1561127330638</v>
      </c>
      <c r="K42" s="750">
        <f>K21+K40</f>
        <v>51146.609191287542</v>
      </c>
      <c r="L42" s="751">
        <f t="shared" si="13"/>
        <v>0</v>
      </c>
      <c r="N42" s="356"/>
      <c r="P42" s="386"/>
      <c r="Q42" s="687"/>
    </row>
    <row r="43" spans="1:20" ht="18" customHeight="1" thickBot="1">
      <c r="B43" s="360" t="s">
        <v>139</v>
      </c>
      <c r="C43" s="361"/>
      <c r="D43" s="361"/>
      <c r="E43" s="356"/>
      <c r="F43" s="356"/>
      <c r="G43" s="356"/>
      <c r="H43" s="356"/>
      <c r="I43" s="356"/>
      <c r="J43" s="356"/>
      <c r="K43" s="416"/>
      <c r="L43" s="356"/>
      <c r="Q43" s="386"/>
    </row>
    <row r="44" spans="1:20" ht="54" customHeight="1">
      <c r="A44" s="785"/>
      <c r="B44" s="787"/>
      <c r="C44" s="1920" t="s">
        <v>140</v>
      </c>
      <c r="D44" s="1921"/>
      <c r="E44" s="1921"/>
      <c r="F44" s="1922"/>
      <c r="G44" s="1921" t="s">
        <v>141</v>
      </c>
      <c r="H44" s="1921"/>
      <c r="I44" s="1921"/>
      <c r="J44" s="1921"/>
      <c r="K44" s="1915" t="s">
        <v>142</v>
      </c>
      <c r="L44" s="1911"/>
      <c r="M44" s="1911"/>
      <c r="N44" s="1916"/>
    </row>
    <row r="45" spans="1:20" ht="18" customHeight="1">
      <c r="A45" s="743"/>
      <c r="B45" s="788"/>
      <c r="C45" s="1923" t="s">
        <v>109</v>
      </c>
      <c r="D45" s="1924"/>
      <c r="E45" s="1925" t="s">
        <v>136</v>
      </c>
      <c r="F45" s="1926"/>
      <c r="G45" s="1927" t="s">
        <v>109</v>
      </c>
      <c r="H45" s="1924"/>
      <c r="I45" s="1925" t="s">
        <v>136</v>
      </c>
      <c r="J45" s="1927"/>
      <c r="K45" s="1923" t="s">
        <v>109</v>
      </c>
      <c r="L45" s="1924"/>
      <c r="M45" s="1925" t="s">
        <v>136</v>
      </c>
      <c r="N45" s="1926"/>
    </row>
    <row r="46" spans="1:20" ht="55.5" customHeight="1" thickBot="1">
      <c r="A46" s="746"/>
      <c r="B46" s="800"/>
      <c r="C46" s="770" t="s">
        <v>143</v>
      </c>
      <c r="D46" s="757" t="s">
        <v>26</v>
      </c>
      <c r="E46" s="757" t="s">
        <v>143</v>
      </c>
      <c r="F46" s="758" t="s">
        <v>26</v>
      </c>
      <c r="G46" s="764" t="s">
        <v>143</v>
      </c>
      <c r="H46" s="757" t="s">
        <v>26</v>
      </c>
      <c r="I46" s="757" t="s">
        <v>143</v>
      </c>
      <c r="J46" s="804" t="s">
        <v>26</v>
      </c>
      <c r="K46" s="770" t="s">
        <v>143</v>
      </c>
      <c r="L46" s="757" t="s">
        <v>26</v>
      </c>
      <c r="M46" s="757" t="s">
        <v>143</v>
      </c>
      <c r="N46" s="758" t="s">
        <v>26</v>
      </c>
    </row>
    <row r="47" spans="1:20" ht="17.5">
      <c r="A47" s="752">
        <v>1</v>
      </c>
      <c r="B47" s="797" t="s">
        <v>144</v>
      </c>
      <c r="C47" s="771"/>
      <c r="D47" s="798"/>
      <c r="E47" s="754">
        <v>28918</v>
      </c>
      <c r="F47" s="799">
        <v>1.4330000000000001</v>
      </c>
      <c r="G47" s="765"/>
      <c r="H47" s="754"/>
      <c r="I47" s="754"/>
      <c r="J47" s="759"/>
      <c r="K47" s="771"/>
      <c r="L47" s="798"/>
      <c r="M47" s="754">
        <v>86755</v>
      </c>
      <c r="N47" s="799">
        <v>4.2998799999999999</v>
      </c>
      <c r="Q47" s="386"/>
    </row>
    <row r="48" spans="1:20" ht="17.5">
      <c r="A48" s="743"/>
      <c r="B48" s="790" t="s">
        <v>124</v>
      </c>
      <c r="C48" s="773"/>
      <c r="D48" s="370"/>
      <c r="E48" s="365"/>
      <c r="F48" s="774"/>
      <c r="G48" s="793"/>
      <c r="H48" s="365"/>
      <c r="I48" s="365"/>
      <c r="J48" s="802"/>
      <c r="K48" s="773"/>
      <c r="L48" s="370"/>
      <c r="M48" s="365"/>
      <c r="N48" s="774"/>
    </row>
    <row r="49" spans="1:23" ht="17.5">
      <c r="A49" s="743">
        <v>2</v>
      </c>
      <c r="B49" s="791" t="s">
        <v>125</v>
      </c>
      <c r="C49" s="1601">
        <v>92649.15</v>
      </c>
      <c r="D49" s="370">
        <v>54.428527435784737</v>
      </c>
      <c r="E49" s="1150">
        <v>1055911.2</v>
      </c>
      <c r="F49" s="774">
        <v>363.10750652196998</v>
      </c>
      <c r="G49" s="793"/>
      <c r="H49" s="365"/>
      <c r="I49" s="365"/>
      <c r="J49" s="802"/>
      <c r="K49" s="1601">
        <v>5449.9500000000007</v>
      </c>
      <c r="L49" s="370">
        <v>3.2016780844579262</v>
      </c>
      <c r="M49" s="1150">
        <v>92392.23000000001</v>
      </c>
      <c r="N49" s="774">
        <v>31.771906820672374</v>
      </c>
      <c r="O49" s="386"/>
      <c r="P49" s="682"/>
      <c r="Q49" s="682"/>
      <c r="R49" s="682"/>
      <c r="S49" s="682"/>
      <c r="T49" s="682"/>
      <c r="U49" s="682"/>
      <c r="V49" s="687"/>
      <c r="W49" s="682"/>
    </row>
    <row r="50" spans="1:23" ht="17.5">
      <c r="A50" s="743">
        <v>3</v>
      </c>
      <c r="B50" s="791" t="s">
        <v>126</v>
      </c>
      <c r="C50" s="1601">
        <v>120208.7</v>
      </c>
      <c r="D50" s="370">
        <v>128.53802096034582</v>
      </c>
      <c r="E50" s="1150">
        <v>155256</v>
      </c>
      <c r="F50" s="774">
        <v>101.72463676957942</v>
      </c>
      <c r="G50" s="793"/>
      <c r="H50" s="365"/>
      <c r="I50" s="365"/>
      <c r="J50" s="802"/>
      <c r="K50" s="1601">
        <v>7071.1</v>
      </c>
      <c r="L50" s="370">
        <v>7.5610600564909305</v>
      </c>
      <c r="M50" s="1150">
        <v>13584.900000000001</v>
      </c>
      <c r="N50" s="774">
        <v>8.9009057173381994</v>
      </c>
      <c r="O50" s="386"/>
      <c r="P50" s="682"/>
      <c r="Q50" s="682"/>
      <c r="R50" s="682"/>
      <c r="S50" s="682"/>
      <c r="T50" s="682"/>
      <c r="U50" s="682"/>
      <c r="V50" s="687"/>
      <c r="W50" s="682"/>
    </row>
    <row r="51" spans="1:23" ht="17.5">
      <c r="A51" s="743">
        <v>4</v>
      </c>
      <c r="B51" s="791" t="s">
        <v>127</v>
      </c>
      <c r="C51" s="1601">
        <v>56904.1</v>
      </c>
      <c r="D51" s="370">
        <v>76.259770794859605</v>
      </c>
      <c r="E51" s="1150">
        <v>46845.600000000006</v>
      </c>
      <c r="F51" s="774">
        <v>43.898180708034189</v>
      </c>
      <c r="G51" s="793"/>
      <c r="H51" s="365"/>
      <c r="I51" s="365"/>
      <c r="J51" s="802"/>
      <c r="K51" s="1601">
        <v>3347.3</v>
      </c>
      <c r="L51" s="370">
        <v>4.4858688702858593</v>
      </c>
      <c r="M51" s="1150">
        <v>4098.9900000000007</v>
      </c>
      <c r="N51" s="774">
        <v>3.8410908119529918</v>
      </c>
      <c r="O51" s="386"/>
      <c r="P51" s="682"/>
      <c r="Q51" s="682"/>
      <c r="R51" s="682"/>
      <c r="S51" s="682"/>
      <c r="T51" s="682"/>
      <c r="U51" s="682"/>
      <c r="V51" s="687"/>
      <c r="W51" s="682"/>
    </row>
    <row r="52" spans="1:23" ht="17.5">
      <c r="A52" s="743">
        <v>5</v>
      </c>
      <c r="B52" s="791">
        <v>4</v>
      </c>
      <c r="C52" s="1601">
        <v>19180.25</v>
      </c>
      <c r="D52" s="370">
        <v>31.346223854413967</v>
      </c>
      <c r="E52" s="1150">
        <v>5425.6</v>
      </c>
      <c r="F52" s="774">
        <v>8.5074980781265097</v>
      </c>
      <c r="G52" s="793"/>
      <c r="H52" s="365"/>
      <c r="I52" s="365"/>
      <c r="J52" s="802"/>
      <c r="K52" s="1601">
        <v>1128.25</v>
      </c>
      <c r="L52" s="370">
        <v>1.8438955208478807</v>
      </c>
      <c r="M52" s="1150">
        <v>474.74000000000007</v>
      </c>
      <c r="N52" s="774">
        <v>0.74440608183606971</v>
      </c>
      <c r="O52" s="386"/>
      <c r="P52" s="682"/>
      <c r="Q52" s="682"/>
      <c r="R52" s="682"/>
      <c r="S52" s="682"/>
      <c r="T52" s="682"/>
      <c r="U52" s="682"/>
      <c r="V52" s="687"/>
      <c r="W52" s="682"/>
    </row>
    <row r="53" spans="1:23" ht="17.5">
      <c r="A53" s="743">
        <v>6</v>
      </c>
      <c r="B53" s="789" t="s">
        <v>128</v>
      </c>
      <c r="C53" s="1601">
        <v>14778.1</v>
      </c>
      <c r="D53" s="370">
        <v>51.698951178305443</v>
      </c>
      <c r="E53" s="1150">
        <v>4430.4000000000005</v>
      </c>
      <c r="F53" s="774">
        <v>11.949191192308334</v>
      </c>
      <c r="G53" s="793"/>
      <c r="H53" s="365"/>
      <c r="I53" s="365"/>
      <c r="J53" s="802"/>
      <c r="K53" s="1601">
        <v>869.30000000000007</v>
      </c>
      <c r="L53" s="370">
        <v>3.0411147751944383</v>
      </c>
      <c r="M53" s="1150">
        <v>387.66</v>
      </c>
      <c r="N53" s="774">
        <v>1.0455542293269793</v>
      </c>
      <c r="O53" s="386"/>
      <c r="P53" s="682"/>
      <c r="Q53" s="682"/>
      <c r="R53" s="682"/>
      <c r="S53" s="682"/>
      <c r="T53" s="682"/>
      <c r="U53" s="682"/>
      <c r="V53" s="687"/>
      <c r="W53" s="682"/>
    </row>
    <row r="54" spans="1:23" ht="18.5" thickBot="1">
      <c r="A54" s="786">
        <v>7</v>
      </c>
      <c r="B54" s="792" t="s">
        <v>145</v>
      </c>
      <c r="C54" s="1602">
        <f>SUM(C49:C53)</f>
        <v>303720.29999999993</v>
      </c>
      <c r="D54" s="749">
        <f t="shared" ref="D54:N54" si="14">SUM(D49:D53)</f>
        <v>342.27149422370951</v>
      </c>
      <c r="E54" s="1140">
        <f>SUM(E49:E53)</f>
        <v>1267868.8</v>
      </c>
      <c r="F54" s="777">
        <f>SUM(F49:F53)</f>
        <v>529.1870132700185</v>
      </c>
      <c r="G54" s="794"/>
      <c r="H54" s="748"/>
      <c r="I54" s="748"/>
      <c r="J54" s="805"/>
      <c r="K54" s="1602">
        <f t="shared" si="14"/>
        <v>17865.900000000001</v>
      </c>
      <c r="L54" s="749">
        <f>SUM(L49:L53)</f>
        <v>20.133617307277035</v>
      </c>
      <c r="M54" s="1140">
        <f t="shared" si="14"/>
        <v>110938.52000000002</v>
      </c>
      <c r="N54" s="777">
        <f t="shared" si="14"/>
        <v>46.30386366112662</v>
      </c>
      <c r="O54" s="686"/>
      <c r="P54" s="682"/>
      <c r="Q54" s="682"/>
      <c r="R54" s="682"/>
      <c r="S54" s="682"/>
      <c r="T54" s="682"/>
      <c r="U54" s="682"/>
      <c r="V54" s="682"/>
      <c r="W54" s="682"/>
    </row>
    <row r="55" spans="1:23" ht="17.5">
      <c r="A55" s="380"/>
      <c r="B55" s="373"/>
      <c r="C55" s="356"/>
      <c r="D55" s="356"/>
      <c r="G55" s="356"/>
      <c r="H55" s="356"/>
      <c r="I55" s="356"/>
      <c r="J55" s="356"/>
      <c r="K55" s="356"/>
      <c r="L55" s="356"/>
      <c r="R55" s="682"/>
      <c r="S55" s="682"/>
    </row>
    <row r="56" spans="1:23">
      <c r="M56" s="376"/>
    </row>
    <row r="57" spans="1:23">
      <c r="D57" s="386"/>
      <c r="E57" s="386"/>
      <c r="F57" s="386"/>
      <c r="G57" s="386"/>
      <c r="K57" s="386"/>
      <c r="M57" s="376"/>
      <c r="N57" s="386"/>
      <c r="O57" s="386"/>
    </row>
    <row r="58" spans="1:23">
      <c r="D58" s="386"/>
      <c r="E58" s="386"/>
      <c r="F58" s="386"/>
      <c r="G58" s="386"/>
      <c r="K58" s="386"/>
      <c r="M58" s="376"/>
      <c r="N58" s="386"/>
      <c r="O58" s="681"/>
    </row>
    <row r="59" spans="1:23">
      <c r="D59" s="386"/>
      <c r="E59" s="386"/>
      <c r="F59" s="386"/>
      <c r="G59" s="386"/>
      <c r="K59" s="386"/>
      <c r="L59" s="678"/>
      <c r="M59" s="677"/>
      <c r="N59" s="386"/>
      <c r="O59" s="386"/>
    </row>
    <row r="60" spans="1:23">
      <c r="G60" s="386"/>
      <c r="L60" s="678"/>
      <c r="M60" s="677"/>
      <c r="N60" s="386"/>
      <c r="O60" s="386"/>
    </row>
    <row r="61" spans="1:23">
      <c r="G61" s="386"/>
      <c r="L61" s="386"/>
      <c r="M61" s="386"/>
      <c r="N61" s="386"/>
      <c r="O61" s="386"/>
    </row>
    <row r="67" spans="4:6">
      <c r="D67" s="386"/>
    </row>
    <row r="69" spans="4:6">
      <c r="D69" s="386"/>
      <c r="F69" s="386"/>
    </row>
    <row r="70" spans="4:6">
      <c r="D70" s="386"/>
      <c r="F70" s="386"/>
    </row>
    <row r="71" spans="4:6">
      <c r="D71" s="386"/>
      <c r="F71" s="386"/>
    </row>
  </sheetData>
  <mergeCells count="17">
    <mergeCell ref="A25:A26"/>
    <mergeCell ref="B25:B26"/>
    <mergeCell ref="C25:C26"/>
    <mergeCell ref="D25:D26"/>
    <mergeCell ref="A6:A7"/>
    <mergeCell ref="B6:B7"/>
    <mergeCell ref="C6:C7"/>
    <mergeCell ref="D6:D7"/>
    <mergeCell ref="C44:F44"/>
    <mergeCell ref="G44:J44"/>
    <mergeCell ref="K44:N44"/>
    <mergeCell ref="C45:D45"/>
    <mergeCell ref="E45:F45"/>
    <mergeCell ref="G45:H45"/>
    <mergeCell ref="I45:J45"/>
    <mergeCell ref="K45:L45"/>
    <mergeCell ref="M45:N45"/>
  </mergeCells>
  <printOptions horizontalCentered="1"/>
  <pageMargins left="0.39370078740157483" right="0" top="0.19685039370078741" bottom="0.31496062992125984" header="0.35433070866141736" footer="0.39370078740157483"/>
  <pageSetup paperSize="9" scale="68" orientation="landscape" errors="blank" r:id="rId1"/>
  <headerFooter alignWithMargins="0">
    <oddFooter>&amp;R&amp;"Arial,Bold"&amp;12&amp;A</oddFooter>
  </headerFooter>
  <rowBreaks count="1" manualBreakCount="1">
    <brk id="42" min="3" max="1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2C7F-672F-4A85-9379-780916BF985A}">
  <dimension ref="A1:Q46"/>
  <sheetViews>
    <sheetView showGridLines="0" tabSelected="1" view="pageBreakPreview" zoomScale="110" zoomScaleSheetLayoutView="110" workbookViewId="0">
      <pane xSplit="2" ySplit="6" topLeftCell="C7" activePane="bottomRight" state="frozen"/>
      <selection activeCell="L17" sqref="L17"/>
      <selection pane="topRight" activeCell="L17" sqref="L17"/>
      <selection pane="bottomLeft" activeCell="L17" sqref="L17"/>
      <selection pane="bottomRight" activeCell="C17" sqref="C17"/>
    </sheetView>
  </sheetViews>
  <sheetFormatPr defaultRowHeight="12.5"/>
  <cols>
    <col min="1" max="1" width="5.453125" style="489" customWidth="1"/>
    <col min="2" max="2" width="24.1796875" style="64" customWidth="1"/>
    <col min="3" max="3" width="8.81640625" customWidth="1"/>
    <col min="4" max="4" width="9.54296875" customWidth="1"/>
    <col min="5" max="5" width="9.7265625" customWidth="1"/>
    <col min="6" max="6" width="10" customWidth="1"/>
    <col min="7" max="7" width="10.36328125" bestFit="1" customWidth="1"/>
    <col min="8" max="8" width="9.54296875" customWidth="1"/>
    <col min="9" max="9" width="9.7265625" customWidth="1"/>
    <col min="10" max="10" width="9.1796875" bestFit="1" customWidth="1"/>
    <col min="11" max="11" width="10.81640625" customWidth="1"/>
    <col min="12" max="12" width="8.453125" bestFit="1" customWidth="1"/>
    <col min="13" max="13" width="9.1796875" bestFit="1" customWidth="1"/>
    <col min="14" max="14" width="9.7265625" customWidth="1"/>
    <col min="15" max="15" width="9.1796875" bestFit="1" customWidth="1"/>
    <col min="16" max="16" width="10.54296875" customWidth="1"/>
    <col min="17" max="17" width="9.453125" customWidth="1"/>
  </cols>
  <sheetData>
    <row r="1" spans="1:17" ht="13">
      <c r="B1" s="558" t="s">
        <v>1</v>
      </c>
      <c r="E1" s="3" t="s">
        <v>0</v>
      </c>
      <c r="F1" s="2" t="s">
        <v>2134</v>
      </c>
      <c r="G1" s="2"/>
      <c r="H1" s="2"/>
      <c r="I1" s="2"/>
      <c r="J1" s="2"/>
      <c r="K1" s="2"/>
      <c r="L1" s="2"/>
      <c r="M1" s="2"/>
      <c r="N1" s="2"/>
      <c r="O1" s="2"/>
      <c r="P1" s="2"/>
    </row>
    <row r="2" spans="1:17" ht="13">
      <c r="P2" s="2" t="s">
        <v>496</v>
      </c>
    </row>
    <row r="3" spans="1:17" ht="13">
      <c r="B3" s="2041" t="s">
        <v>2135</v>
      </c>
      <c r="C3" s="2041"/>
      <c r="D3" s="2041"/>
      <c r="E3" s="2041"/>
      <c r="F3" s="2041"/>
      <c r="G3" s="2041"/>
      <c r="H3" s="2041"/>
      <c r="I3" s="2041"/>
      <c r="J3" s="2041"/>
      <c r="K3" s="2041"/>
      <c r="L3" s="2041"/>
      <c r="M3" s="2041"/>
      <c r="N3" s="2041"/>
      <c r="O3" s="2041"/>
      <c r="P3" s="2041"/>
      <c r="Q3" s="2041"/>
    </row>
    <row r="4" spans="1:17" ht="13.5" customHeight="1">
      <c r="A4" s="2044" t="s">
        <v>2138</v>
      </c>
      <c r="B4" s="2004" t="s">
        <v>735</v>
      </c>
      <c r="C4" s="2045" t="s">
        <v>913</v>
      </c>
      <c r="D4" s="2045"/>
      <c r="E4" s="2045"/>
      <c r="F4" s="2045"/>
      <c r="G4" s="2045"/>
      <c r="H4" s="2045" t="s">
        <v>158</v>
      </c>
      <c r="I4" s="2045"/>
      <c r="J4" s="2045"/>
      <c r="K4" s="2045"/>
      <c r="L4" s="2045"/>
      <c r="M4" s="2046" t="s">
        <v>915</v>
      </c>
      <c r="N4" s="2046"/>
      <c r="O4" s="2046"/>
      <c r="P4" s="2046"/>
      <c r="Q4" s="2046"/>
    </row>
    <row r="5" spans="1:17" ht="13.5" customHeight="1">
      <c r="A5" s="2044"/>
      <c r="B5" s="2004"/>
      <c r="C5" s="2027" t="s">
        <v>799</v>
      </c>
      <c r="D5" s="2027"/>
      <c r="E5" s="2027" t="s">
        <v>800</v>
      </c>
      <c r="F5" s="2027"/>
      <c r="G5" s="2027" t="s">
        <v>145</v>
      </c>
      <c r="H5" s="2027" t="s">
        <v>799</v>
      </c>
      <c r="I5" s="2027"/>
      <c r="J5" s="2027" t="s">
        <v>800</v>
      </c>
      <c r="K5" s="2027"/>
      <c r="L5" s="2027" t="s">
        <v>145</v>
      </c>
      <c r="M5" s="2027" t="s">
        <v>799</v>
      </c>
      <c r="N5" s="2027"/>
      <c r="O5" s="2027" t="s">
        <v>800</v>
      </c>
      <c r="P5" s="2027"/>
      <c r="Q5" s="2027" t="s">
        <v>145</v>
      </c>
    </row>
    <row r="6" spans="1:17" ht="26">
      <c r="A6" s="2044"/>
      <c r="B6" s="2004"/>
      <c r="C6" s="618" t="s">
        <v>2127</v>
      </c>
      <c r="D6" s="618" t="s">
        <v>2128</v>
      </c>
      <c r="E6" s="618" t="s">
        <v>2127</v>
      </c>
      <c r="F6" s="618" t="s">
        <v>2128</v>
      </c>
      <c r="G6" s="2027"/>
      <c r="H6" s="618" t="s">
        <v>2127</v>
      </c>
      <c r="I6" s="618" t="s">
        <v>2128</v>
      </c>
      <c r="J6" s="618" t="s">
        <v>2127</v>
      </c>
      <c r="K6" s="618" t="s">
        <v>2128</v>
      </c>
      <c r="L6" s="2027"/>
      <c r="M6" s="618" t="s">
        <v>2127</v>
      </c>
      <c r="N6" s="618" t="s">
        <v>2128</v>
      </c>
      <c r="O6" s="618" t="s">
        <v>2127</v>
      </c>
      <c r="P6" s="618" t="s">
        <v>2128</v>
      </c>
      <c r="Q6" s="2027"/>
    </row>
    <row r="7" spans="1:17" ht="37.5">
      <c r="A7" s="560">
        <v>1</v>
      </c>
      <c r="B7" s="350" t="s">
        <v>2136</v>
      </c>
      <c r="C7" s="2047">
        <f>'F-12'!C34+'F-12'!F34</f>
        <v>15828.346571686823</v>
      </c>
      <c r="D7" s="2048"/>
      <c r="E7" s="2047">
        <f>'F-12'!D34+'F-12'!G34</f>
        <v>30088.991785973172</v>
      </c>
      <c r="F7" s="2048"/>
      <c r="G7" s="738">
        <f>C7+E7</f>
        <v>45917.338357659995</v>
      </c>
      <c r="H7" s="2047">
        <f>'F-12'!Q34+'F-12'!T34</f>
        <v>21942.659152966698</v>
      </c>
      <c r="I7" s="2048"/>
      <c r="J7" s="2047">
        <f>'F-12'!R34+'F-12'!U34</f>
        <v>34100.827020499964</v>
      </c>
      <c r="K7" s="2048"/>
      <c r="L7" s="738">
        <f>H7+J7</f>
        <v>56043.486173466663</v>
      </c>
      <c r="M7" s="2047">
        <f>'F-12'!X34+'F-12'!AA34</f>
        <v>26011.590099333676</v>
      </c>
      <c r="N7" s="2048"/>
      <c r="O7" s="2047">
        <f>'F-12'!Y34+'F-12'!AB34</f>
        <v>34638.330495038848</v>
      </c>
      <c r="P7" s="2048"/>
      <c r="Q7" s="738">
        <f>M7+O7</f>
        <v>60649.920594372525</v>
      </c>
    </row>
    <row r="8" spans="1:17" ht="13">
      <c r="A8" s="910"/>
      <c r="C8" s="914"/>
      <c r="D8" s="914"/>
      <c r="E8" s="914"/>
      <c r="F8" s="914"/>
      <c r="G8" s="936"/>
      <c r="H8" s="915"/>
      <c r="I8" s="915"/>
      <c r="J8" s="915"/>
      <c r="K8" s="915"/>
      <c r="L8" s="935"/>
      <c r="M8" s="914"/>
      <c r="N8" s="914"/>
      <c r="O8" s="914"/>
      <c r="P8" s="914"/>
      <c r="Q8" s="935"/>
    </row>
    <row r="9" spans="1:17" ht="26">
      <c r="A9" s="618" t="s">
        <v>2035</v>
      </c>
      <c r="B9" s="901" t="s">
        <v>2137</v>
      </c>
      <c r="C9" s="933" t="s">
        <v>913</v>
      </c>
      <c r="D9" s="933" t="s">
        <v>158</v>
      </c>
      <c r="E9" s="933" t="s">
        <v>915</v>
      </c>
      <c r="F9" s="914"/>
      <c r="G9" s="912"/>
      <c r="H9" s="915"/>
      <c r="I9" s="915"/>
      <c r="J9" s="915"/>
      <c r="K9" s="915"/>
      <c r="L9" s="915"/>
      <c r="M9" s="914"/>
      <c r="N9" s="914"/>
      <c r="O9" s="914"/>
      <c r="P9" s="914"/>
      <c r="Q9" s="914"/>
    </row>
    <row r="10" spans="1:17" s="347" customFormat="1">
      <c r="A10" s="903">
        <v>1</v>
      </c>
      <c r="B10" s="350" t="s">
        <v>2139</v>
      </c>
      <c r="C10" s="1077">
        <f>'F-12'!I37</f>
        <v>2589</v>
      </c>
      <c r="D10" s="1077">
        <f>C13</f>
        <v>3043</v>
      </c>
      <c r="E10" s="904">
        <f>D13</f>
        <v>3405</v>
      </c>
      <c r="F10" s="930"/>
      <c r="G10" s="930"/>
      <c r="H10" s="931"/>
      <c r="I10" s="931"/>
      <c r="J10" s="931"/>
      <c r="K10" s="931"/>
      <c r="L10" s="931"/>
      <c r="M10" s="930"/>
      <c r="N10" s="930"/>
      <c r="O10" s="930"/>
      <c r="P10" s="930"/>
      <c r="Q10" s="930"/>
    </row>
    <row r="11" spans="1:17" s="347" customFormat="1" ht="25">
      <c r="A11" s="903">
        <v>2</v>
      </c>
      <c r="B11" s="350" t="s">
        <v>2140</v>
      </c>
      <c r="C11" s="1077">
        <f>'F-12'!I38</f>
        <v>784</v>
      </c>
      <c r="D11" s="1077">
        <f>'F-12'!W38</f>
        <v>511</v>
      </c>
      <c r="E11" s="904">
        <f>'F-12'!AD38</f>
        <v>330</v>
      </c>
      <c r="F11" s="930"/>
      <c r="G11" s="930"/>
      <c r="H11" s="931"/>
      <c r="I11" s="931"/>
      <c r="J11" s="931"/>
      <c r="K11" s="931"/>
      <c r="L11" s="931"/>
      <c r="M11" s="930"/>
      <c r="N11" s="930"/>
      <c r="O11" s="930"/>
      <c r="P11" s="930"/>
      <c r="Q11" s="930"/>
    </row>
    <row r="12" spans="1:17" s="347" customFormat="1" ht="37.5">
      <c r="A12" s="903">
        <v>3</v>
      </c>
      <c r="B12" s="902" t="s">
        <v>2141</v>
      </c>
      <c r="C12" s="1077">
        <f>'F-12'!I39</f>
        <v>330</v>
      </c>
      <c r="D12" s="1077">
        <f>'F-12'!W39</f>
        <v>149</v>
      </c>
      <c r="E12" s="904">
        <f>'F-12'!AD39</f>
        <v>55</v>
      </c>
      <c r="F12" s="930"/>
      <c r="G12" s="930"/>
      <c r="H12" s="931"/>
      <c r="I12" s="931"/>
      <c r="J12" s="931"/>
      <c r="K12" s="931"/>
      <c r="L12" s="931"/>
      <c r="M12" s="930"/>
      <c r="N12" s="930"/>
      <c r="O12" s="930"/>
      <c r="P12" s="930"/>
      <c r="Q12" s="930"/>
    </row>
    <row r="13" spans="1:17" s="347" customFormat="1" ht="13">
      <c r="A13" s="618">
        <v>4</v>
      </c>
      <c r="B13" s="901" t="s">
        <v>2146</v>
      </c>
      <c r="C13" s="1218">
        <f>C10+C11-C12</f>
        <v>3043</v>
      </c>
      <c r="D13" s="1218">
        <f t="shared" ref="D13:E13" si="0">D10+D11-D12</f>
        <v>3405</v>
      </c>
      <c r="E13" s="1218">
        <f t="shared" si="0"/>
        <v>3680</v>
      </c>
      <c r="F13" s="930"/>
      <c r="G13" s="930"/>
      <c r="H13" s="931"/>
      <c r="I13" s="931"/>
      <c r="J13" s="931"/>
      <c r="K13" s="931"/>
      <c r="L13" s="931"/>
      <c r="M13" s="930"/>
      <c r="N13" s="930"/>
      <c r="O13" s="930"/>
      <c r="P13" s="930"/>
      <c r="Q13" s="930"/>
    </row>
    <row r="14" spans="1:17" s="2" customFormat="1" ht="25.5">
      <c r="A14" s="903">
        <v>5</v>
      </c>
      <c r="B14" s="902" t="s">
        <v>2143</v>
      </c>
      <c r="C14" s="1077">
        <f>AVERAGE(C10,C13)</f>
        <v>2816</v>
      </c>
      <c r="D14" s="1077">
        <f t="shared" ref="D14" si="1">AVERAGE(D10,D13)</f>
        <v>3224</v>
      </c>
      <c r="E14" s="1077">
        <f>AVERAGE(E10,E13)</f>
        <v>3542.5</v>
      </c>
      <c r="F14" s="912"/>
      <c r="G14" s="912"/>
      <c r="H14" s="913"/>
      <c r="I14" s="913"/>
      <c r="J14" s="913"/>
      <c r="K14" s="913"/>
      <c r="L14" s="913"/>
      <c r="M14" s="912"/>
      <c r="N14" s="912"/>
      <c r="O14" s="912"/>
      <c r="P14" s="912"/>
      <c r="Q14" s="912"/>
    </row>
    <row r="15" spans="1:17" s="347" customFormat="1">
      <c r="A15" s="903">
        <v>6</v>
      </c>
      <c r="B15" s="350" t="s">
        <v>2142</v>
      </c>
      <c r="C15" s="904">
        <f>'T-1'!G71</f>
        <v>10609.622554579029</v>
      </c>
      <c r="D15" s="904">
        <f>'T-1'!N71</f>
        <v>10714.5</v>
      </c>
      <c r="E15" s="904">
        <f>'T-1'!S71</f>
        <v>9614.1000019999992</v>
      </c>
      <c r="F15" s="930"/>
      <c r="G15" s="930"/>
      <c r="H15" s="931"/>
      <c r="I15" s="931"/>
      <c r="J15" s="931"/>
      <c r="K15" s="931"/>
      <c r="L15" s="931"/>
      <c r="M15" s="930"/>
      <c r="N15" s="930"/>
      <c r="O15" s="930"/>
      <c r="P15" s="930"/>
      <c r="Q15" s="930"/>
    </row>
    <row r="16" spans="1:17" s="2" customFormat="1" ht="25.5">
      <c r="A16" s="903">
        <v>7</v>
      </c>
      <c r="B16" s="350" t="s">
        <v>2144</v>
      </c>
      <c r="C16" s="904">
        <f>C14/C15</f>
        <v>0.26541943273793811</v>
      </c>
      <c r="D16" s="904">
        <f>D14/D15</f>
        <v>0.30090064865369359</v>
      </c>
      <c r="E16" s="904">
        <f>E14/E15</f>
        <v>0.36846922741214067</v>
      </c>
      <c r="F16" s="912"/>
      <c r="G16" s="912"/>
      <c r="H16" s="913"/>
      <c r="I16" s="913"/>
      <c r="J16" s="913"/>
      <c r="K16" s="913"/>
      <c r="L16" s="913"/>
      <c r="M16" s="912"/>
      <c r="N16" s="912"/>
      <c r="O16" s="912"/>
      <c r="P16" s="912"/>
      <c r="Q16" s="912"/>
    </row>
    <row r="17" spans="1:17" ht="13">
      <c r="A17" s="903">
        <v>8</v>
      </c>
      <c r="B17" s="902" t="s">
        <v>2147</v>
      </c>
      <c r="C17" s="1077">
        <f>'T-1'!D71</f>
        <v>2257722</v>
      </c>
      <c r="D17" s="1077">
        <f>'T-1'!H71</f>
        <v>2279922</v>
      </c>
      <c r="E17" s="1077">
        <f>'T-1'!P71</f>
        <v>2058897</v>
      </c>
      <c r="F17" s="912"/>
      <c r="G17" s="912"/>
      <c r="H17" s="913"/>
      <c r="I17" s="913"/>
      <c r="J17" s="913"/>
      <c r="K17" s="913"/>
      <c r="L17" s="912"/>
      <c r="M17" s="912"/>
      <c r="N17" s="912"/>
      <c r="O17" s="912"/>
      <c r="P17" s="912"/>
      <c r="Q17" s="912"/>
    </row>
    <row r="18" spans="1:17" ht="13">
      <c r="A18" s="903">
        <v>9</v>
      </c>
      <c r="B18" s="902" t="s">
        <v>2477</v>
      </c>
      <c r="C18" s="1077">
        <f>2570195-C17</f>
        <v>312473</v>
      </c>
      <c r="D18" s="1077">
        <f>2673356-D17</f>
        <v>393434</v>
      </c>
      <c r="E18" s="1077">
        <f>2718764-E17-E19</f>
        <v>459444</v>
      </c>
      <c r="F18" s="912"/>
      <c r="G18" s="912"/>
      <c r="H18" s="913"/>
      <c r="I18" s="913"/>
      <c r="J18" s="913"/>
      <c r="K18" s="913"/>
      <c r="L18" s="912"/>
      <c r="M18" s="912"/>
      <c r="N18" s="912"/>
      <c r="O18" s="912"/>
      <c r="P18" s="912"/>
      <c r="Q18" s="912"/>
    </row>
    <row r="19" spans="1:17" ht="13">
      <c r="A19" s="903">
        <v>10</v>
      </c>
      <c r="B19" s="902" t="s">
        <v>2478</v>
      </c>
      <c r="C19" s="1077"/>
      <c r="D19" s="1077"/>
      <c r="E19" s="1077">
        <v>200423</v>
      </c>
      <c r="F19" s="912"/>
      <c r="G19" s="912"/>
      <c r="H19" s="913"/>
      <c r="I19" s="913"/>
      <c r="J19" s="913"/>
      <c r="K19" s="913"/>
      <c r="L19" s="912"/>
      <c r="M19" s="912"/>
      <c r="N19" s="912"/>
      <c r="O19" s="912"/>
      <c r="P19" s="912"/>
      <c r="Q19" s="912"/>
    </row>
    <row r="20" spans="1:17" ht="25">
      <c r="A20" s="903">
        <v>11</v>
      </c>
      <c r="B20" s="350" t="s">
        <v>2145</v>
      </c>
      <c r="C20" s="904">
        <f>C14/(C17+C18)*1000</f>
        <v>1.0956367123895268</v>
      </c>
      <c r="D20" s="904">
        <f>D14/(D17+D18)*1000</f>
        <v>1.2059748121836373</v>
      </c>
      <c r="E20" s="904">
        <f>E14/(E17+E18+E19)*1000</f>
        <v>1.3029817961397163</v>
      </c>
      <c r="F20" s="914"/>
      <c r="G20" s="912"/>
      <c r="H20" s="915"/>
      <c r="I20" s="915"/>
      <c r="J20" s="915"/>
      <c r="K20" s="915"/>
      <c r="L20" s="915"/>
      <c r="M20" s="916"/>
      <c r="N20" s="914"/>
      <c r="O20" s="914"/>
      <c r="P20" s="914"/>
      <c r="Q20" s="914"/>
    </row>
    <row r="21" spans="1:17" ht="13">
      <c r="A21" s="910"/>
      <c r="C21" s="914"/>
      <c r="D21" s="914"/>
      <c r="E21" s="914"/>
      <c r="F21" s="914"/>
      <c r="G21" s="912"/>
      <c r="H21" s="915"/>
      <c r="I21" s="915"/>
      <c r="J21" s="915"/>
      <c r="K21" s="915"/>
      <c r="L21" s="915"/>
      <c r="M21" s="914"/>
      <c r="N21" s="914"/>
      <c r="O21" s="914"/>
      <c r="P21" s="914"/>
      <c r="Q21" s="914"/>
    </row>
    <row r="22" spans="1:17" ht="13">
      <c r="A22" s="910"/>
      <c r="C22" s="914"/>
      <c r="D22" s="914"/>
      <c r="E22" s="914"/>
      <c r="F22" s="914"/>
      <c r="G22" s="912"/>
      <c r="H22" s="915"/>
      <c r="I22" s="915"/>
      <c r="J22" s="915"/>
      <c r="K22" s="915"/>
      <c r="L22" s="915"/>
      <c r="M22" s="914"/>
      <c r="N22" s="914"/>
      <c r="O22" s="914"/>
      <c r="P22" s="914"/>
      <c r="Q22" s="914"/>
    </row>
    <row r="23" spans="1:17" ht="13">
      <c r="A23" s="910"/>
      <c r="C23" s="914"/>
      <c r="D23" s="914"/>
      <c r="E23" s="914"/>
      <c r="F23" s="914"/>
      <c r="G23" s="912"/>
      <c r="H23" s="915"/>
      <c r="I23" s="915"/>
      <c r="J23" s="915"/>
      <c r="K23" s="915"/>
      <c r="L23" s="915"/>
      <c r="M23" s="914"/>
      <c r="N23" s="914"/>
      <c r="O23" s="914"/>
      <c r="P23" s="914"/>
      <c r="Q23" s="914"/>
    </row>
    <row r="24" spans="1:17" ht="13">
      <c r="A24" s="910"/>
      <c r="B24" s="488"/>
      <c r="C24" s="914"/>
      <c r="D24" s="914"/>
      <c r="E24" s="914"/>
      <c r="F24" s="914"/>
      <c r="G24" s="912"/>
      <c r="H24" s="915"/>
      <c r="I24" s="915"/>
      <c r="J24" s="915"/>
      <c r="K24" s="915"/>
      <c r="L24" s="915"/>
      <c r="M24" s="914"/>
      <c r="N24" s="914"/>
      <c r="O24" s="914"/>
      <c r="P24" s="914"/>
      <c r="Q24" s="914"/>
    </row>
    <row r="25" spans="1:17" ht="13">
      <c r="A25" s="910"/>
      <c r="C25" s="914"/>
      <c r="D25" s="914"/>
      <c r="E25" s="914"/>
      <c r="F25" s="914"/>
      <c r="G25" s="912"/>
      <c r="H25" s="915"/>
      <c r="I25" s="915"/>
      <c r="J25" s="915"/>
      <c r="K25" s="915"/>
      <c r="L25" s="915"/>
      <c r="M25" s="914"/>
      <c r="N25" s="914"/>
      <c r="O25" s="914"/>
      <c r="P25" s="914"/>
      <c r="Q25" s="914"/>
    </row>
    <row r="26" spans="1:17" ht="13">
      <c r="A26" s="910"/>
      <c r="C26" s="914"/>
      <c r="D26" s="914"/>
      <c r="E26" s="914"/>
      <c r="F26" s="914"/>
      <c r="G26" s="912"/>
      <c r="H26" s="917"/>
      <c r="I26" s="917"/>
      <c r="J26" s="914"/>
      <c r="K26" s="914"/>
      <c r="L26" s="914"/>
      <c r="M26" s="914"/>
      <c r="N26" s="914"/>
      <c r="O26" s="914"/>
      <c r="P26" s="914"/>
      <c r="Q26" s="914"/>
    </row>
    <row r="27" spans="1:17" ht="13">
      <c r="A27" s="910"/>
      <c r="C27" s="914"/>
      <c r="D27" s="914"/>
      <c r="E27" s="914"/>
      <c r="F27" s="914"/>
      <c r="G27" s="912"/>
      <c r="H27" s="917"/>
      <c r="I27" s="917"/>
      <c r="J27" s="914"/>
      <c r="K27" s="914"/>
      <c r="L27" s="914"/>
      <c r="M27" s="914"/>
      <c r="N27" s="914"/>
      <c r="O27" s="914"/>
      <c r="P27" s="914"/>
      <c r="Q27" s="914"/>
    </row>
    <row r="28" spans="1:17" ht="13">
      <c r="A28" s="910"/>
      <c r="C28" s="914"/>
      <c r="D28" s="914"/>
      <c r="E28" s="914"/>
      <c r="F28" s="914"/>
      <c r="G28" s="912"/>
      <c r="H28" s="915"/>
      <c r="I28" s="915"/>
      <c r="J28" s="914"/>
      <c r="K28" s="914"/>
      <c r="L28" s="914"/>
      <c r="M28" s="914"/>
      <c r="N28" s="914"/>
      <c r="O28" s="914"/>
      <c r="P28" s="914"/>
      <c r="Q28" s="914"/>
    </row>
    <row r="29" spans="1:17" ht="13">
      <c r="A29" s="910"/>
      <c r="B29" s="911"/>
      <c r="C29" s="912"/>
      <c r="D29" s="912"/>
      <c r="E29" s="912"/>
      <c r="F29" s="912"/>
      <c r="G29" s="912"/>
      <c r="H29" s="913"/>
      <c r="I29" s="913"/>
      <c r="J29" s="912"/>
      <c r="K29" s="912"/>
      <c r="L29" s="912"/>
      <c r="M29" s="912"/>
      <c r="N29" s="912"/>
      <c r="O29" s="912"/>
      <c r="P29" s="912"/>
      <c r="Q29" s="912"/>
    </row>
    <row r="30" spans="1:17" ht="13">
      <c r="A30" s="910"/>
      <c r="C30" s="914"/>
      <c r="D30" s="914"/>
      <c r="E30" s="914"/>
      <c r="F30" s="914"/>
      <c r="G30" s="912"/>
      <c r="H30" s="915"/>
      <c r="I30" s="915"/>
      <c r="J30" s="914"/>
      <c r="K30" s="914"/>
      <c r="L30" s="914"/>
      <c r="M30" s="914"/>
      <c r="N30" s="914"/>
      <c r="O30" s="914"/>
      <c r="P30" s="914"/>
      <c r="Q30" s="914"/>
    </row>
    <row r="31" spans="1:17" ht="13">
      <c r="A31" s="910"/>
      <c r="C31" s="914"/>
      <c r="D31" s="914"/>
      <c r="E31" s="914"/>
      <c r="F31" s="914"/>
      <c r="G31" s="912"/>
      <c r="H31" s="915"/>
      <c r="I31" s="915"/>
      <c r="J31" s="914"/>
      <c r="K31" s="914"/>
      <c r="L31" s="914"/>
      <c r="M31" s="914"/>
      <c r="N31" s="914"/>
      <c r="O31" s="914"/>
      <c r="P31" s="914"/>
      <c r="Q31" s="914"/>
    </row>
    <row r="32" spans="1:17" ht="13">
      <c r="A32" s="910"/>
      <c r="B32" s="488"/>
      <c r="C32" s="914"/>
      <c r="D32" s="914"/>
      <c r="E32" s="914"/>
      <c r="F32" s="914"/>
      <c r="G32" s="912"/>
      <c r="H32" s="915"/>
      <c r="I32" s="915"/>
      <c r="J32" s="914"/>
      <c r="K32" s="914"/>
      <c r="L32" s="914"/>
      <c r="M32" s="914"/>
      <c r="N32" s="914"/>
      <c r="O32" s="914"/>
      <c r="P32" s="914"/>
      <c r="Q32" s="914"/>
    </row>
    <row r="33" spans="1:17" ht="13">
      <c r="A33" s="910"/>
      <c r="B33" s="557"/>
      <c r="C33" s="912"/>
      <c r="D33" s="912"/>
      <c r="E33" s="912"/>
      <c r="F33" s="912"/>
      <c r="G33" s="912"/>
      <c r="H33" s="912"/>
      <c r="I33" s="912"/>
      <c r="J33" s="912"/>
      <c r="K33" s="912"/>
      <c r="L33" s="912"/>
      <c r="M33" s="912"/>
      <c r="N33" s="912"/>
      <c r="O33" s="912"/>
      <c r="P33" s="912"/>
      <c r="Q33" s="912"/>
    </row>
    <row r="34" spans="1:17" ht="13">
      <c r="A34" s="910"/>
      <c r="B34" s="557"/>
      <c r="C34" s="912"/>
      <c r="D34" s="912"/>
      <c r="E34" s="912"/>
      <c r="F34" s="912"/>
      <c r="G34" s="912"/>
      <c r="H34" s="912"/>
      <c r="I34" s="912"/>
      <c r="J34" s="912"/>
      <c r="K34" s="912"/>
      <c r="L34" s="914"/>
      <c r="M34" s="912"/>
      <c r="N34" s="912"/>
      <c r="O34" s="912"/>
      <c r="P34" s="912"/>
      <c r="Q34" s="912"/>
    </row>
    <row r="35" spans="1:17" ht="13">
      <c r="A35" s="910"/>
      <c r="B35" s="557"/>
      <c r="C35" s="912"/>
      <c r="D35" s="912"/>
      <c r="E35" s="912"/>
      <c r="F35" s="912"/>
      <c r="G35" s="912"/>
      <c r="H35" s="912"/>
      <c r="I35" s="912"/>
      <c r="J35" s="912"/>
      <c r="K35" s="912"/>
      <c r="L35" s="912"/>
      <c r="M35" s="912"/>
      <c r="N35" s="912"/>
      <c r="O35" s="912"/>
      <c r="P35" s="912"/>
      <c r="Q35" s="912"/>
    </row>
    <row r="36" spans="1:17" ht="5.25" customHeight="1">
      <c r="B36" s="557"/>
      <c r="C36" s="12"/>
      <c r="D36" s="12"/>
      <c r="E36" s="12"/>
      <c r="F36" s="12"/>
      <c r="G36" s="12"/>
      <c r="H36" s="12"/>
      <c r="I36" s="12"/>
      <c r="J36" s="12"/>
      <c r="K36" s="12"/>
      <c r="L36" s="12"/>
      <c r="M36" s="12"/>
      <c r="N36" s="12"/>
      <c r="O36" s="12"/>
      <c r="P36" s="12"/>
      <c r="Q36" s="918"/>
    </row>
    <row r="37" spans="1:17" ht="13">
      <c r="B37" s="557"/>
      <c r="G37" s="7"/>
      <c r="H37" s="7"/>
      <c r="I37" s="7"/>
      <c r="J37" s="7"/>
      <c r="K37" s="7"/>
      <c r="L37" s="7"/>
    </row>
    <row r="38" spans="1:17">
      <c r="A38" s="919"/>
      <c r="B38" s="920"/>
      <c r="C38" s="921"/>
      <c r="D38" s="921"/>
      <c r="E38" s="921"/>
      <c r="F38" s="921"/>
      <c r="G38" s="922"/>
      <c r="H38" s="922"/>
      <c r="I38" s="922"/>
      <c r="J38" s="922"/>
      <c r="K38" s="922"/>
      <c r="L38" s="922"/>
      <c r="M38" s="922"/>
      <c r="N38" s="922"/>
      <c r="O38" s="921"/>
      <c r="P38" s="921"/>
      <c r="Q38" s="922"/>
    </row>
    <row r="39" spans="1:17">
      <c r="A39" s="919"/>
      <c r="B39" s="920"/>
      <c r="C39" s="921"/>
      <c r="D39" s="921"/>
      <c r="E39" s="921"/>
      <c r="F39" s="921"/>
      <c r="G39" s="922"/>
      <c r="H39" s="922"/>
      <c r="I39" s="922"/>
      <c r="J39" s="922"/>
      <c r="K39" s="922"/>
      <c r="L39" s="922"/>
      <c r="M39" s="922"/>
      <c r="N39" s="922"/>
      <c r="O39" s="921"/>
      <c r="P39" s="921"/>
      <c r="Q39" s="922"/>
    </row>
    <row r="40" spans="1:17">
      <c r="A40" s="919"/>
      <c r="B40" s="920"/>
      <c r="C40" s="921"/>
      <c r="D40" s="921"/>
      <c r="E40" s="921"/>
      <c r="F40" s="921"/>
      <c r="G40" s="922"/>
      <c r="H40" s="922"/>
      <c r="I40" s="922"/>
      <c r="J40" s="922"/>
      <c r="K40" s="922"/>
      <c r="L40" s="922"/>
      <c r="M40" s="922"/>
      <c r="N40" s="922"/>
      <c r="O40" s="921"/>
      <c r="P40" s="921"/>
      <c r="Q40" s="922"/>
    </row>
    <row r="41" spans="1:17" s="2" customFormat="1" ht="13">
      <c r="A41" s="923"/>
      <c r="B41" s="924"/>
      <c r="C41" s="925"/>
      <c r="D41" s="925"/>
      <c r="E41" s="925"/>
      <c r="F41" s="925"/>
      <c r="G41" s="926"/>
      <c r="H41" s="926"/>
      <c r="I41" s="926"/>
      <c r="J41" s="926"/>
      <c r="K41" s="926"/>
      <c r="L41" s="926"/>
      <c r="M41" s="926"/>
      <c r="N41" s="926"/>
      <c r="O41" s="926"/>
      <c r="P41" s="926"/>
      <c r="Q41" s="926"/>
    </row>
    <row r="42" spans="1:17" ht="12.75" customHeight="1">
      <c r="A42" s="919"/>
      <c r="B42" s="920"/>
    </row>
    <row r="43" spans="1:17">
      <c r="A43" s="919"/>
      <c r="B43" s="920"/>
      <c r="F43" s="927"/>
      <c r="G43" s="7"/>
      <c r="H43" s="7"/>
      <c r="I43" s="7"/>
      <c r="J43" s="7"/>
      <c r="K43" s="7"/>
      <c r="L43" s="7"/>
      <c r="Q43" s="7"/>
    </row>
    <row r="44" spans="1:17">
      <c r="A44" s="919"/>
      <c r="B44" s="920"/>
      <c r="F44" s="927"/>
      <c r="G44" s="927"/>
      <c r="H44" s="927"/>
      <c r="I44" s="927"/>
      <c r="J44" s="927"/>
      <c r="K44" s="927"/>
      <c r="L44" s="927"/>
      <c r="Q44" s="7"/>
    </row>
    <row r="45" spans="1:17">
      <c r="A45" s="919"/>
      <c r="B45" s="920"/>
      <c r="C45" s="928"/>
      <c r="D45" s="928"/>
      <c r="E45" s="928"/>
      <c r="F45" s="928"/>
      <c r="G45" s="7"/>
      <c r="H45" s="7"/>
      <c r="I45" s="7"/>
      <c r="J45" s="7"/>
      <c r="K45" s="7"/>
      <c r="L45" s="7"/>
    </row>
    <row r="46" spans="1:17">
      <c r="A46" s="919"/>
      <c r="B46" s="920"/>
      <c r="G46" s="628"/>
      <c r="H46" s="628"/>
      <c r="I46" s="628"/>
      <c r="J46" s="628"/>
      <c r="K46" s="628"/>
      <c r="L46" s="628"/>
    </row>
  </sheetData>
  <mergeCells count="21">
    <mergeCell ref="B3:Q3"/>
    <mergeCell ref="A4:A6"/>
    <mergeCell ref="B4:B6"/>
    <mergeCell ref="C4:G4"/>
    <mergeCell ref="H4:L4"/>
    <mergeCell ref="M4:Q4"/>
    <mergeCell ref="C5:D5"/>
    <mergeCell ref="E5:F5"/>
    <mergeCell ref="G5:G6"/>
    <mergeCell ref="H5:I5"/>
    <mergeCell ref="Q5:Q6"/>
    <mergeCell ref="C7:D7"/>
    <mergeCell ref="E7:F7"/>
    <mergeCell ref="H7:I7"/>
    <mergeCell ref="J7:K7"/>
    <mergeCell ref="M7:N7"/>
    <mergeCell ref="O7:P7"/>
    <mergeCell ref="J5:K5"/>
    <mergeCell ref="L5:L6"/>
    <mergeCell ref="M5:N5"/>
    <mergeCell ref="O5:P5"/>
  </mergeCells>
  <printOptions horizontalCentered="1" verticalCentered="1" gridLines="1"/>
  <pageMargins left="0" right="0" top="0.39370078740157483" bottom="0.31496062992125984" header="0" footer="0"/>
  <pageSetup paperSize="9" scale="80" orientation="landscape" r:id="rId1"/>
  <headerFooter alignWithMargins="0">
    <oddFooter xml:space="preserve">&amp;R&amp;"Arial,Bold"&amp;12OERC FORM-&amp;A
&amp;"Arial,Regular"&amp;10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5939-0044-475E-A102-5B2E52C46A0A}">
  <dimension ref="A1:Q40"/>
  <sheetViews>
    <sheetView showGridLines="0" view="pageBreakPreview" zoomScale="110" zoomScaleSheetLayoutView="110" workbookViewId="0">
      <pane xSplit="2" ySplit="2" topLeftCell="C47" activePane="bottomRight" state="frozen"/>
      <selection activeCell="L17" sqref="L17"/>
      <selection pane="topRight" activeCell="L17" sqref="L17"/>
      <selection pane="bottomLeft" activeCell="L17" sqref="L17"/>
      <selection pane="bottomRight" activeCell="L17" sqref="L17"/>
    </sheetView>
  </sheetViews>
  <sheetFormatPr defaultRowHeight="12.5"/>
  <cols>
    <col min="1" max="1" width="5.453125" style="489" customWidth="1"/>
    <col min="2" max="2" width="33.1796875" style="64" customWidth="1"/>
    <col min="3" max="3" width="15.7265625" customWidth="1"/>
    <col min="4" max="4" width="9.54296875" customWidth="1"/>
    <col min="5" max="5" width="9.26953125" customWidth="1"/>
    <col min="6" max="6" width="10" customWidth="1"/>
    <col min="7" max="7" width="8.81640625" customWidth="1"/>
    <col min="8" max="8" width="9.54296875" customWidth="1"/>
    <col min="9" max="11" width="9.7265625" customWidth="1"/>
    <col min="12" max="12" width="8.81640625" customWidth="1"/>
    <col min="13" max="13" width="9.26953125" customWidth="1"/>
    <col min="14" max="14" width="9.7265625" customWidth="1"/>
    <col min="15" max="15" width="9.1796875" customWidth="1"/>
    <col min="16" max="16" width="10.54296875" customWidth="1"/>
    <col min="17" max="17" width="9.453125" customWidth="1"/>
  </cols>
  <sheetData>
    <row r="1" spans="1:17" ht="13">
      <c r="B1" s="558" t="s">
        <v>1</v>
      </c>
      <c r="C1" s="31" t="s">
        <v>2154</v>
      </c>
      <c r="D1" s="2"/>
      <c r="G1" s="2"/>
      <c r="H1" s="2"/>
      <c r="I1" s="2"/>
      <c r="J1" s="2"/>
      <c r="K1" s="2"/>
      <c r="L1" s="2"/>
      <c r="M1" s="2"/>
      <c r="N1" s="2"/>
      <c r="O1" s="2"/>
      <c r="P1" s="2"/>
    </row>
    <row r="2" spans="1:17" ht="13">
      <c r="C2" s="2" t="s">
        <v>2148</v>
      </c>
      <c r="P2" s="2"/>
    </row>
    <row r="3" spans="1:17" ht="13" customHeight="1">
      <c r="B3" s="2049" t="s">
        <v>2289</v>
      </c>
      <c r="C3" s="2049"/>
      <c r="D3" s="882"/>
      <c r="E3" s="882"/>
      <c r="P3" s="2"/>
    </row>
    <row r="4" spans="1:17" ht="13">
      <c r="A4" s="910"/>
      <c r="C4" s="914"/>
      <c r="D4" s="914"/>
      <c r="E4" s="914"/>
      <c r="F4" s="914"/>
      <c r="G4" s="936"/>
      <c r="H4" s="915"/>
      <c r="I4" s="915"/>
      <c r="J4" s="915"/>
      <c r="K4" s="915"/>
      <c r="L4" s="935"/>
      <c r="M4" s="914"/>
      <c r="N4" s="914"/>
      <c r="O4" s="914"/>
      <c r="P4" s="914"/>
      <c r="Q4" s="935"/>
    </row>
    <row r="5" spans="1:17" ht="26">
      <c r="A5" s="618" t="s">
        <v>2035</v>
      </c>
      <c r="B5" s="901" t="s">
        <v>2290</v>
      </c>
      <c r="C5" s="933" t="s">
        <v>2149</v>
      </c>
      <c r="D5" s="937"/>
      <c r="E5" s="937"/>
      <c r="F5" s="914"/>
      <c r="G5" s="912"/>
      <c r="H5" s="915"/>
      <c r="I5" s="915"/>
      <c r="J5" s="915"/>
      <c r="K5" s="915"/>
      <c r="L5" s="915"/>
      <c r="M5" s="914"/>
      <c r="N5" s="914"/>
      <c r="O5" s="914"/>
      <c r="P5" s="914"/>
      <c r="Q5" s="914"/>
    </row>
    <row r="6" spans="1:17" s="347" customFormat="1" ht="14.15" customHeight="1">
      <c r="A6" s="903">
        <v>1</v>
      </c>
      <c r="B6" s="939" t="s">
        <v>2291</v>
      </c>
      <c r="C6" s="726">
        <f>'F-12'!I37</f>
        <v>2589</v>
      </c>
      <c r="D6" s="938"/>
      <c r="E6" s="930"/>
      <c r="F6" s="930"/>
      <c r="G6" s="930"/>
      <c r="H6" s="931"/>
      <c r="I6" s="931"/>
      <c r="J6" s="931"/>
      <c r="K6" s="931"/>
      <c r="L6" s="931"/>
      <c r="M6" s="930"/>
      <c r="N6" s="930"/>
      <c r="O6" s="930"/>
      <c r="P6" s="930"/>
      <c r="Q6" s="930"/>
    </row>
    <row r="7" spans="1:17" s="347" customFormat="1">
      <c r="A7" s="903">
        <v>2</v>
      </c>
      <c r="B7" s="939" t="s">
        <v>2150</v>
      </c>
      <c r="C7" s="726">
        <f>'F-12'!I38</f>
        <v>784</v>
      </c>
      <c r="D7" s="938"/>
      <c r="E7" s="930"/>
      <c r="F7" s="930"/>
      <c r="G7" s="930"/>
      <c r="H7" s="931"/>
      <c r="I7" s="931"/>
      <c r="J7" s="931"/>
      <c r="K7" s="931"/>
      <c r="L7" s="931"/>
      <c r="M7" s="930"/>
      <c r="N7" s="930"/>
      <c r="O7" s="930"/>
      <c r="P7" s="930"/>
      <c r="Q7" s="930"/>
    </row>
    <row r="8" spans="1:17" s="347" customFormat="1" ht="25">
      <c r="A8" s="903">
        <v>3</v>
      </c>
      <c r="B8" s="939" t="s">
        <v>2151</v>
      </c>
      <c r="C8" s="726">
        <f>'F-12'!I39</f>
        <v>330</v>
      </c>
      <c r="D8" s="938"/>
      <c r="E8" s="930"/>
      <c r="F8" s="930"/>
      <c r="G8" s="930"/>
      <c r="H8" s="931"/>
      <c r="I8" s="931"/>
      <c r="J8" s="931"/>
      <c r="K8" s="931"/>
      <c r="L8" s="931"/>
      <c r="M8" s="930"/>
      <c r="N8" s="930"/>
      <c r="O8" s="930"/>
      <c r="P8" s="930"/>
      <c r="Q8" s="930"/>
    </row>
    <row r="9" spans="1:17" s="347" customFormat="1" ht="13.5" customHeight="1">
      <c r="A9" s="903">
        <v>4</v>
      </c>
      <c r="B9" s="939" t="s">
        <v>2152</v>
      </c>
      <c r="C9" s="726">
        <f>C6+C7-C8</f>
        <v>3043</v>
      </c>
      <c r="D9" s="938"/>
      <c r="E9" s="938"/>
      <c r="F9" s="930"/>
      <c r="G9" s="930"/>
      <c r="H9" s="931"/>
      <c r="I9" s="931"/>
      <c r="J9" s="931"/>
      <c r="K9" s="931"/>
      <c r="L9" s="931"/>
      <c r="M9" s="930"/>
      <c r="N9" s="930"/>
      <c r="O9" s="930"/>
      <c r="P9" s="930"/>
      <c r="Q9" s="930"/>
    </row>
    <row r="10" spans="1:17" s="2" customFormat="1" ht="13">
      <c r="A10" s="903">
        <v>5</v>
      </c>
      <c r="B10" s="939" t="s">
        <v>2298</v>
      </c>
      <c r="C10" s="726">
        <f>'F-12'!W38</f>
        <v>511</v>
      </c>
      <c r="D10" s="938"/>
      <c r="E10" s="938"/>
      <c r="F10" s="912"/>
      <c r="G10" s="912"/>
      <c r="H10" s="913"/>
      <c r="I10" s="913"/>
      <c r="J10" s="913"/>
      <c r="K10" s="913"/>
      <c r="L10" s="913"/>
      <c r="M10" s="912"/>
      <c r="N10" s="912"/>
      <c r="O10" s="912"/>
      <c r="P10" s="912"/>
      <c r="Q10" s="912"/>
    </row>
    <row r="11" spans="1:17" s="347" customFormat="1" ht="25">
      <c r="A11" s="903">
        <v>6</v>
      </c>
      <c r="B11" s="939" t="s">
        <v>2303</v>
      </c>
      <c r="C11" s="726">
        <f>'F-12'!W39</f>
        <v>149</v>
      </c>
      <c r="D11" s="930"/>
      <c r="E11" s="930"/>
      <c r="F11" s="930"/>
      <c r="G11" s="930"/>
      <c r="H11" s="931"/>
      <c r="I11" s="931"/>
      <c r="J11" s="931"/>
      <c r="K11" s="931"/>
      <c r="L11" s="931"/>
      <c r="M11" s="930"/>
      <c r="N11" s="930"/>
      <c r="O11" s="930"/>
      <c r="P11" s="930"/>
      <c r="Q11" s="930"/>
    </row>
    <row r="12" spans="1:17" s="2" customFormat="1" ht="15" customHeight="1">
      <c r="A12" s="903">
        <v>7</v>
      </c>
      <c r="B12" s="939" t="s">
        <v>2304</v>
      </c>
      <c r="C12" s="726">
        <f>C9+C10-C11</f>
        <v>3405</v>
      </c>
      <c r="D12" s="930"/>
      <c r="E12" s="930"/>
      <c r="F12" s="912"/>
      <c r="G12" s="912"/>
      <c r="H12" s="913"/>
      <c r="I12" s="913"/>
      <c r="J12" s="913"/>
      <c r="K12" s="913"/>
      <c r="L12" s="913"/>
      <c r="M12" s="912"/>
      <c r="N12" s="912"/>
      <c r="O12" s="912"/>
      <c r="P12" s="912"/>
      <c r="Q12" s="912"/>
    </row>
    <row r="13" spans="1:17" ht="13">
      <c r="A13" s="929"/>
      <c r="B13" s="932"/>
      <c r="C13" s="938"/>
      <c r="D13" s="938"/>
      <c r="E13" s="938"/>
      <c r="F13" s="912"/>
      <c r="G13" s="912"/>
      <c r="H13" s="913"/>
      <c r="I13" s="913"/>
      <c r="J13" s="913"/>
      <c r="K13" s="913"/>
      <c r="L13" s="912"/>
      <c r="M13" s="912"/>
      <c r="N13" s="912"/>
      <c r="O13" s="912"/>
      <c r="P13" s="912"/>
      <c r="Q13" s="912"/>
    </row>
    <row r="14" spans="1:17" ht="13">
      <c r="A14" s="929"/>
      <c r="B14" s="488"/>
      <c r="C14" s="930"/>
      <c r="D14" s="930"/>
      <c r="E14" s="930"/>
      <c r="F14" s="914"/>
      <c r="G14" s="912"/>
      <c r="H14" s="915"/>
      <c r="I14" s="915"/>
      <c r="J14" s="915"/>
      <c r="K14" s="915"/>
      <c r="L14" s="915"/>
      <c r="M14" s="916"/>
      <c r="N14" s="914"/>
      <c r="O14" s="914"/>
      <c r="P14" s="914"/>
      <c r="Q14" s="914"/>
    </row>
    <row r="15" spans="1:17" ht="26">
      <c r="A15" s="618" t="s">
        <v>2035</v>
      </c>
      <c r="B15" s="901" t="s">
        <v>2292</v>
      </c>
      <c r="C15" s="933" t="s">
        <v>2149</v>
      </c>
      <c r="D15" s="914"/>
      <c r="E15" s="914"/>
      <c r="F15" s="914"/>
      <c r="G15" s="912"/>
      <c r="H15" s="915"/>
      <c r="I15" s="915"/>
      <c r="J15" s="915"/>
      <c r="K15" s="915"/>
      <c r="L15" s="915"/>
      <c r="M15" s="914"/>
      <c r="N15" s="914"/>
      <c r="O15" s="914"/>
      <c r="P15" s="914"/>
      <c r="Q15" s="914"/>
    </row>
    <row r="16" spans="1:17" ht="13">
      <c r="A16" s="903">
        <v>1</v>
      </c>
      <c r="B16" s="939" t="s">
        <v>2291</v>
      </c>
      <c r="C16" s="726">
        <f>2121+514</f>
        <v>2635</v>
      </c>
      <c r="D16" s="914"/>
      <c r="E16" s="914"/>
      <c r="F16" s="914"/>
      <c r="G16" s="912"/>
      <c r="H16" s="915"/>
      <c r="I16" s="915"/>
      <c r="J16" s="915"/>
      <c r="K16" s="915"/>
      <c r="L16" s="915"/>
      <c r="M16" s="914"/>
      <c r="N16" s="914"/>
      <c r="O16" s="914"/>
      <c r="P16" s="914"/>
      <c r="Q16" s="914"/>
    </row>
    <row r="17" spans="1:17" ht="13">
      <c r="A17" s="903">
        <v>2</v>
      </c>
      <c r="B17" s="939" t="s">
        <v>2150</v>
      </c>
      <c r="C17" s="726">
        <v>600</v>
      </c>
      <c r="D17" s="914"/>
      <c r="E17" s="914"/>
      <c r="F17" s="914"/>
      <c r="G17" s="912"/>
      <c r="H17" s="915"/>
      <c r="I17" s="915"/>
      <c r="J17" s="915"/>
      <c r="K17" s="915"/>
      <c r="L17" s="915"/>
      <c r="M17" s="914"/>
      <c r="N17" s="914"/>
      <c r="O17" s="914"/>
      <c r="P17" s="914"/>
      <c r="Q17" s="914"/>
    </row>
    <row r="18" spans="1:17" ht="25">
      <c r="A18" s="903">
        <v>3</v>
      </c>
      <c r="B18" s="939" t="s">
        <v>2151</v>
      </c>
      <c r="C18" s="726">
        <v>109</v>
      </c>
      <c r="D18" s="914"/>
      <c r="E18" s="914"/>
      <c r="F18" s="914"/>
      <c r="G18" s="912"/>
      <c r="H18" s="915"/>
      <c r="I18" s="915"/>
      <c r="J18" s="915"/>
      <c r="K18" s="915"/>
      <c r="L18" s="915"/>
      <c r="M18" s="914"/>
      <c r="N18" s="914"/>
      <c r="O18" s="914"/>
      <c r="P18" s="914"/>
      <c r="Q18" s="914"/>
    </row>
    <row r="19" spans="1:17" ht="13">
      <c r="A19" s="903">
        <v>4</v>
      </c>
      <c r="B19" s="939" t="s">
        <v>2152</v>
      </c>
      <c r="C19" s="726">
        <f>C16+C17-C18</f>
        <v>3126</v>
      </c>
      <c r="D19" s="914"/>
      <c r="E19" s="914"/>
      <c r="F19" s="914"/>
      <c r="G19" s="912"/>
      <c r="H19" s="915"/>
      <c r="I19" s="915"/>
      <c r="J19" s="915"/>
      <c r="K19" s="915"/>
      <c r="L19" s="915"/>
      <c r="M19" s="914"/>
      <c r="N19" s="914"/>
      <c r="O19" s="914"/>
      <c r="P19" s="914"/>
      <c r="Q19" s="914"/>
    </row>
    <row r="20" spans="1:17" ht="13">
      <c r="A20" s="903">
        <v>5</v>
      </c>
      <c r="B20" s="939" t="s">
        <v>2298</v>
      </c>
      <c r="C20" s="726">
        <v>725</v>
      </c>
      <c r="D20" s="914"/>
      <c r="E20" s="914"/>
      <c r="F20" s="914"/>
      <c r="G20" s="912"/>
      <c r="H20" s="917"/>
      <c r="I20" s="917"/>
      <c r="J20" s="914"/>
      <c r="K20" s="914"/>
      <c r="L20" s="914"/>
      <c r="M20" s="914"/>
      <c r="N20" s="914"/>
      <c r="O20" s="914"/>
      <c r="P20" s="914"/>
      <c r="Q20" s="914"/>
    </row>
    <row r="21" spans="1:17" ht="25">
      <c r="A21" s="903">
        <v>6</v>
      </c>
      <c r="B21" s="939" t="s">
        <v>2303</v>
      </c>
      <c r="C21" s="726">
        <v>88</v>
      </c>
      <c r="D21" s="914"/>
      <c r="E21" s="914"/>
      <c r="F21" s="914"/>
      <c r="G21" s="912"/>
      <c r="H21" s="917"/>
      <c r="I21" s="917"/>
      <c r="J21" s="914"/>
      <c r="K21" s="914"/>
      <c r="L21" s="914"/>
      <c r="M21" s="914"/>
      <c r="N21" s="914"/>
      <c r="O21" s="914"/>
      <c r="P21" s="914"/>
      <c r="Q21" s="914"/>
    </row>
    <row r="22" spans="1:17" ht="13">
      <c r="A22" s="903">
        <v>7</v>
      </c>
      <c r="B22" s="939" t="s">
        <v>2304</v>
      </c>
      <c r="C22" s="726">
        <f>C19+C20-C21</f>
        <v>3763</v>
      </c>
      <c r="D22" s="914"/>
      <c r="E22" s="914"/>
      <c r="F22" s="914"/>
      <c r="G22" s="912"/>
      <c r="H22" s="915"/>
      <c r="I22" s="915"/>
      <c r="J22" s="914"/>
      <c r="K22" s="914"/>
      <c r="L22" s="914"/>
      <c r="M22" s="914"/>
      <c r="N22" s="914"/>
      <c r="O22" s="914"/>
      <c r="P22" s="914"/>
      <c r="Q22" s="914"/>
    </row>
    <row r="23" spans="1:17" ht="13">
      <c r="A23" s="903">
        <v>8</v>
      </c>
      <c r="B23" s="939" t="s">
        <v>2153</v>
      </c>
      <c r="C23" s="726">
        <f>AVERAGE(C16,C19)</f>
        <v>2880.5</v>
      </c>
      <c r="D23" s="912"/>
      <c r="E23" s="912"/>
      <c r="F23" s="912"/>
      <c r="G23" s="912"/>
      <c r="H23" s="913"/>
      <c r="I23" s="913"/>
      <c r="J23" s="912"/>
      <c r="K23" s="912"/>
      <c r="L23" s="912"/>
      <c r="M23" s="912"/>
      <c r="N23" s="912"/>
      <c r="O23" s="912"/>
      <c r="P23" s="912"/>
      <c r="Q23" s="912"/>
    </row>
    <row r="24" spans="1:17" ht="13">
      <c r="A24" s="903">
        <v>9</v>
      </c>
      <c r="B24" s="939" t="s">
        <v>2305</v>
      </c>
      <c r="C24" s="726">
        <f>AVERAGE(C19,C22)</f>
        <v>3444.5</v>
      </c>
      <c r="D24" s="914"/>
      <c r="E24" s="914"/>
      <c r="F24" s="914"/>
      <c r="G24" s="912"/>
      <c r="H24" s="915"/>
      <c r="I24" s="915"/>
      <c r="J24" s="914"/>
      <c r="K24" s="914"/>
      <c r="L24" s="914"/>
      <c r="M24" s="914"/>
      <c r="N24" s="914"/>
      <c r="O24" s="914"/>
      <c r="P24" s="914"/>
      <c r="Q24" s="914"/>
    </row>
    <row r="25" spans="1:17" ht="13">
      <c r="A25" s="910"/>
      <c r="C25" s="914"/>
      <c r="D25" s="914"/>
      <c r="E25" s="914"/>
      <c r="F25" s="914"/>
      <c r="G25" s="912"/>
      <c r="H25" s="915"/>
      <c r="I25" s="915"/>
      <c r="J25" s="914"/>
      <c r="K25" s="914"/>
      <c r="L25" s="914"/>
      <c r="M25" s="914"/>
      <c r="N25" s="914"/>
      <c r="O25" s="914"/>
      <c r="P25" s="914"/>
      <c r="Q25" s="914"/>
    </row>
    <row r="26" spans="1:17" ht="13">
      <c r="A26" s="910"/>
      <c r="B26" s="488"/>
      <c r="C26" s="914" t="s">
        <v>1850</v>
      </c>
      <c r="D26" s="914"/>
      <c r="E26" s="914"/>
      <c r="F26" s="914"/>
      <c r="G26" s="912"/>
      <c r="H26" s="915"/>
      <c r="I26" s="915"/>
      <c r="J26" s="914"/>
      <c r="K26" s="914"/>
      <c r="L26" s="914"/>
      <c r="M26" s="914"/>
      <c r="N26" s="914"/>
      <c r="O26" s="914"/>
      <c r="P26" s="914"/>
      <c r="Q26" s="914"/>
    </row>
    <row r="27" spans="1:17" ht="26">
      <c r="A27" s="618" t="s">
        <v>2035</v>
      </c>
      <c r="B27" s="901" t="s">
        <v>2194</v>
      </c>
      <c r="C27" s="933" t="s">
        <v>2149</v>
      </c>
      <c r="D27" s="912"/>
      <c r="E27" s="912"/>
      <c r="F27" s="912"/>
      <c r="G27" s="912"/>
      <c r="H27" s="912"/>
      <c r="I27" s="912"/>
      <c r="J27" s="912"/>
      <c r="K27" s="912"/>
      <c r="L27" s="912"/>
      <c r="M27" s="912"/>
      <c r="N27" s="912"/>
      <c r="O27" s="912"/>
      <c r="P27" s="912"/>
      <c r="Q27" s="912"/>
    </row>
    <row r="28" spans="1:17" ht="13">
      <c r="A28" s="903">
        <v>1</v>
      </c>
      <c r="B28" s="1068">
        <v>45017</v>
      </c>
      <c r="C28" s="895">
        <v>78.943399999999997</v>
      </c>
      <c r="D28" s="912"/>
      <c r="E28" s="912"/>
      <c r="F28" s="912"/>
      <c r="G28" s="912"/>
      <c r="H28" s="912"/>
      <c r="I28" s="912"/>
      <c r="J28" s="912"/>
      <c r="K28" s="912"/>
      <c r="L28" s="914"/>
      <c r="M28" s="912"/>
      <c r="N28" s="912"/>
      <c r="O28" s="912"/>
      <c r="P28" s="912"/>
      <c r="Q28" s="912"/>
    </row>
    <row r="29" spans="1:17" ht="13">
      <c r="A29" s="903">
        <v>2</v>
      </c>
      <c r="B29" s="1068">
        <v>45047</v>
      </c>
      <c r="C29" s="895">
        <v>78.943399999999997</v>
      </c>
      <c r="D29" s="912"/>
      <c r="E29" s="912"/>
      <c r="F29" s="912"/>
      <c r="G29" s="912"/>
      <c r="H29" s="912"/>
      <c r="I29" s="912"/>
      <c r="J29" s="912"/>
      <c r="K29" s="912"/>
      <c r="L29" s="912"/>
      <c r="M29" s="912"/>
      <c r="N29" s="912"/>
      <c r="O29" s="912"/>
      <c r="P29" s="912"/>
      <c r="Q29" s="912"/>
    </row>
    <row r="30" spans="1:17" ht="13">
      <c r="A30" s="903">
        <v>3</v>
      </c>
      <c r="B30" s="1068">
        <v>45078</v>
      </c>
      <c r="C30" s="895">
        <v>78.943399999999997</v>
      </c>
      <c r="D30" s="912"/>
      <c r="E30" s="12"/>
      <c r="F30" s="12"/>
      <c r="G30" s="12"/>
      <c r="H30" s="12"/>
      <c r="I30" s="12"/>
      <c r="J30" s="12"/>
      <c r="K30" s="12"/>
      <c r="L30" s="12"/>
      <c r="M30" s="12"/>
      <c r="N30" s="12"/>
      <c r="O30" s="12"/>
      <c r="P30" s="12"/>
      <c r="Q30" s="918"/>
    </row>
    <row r="31" spans="1:17" ht="13">
      <c r="A31" s="903">
        <v>4</v>
      </c>
      <c r="B31" s="1068">
        <v>45108</v>
      </c>
      <c r="C31" s="895">
        <v>78.943399999999997</v>
      </c>
      <c r="D31" s="912"/>
      <c r="G31" s="7"/>
      <c r="H31" s="7"/>
      <c r="I31" s="7"/>
      <c r="J31" s="7"/>
      <c r="K31" s="7"/>
      <c r="L31" s="7"/>
    </row>
    <row r="32" spans="1:17" ht="13">
      <c r="A32" s="903">
        <v>5</v>
      </c>
      <c r="B32" s="1068">
        <v>45139</v>
      </c>
      <c r="C32" s="895">
        <v>78.943399999999997</v>
      </c>
      <c r="D32" s="912"/>
      <c r="E32" s="921"/>
      <c r="F32" s="921"/>
      <c r="G32" s="922"/>
      <c r="H32" s="922"/>
      <c r="I32" s="922"/>
      <c r="J32" s="922"/>
      <c r="K32" s="922"/>
      <c r="L32" s="922"/>
      <c r="M32" s="922"/>
      <c r="N32" s="922"/>
      <c r="O32" s="921"/>
      <c r="P32" s="921"/>
      <c r="Q32" s="922"/>
    </row>
    <row r="33" spans="1:17" ht="13">
      <c r="A33" s="903">
        <v>6</v>
      </c>
      <c r="B33" s="1068">
        <v>45170</v>
      </c>
      <c r="C33" s="895">
        <v>78.943399999999997</v>
      </c>
      <c r="D33" s="912"/>
      <c r="E33" s="921"/>
      <c r="F33" s="921"/>
      <c r="G33" s="922"/>
      <c r="H33" s="922"/>
      <c r="I33" s="922"/>
      <c r="J33" s="922"/>
      <c r="K33" s="922"/>
      <c r="L33" s="922"/>
      <c r="M33" s="922"/>
      <c r="N33" s="922"/>
      <c r="O33" s="921"/>
      <c r="P33" s="921"/>
      <c r="Q33" s="922"/>
    </row>
    <row r="34" spans="1:17" ht="13">
      <c r="A34" s="903">
        <v>7</v>
      </c>
      <c r="B34" s="1068">
        <v>45200</v>
      </c>
      <c r="C34" s="895">
        <v>78.943399999999997</v>
      </c>
      <c r="D34" s="912"/>
      <c r="E34" s="921"/>
      <c r="F34" s="921"/>
      <c r="G34" s="922"/>
      <c r="H34" s="922"/>
      <c r="I34" s="922"/>
      <c r="J34" s="922"/>
      <c r="K34" s="922"/>
      <c r="L34" s="922"/>
      <c r="M34" s="922"/>
      <c r="N34" s="922"/>
      <c r="O34" s="921"/>
      <c r="P34" s="921"/>
      <c r="Q34" s="922"/>
    </row>
    <row r="35" spans="1:17" s="2" customFormat="1" ht="13">
      <c r="A35" s="903">
        <v>8</v>
      </c>
      <c r="B35" s="1068">
        <v>45231</v>
      </c>
      <c r="C35" s="895">
        <v>78.943399999999997</v>
      </c>
      <c r="D35" s="912"/>
      <c r="E35" s="925"/>
      <c r="F35" s="925"/>
      <c r="G35" s="926"/>
      <c r="H35" s="926"/>
      <c r="I35" s="926"/>
      <c r="J35" s="926"/>
      <c r="K35" s="926"/>
      <c r="L35" s="926"/>
      <c r="M35" s="926"/>
      <c r="N35" s="926"/>
      <c r="O35" s="926"/>
      <c r="P35" s="926"/>
      <c r="Q35" s="926"/>
    </row>
    <row r="36" spans="1:17" ht="12.75" customHeight="1">
      <c r="A36" s="903">
        <v>9</v>
      </c>
      <c r="B36" s="1068" t="s">
        <v>2293</v>
      </c>
      <c r="C36" s="895">
        <f>SUM(C28:C35)/8*12</f>
        <v>947.32079999999996</v>
      </c>
    </row>
    <row r="37" spans="1:17">
      <c r="A37" s="919"/>
      <c r="B37" s="920"/>
      <c r="C37" s="489"/>
      <c r="F37" s="927"/>
      <c r="G37" s="7"/>
      <c r="H37" s="7"/>
      <c r="I37" s="7"/>
      <c r="J37" s="7"/>
      <c r="K37" s="7"/>
      <c r="L37" s="7"/>
      <c r="Q37" s="7"/>
    </row>
    <row r="38" spans="1:17">
      <c r="A38" s="919"/>
      <c r="B38" s="920"/>
      <c r="F38" s="927"/>
      <c r="G38" s="927"/>
      <c r="H38" s="927"/>
      <c r="I38" s="927"/>
      <c r="J38" s="927"/>
      <c r="K38" s="927"/>
      <c r="L38" s="927"/>
      <c r="Q38" s="7"/>
    </row>
    <row r="39" spans="1:17">
      <c r="A39" s="919"/>
      <c r="B39" s="920"/>
      <c r="C39" s="928"/>
      <c r="D39" s="928"/>
      <c r="E39" s="928"/>
      <c r="F39" s="928"/>
      <c r="G39" s="7"/>
      <c r="H39" s="7"/>
      <c r="I39" s="7"/>
      <c r="J39" s="7"/>
      <c r="K39" s="7"/>
      <c r="L39" s="7"/>
    </row>
    <row r="40" spans="1:17">
      <c r="A40" s="919"/>
      <c r="B40" s="920"/>
      <c r="G40" s="628"/>
      <c r="H40" s="628"/>
      <c r="I40" s="628"/>
      <c r="J40" s="628"/>
      <c r="K40" s="628"/>
      <c r="L40" s="628"/>
    </row>
  </sheetData>
  <mergeCells count="1">
    <mergeCell ref="B3:C3"/>
  </mergeCells>
  <phoneticPr fontId="25" type="noConversion"/>
  <printOptions horizontalCentered="1" gridLines="1"/>
  <pageMargins left="0" right="0" top="1.1811023622047245" bottom="0.31496062992125984" header="0" footer="0"/>
  <pageSetup paperSize="9" scale="110" orientation="portrait" r:id="rId1"/>
  <headerFooter alignWithMargins="0">
    <oddFooter xml:space="preserve">&amp;R&amp;"Arial,Bold"&amp;12OERC FORM-&amp;A
&amp;"Arial,Regular"&amp;10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55B9A-FAD5-461F-9A8D-77F66EE7AE96}">
  <dimension ref="A1:Q32"/>
  <sheetViews>
    <sheetView showGridLines="0" view="pageBreakPreview" zoomScale="110" zoomScaleSheetLayoutView="110" workbookViewId="0">
      <pane xSplit="2" ySplit="2" topLeftCell="C3" activePane="bottomRight" state="frozen"/>
      <selection activeCell="L17" sqref="L17"/>
      <selection pane="topRight" activeCell="L17" sqref="L17"/>
      <selection pane="bottomLeft" activeCell="L17" sqref="L17"/>
      <selection pane="bottomRight" activeCell="L17" sqref="L17"/>
    </sheetView>
  </sheetViews>
  <sheetFormatPr defaultRowHeight="12.5"/>
  <cols>
    <col min="1" max="1" width="5.453125" style="489" customWidth="1"/>
    <col min="2" max="2" width="33.1796875" style="64" customWidth="1"/>
    <col min="3" max="3" width="16.453125" customWidth="1"/>
    <col min="4" max="4" width="9.54296875" customWidth="1"/>
    <col min="5" max="5" width="9.26953125" customWidth="1"/>
    <col min="6" max="6" width="10" customWidth="1"/>
    <col min="7" max="7" width="8.81640625" customWidth="1"/>
    <col min="8" max="8" width="9.54296875" customWidth="1"/>
    <col min="9" max="11" width="9.7265625" customWidth="1"/>
    <col min="12" max="12" width="8.81640625" customWidth="1"/>
    <col min="13" max="13" width="9.26953125" customWidth="1"/>
    <col min="14" max="14" width="9.7265625" customWidth="1"/>
    <col min="15" max="15" width="9.1796875" customWidth="1"/>
    <col min="16" max="16" width="10.54296875" customWidth="1"/>
    <col min="17" max="17" width="9.453125" customWidth="1"/>
  </cols>
  <sheetData>
    <row r="1" spans="1:17" ht="13">
      <c r="B1" s="558" t="s">
        <v>1</v>
      </c>
      <c r="C1" s="31" t="s">
        <v>2154</v>
      </c>
      <c r="D1" s="2"/>
      <c r="G1" s="2"/>
      <c r="H1" s="2"/>
      <c r="I1" s="2"/>
      <c r="J1" s="2"/>
      <c r="K1" s="2"/>
      <c r="L1" s="2"/>
      <c r="M1" s="2"/>
      <c r="N1" s="2"/>
      <c r="O1" s="2"/>
      <c r="P1" s="2"/>
    </row>
    <row r="2" spans="1:17" ht="13">
      <c r="C2" s="2" t="s">
        <v>2294</v>
      </c>
      <c r="P2" s="2"/>
    </row>
    <row r="3" spans="1:17" ht="13" customHeight="1">
      <c r="B3" s="2049" t="s">
        <v>2295</v>
      </c>
      <c r="C3" s="2049"/>
      <c r="D3" s="882"/>
      <c r="E3" s="882"/>
      <c r="P3" s="2"/>
    </row>
    <row r="4" spans="1:17" ht="13">
      <c r="A4" s="910"/>
      <c r="C4" s="914"/>
      <c r="D4" s="914"/>
      <c r="E4" s="914"/>
      <c r="F4" s="914"/>
      <c r="G4" s="936"/>
      <c r="H4" s="915"/>
      <c r="I4" s="915"/>
      <c r="J4" s="915"/>
      <c r="K4" s="915"/>
      <c r="L4" s="935"/>
      <c r="M4" s="914"/>
      <c r="N4" s="914"/>
      <c r="O4" s="914"/>
      <c r="P4" s="914"/>
      <c r="Q4" s="935"/>
    </row>
    <row r="5" spans="1:17" ht="26">
      <c r="A5" s="618" t="s">
        <v>2035</v>
      </c>
      <c r="B5" s="901" t="s">
        <v>2296</v>
      </c>
      <c r="C5" s="933" t="s">
        <v>2149</v>
      </c>
      <c r="D5" s="937"/>
      <c r="E5" s="937"/>
      <c r="F5" s="914"/>
      <c r="G5" s="912"/>
      <c r="H5" s="915"/>
      <c r="I5" s="915"/>
      <c r="J5" s="915"/>
      <c r="K5" s="915"/>
      <c r="L5" s="915"/>
      <c r="M5" s="914"/>
      <c r="N5" s="914"/>
      <c r="O5" s="914"/>
      <c r="P5" s="914"/>
      <c r="Q5" s="914"/>
    </row>
    <row r="6" spans="1:17" s="347" customFormat="1" ht="14.15" customHeight="1">
      <c r="A6" s="903">
        <v>1</v>
      </c>
      <c r="B6" s="1068">
        <v>45017</v>
      </c>
      <c r="C6" s="1217">
        <v>1109.06531</v>
      </c>
      <c r="D6" s="938"/>
      <c r="E6" s="930"/>
      <c r="F6" s="930"/>
      <c r="G6" s="930"/>
      <c r="H6" s="931"/>
      <c r="I6" s="931"/>
      <c r="J6" s="931"/>
      <c r="K6" s="931"/>
      <c r="L6" s="931"/>
      <c r="M6" s="930"/>
      <c r="N6" s="930"/>
      <c r="O6" s="930"/>
      <c r="P6" s="930"/>
      <c r="Q6" s="930"/>
    </row>
    <row r="7" spans="1:17" s="347" customFormat="1" ht="12" customHeight="1">
      <c r="A7" s="903">
        <v>2</v>
      </c>
      <c r="B7" s="1068">
        <v>45047</v>
      </c>
      <c r="C7" s="1217">
        <v>1220.47945</v>
      </c>
      <c r="D7" s="938"/>
      <c r="E7" s="930"/>
      <c r="F7" s="930"/>
      <c r="G7" s="930"/>
      <c r="H7" s="931"/>
      <c r="I7" s="931"/>
      <c r="J7" s="931"/>
      <c r="K7" s="931"/>
      <c r="L7" s="931"/>
      <c r="M7" s="930"/>
      <c r="N7" s="930"/>
      <c r="O7" s="930"/>
      <c r="P7" s="930"/>
      <c r="Q7" s="930"/>
    </row>
    <row r="8" spans="1:17" s="347" customFormat="1">
      <c r="A8" s="903">
        <v>3</v>
      </c>
      <c r="B8" s="1068">
        <v>45078</v>
      </c>
      <c r="C8" s="1217">
        <v>1290.3580099999999</v>
      </c>
      <c r="D8" s="938"/>
      <c r="E8" s="930"/>
      <c r="F8" s="930"/>
      <c r="G8" s="930"/>
      <c r="H8" s="931"/>
      <c r="I8" s="931"/>
      <c r="J8" s="931"/>
      <c r="K8" s="931"/>
      <c r="L8" s="931"/>
      <c r="M8" s="930"/>
      <c r="N8" s="930"/>
      <c r="O8" s="930"/>
      <c r="P8" s="930"/>
      <c r="Q8" s="930"/>
    </row>
    <row r="9" spans="1:17" s="347" customFormat="1" ht="13.5" customHeight="1">
      <c r="A9" s="903">
        <v>4</v>
      </c>
      <c r="B9" s="1068">
        <v>45108</v>
      </c>
      <c r="C9" s="1217">
        <v>1434.0762500000001</v>
      </c>
      <c r="D9" s="938"/>
      <c r="E9" s="938"/>
      <c r="F9" s="930"/>
      <c r="G9" s="930"/>
      <c r="H9" s="931"/>
      <c r="I9" s="931"/>
      <c r="J9" s="931"/>
      <c r="K9" s="931"/>
      <c r="L9" s="931"/>
      <c r="M9" s="930"/>
      <c r="N9" s="930"/>
      <c r="O9" s="930"/>
      <c r="P9" s="930"/>
      <c r="Q9" s="930"/>
    </row>
    <row r="10" spans="1:17" s="2" customFormat="1" ht="13">
      <c r="A10" s="903">
        <v>5</v>
      </c>
      <c r="B10" s="1068">
        <v>45139</v>
      </c>
      <c r="C10" s="1217">
        <v>1223.3428799999999</v>
      </c>
      <c r="D10" s="938"/>
      <c r="E10" s="938"/>
      <c r="F10" s="912"/>
      <c r="G10" s="912"/>
      <c r="H10" s="913"/>
      <c r="I10" s="913"/>
      <c r="J10" s="913"/>
      <c r="K10" s="913"/>
      <c r="L10" s="913"/>
      <c r="M10" s="912"/>
      <c r="N10" s="912"/>
      <c r="O10" s="912"/>
      <c r="P10" s="912"/>
      <c r="Q10" s="912"/>
    </row>
    <row r="11" spans="1:17" s="347" customFormat="1">
      <c r="A11" s="903">
        <v>6</v>
      </c>
      <c r="B11" s="1068">
        <v>45170</v>
      </c>
      <c r="C11" s="1217">
        <v>1134.5248200000001</v>
      </c>
      <c r="D11" s="930"/>
      <c r="E11" s="930"/>
      <c r="F11" s="930"/>
      <c r="G11" s="930"/>
      <c r="H11" s="931"/>
      <c r="I11" s="931"/>
      <c r="J11" s="931"/>
      <c r="K11" s="931"/>
      <c r="L11" s="931"/>
      <c r="M11" s="930"/>
      <c r="N11" s="930"/>
      <c r="O11" s="930"/>
      <c r="P11" s="930"/>
      <c r="Q11" s="930"/>
    </row>
    <row r="12" spans="1:17" s="2" customFormat="1" ht="15" customHeight="1">
      <c r="A12" s="903">
        <v>7</v>
      </c>
      <c r="B12" s="1068">
        <v>45200</v>
      </c>
      <c r="C12" s="1217">
        <v>1158.7191499999999</v>
      </c>
      <c r="D12" s="930"/>
      <c r="E12" s="930"/>
      <c r="F12" s="912"/>
      <c r="G12" s="912"/>
      <c r="H12" s="913"/>
      <c r="I12" s="913"/>
      <c r="J12" s="913"/>
      <c r="K12" s="913"/>
      <c r="L12" s="913"/>
      <c r="M12" s="912"/>
      <c r="N12" s="912"/>
      <c r="O12" s="912"/>
      <c r="P12" s="912"/>
      <c r="Q12" s="912"/>
    </row>
    <row r="13" spans="1:17" ht="13">
      <c r="A13" s="903">
        <v>8</v>
      </c>
      <c r="B13" s="902" t="s">
        <v>2297</v>
      </c>
      <c r="C13" s="726">
        <f>SUM(C6:C12)</f>
        <v>8570.5658699999985</v>
      </c>
      <c r="D13" s="938"/>
      <c r="E13" s="938"/>
      <c r="F13" s="912"/>
      <c r="G13" s="912"/>
      <c r="H13" s="913"/>
      <c r="I13" s="913"/>
      <c r="J13" s="913"/>
      <c r="K13" s="913"/>
      <c r="L13" s="912"/>
      <c r="M13" s="912"/>
      <c r="N13" s="912"/>
      <c r="O13" s="912"/>
      <c r="P13" s="912"/>
      <c r="Q13" s="912"/>
    </row>
    <row r="14" spans="1:17" ht="13">
      <c r="A14" s="903">
        <v>9</v>
      </c>
      <c r="B14" s="902" t="s">
        <v>2057</v>
      </c>
      <c r="C14" s="726">
        <f>AVERAGE(C6:C12)</f>
        <v>1224.3665528571426</v>
      </c>
      <c r="D14" s="938"/>
      <c r="E14" s="938"/>
      <c r="F14" s="912"/>
      <c r="G14" s="912"/>
      <c r="H14" s="913"/>
      <c r="I14" s="913"/>
      <c r="J14" s="913"/>
      <c r="K14" s="913"/>
      <c r="L14" s="912"/>
      <c r="M14" s="912"/>
      <c r="N14" s="912"/>
      <c r="O14" s="912"/>
      <c r="P14" s="912"/>
      <c r="Q14" s="912"/>
    </row>
    <row r="15" spans="1:17" ht="13">
      <c r="A15" s="903">
        <v>10</v>
      </c>
      <c r="B15" s="902" t="s">
        <v>2293</v>
      </c>
      <c r="C15" s="726">
        <f>C14*12</f>
        <v>14692.39863428571</v>
      </c>
      <c r="D15" s="938"/>
      <c r="E15" s="938"/>
      <c r="F15" s="912"/>
      <c r="G15" s="912"/>
      <c r="H15" s="913"/>
      <c r="I15" s="913"/>
      <c r="J15" s="913"/>
      <c r="K15" s="913"/>
      <c r="L15" s="912"/>
      <c r="M15" s="912"/>
      <c r="N15" s="912"/>
      <c r="O15" s="912"/>
      <c r="P15" s="912"/>
      <c r="Q15" s="912"/>
    </row>
    <row r="16" spans="1:17" ht="13">
      <c r="A16" s="929"/>
      <c r="B16" s="932"/>
      <c r="C16" s="938"/>
      <c r="D16" s="938"/>
      <c r="E16" s="938"/>
      <c r="F16" s="912"/>
      <c r="G16" s="912"/>
      <c r="H16" s="913"/>
      <c r="I16" s="913"/>
      <c r="J16" s="913"/>
      <c r="K16" s="913"/>
      <c r="L16" s="912"/>
      <c r="M16" s="912"/>
      <c r="N16" s="912"/>
      <c r="O16" s="912"/>
      <c r="P16" s="912"/>
      <c r="Q16" s="912"/>
    </row>
    <row r="17" spans="1:17" ht="13">
      <c r="A17" s="910"/>
      <c r="C17" s="914"/>
      <c r="D17" s="914"/>
      <c r="E17" s="914"/>
      <c r="F17" s="914"/>
      <c r="G17" s="912"/>
      <c r="H17" s="915"/>
      <c r="I17" s="915"/>
      <c r="J17" s="914"/>
      <c r="K17" s="914"/>
      <c r="L17" s="914"/>
      <c r="M17" s="914"/>
      <c r="N17" s="914"/>
      <c r="O17" s="914"/>
      <c r="P17" s="914"/>
      <c r="Q17" s="914"/>
    </row>
    <row r="18" spans="1:17" ht="13">
      <c r="A18" s="910"/>
      <c r="B18" s="488"/>
      <c r="C18" s="914"/>
      <c r="D18" s="914"/>
      <c r="E18" s="914"/>
      <c r="F18" s="914"/>
      <c r="G18" s="912"/>
      <c r="H18" s="915"/>
      <c r="I18" s="915"/>
      <c r="J18" s="914"/>
      <c r="K18" s="914"/>
      <c r="L18" s="914"/>
      <c r="M18" s="914"/>
      <c r="N18" s="914"/>
      <c r="O18" s="914"/>
      <c r="P18" s="914"/>
      <c r="Q18" s="914"/>
    </row>
    <row r="19" spans="1:17" ht="13">
      <c r="A19" s="910"/>
      <c r="B19" s="557"/>
      <c r="C19" s="912"/>
      <c r="D19" s="912"/>
      <c r="E19" s="912"/>
      <c r="F19" s="912"/>
      <c r="G19" s="912"/>
      <c r="H19" s="912"/>
      <c r="I19" s="912"/>
      <c r="J19" s="912"/>
      <c r="K19" s="912"/>
      <c r="L19" s="912"/>
      <c r="M19" s="912"/>
      <c r="N19" s="912"/>
      <c r="O19" s="912"/>
      <c r="P19" s="912"/>
      <c r="Q19" s="912"/>
    </row>
    <row r="20" spans="1:17" ht="13">
      <c r="A20" s="910"/>
      <c r="B20" s="557"/>
      <c r="C20" s="912"/>
      <c r="D20" s="912"/>
      <c r="E20" s="912"/>
      <c r="F20" s="912"/>
      <c r="G20" s="912"/>
      <c r="H20" s="912"/>
      <c r="I20" s="912"/>
      <c r="J20" s="912"/>
      <c r="K20" s="912"/>
      <c r="L20" s="914"/>
      <c r="M20" s="912"/>
      <c r="N20" s="912"/>
      <c r="O20" s="912"/>
      <c r="P20" s="912"/>
      <c r="Q20" s="912"/>
    </row>
    <row r="21" spans="1:17" ht="13">
      <c r="A21" s="910"/>
      <c r="B21" s="557"/>
      <c r="C21" s="912"/>
      <c r="D21" s="912"/>
      <c r="E21" s="912"/>
      <c r="F21" s="912"/>
      <c r="G21" s="912"/>
      <c r="H21" s="912"/>
      <c r="I21" s="912"/>
      <c r="J21" s="912"/>
      <c r="K21" s="912"/>
      <c r="L21" s="912"/>
      <c r="M21" s="912"/>
      <c r="N21" s="912"/>
      <c r="O21" s="912"/>
      <c r="P21" s="912"/>
      <c r="Q21" s="912"/>
    </row>
    <row r="22" spans="1:17" ht="5.25" customHeight="1">
      <c r="B22" s="557"/>
      <c r="C22" s="12"/>
      <c r="D22" s="12"/>
      <c r="E22" s="12"/>
      <c r="F22" s="12"/>
      <c r="G22" s="12"/>
      <c r="H22" s="12"/>
      <c r="I22" s="12"/>
      <c r="J22" s="12"/>
      <c r="K22" s="12"/>
      <c r="L22" s="12"/>
      <c r="M22" s="12"/>
      <c r="N22" s="12"/>
      <c r="O22" s="12"/>
      <c r="P22" s="12"/>
      <c r="Q22" s="918"/>
    </row>
    <row r="23" spans="1:17" ht="13">
      <c r="B23" s="557"/>
      <c r="G23" s="7"/>
      <c r="H23" s="7"/>
      <c r="I23" s="7"/>
      <c r="J23" s="7"/>
      <c r="K23" s="7"/>
      <c r="L23" s="7"/>
    </row>
    <row r="24" spans="1:17">
      <c r="A24" s="919"/>
      <c r="B24" s="920"/>
      <c r="C24" s="921"/>
      <c r="D24" s="921"/>
      <c r="E24" s="921"/>
      <c r="F24" s="921"/>
      <c r="G24" s="922"/>
      <c r="H24" s="922"/>
      <c r="I24" s="922"/>
      <c r="J24" s="922"/>
      <c r="K24" s="922"/>
      <c r="L24" s="922"/>
      <c r="M24" s="922"/>
      <c r="N24" s="922"/>
      <c r="O24" s="921"/>
      <c r="P24" s="921"/>
      <c r="Q24" s="922"/>
    </row>
    <row r="25" spans="1:17">
      <c r="A25" s="919"/>
      <c r="B25" s="920"/>
      <c r="C25" s="921"/>
      <c r="D25" s="921"/>
      <c r="E25" s="921"/>
      <c r="F25" s="921"/>
      <c r="G25" s="922"/>
      <c r="H25" s="922"/>
      <c r="I25" s="922"/>
      <c r="J25" s="922"/>
      <c r="K25" s="922"/>
      <c r="L25" s="922"/>
      <c r="M25" s="922"/>
      <c r="N25" s="922"/>
      <c r="O25" s="921"/>
      <c r="P25" s="921"/>
      <c r="Q25" s="922"/>
    </row>
    <row r="26" spans="1:17">
      <c r="A26" s="919"/>
      <c r="B26" s="920"/>
      <c r="C26" s="921"/>
      <c r="D26" s="921"/>
      <c r="E26" s="921"/>
      <c r="F26" s="921"/>
      <c r="G26" s="922"/>
      <c r="H26" s="922"/>
      <c r="I26" s="922"/>
      <c r="J26" s="922"/>
      <c r="K26" s="922"/>
      <c r="L26" s="922"/>
      <c r="M26" s="922"/>
      <c r="N26" s="922"/>
      <c r="O26" s="921"/>
      <c r="P26" s="921"/>
      <c r="Q26" s="922"/>
    </row>
    <row r="27" spans="1:17" s="2" customFormat="1" ht="13">
      <c r="A27" s="923"/>
      <c r="B27" s="924"/>
      <c r="C27" s="925"/>
      <c r="D27" s="925"/>
      <c r="E27" s="925"/>
      <c r="F27" s="925"/>
      <c r="G27" s="926"/>
      <c r="H27" s="926"/>
      <c r="I27" s="926"/>
      <c r="J27" s="926"/>
      <c r="K27" s="926"/>
      <c r="L27" s="926"/>
      <c r="M27" s="926"/>
      <c r="N27" s="926"/>
      <c r="O27" s="926"/>
      <c r="P27" s="926"/>
      <c r="Q27" s="926"/>
    </row>
    <row r="28" spans="1:17" ht="12.75" customHeight="1">
      <c r="A28" s="919"/>
      <c r="B28" s="920"/>
    </row>
    <row r="29" spans="1:17">
      <c r="A29" s="919"/>
      <c r="B29" s="920"/>
      <c r="F29" s="927"/>
      <c r="G29" s="7"/>
      <c r="H29" s="7"/>
      <c r="I29" s="7"/>
      <c r="J29" s="7"/>
      <c r="K29" s="7"/>
      <c r="L29" s="7"/>
      <c r="Q29" s="7"/>
    </row>
    <row r="30" spans="1:17">
      <c r="A30" s="919"/>
      <c r="B30" s="920"/>
      <c r="F30" s="927"/>
      <c r="G30" s="927"/>
      <c r="H30" s="927"/>
      <c r="I30" s="927"/>
      <c r="J30" s="927"/>
      <c r="K30" s="927"/>
      <c r="L30" s="927"/>
      <c r="Q30" s="7"/>
    </row>
    <row r="31" spans="1:17">
      <c r="A31" s="919"/>
      <c r="B31" s="920"/>
      <c r="C31" s="928"/>
      <c r="D31" s="928"/>
      <c r="E31" s="928"/>
      <c r="F31" s="928"/>
      <c r="G31" s="7"/>
      <c r="H31" s="7"/>
      <c r="I31" s="7"/>
      <c r="J31" s="7"/>
      <c r="K31" s="7"/>
      <c r="L31" s="7"/>
    </row>
    <row r="32" spans="1:17">
      <c r="A32" s="919"/>
      <c r="B32" s="920"/>
      <c r="G32" s="628"/>
      <c r="H32" s="628"/>
      <c r="I32" s="628"/>
      <c r="J32" s="628"/>
      <c r="K32" s="628"/>
      <c r="L32" s="628"/>
    </row>
  </sheetData>
  <mergeCells count="1">
    <mergeCell ref="B3:C3"/>
  </mergeCells>
  <printOptions horizontalCentered="1" verticalCentered="1" gridLines="1"/>
  <pageMargins left="0" right="0" top="0.39370078740157483" bottom="0.31496062992125984" header="0" footer="0"/>
  <pageSetup paperSize="9" scale="125" orientation="portrait" r:id="rId1"/>
  <headerFooter alignWithMargins="0">
    <oddFooter xml:space="preserve">&amp;R&amp;"Arial,Bold"&amp;12OERC FORM-&amp;A
&amp;"Arial,Regular"&amp;10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4">
    <pageSetUpPr fitToPage="1"/>
  </sheetPr>
  <dimension ref="A1:L54"/>
  <sheetViews>
    <sheetView showGridLines="0" view="pageBreakPreview" topLeftCell="A3" zoomScaleNormal="100" zoomScaleSheetLayoutView="100" workbookViewId="0">
      <selection activeCell="L17" sqref="L17"/>
    </sheetView>
  </sheetViews>
  <sheetFormatPr defaultRowHeight="12.5"/>
  <cols>
    <col min="1" max="1" width="10.26953125" customWidth="1"/>
    <col min="2" max="2" width="39.453125" customWidth="1"/>
    <col min="3" max="3" width="13.26953125" customWidth="1"/>
    <col min="4" max="4" width="12.36328125" bestFit="1" customWidth="1"/>
    <col min="5" max="5" width="12.453125" bestFit="1" customWidth="1"/>
    <col min="6" max="6" width="15.81640625" customWidth="1"/>
    <col min="7" max="7" width="13.1796875" customWidth="1"/>
    <col min="9" max="9" width="9.1796875" bestFit="1" customWidth="1"/>
    <col min="11" max="11" width="23.6328125" customWidth="1"/>
  </cols>
  <sheetData>
    <row r="1" spans="1:12" ht="13">
      <c r="A1" s="20" t="s">
        <v>1</v>
      </c>
      <c r="E1" s="3" t="s">
        <v>0</v>
      </c>
      <c r="F1" s="2" t="s">
        <v>2189</v>
      </c>
    </row>
    <row r="2" spans="1:12" ht="13">
      <c r="A2" s="65" t="s">
        <v>881</v>
      </c>
      <c r="B2" s="26"/>
      <c r="C2" s="26"/>
      <c r="D2" s="26"/>
      <c r="E2" s="26"/>
      <c r="F2" s="26"/>
    </row>
    <row r="3" spans="1:12" ht="13">
      <c r="F3" s="2" t="s">
        <v>496</v>
      </c>
    </row>
    <row r="4" spans="1:12" ht="39.5" thickBot="1">
      <c r="A4" s="1096" t="s">
        <v>1960</v>
      </c>
      <c r="B4" s="1160" t="s">
        <v>2156</v>
      </c>
      <c r="C4" s="1013" t="s">
        <v>2220</v>
      </c>
      <c r="D4" s="1013" t="s">
        <v>2350</v>
      </c>
      <c r="E4" s="1013" t="s">
        <v>2221</v>
      </c>
      <c r="F4" s="1013" t="s">
        <v>2222</v>
      </c>
      <c r="G4" s="1094"/>
    </row>
    <row r="5" spans="1:12" ht="18" customHeight="1" thickTop="1">
      <c r="A5" s="1095">
        <v>1</v>
      </c>
      <c r="B5" s="1317" t="s">
        <v>882</v>
      </c>
      <c r="C5" s="1227">
        <v>16.832766499999998</v>
      </c>
      <c r="D5" s="1227">
        <v>1.18703</v>
      </c>
      <c r="E5" s="1227">
        <f>D5+23</f>
        <v>24.18703</v>
      </c>
      <c r="F5" s="1228">
        <v>30</v>
      </c>
      <c r="G5" s="258"/>
      <c r="H5" s="4"/>
      <c r="I5" s="4"/>
      <c r="J5" s="4"/>
    </row>
    <row r="6" spans="1:12" ht="18" customHeight="1">
      <c r="A6" s="483">
        <v>2</v>
      </c>
      <c r="B6" s="867" t="s">
        <v>883</v>
      </c>
      <c r="C6" s="934">
        <v>300.53682009999977</v>
      </c>
      <c r="D6" s="934">
        <v>13.337859400000003</v>
      </c>
      <c r="E6" s="934">
        <f>E15-SUM(E7:E14)-E5</f>
        <v>700.67448749999767</v>
      </c>
      <c r="F6" s="934">
        <f>F15-SUM(F7:F14)-F5</f>
        <v>778.53785395990417</v>
      </c>
      <c r="G6" s="258"/>
      <c r="H6" s="4"/>
      <c r="I6" s="7"/>
      <c r="J6" s="7"/>
      <c r="K6" s="2"/>
      <c r="L6" s="737"/>
    </row>
    <row r="7" spans="1:12" ht="26.5" customHeight="1">
      <c r="A7" s="483">
        <v>3</v>
      </c>
      <c r="B7" s="1256" t="s">
        <v>2416</v>
      </c>
      <c r="C7" s="934">
        <f>5405.3884403-2000</f>
        <v>3405.3884403000002</v>
      </c>
      <c r="D7" s="934">
        <f>2819.655952-1000</f>
        <v>1819.6559520000001</v>
      </c>
      <c r="E7" s="934">
        <f>D7+C30/2-2000</f>
        <v>2611.5459420000007</v>
      </c>
      <c r="F7" s="1161">
        <f>D52-F10</f>
        <v>4377.1077033792299</v>
      </c>
      <c r="G7" s="258"/>
      <c r="H7" s="7"/>
      <c r="I7" s="7"/>
      <c r="J7" s="7"/>
      <c r="K7" s="347"/>
      <c r="L7" s="489"/>
    </row>
    <row r="8" spans="1:12" ht="18" customHeight="1">
      <c r="A8" s="483">
        <v>4</v>
      </c>
      <c r="B8" s="867" t="s">
        <v>884</v>
      </c>
      <c r="C8" s="934">
        <f>13763.44249464-5000</f>
        <v>8763.4424946399995</v>
      </c>
      <c r="D8" s="934">
        <f>7487.8275846-2925</f>
        <v>4562.8275845999997</v>
      </c>
      <c r="E8" s="934">
        <f>D8+G30/2</f>
        <v>10632.9007196</v>
      </c>
      <c r="F8" s="1161">
        <f>E52-F14</f>
        <v>13340</v>
      </c>
      <c r="G8" s="258"/>
      <c r="H8" s="7"/>
      <c r="I8" s="7"/>
      <c r="J8" s="7"/>
      <c r="K8" s="347"/>
      <c r="L8" s="489"/>
    </row>
    <row r="9" spans="1:12" ht="18" customHeight="1">
      <c r="A9" s="483">
        <v>5</v>
      </c>
      <c r="B9" s="1198" t="s">
        <v>885</v>
      </c>
      <c r="C9" s="934">
        <v>1230.3634520999999</v>
      </c>
      <c r="D9" s="934">
        <v>214.43438989999999</v>
      </c>
      <c r="E9" s="934">
        <f>D9+1200</f>
        <v>1414.4343899</v>
      </c>
      <c r="F9" s="1161">
        <f>1685-200</f>
        <v>1485</v>
      </c>
      <c r="G9" s="258"/>
      <c r="H9" s="7"/>
      <c r="I9" s="7"/>
      <c r="J9" s="7"/>
    </row>
    <row r="10" spans="1:12" ht="26" customHeight="1">
      <c r="A10" s="483">
        <v>6</v>
      </c>
      <c r="B10" s="1256" t="s">
        <v>2417</v>
      </c>
      <c r="C10" s="895">
        <f>1044.6697539+2000</f>
        <v>3044.6697538999997</v>
      </c>
      <c r="D10" s="934">
        <f>395.1406406+1000</f>
        <v>1395.1406406000001</v>
      </c>
      <c r="E10" s="934">
        <f>D10+2900</f>
        <v>4295.1406406000006</v>
      </c>
      <c r="F10" s="1161">
        <v>5120.8922966207701</v>
      </c>
      <c r="G10" s="258"/>
      <c r="H10" s="7"/>
      <c r="I10" s="7"/>
      <c r="J10" s="7"/>
    </row>
    <row r="11" spans="1:12" ht="18" customHeight="1">
      <c r="A11" s="483">
        <v>7</v>
      </c>
      <c r="B11" s="1198" t="s">
        <v>886</v>
      </c>
      <c r="C11" s="934">
        <v>25.558494799999998</v>
      </c>
      <c r="D11" s="934">
        <v>6.549949100000001</v>
      </c>
      <c r="E11" s="934">
        <f>D11+20</f>
        <v>26.549949099999999</v>
      </c>
      <c r="F11" s="1161">
        <v>28.65</v>
      </c>
      <c r="G11" s="258"/>
      <c r="H11" s="4"/>
      <c r="I11" s="4"/>
      <c r="J11" s="4"/>
    </row>
    <row r="12" spans="1:12" ht="18" customHeight="1">
      <c r="A12" s="483">
        <v>8</v>
      </c>
      <c r="B12" s="867" t="s">
        <v>887</v>
      </c>
      <c r="C12" s="934">
        <v>1410.4409780999999</v>
      </c>
      <c r="D12" s="934">
        <v>649.21464189999995</v>
      </c>
      <c r="E12" s="934">
        <f>D12+1050</f>
        <v>1699.2146419000001</v>
      </c>
      <c r="F12" s="1161">
        <f>1725.78-200</f>
        <v>1525.78</v>
      </c>
      <c r="G12" s="258"/>
      <c r="H12" s="7"/>
      <c r="I12" s="7"/>
      <c r="J12" s="7"/>
    </row>
    <row r="13" spans="1:12" ht="18" customHeight="1">
      <c r="A13" s="483">
        <v>9</v>
      </c>
      <c r="B13" s="867" t="s">
        <v>888</v>
      </c>
      <c r="C13" s="934">
        <v>528.29465704999996</v>
      </c>
      <c r="D13" s="934">
        <v>80.443737200000001</v>
      </c>
      <c r="E13" s="934">
        <f>D13+620</f>
        <v>700.44373719999999</v>
      </c>
      <c r="F13" s="1161">
        <v>765.43</v>
      </c>
      <c r="G13" s="258"/>
      <c r="H13" s="4"/>
      <c r="I13" s="7"/>
      <c r="J13" s="7"/>
    </row>
    <row r="14" spans="1:12" ht="28.5" customHeight="1">
      <c r="A14" s="483">
        <v>10</v>
      </c>
      <c r="B14" s="1318" t="s">
        <v>1959</v>
      </c>
      <c r="C14" s="1229">
        <f>30.4693544+5000</f>
        <v>5030.4693544000002</v>
      </c>
      <c r="D14" s="1229">
        <f>11.9084622+2925</f>
        <v>2936.9084622</v>
      </c>
      <c r="E14" s="1229">
        <f>D14+3157</f>
        <v>6093.9084622</v>
      </c>
      <c r="F14" s="1230">
        <v>6235</v>
      </c>
      <c r="G14" s="258"/>
      <c r="H14" s="7"/>
      <c r="I14" s="7"/>
      <c r="J14" s="7"/>
    </row>
    <row r="15" spans="1:12" ht="18" customHeight="1" thickBot="1">
      <c r="A15" s="1096">
        <v>11</v>
      </c>
      <c r="B15" s="1096" t="s">
        <v>214</v>
      </c>
      <c r="C15" s="1231">
        <f>SUM(C5:C14)</f>
        <v>23755.997211889997</v>
      </c>
      <c r="D15" s="1231">
        <f>SUM(D5:D14)</f>
        <v>11679.700246899996</v>
      </c>
      <c r="E15" s="1231">
        <f>(DEPCAL!H16*4.5%+DEPCAL!S36*3%)*0+28199</f>
        <v>28199</v>
      </c>
      <c r="F15" s="1232">
        <f>(DEPCAL!I16*4.2%+DEPCAL!T36*3%)+4200</f>
        <v>33686.397853959905</v>
      </c>
      <c r="G15" s="295"/>
      <c r="H15" s="7"/>
      <c r="I15" s="228"/>
      <c r="J15" s="942"/>
    </row>
    <row r="16" spans="1:12" ht="13.5" thickTop="1">
      <c r="C16" s="7"/>
      <c r="D16" s="7"/>
      <c r="E16" s="7"/>
      <c r="F16" s="7"/>
      <c r="G16" s="1014"/>
      <c r="H16" s="12"/>
      <c r="I16" s="12"/>
      <c r="J16" s="12"/>
    </row>
    <row r="17" spans="1:10">
      <c r="C17" s="1010"/>
      <c r="D17" s="942"/>
      <c r="E17" s="228"/>
      <c r="F17" s="7"/>
      <c r="G17" s="942"/>
    </row>
    <row r="18" spans="1:10">
      <c r="A18" t="s">
        <v>889</v>
      </c>
      <c r="E18" s="228"/>
    </row>
    <row r="19" spans="1:10">
      <c r="A19" t="s">
        <v>29</v>
      </c>
      <c r="E19" s="7"/>
    </row>
    <row r="20" spans="1:10">
      <c r="A20" t="s">
        <v>890</v>
      </c>
      <c r="B20" t="s">
        <v>891</v>
      </c>
      <c r="C20" t="s">
        <v>892</v>
      </c>
      <c r="E20" t="s">
        <v>893</v>
      </c>
    </row>
    <row r="21" spans="1:10">
      <c r="A21" t="s">
        <v>894</v>
      </c>
      <c r="C21" s="7">
        <f>1359.88425</f>
        <v>1359.8842500000001</v>
      </c>
      <c r="E21" s="7"/>
    </row>
    <row r="22" spans="1:10">
      <c r="A22" t="s">
        <v>895</v>
      </c>
      <c r="B22" t="s">
        <v>896</v>
      </c>
      <c r="C22" s="7">
        <v>1121.6744900000001</v>
      </c>
      <c r="F22" t="s">
        <v>896</v>
      </c>
      <c r="G22" s="7">
        <f>1348.94</f>
        <v>1348.94</v>
      </c>
      <c r="H22" t="s">
        <v>897</v>
      </c>
    </row>
    <row r="23" spans="1:10">
      <c r="A23" t="s">
        <v>898</v>
      </c>
      <c r="B23" t="s">
        <v>899</v>
      </c>
      <c r="C23" s="7">
        <f>925.03671</f>
        <v>925.03670999999997</v>
      </c>
      <c r="F23" t="s">
        <v>900</v>
      </c>
      <c r="G23" s="7">
        <f>1744.96052</f>
        <v>1744.9605200000001</v>
      </c>
    </row>
    <row r="24" spans="1:10">
      <c r="A24" t="s">
        <v>901</v>
      </c>
      <c r="B24" t="s">
        <v>902</v>
      </c>
      <c r="C24" s="7">
        <f>1015.79634</f>
        <v>1015.79634</v>
      </c>
      <c r="F24" t="s">
        <v>903</v>
      </c>
      <c r="G24" s="7">
        <f>1844.4547</f>
        <v>1844.4547</v>
      </c>
    </row>
    <row r="25" spans="1:10">
      <c r="A25" t="s">
        <v>904</v>
      </c>
      <c r="B25" t="s">
        <v>905</v>
      </c>
      <c r="C25" s="7">
        <f>1161.38819</f>
        <v>1161.3881899999999</v>
      </c>
      <c r="F25" t="s">
        <v>906</v>
      </c>
      <c r="G25" s="7">
        <f>1044.92176</f>
        <v>1044.9217599999999</v>
      </c>
    </row>
    <row r="26" spans="1:10">
      <c r="F26" t="s">
        <v>907</v>
      </c>
      <c r="G26" s="7">
        <f>636.65385</f>
        <v>636.65385000000003</v>
      </c>
    </row>
    <row r="27" spans="1:10">
      <c r="F27" t="s">
        <v>908</v>
      </c>
      <c r="G27" s="7">
        <f>2143.77923</f>
        <v>2143.7792300000001</v>
      </c>
    </row>
    <row r="28" spans="1:10">
      <c r="F28" t="s">
        <v>899</v>
      </c>
      <c r="G28" s="7">
        <f>1855.33048</f>
        <v>1855.3304800000001</v>
      </c>
    </row>
    <row r="29" spans="1:10">
      <c r="F29" t="s">
        <v>909</v>
      </c>
      <c r="G29" s="7">
        <f>1521.10573</f>
        <v>1521.10573</v>
      </c>
    </row>
    <row r="30" spans="1:10">
      <c r="C30" s="7">
        <f>SUM(C21:C29)</f>
        <v>5583.7799800000003</v>
      </c>
      <c r="G30" s="7">
        <f>SUM(G21:G29)</f>
        <v>12140.146270000001</v>
      </c>
      <c r="I30">
        <f>C30+G30</f>
        <v>17723.92625</v>
      </c>
      <c r="J30">
        <f>I30*1.1</f>
        <v>19496.318875000001</v>
      </c>
    </row>
    <row r="31" spans="1:10">
      <c r="I31" s="9">
        <f>I30/12</f>
        <v>1476.9938541666668</v>
      </c>
    </row>
    <row r="34" spans="2:6" ht="13">
      <c r="B34" s="206"/>
    </row>
    <row r="35" spans="2:6" ht="13">
      <c r="B35" s="2050" t="s">
        <v>2268</v>
      </c>
      <c r="C35" s="2051"/>
      <c r="D35" s="2051"/>
      <c r="E35" s="2051"/>
      <c r="F35" s="2052"/>
    </row>
    <row r="36" spans="2:6" ht="14.5">
      <c r="B36" s="1207" t="s">
        <v>891</v>
      </c>
      <c r="C36" s="1207" t="s">
        <v>2384</v>
      </c>
      <c r="D36" s="1207" t="s">
        <v>892</v>
      </c>
      <c r="E36" s="1207" t="s">
        <v>2415</v>
      </c>
      <c r="F36" s="1207"/>
    </row>
    <row r="37" spans="2:6">
      <c r="B37" s="94" t="s">
        <v>2386</v>
      </c>
      <c r="C37" s="1208" t="s">
        <v>2385</v>
      </c>
      <c r="D37" s="1213">
        <f>642+102</f>
        <v>744</v>
      </c>
      <c r="E37" s="1213">
        <f>1230+77</f>
        <v>1307</v>
      </c>
      <c r="F37" s="1211"/>
    </row>
    <row r="38" spans="2:6">
      <c r="B38" s="94" t="s">
        <v>2388</v>
      </c>
      <c r="C38" s="1208" t="s">
        <v>2387</v>
      </c>
      <c r="D38" s="1213">
        <f>553+102</f>
        <v>655</v>
      </c>
      <c r="E38" s="1213">
        <f>1314+75</f>
        <v>1389</v>
      </c>
      <c r="F38" s="1211"/>
    </row>
    <row r="39" spans="2:6">
      <c r="B39" s="867" t="s">
        <v>2390</v>
      </c>
      <c r="C39" s="1208" t="s">
        <v>2389</v>
      </c>
      <c r="D39" s="1213">
        <f>916+102</f>
        <v>1018</v>
      </c>
      <c r="E39" s="1213">
        <f>1639+153</f>
        <v>1792</v>
      </c>
      <c r="F39" s="1211"/>
    </row>
    <row r="40" spans="2:6">
      <c r="B40" s="867" t="s">
        <v>2392</v>
      </c>
      <c r="C40" s="1208" t="s">
        <v>2391</v>
      </c>
      <c r="D40" s="1213">
        <f>521+102</f>
        <v>623</v>
      </c>
      <c r="E40" s="1213">
        <f>1465+154</f>
        <v>1619</v>
      </c>
      <c r="F40" s="1211"/>
    </row>
    <row r="41" spans="2:6">
      <c r="B41" s="23" t="s">
        <v>2394</v>
      </c>
      <c r="C41" s="1208" t="s">
        <v>2393</v>
      </c>
      <c r="D41" s="1213">
        <f>471+102</f>
        <v>573</v>
      </c>
      <c r="E41" s="1213">
        <f>1228+79</f>
        <v>1307</v>
      </c>
      <c r="F41" s="1211"/>
    </row>
    <row r="42" spans="2:6">
      <c r="B42" s="23" t="s">
        <v>2396</v>
      </c>
      <c r="C42" s="1208" t="s">
        <v>2395</v>
      </c>
      <c r="D42" s="1213">
        <f>555+102</f>
        <v>657</v>
      </c>
      <c r="E42" s="1213">
        <f>1318+68</f>
        <v>1386</v>
      </c>
      <c r="F42" s="1211"/>
    </row>
    <row r="43" spans="2:6">
      <c r="B43" s="23" t="s">
        <v>2398</v>
      </c>
      <c r="C43" s="1208" t="s">
        <v>2397</v>
      </c>
      <c r="D43" s="1213">
        <f>555+102</f>
        <v>657</v>
      </c>
      <c r="E43" s="1213">
        <f>973+78</f>
        <v>1051</v>
      </c>
      <c r="F43" s="1211"/>
    </row>
    <row r="44" spans="2:6">
      <c r="B44" s="23" t="s">
        <v>2400</v>
      </c>
      <c r="C44" s="1208" t="s">
        <v>2399</v>
      </c>
      <c r="D44" s="1213">
        <f>490+102</f>
        <v>592</v>
      </c>
      <c r="E44" s="1213">
        <f>1102+78</f>
        <v>1180</v>
      </c>
      <c r="F44" s="1211"/>
    </row>
    <row r="45" spans="2:6">
      <c r="B45" s="23" t="s">
        <v>2402</v>
      </c>
      <c r="C45" s="1208" t="s">
        <v>2401</v>
      </c>
      <c r="D45" s="1213">
        <f>532+102</f>
        <v>634</v>
      </c>
      <c r="E45" s="1213">
        <f>1506+76</f>
        <v>1582</v>
      </c>
      <c r="F45" s="1211"/>
    </row>
    <row r="46" spans="2:6">
      <c r="B46" s="23" t="s">
        <v>2404</v>
      </c>
      <c r="C46" s="1208" t="s">
        <v>2403</v>
      </c>
      <c r="D46" s="1213">
        <f>483+102</f>
        <v>585</v>
      </c>
      <c r="E46" s="1213">
        <f>891+72</f>
        <v>963</v>
      </c>
      <c r="F46" s="1211"/>
    </row>
    <row r="47" spans="2:6">
      <c r="B47" s="23" t="s">
        <v>2406</v>
      </c>
      <c r="C47" s="1208" t="s">
        <v>2405</v>
      </c>
      <c r="D47" s="1213">
        <f>568+102</f>
        <v>670</v>
      </c>
      <c r="E47" s="1213">
        <f>1256+84</f>
        <v>1340</v>
      </c>
      <c r="F47" s="1211"/>
    </row>
    <row r="48" spans="2:6">
      <c r="B48" s="23" t="s">
        <v>2408</v>
      </c>
      <c r="C48" s="1208" t="s">
        <v>2407</v>
      </c>
      <c r="D48" s="1213">
        <f>287+102</f>
        <v>389</v>
      </c>
      <c r="E48" s="1213">
        <f>977+79</f>
        <v>1056</v>
      </c>
      <c r="F48" s="1211"/>
    </row>
    <row r="49" spans="2:6" ht="13.5">
      <c r="B49" s="1206" t="s">
        <v>2410</v>
      </c>
      <c r="C49" s="1208" t="s">
        <v>2409</v>
      </c>
      <c r="D49" s="1213">
        <f>489+102</f>
        <v>591</v>
      </c>
      <c r="E49" s="1213">
        <f>1015+81</f>
        <v>1096</v>
      </c>
      <c r="F49" s="1211"/>
    </row>
    <row r="50" spans="2:6">
      <c r="B50" s="23" t="s">
        <v>2412</v>
      </c>
      <c r="C50" s="1208" t="s">
        <v>2411</v>
      </c>
      <c r="D50" s="1213">
        <f>461+102</f>
        <v>563</v>
      </c>
      <c r="E50" s="1213">
        <f>1360+82</f>
        <v>1442</v>
      </c>
      <c r="F50" s="1211"/>
    </row>
    <row r="51" spans="2:6">
      <c r="B51" s="23" t="s">
        <v>2414</v>
      </c>
      <c r="C51" s="1208" t="s">
        <v>2413</v>
      </c>
      <c r="D51" s="1213">
        <f>445+102</f>
        <v>547</v>
      </c>
      <c r="E51" s="1213">
        <f>983+82</f>
        <v>1065</v>
      </c>
      <c r="F51" s="1211"/>
    </row>
    <row r="52" spans="2:6" ht="13">
      <c r="B52" s="615"/>
      <c r="C52" s="615"/>
      <c r="D52" s="1210">
        <f>SUM(D37:D51)</f>
        <v>9498</v>
      </c>
      <c r="E52" s="1210">
        <f>SUM(E37:E51)</f>
        <v>19575</v>
      </c>
      <c r="F52" s="1209"/>
    </row>
    <row r="54" spans="2:6">
      <c r="D54" s="1212"/>
      <c r="E54" s="73"/>
    </row>
  </sheetData>
  <mergeCells count="1">
    <mergeCell ref="B35:F35"/>
  </mergeCells>
  <phoneticPr fontId="0" type="noConversion"/>
  <printOptions horizontalCentered="1" gridLines="1"/>
  <pageMargins left="0.74803149606299213" right="0.51181102362204722" top="1.7322834645669292" bottom="0.98425196850393704" header="0.51181102362204722" footer="0.51181102362204722"/>
  <pageSetup paperSize="9" scale="88" orientation="portrait" r:id="rId1"/>
  <headerFooter alignWithMargins="0">
    <oddFooter xml:space="preserve">&amp;R&amp;"Arial,Bold"&amp;12OERC FORM-&amp;A&amp;"Arial,Regular"&amp;10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61271-C74E-481A-AD0D-0F2FE98DD3C9}">
  <sheetPr>
    <pageSetUpPr fitToPage="1"/>
  </sheetPr>
  <dimension ref="A1:F13"/>
  <sheetViews>
    <sheetView showGridLines="0" view="pageBreakPreview" zoomScaleNormal="100" zoomScaleSheetLayoutView="100" workbookViewId="0">
      <selection activeCell="L17" sqref="L17"/>
    </sheetView>
  </sheetViews>
  <sheetFormatPr defaultRowHeight="12.5"/>
  <cols>
    <col min="1" max="1" width="10.26953125" customWidth="1"/>
    <col min="2" max="2" width="34.453125" customWidth="1"/>
    <col min="3" max="3" width="14.1796875" customWidth="1"/>
    <col min="4" max="4" width="15.7265625" customWidth="1"/>
  </cols>
  <sheetData>
    <row r="1" spans="1:6" ht="13">
      <c r="A1" s="20" t="s">
        <v>1</v>
      </c>
      <c r="C1" s="3" t="s">
        <v>0</v>
      </c>
      <c r="D1" s="2" t="s">
        <v>2157</v>
      </c>
    </row>
    <row r="2" spans="1:6" ht="13">
      <c r="A2" s="2053" t="s">
        <v>881</v>
      </c>
      <c r="B2" s="2053"/>
      <c r="C2" s="2053"/>
      <c r="D2" s="2053"/>
    </row>
    <row r="3" spans="1:6" ht="13">
      <c r="D3" s="2" t="s">
        <v>496</v>
      </c>
    </row>
    <row r="4" spans="1:6" ht="16" customHeight="1">
      <c r="A4" s="2027" t="s">
        <v>1960</v>
      </c>
      <c r="B4" s="2054" t="s">
        <v>2158</v>
      </c>
      <c r="C4" s="2004" t="s">
        <v>2149</v>
      </c>
      <c r="D4" s="2004"/>
    </row>
    <row r="5" spans="1:6" ht="27" customHeight="1">
      <c r="A5" s="2027"/>
      <c r="B5" s="2054"/>
      <c r="C5" s="1069" t="s">
        <v>2277</v>
      </c>
      <c r="D5" s="723" t="s">
        <v>1942</v>
      </c>
    </row>
    <row r="6" spans="1:6" ht="18" customHeight="1">
      <c r="A6" s="483">
        <v>1</v>
      </c>
      <c r="B6" s="864" t="s">
        <v>2355</v>
      </c>
      <c r="C6" s="934">
        <f>DEPCAL!I16</f>
        <v>390689.23461809289</v>
      </c>
      <c r="D6" s="934"/>
      <c r="F6" s="7"/>
    </row>
    <row r="7" spans="1:6" ht="18" customHeight="1">
      <c r="A7" s="483">
        <v>2</v>
      </c>
      <c r="B7" s="864" t="s">
        <v>2357</v>
      </c>
      <c r="C7" s="1076">
        <v>4.2000000000000003E-2</v>
      </c>
      <c r="D7" s="934"/>
      <c r="F7" s="97"/>
    </row>
    <row r="8" spans="1:6" ht="18" customHeight="1">
      <c r="A8" s="483">
        <v>3</v>
      </c>
      <c r="B8" s="864" t="s">
        <v>2159</v>
      </c>
      <c r="C8" s="934">
        <f>C6*C7</f>
        <v>16408.947853959904</v>
      </c>
      <c r="D8" s="934">
        <f>D6*D7</f>
        <v>0</v>
      </c>
      <c r="F8" s="7"/>
    </row>
    <row r="9" spans="1:6" ht="27" customHeight="1">
      <c r="A9" s="483">
        <v>4</v>
      </c>
      <c r="B9" s="939" t="s">
        <v>2356</v>
      </c>
      <c r="C9" s="934">
        <f>DEPCAL!T36</f>
        <v>435915</v>
      </c>
      <c r="D9" s="934"/>
      <c r="F9" s="7"/>
    </row>
    <row r="10" spans="1:6" ht="26.15" customHeight="1">
      <c r="A10" s="483">
        <v>5</v>
      </c>
      <c r="B10" s="939" t="s">
        <v>2358</v>
      </c>
      <c r="C10" s="1076">
        <v>0.03</v>
      </c>
      <c r="D10" s="934"/>
      <c r="F10" s="97"/>
    </row>
    <row r="11" spans="1:6" ht="18" customHeight="1">
      <c r="A11" s="483">
        <v>6</v>
      </c>
      <c r="B11" s="864" t="s">
        <v>2160</v>
      </c>
      <c r="C11" s="934">
        <f>C9*C10</f>
        <v>13077.449999999999</v>
      </c>
      <c r="D11" s="934">
        <f>D9*D10</f>
        <v>0</v>
      </c>
      <c r="F11" s="7"/>
    </row>
    <row r="12" spans="1:6" ht="18" customHeight="1">
      <c r="A12" s="656">
        <v>7</v>
      </c>
      <c r="B12" s="892" t="s">
        <v>2161</v>
      </c>
      <c r="C12" s="723">
        <f>C8+C11</f>
        <v>29486.397853959905</v>
      </c>
      <c r="D12" s="723">
        <f>D8+D11</f>
        <v>0</v>
      </c>
      <c r="F12" s="7"/>
    </row>
    <row r="13" spans="1:6" ht="13">
      <c r="B13" s="2"/>
      <c r="C13" s="7"/>
      <c r="D13" s="7"/>
    </row>
  </sheetData>
  <mergeCells count="4">
    <mergeCell ref="C4:D4"/>
    <mergeCell ref="A2:D2"/>
    <mergeCell ref="B4:B5"/>
    <mergeCell ref="A4:A5"/>
  </mergeCells>
  <printOptions horizontalCentered="1" gridLines="1"/>
  <pageMargins left="0.74803149606299213" right="0.51181102362204722" top="1.7322834645669292" bottom="0.98425196850393704" header="0.51181102362204722" footer="0.51181102362204722"/>
  <pageSetup paperSize="9" orientation="portrait" r:id="rId1"/>
  <headerFooter alignWithMargins="0">
    <oddFooter xml:space="preserve">&amp;R&amp;"Arial,Bold"&amp;12OERC FORM-&amp;A&amp;"Arial,Regular"&amp;10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6"/>
  <dimension ref="A1:X168"/>
  <sheetViews>
    <sheetView showGridLines="0" view="pageBreakPreview" topLeftCell="B53" zoomScaleSheetLayoutView="100" workbookViewId="0">
      <selection activeCell="I58" sqref="I58"/>
    </sheetView>
  </sheetViews>
  <sheetFormatPr defaultRowHeight="12.5"/>
  <cols>
    <col min="1" max="1" width="9.26953125" hidden="1" customWidth="1"/>
    <col min="2" max="2" width="33.7265625" customWidth="1"/>
    <col min="3" max="3" width="10.81640625" hidden="1" customWidth="1"/>
    <col min="4" max="5" width="13.81640625" customWidth="1"/>
    <col min="6" max="6" width="11.1796875" bestFit="1" customWidth="1"/>
    <col min="7" max="7" width="14.26953125" bestFit="1" customWidth="1"/>
    <col min="8" max="11" width="9.81640625" customWidth="1"/>
    <col min="12" max="12" width="49.453125" customWidth="1"/>
    <col min="13" max="13" width="10.54296875" bestFit="1" customWidth="1"/>
    <col min="14" max="15" width="13.1796875" customWidth="1"/>
    <col min="16" max="16" width="5.7265625" customWidth="1"/>
    <col min="17" max="17" width="41.81640625" bestFit="1" customWidth="1"/>
    <col min="18" max="18" width="12" customWidth="1"/>
    <col min="19" max="19" width="11.1796875" customWidth="1"/>
    <col min="20" max="20" width="13" bestFit="1" customWidth="1"/>
  </cols>
  <sheetData>
    <row r="1" spans="1:12" ht="13">
      <c r="B1" s="20" t="s">
        <v>1</v>
      </c>
      <c r="F1" s="3" t="s">
        <v>0</v>
      </c>
      <c r="G1" s="2" t="s">
        <v>910</v>
      </c>
    </row>
    <row r="3" spans="1:12" ht="13">
      <c r="A3" s="65" t="s">
        <v>911</v>
      </c>
      <c r="B3" s="65"/>
      <c r="C3" s="65"/>
      <c r="D3" s="65"/>
      <c r="E3" s="65"/>
      <c r="F3" s="65"/>
      <c r="G3" s="65"/>
    </row>
    <row r="4" spans="1:12" ht="13">
      <c r="G4" s="2" t="s">
        <v>912</v>
      </c>
    </row>
    <row r="5" spans="1:12" ht="21">
      <c r="A5" s="1826" t="s">
        <v>795</v>
      </c>
      <c r="B5" s="2081" t="s">
        <v>735</v>
      </c>
      <c r="C5" s="950" t="s">
        <v>913</v>
      </c>
      <c r="D5" s="1653" t="s">
        <v>913</v>
      </c>
      <c r="E5" s="1653" t="s">
        <v>914</v>
      </c>
      <c r="F5" s="1653" t="s">
        <v>158</v>
      </c>
      <c r="G5" s="586" t="s">
        <v>915</v>
      </c>
    </row>
    <row r="6" spans="1:12" ht="13">
      <c r="A6" s="28"/>
      <c r="B6" s="2082"/>
      <c r="C6" s="1827" t="s">
        <v>916</v>
      </c>
      <c r="D6" s="1828" t="s">
        <v>793</v>
      </c>
      <c r="E6" s="1828" t="s">
        <v>1846</v>
      </c>
      <c r="F6" s="1828" t="s">
        <v>1846</v>
      </c>
      <c r="G6" s="1828" t="s">
        <v>2193</v>
      </c>
      <c r="I6" s="1829"/>
    </row>
    <row r="7" spans="1:12" ht="13">
      <c r="A7" s="23"/>
      <c r="B7" s="28" t="s">
        <v>917</v>
      </c>
      <c r="C7" s="28"/>
      <c r="D7" s="35"/>
      <c r="E7" s="1613"/>
      <c r="F7" s="1613"/>
      <c r="G7" s="35"/>
    </row>
    <row r="8" spans="1:12">
      <c r="A8" s="23"/>
      <c r="B8" s="343" t="s">
        <v>2422</v>
      </c>
      <c r="C8" s="36">
        <v>0</v>
      </c>
      <c r="D8" s="934">
        <v>776.73910969999997</v>
      </c>
      <c r="E8" s="934">
        <v>745.20781739999995</v>
      </c>
      <c r="F8" s="934">
        <f>E8+200</f>
        <v>945.20781739999995</v>
      </c>
      <c r="G8" s="934">
        <f>F8*1.07</f>
        <v>1011.372364618</v>
      </c>
      <c r="H8" s="7"/>
      <c r="I8" s="1097"/>
      <c r="J8" s="7"/>
      <c r="K8" s="7"/>
    </row>
    <row r="9" spans="1:12">
      <c r="A9" s="23"/>
      <c r="B9" s="23" t="s">
        <v>918</v>
      </c>
      <c r="C9" s="36"/>
      <c r="D9" s="934">
        <v>21.83</v>
      </c>
      <c r="E9" s="934">
        <v>0</v>
      </c>
      <c r="F9" s="934">
        <v>25</v>
      </c>
      <c r="G9" s="895">
        <f>F9*1.07</f>
        <v>26.75</v>
      </c>
      <c r="H9" s="7"/>
      <c r="I9" s="1097"/>
      <c r="J9" s="7"/>
      <c r="K9" s="7"/>
    </row>
    <row r="10" spans="1:12">
      <c r="A10" s="23"/>
      <c r="B10" s="23" t="s">
        <v>919</v>
      </c>
      <c r="C10" s="36">
        <v>10.68</v>
      </c>
      <c r="D10" s="934">
        <v>310.61926329999994</v>
      </c>
      <c r="E10" s="934">
        <f>42.10074+190</f>
        <v>232.10074</v>
      </c>
      <c r="F10" s="934">
        <v>325</v>
      </c>
      <c r="G10" s="934">
        <f>F10*1.07</f>
        <v>347.75</v>
      </c>
      <c r="H10" s="7"/>
      <c r="I10" s="1097"/>
      <c r="J10" s="7"/>
      <c r="K10" s="7"/>
    </row>
    <row r="11" spans="1:12">
      <c r="A11" s="23"/>
      <c r="B11" s="23" t="s">
        <v>920</v>
      </c>
      <c r="C11" s="36">
        <v>11.51</v>
      </c>
      <c r="D11" s="934">
        <v>1.93926</v>
      </c>
      <c r="E11" s="934">
        <f>206.70339-190</f>
        <v>16.703390000000013</v>
      </c>
      <c r="F11" s="934">
        <v>18.7</v>
      </c>
      <c r="G11" s="934">
        <f>F11*1.07</f>
        <v>20.009</v>
      </c>
      <c r="H11" s="7"/>
      <c r="I11" s="1097"/>
      <c r="J11" s="7"/>
      <c r="K11" s="7"/>
      <c r="L11" s="7"/>
    </row>
    <row r="12" spans="1:12">
      <c r="A12" s="23"/>
      <c r="B12" s="23" t="s">
        <v>921</v>
      </c>
      <c r="C12" s="36">
        <v>0.35</v>
      </c>
      <c r="D12" s="934">
        <v>180.2977836</v>
      </c>
      <c r="E12" s="934">
        <v>165.91058770000001</v>
      </c>
      <c r="F12" s="934">
        <v>355</v>
      </c>
      <c r="G12" s="934">
        <f>F12*1.07</f>
        <v>379.85</v>
      </c>
      <c r="H12" s="7"/>
      <c r="I12" s="1097"/>
      <c r="J12" s="7"/>
      <c r="K12" s="7"/>
      <c r="L12" s="7"/>
    </row>
    <row r="13" spans="1:12">
      <c r="A13" s="23"/>
      <c r="B13" s="23" t="s">
        <v>922</v>
      </c>
      <c r="C13" s="36"/>
      <c r="D13" s="934"/>
      <c r="E13" s="1161"/>
      <c r="F13" s="1161"/>
      <c r="G13" s="934"/>
      <c r="H13" s="7"/>
      <c r="I13" s="1097"/>
      <c r="J13" s="7"/>
      <c r="K13" s="7"/>
    </row>
    <row r="14" spans="1:12" ht="13">
      <c r="A14" s="23"/>
      <c r="B14" s="28" t="s">
        <v>923</v>
      </c>
      <c r="C14" s="37">
        <f>SUM(C8:C13)</f>
        <v>22.54</v>
      </c>
      <c r="D14" s="723">
        <f>SUM(D8:D13)</f>
        <v>1291.4254166000001</v>
      </c>
      <c r="E14" s="723">
        <f>SUM(E8:E13)</f>
        <v>1159.9225351</v>
      </c>
      <c r="F14" s="1830">
        <f>SUM(F8:F13)</f>
        <v>1668.9078173999999</v>
      </c>
      <c r="G14" s="723">
        <f>SUM(G8:G13)</f>
        <v>1785.731364618</v>
      </c>
      <c r="H14" s="7"/>
      <c r="I14" s="7"/>
      <c r="J14" s="7"/>
      <c r="K14" s="7"/>
    </row>
    <row r="15" spans="1:12" ht="13">
      <c r="A15" s="23"/>
      <c r="B15" s="28" t="s">
        <v>924</v>
      </c>
      <c r="C15" s="36"/>
      <c r="D15" s="934"/>
      <c r="E15" s="1161"/>
      <c r="F15" s="1161"/>
      <c r="G15" s="934"/>
      <c r="H15" s="7"/>
      <c r="I15" s="7"/>
      <c r="J15" s="7"/>
      <c r="K15" s="7"/>
    </row>
    <row r="16" spans="1:12">
      <c r="A16" s="23"/>
      <c r="B16" s="23" t="s">
        <v>925</v>
      </c>
      <c r="C16" s="36">
        <v>23.63</v>
      </c>
      <c r="D16" s="934">
        <v>236.53870019999999</v>
      </c>
      <c r="E16" s="934">
        <v>139.19180249999999</v>
      </c>
      <c r="F16" s="934">
        <v>257</v>
      </c>
      <c r="G16" s="934">
        <f>F16*1.07</f>
        <v>274.99</v>
      </c>
      <c r="H16" s="7"/>
      <c r="I16" s="7"/>
      <c r="J16" s="7"/>
      <c r="K16" s="7"/>
    </row>
    <row r="17" spans="1:14">
      <c r="A17" s="23"/>
      <c r="B17" s="23" t="s">
        <v>926</v>
      </c>
      <c r="C17" s="36">
        <v>4.07</v>
      </c>
      <c r="D17" s="934">
        <v>5.2708719999999998</v>
      </c>
      <c r="E17" s="934">
        <v>2.36585</v>
      </c>
      <c r="F17" s="934">
        <v>6.74</v>
      </c>
      <c r="G17" s="934">
        <f>F17*1.07</f>
        <v>7.2118000000000002</v>
      </c>
      <c r="H17" s="7"/>
      <c r="I17" s="7"/>
      <c r="J17" s="7"/>
      <c r="K17" s="7"/>
      <c r="L17" s="7"/>
    </row>
    <row r="18" spans="1:14">
      <c r="A18" s="23"/>
      <c r="B18" s="23" t="s">
        <v>927</v>
      </c>
      <c r="C18" s="36"/>
      <c r="D18" s="934"/>
      <c r="E18" s="934"/>
      <c r="F18" s="934"/>
      <c r="G18" s="934"/>
      <c r="H18" s="7"/>
      <c r="I18" s="7"/>
      <c r="J18" s="7"/>
      <c r="K18" s="7"/>
    </row>
    <row r="19" spans="1:14">
      <c r="A19" s="23"/>
      <c r="B19" s="23" t="s">
        <v>928</v>
      </c>
      <c r="C19" s="36">
        <v>0</v>
      </c>
      <c r="D19" s="934"/>
      <c r="E19" s="934"/>
      <c r="F19" s="934"/>
      <c r="G19" s="934"/>
      <c r="H19" s="7"/>
      <c r="I19" s="7"/>
      <c r="J19" s="7"/>
      <c r="K19" s="7"/>
    </row>
    <row r="20" spans="1:14">
      <c r="A20" s="23"/>
      <c r="B20" s="23" t="s">
        <v>929</v>
      </c>
      <c r="C20" s="36"/>
      <c r="D20" s="934"/>
      <c r="E20" s="1161"/>
      <c r="F20" s="1161"/>
      <c r="G20" s="934"/>
      <c r="H20" s="7"/>
      <c r="I20" s="7"/>
      <c r="J20" s="7"/>
      <c r="K20" s="7"/>
    </row>
    <row r="21" spans="1:14" ht="13">
      <c r="A21" s="23"/>
      <c r="B21" s="28" t="s">
        <v>923</v>
      </c>
      <c r="C21" s="37">
        <f>SUM(C16:C20)</f>
        <v>27.7</v>
      </c>
      <c r="D21" s="723">
        <f>SUM(D16:D20)</f>
        <v>241.80957219999999</v>
      </c>
      <c r="E21" s="723">
        <f>SUM(E16:E20)</f>
        <v>141.55765249999999</v>
      </c>
      <c r="F21" s="1830">
        <f>SUM(F16:F20)</f>
        <v>263.74</v>
      </c>
      <c r="G21" s="723">
        <f>SUM(G16:G20)</f>
        <v>282.20179999999999</v>
      </c>
      <c r="H21" s="7"/>
      <c r="I21" s="7"/>
      <c r="J21" s="7"/>
      <c r="K21" s="7"/>
    </row>
    <row r="22" spans="1:14" ht="13">
      <c r="A22" s="23"/>
      <c r="B22" s="28" t="s">
        <v>930</v>
      </c>
      <c r="C22" s="36"/>
      <c r="D22" s="934"/>
      <c r="E22" s="1161"/>
      <c r="F22" s="1161"/>
      <c r="G22" s="934"/>
      <c r="H22" s="7"/>
      <c r="I22" s="7"/>
      <c r="J22" s="7"/>
      <c r="K22" s="7"/>
    </row>
    <row r="23" spans="1:14">
      <c r="A23" s="23"/>
      <c r="B23" s="23" t="s">
        <v>931</v>
      </c>
      <c r="C23" s="36">
        <v>5</v>
      </c>
      <c r="D23" s="934">
        <v>109.08058</v>
      </c>
      <c r="E23" s="934">
        <f>-68.5439675+175</f>
        <v>106.45603250000001</v>
      </c>
      <c r="F23" s="934">
        <v>237</v>
      </c>
      <c r="G23" s="934">
        <f>F23*1.07</f>
        <v>253.59</v>
      </c>
      <c r="H23" s="7"/>
      <c r="I23" s="7"/>
      <c r="J23" s="7"/>
      <c r="K23" s="7"/>
      <c r="L23" s="7"/>
    </row>
    <row r="24" spans="1:14">
      <c r="A24" s="23"/>
      <c r="B24" s="343" t="s">
        <v>1974</v>
      </c>
      <c r="C24" s="36">
        <v>0.37</v>
      </c>
      <c r="D24" s="934">
        <v>53.799423400000002</v>
      </c>
      <c r="E24" s="934">
        <f>368.0419-175</f>
        <v>193.0419</v>
      </c>
      <c r="F24" s="934">
        <v>374</v>
      </c>
      <c r="G24" s="934">
        <f>F24*1.07</f>
        <v>400.18</v>
      </c>
      <c r="H24" s="7"/>
      <c r="I24" s="7"/>
      <c r="J24" s="7"/>
      <c r="K24" s="7"/>
      <c r="L24" s="7"/>
    </row>
    <row r="25" spans="1:14">
      <c r="A25" s="23"/>
      <c r="B25" s="343" t="s">
        <v>2475</v>
      </c>
      <c r="C25" s="36"/>
      <c r="D25" s="934">
        <f>565194848.89/10^5</f>
        <v>5651.9484888999996</v>
      </c>
      <c r="E25" s="1161">
        <f>2526.3043315</f>
        <v>2526.3043315</v>
      </c>
      <c r="F25" s="934">
        <v>5800</v>
      </c>
      <c r="G25" s="934">
        <f>F25*1.07</f>
        <v>6206</v>
      </c>
      <c r="H25" s="7"/>
      <c r="I25" s="7"/>
      <c r="J25" s="7"/>
      <c r="K25" s="7"/>
      <c r="M25" s="7"/>
      <c r="N25" s="7"/>
    </row>
    <row r="26" spans="1:14">
      <c r="A26" s="23"/>
      <c r="B26" s="23" t="s">
        <v>932</v>
      </c>
      <c r="C26" s="36">
        <v>0</v>
      </c>
      <c r="D26" s="934">
        <v>143.7267076</v>
      </c>
      <c r="E26" s="1161">
        <v>56.059194999999995</v>
      </c>
      <c r="F26" s="934">
        <v>163</v>
      </c>
      <c r="G26" s="934">
        <f t="shared" ref="G26" si="0">F26*1.07</f>
        <v>174.41</v>
      </c>
      <c r="H26" s="7"/>
      <c r="I26" s="7"/>
      <c r="J26" s="7"/>
      <c r="K26" s="7"/>
    </row>
    <row r="27" spans="1:14">
      <c r="A27" s="23"/>
      <c r="B27" s="343" t="s">
        <v>1972</v>
      </c>
      <c r="C27" s="36"/>
      <c r="D27" s="934">
        <v>83.950980000000001</v>
      </c>
      <c r="E27" s="934">
        <v>49.022749999999995</v>
      </c>
      <c r="F27" s="934">
        <v>110</v>
      </c>
      <c r="G27" s="934">
        <f>F27*1.07</f>
        <v>117.7</v>
      </c>
      <c r="H27" s="7"/>
      <c r="I27" s="7"/>
      <c r="J27" s="7"/>
      <c r="K27" s="7"/>
    </row>
    <row r="28" spans="1:14" ht="13">
      <c r="A28" s="23"/>
      <c r="B28" s="28" t="s">
        <v>923</v>
      </c>
      <c r="C28" s="37">
        <f>SUM(C23:C27)</f>
        <v>5.37</v>
      </c>
      <c r="D28" s="723">
        <f>SUM(D23:D27)</f>
        <v>6042.5061798999986</v>
      </c>
      <c r="E28" s="723">
        <f>SUM(E23:E27)</f>
        <v>2930.8842089999998</v>
      </c>
      <c r="F28" s="1830">
        <f>SUM(F23:F27)</f>
        <v>6684</v>
      </c>
      <c r="G28" s="723">
        <f>SUM(G23:G27)</f>
        <v>7151.88</v>
      </c>
      <c r="H28" s="7"/>
      <c r="I28" s="7"/>
      <c r="J28" s="7"/>
      <c r="K28" s="7"/>
    </row>
    <row r="29" spans="1:14" ht="13">
      <c r="A29" s="23"/>
      <c r="B29" s="28" t="s">
        <v>933</v>
      </c>
      <c r="C29" s="36"/>
      <c r="D29" s="934"/>
      <c r="E29" s="1161"/>
      <c r="F29" s="1161"/>
      <c r="G29" s="934"/>
      <c r="H29" s="7"/>
      <c r="I29" s="7"/>
      <c r="J29" s="7"/>
      <c r="K29" s="7"/>
    </row>
    <row r="30" spans="1:14">
      <c r="A30" s="23"/>
      <c r="B30" s="23" t="s">
        <v>934</v>
      </c>
      <c r="C30" s="36">
        <v>0.28000000000000003</v>
      </c>
      <c r="D30" s="934">
        <v>28.972275400000001</v>
      </c>
      <c r="E30" s="934">
        <v>19.689909999999998</v>
      </c>
      <c r="F30" s="934">
        <v>32.869999999999997</v>
      </c>
      <c r="G30" s="934">
        <f>F30*1.07</f>
        <v>35.170899999999996</v>
      </c>
      <c r="H30" s="7"/>
      <c r="I30" s="7"/>
      <c r="J30" s="7"/>
      <c r="K30" s="7"/>
    </row>
    <row r="31" spans="1:14">
      <c r="A31" s="23"/>
      <c r="B31" s="23" t="s">
        <v>935</v>
      </c>
      <c r="C31" s="36">
        <v>55.61</v>
      </c>
      <c r="D31" s="934">
        <v>338.50116829999996</v>
      </c>
      <c r="E31" s="934">
        <v>176.84250889999998</v>
      </c>
      <c r="F31" s="934">
        <v>400</v>
      </c>
      <c r="G31" s="934">
        <f t="shared" ref="G31:G32" si="1">F31*1.07</f>
        <v>428</v>
      </c>
      <c r="H31" s="7"/>
      <c r="I31" s="7"/>
      <c r="J31" s="7"/>
      <c r="K31" s="7"/>
    </row>
    <row r="32" spans="1:14">
      <c r="A32" s="23"/>
      <c r="B32" s="23" t="s">
        <v>936</v>
      </c>
      <c r="C32" s="36">
        <f>19.35+61.2</f>
        <v>80.550000000000011</v>
      </c>
      <c r="D32" s="934">
        <v>418.08819764999993</v>
      </c>
      <c r="E32" s="934">
        <v>431.67215640000001</v>
      </c>
      <c r="F32" s="934">
        <v>807.53</v>
      </c>
      <c r="G32" s="934">
        <f t="shared" si="1"/>
        <v>864.05709999999999</v>
      </c>
      <c r="H32" s="7"/>
      <c r="I32" s="7"/>
      <c r="J32" s="7"/>
      <c r="K32" s="7"/>
    </row>
    <row r="33" spans="1:14">
      <c r="A33" s="23"/>
      <c r="B33" s="23" t="s">
        <v>49</v>
      </c>
      <c r="C33" s="36">
        <v>3.75</v>
      </c>
      <c r="D33" s="934"/>
      <c r="E33" s="1161"/>
      <c r="F33" s="1161"/>
      <c r="G33" s="934"/>
      <c r="H33" s="7"/>
      <c r="I33" s="7"/>
      <c r="J33" s="7"/>
      <c r="K33" s="7"/>
    </row>
    <row r="34" spans="1:14" ht="13">
      <c r="A34" s="23"/>
      <c r="B34" s="28" t="s">
        <v>923</v>
      </c>
      <c r="C34" s="37">
        <f>SUM(C30:C33)</f>
        <v>140.19</v>
      </c>
      <c r="D34" s="723">
        <f>SUM(D30:D33)</f>
        <v>785.56164134999995</v>
      </c>
      <c r="E34" s="723">
        <f>SUM(E30:E33)</f>
        <v>628.20457529999999</v>
      </c>
      <c r="F34" s="1830">
        <f>SUM(F30:F33)</f>
        <v>1240.4000000000001</v>
      </c>
      <c r="G34" s="723">
        <f>SUM(G30:G33)</f>
        <v>1327.2280000000001</v>
      </c>
      <c r="H34" s="7"/>
      <c r="I34" s="7"/>
      <c r="J34" s="7"/>
      <c r="K34" s="7"/>
    </row>
    <row r="35" spans="1:14" ht="13">
      <c r="A35" s="23"/>
      <c r="B35" s="28" t="s">
        <v>937</v>
      </c>
      <c r="C35" s="36"/>
      <c r="D35" s="934"/>
      <c r="E35" s="1161"/>
      <c r="F35" s="1161"/>
      <c r="G35" s="934"/>
      <c r="H35" s="7"/>
      <c r="I35" s="7"/>
      <c r="J35" s="7"/>
      <c r="K35" s="7"/>
    </row>
    <row r="36" spans="1:14" ht="13">
      <c r="A36" s="23"/>
      <c r="B36" s="23" t="s">
        <v>938</v>
      </c>
      <c r="C36" s="36">
        <v>0</v>
      </c>
      <c r="D36" s="934">
        <v>30.0483327</v>
      </c>
      <c r="E36" s="934">
        <v>189.75982999999999</v>
      </c>
      <c r="F36" s="1161">
        <v>23</v>
      </c>
      <c r="G36" s="934">
        <f>F36*1.07</f>
        <v>24.610000000000003</v>
      </c>
      <c r="H36" s="7"/>
      <c r="I36" s="7"/>
      <c r="J36" s="7"/>
      <c r="K36" s="7"/>
      <c r="L36" s="145">
        <f>2000*15000*1.18</f>
        <v>35400000</v>
      </c>
    </row>
    <row r="37" spans="1:14">
      <c r="A37" s="23"/>
      <c r="B37" s="23" t="s">
        <v>939</v>
      </c>
      <c r="C37" s="36">
        <v>0.18</v>
      </c>
      <c r="D37" s="934">
        <v>0.51707999999999998</v>
      </c>
      <c r="E37" s="934">
        <v>0.18339999999999998</v>
      </c>
      <c r="F37" s="895">
        <v>0.91</v>
      </c>
      <c r="G37" s="934">
        <f t="shared" ref="G37:G47" si="2">F37*1.07</f>
        <v>0.97370000000000012</v>
      </c>
      <c r="H37" s="7"/>
      <c r="I37" s="7"/>
      <c r="J37" s="7"/>
      <c r="K37" s="7"/>
    </row>
    <row r="38" spans="1:14">
      <c r="A38" s="23"/>
      <c r="B38" s="23" t="s">
        <v>940</v>
      </c>
      <c r="C38" s="36">
        <v>15.15</v>
      </c>
      <c r="D38" s="934">
        <v>91.100203000000008</v>
      </c>
      <c r="E38" s="934">
        <v>52.595754200000002</v>
      </c>
      <c r="F38" s="934">
        <v>108.42</v>
      </c>
      <c r="G38" s="934">
        <f t="shared" si="2"/>
        <v>116.00940000000001</v>
      </c>
      <c r="H38" s="7"/>
      <c r="I38" s="7"/>
      <c r="J38" s="7"/>
      <c r="K38" s="7"/>
    </row>
    <row r="39" spans="1:14">
      <c r="A39" s="23"/>
      <c r="B39" s="343" t="s">
        <v>941</v>
      </c>
      <c r="C39" s="36">
        <v>2.4500000000000002</v>
      </c>
      <c r="D39" s="934">
        <v>196.862065</v>
      </c>
      <c r="E39" s="934">
        <v>100.59795320000001</v>
      </c>
      <c r="F39" s="934">
        <v>211.55</v>
      </c>
      <c r="G39" s="934">
        <f t="shared" si="2"/>
        <v>226.35850000000002</v>
      </c>
      <c r="H39" s="7"/>
      <c r="I39" s="7"/>
      <c r="J39" s="7"/>
      <c r="K39" s="7"/>
    </row>
    <row r="40" spans="1:14">
      <c r="A40" s="23"/>
      <c r="B40" s="343" t="s">
        <v>942</v>
      </c>
      <c r="C40" s="36"/>
      <c r="D40" s="934">
        <v>21.928943999999998</v>
      </c>
      <c r="E40" s="934">
        <v>14.556454999999998</v>
      </c>
      <c r="F40" s="895">
        <v>29.87</v>
      </c>
      <c r="G40" s="934">
        <f t="shared" si="2"/>
        <v>31.960900000000002</v>
      </c>
      <c r="H40" s="7"/>
      <c r="I40" s="7"/>
      <c r="J40" s="7"/>
      <c r="K40" s="7"/>
    </row>
    <row r="41" spans="1:14" ht="13">
      <c r="A41" s="23"/>
      <c r="B41" s="343" t="s">
        <v>952</v>
      </c>
      <c r="C41" s="36">
        <v>10.56</v>
      </c>
      <c r="D41" s="934">
        <v>381.15388259999997</v>
      </c>
      <c r="E41" s="934">
        <v>247.2208407</v>
      </c>
      <c r="F41" s="934">
        <v>457</v>
      </c>
      <c r="G41" s="934">
        <f t="shared" si="2"/>
        <v>488.99</v>
      </c>
      <c r="H41" s="7"/>
      <c r="I41" s="7"/>
      <c r="J41" s="7"/>
      <c r="K41" s="7"/>
      <c r="L41" s="145"/>
    </row>
    <row r="42" spans="1:14" ht="13">
      <c r="A42" s="23"/>
      <c r="B42" s="23" t="s">
        <v>943</v>
      </c>
      <c r="C42" s="36"/>
      <c r="D42" s="934">
        <v>582.65923250000003</v>
      </c>
      <c r="E42" s="934">
        <v>373.96477060000007</v>
      </c>
      <c r="F42" s="934">
        <v>645</v>
      </c>
      <c r="G42" s="934">
        <f t="shared" si="2"/>
        <v>690.15000000000009</v>
      </c>
      <c r="H42" s="7"/>
      <c r="I42" s="7"/>
      <c r="J42" s="7"/>
      <c r="K42" s="7"/>
      <c r="L42" s="145"/>
    </row>
    <row r="43" spans="1:14">
      <c r="A43" s="23"/>
      <c r="B43" s="343" t="s">
        <v>2511</v>
      </c>
      <c r="C43" s="36"/>
      <c r="D43" s="895">
        <v>139.84052</v>
      </c>
      <c r="E43" s="934">
        <v>84.082441000000003</v>
      </c>
      <c r="F43" s="934">
        <v>465</v>
      </c>
      <c r="G43" s="934">
        <f>F43*1.07</f>
        <v>497.55</v>
      </c>
      <c r="H43" s="7"/>
      <c r="I43" s="7"/>
      <c r="J43" s="7"/>
      <c r="K43" s="7"/>
    </row>
    <row r="44" spans="1:14" ht="25">
      <c r="A44" s="23"/>
      <c r="B44" s="350" t="s">
        <v>2512</v>
      </c>
      <c r="C44" s="36"/>
      <c r="D44" s="934">
        <v>143.26975999999999</v>
      </c>
      <c r="E44" s="1161">
        <v>100</v>
      </c>
      <c r="F44" s="1831">
        <v>520</v>
      </c>
      <c r="G44" s="934">
        <f t="shared" si="2"/>
        <v>556.4</v>
      </c>
      <c r="H44" s="7"/>
      <c r="I44" s="7"/>
      <c r="J44" s="7"/>
      <c r="K44" s="7"/>
      <c r="L44" s="1832"/>
      <c r="M44" s="1832"/>
    </row>
    <row r="45" spans="1:14">
      <c r="A45" s="23"/>
      <c r="B45" s="343" t="s">
        <v>944</v>
      </c>
      <c r="C45" s="36">
        <f>52.66+0.7+0.67+4.6+9.24+0.8+0.07+16.21</f>
        <v>84.949999999999989</v>
      </c>
      <c r="D45" s="934">
        <v>546.46459670000002</v>
      </c>
      <c r="E45" s="1161">
        <v>376.20350319999801</v>
      </c>
      <c r="F45" s="934">
        <v>653</v>
      </c>
      <c r="G45" s="934">
        <f t="shared" si="2"/>
        <v>698.71</v>
      </c>
      <c r="H45" s="7"/>
      <c r="I45" s="7"/>
      <c r="J45" s="7"/>
      <c r="K45" s="7"/>
      <c r="L45" s="1832"/>
      <c r="M45" s="1832"/>
    </row>
    <row r="46" spans="1:14" ht="13">
      <c r="A46" s="23"/>
      <c r="B46" s="23" t="s">
        <v>945</v>
      </c>
      <c r="C46" s="36"/>
      <c r="D46" s="934">
        <f>9322.6108046-(565194848.89/10^5)</f>
        <v>3670.6623157000013</v>
      </c>
      <c r="E46" s="1161">
        <f>5392.6499188-2526.3043315</f>
        <v>2866.3455872999998</v>
      </c>
      <c r="F46" s="1831">
        <f>G46/1.07</f>
        <v>5678.8609009345782</v>
      </c>
      <c r="G46" s="934">
        <f>N91</f>
        <v>6076.3811639999994</v>
      </c>
      <c r="H46" s="7"/>
      <c r="I46" s="7"/>
      <c r="J46" s="7"/>
      <c r="K46" s="7"/>
      <c r="L46" s="1832"/>
      <c r="M46" s="1832"/>
      <c r="N46" s="1833"/>
    </row>
    <row r="47" spans="1:14">
      <c r="A47" s="23"/>
      <c r="B47" s="23" t="s">
        <v>946</v>
      </c>
      <c r="C47" s="36">
        <v>0.38</v>
      </c>
      <c r="D47" s="934">
        <v>27.726105099999998</v>
      </c>
      <c r="E47" s="1161">
        <v>9.4525929000000009</v>
      </c>
      <c r="F47" s="1831">
        <v>31.25</v>
      </c>
      <c r="G47" s="934">
        <f t="shared" si="2"/>
        <v>33.4375</v>
      </c>
      <c r="H47" s="7"/>
      <c r="I47" s="7"/>
      <c r="J47" s="7"/>
      <c r="K47" s="7"/>
      <c r="L47" s="1832"/>
      <c r="M47" s="1832"/>
      <c r="N47" s="7"/>
    </row>
    <row r="48" spans="1:14" ht="13">
      <c r="A48" s="23"/>
      <c r="B48" s="28" t="s">
        <v>923</v>
      </c>
      <c r="C48" s="37">
        <f>SUM(C36:C47)</f>
        <v>113.66999999999999</v>
      </c>
      <c r="D48" s="723">
        <f>SUM(D36:D47)</f>
        <v>5832.2330373000013</v>
      </c>
      <c r="E48" s="723">
        <f>SUM(E36:E47)</f>
        <v>4414.9631280999984</v>
      </c>
      <c r="F48" s="1830">
        <f>SUM(F36:F47)</f>
        <v>8823.8609009345782</v>
      </c>
      <c r="G48" s="723">
        <f>SUM(G36:G47)</f>
        <v>9441.531164</v>
      </c>
      <c r="H48" s="7"/>
      <c r="I48" s="7"/>
      <c r="J48" s="7"/>
      <c r="K48" s="7"/>
      <c r="L48" s="1832"/>
      <c r="M48" s="1832"/>
      <c r="N48" s="7"/>
    </row>
    <row r="49" spans="1:20" ht="13">
      <c r="A49" s="23"/>
      <c r="B49" s="28" t="s">
        <v>947</v>
      </c>
      <c r="C49" s="36"/>
      <c r="D49" s="934"/>
      <c r="E49" s="1161"/>
      <c r="F49" s="1161"/>
      <c r="G49" s="934"/>
      <c r="H49" s="7"/>
      <c r="I49" s="7"/>
      <c r="J49" s="7"/>
      <c r="K49" s="7"/>
      <c r="L49" s="1832"/>
      <c r="M49" s="1832"/>
      <c r="N49" s="12"/>
      <c r="P49" s="2"/>
    </row>
    <row r="50" spans="1:20" ht="13">
      <c r="A50" s="23"/>
      <c r="B50" s="23" t="s">
        <v>948</v>
      </c>
      <c r="C50" s="36"/>
      <c r="D50" s="1834"/>
      <c r="E50" s="1835"/>
      <c r="F50" s="1161"/>
      <c r="G50" s="934"/>
      <c r="H50" s="7"/>
      <c r="I50" s="7"/>
      <c r="J50" s="7"/>
      <c r="K50" s="7"/>
      <c r="M50" s="12"/>
    </row>
    <row r="51" spans="1:20" ht="25">
      <c r="A51" s="23"/>
      <c r="B51" s="350" t="s">
        <v>2513</v>
      </c>
      <c r="C51" s="36">
        <f>2.85+18.33+9+13.21</f>
        <v>43.39</v>
      </c>
      <c r="D51" s="934">
        <v>451.01417739999999</v>
      </c>
      <c r="E51" s="934">
        <v>251.61218</v>
      </c>
      <c r="F51" s="934">
        <v>427</v>
      </c>
      <c r="G51" s="934">
        <f>F51*1.07</f>
        <v>456.89000000000004</v>
      </c>
      <c r="H51" s="7"/>
      <c r="I51" s="7"/>
      <c r="J51" s="7"/>
      <c r="K51" s="7"/>
    </row>
    <row r="52" spans="1:20" ht="25">
      <c r="A52" s="23"/>
      <c r="B52" s="350" t="s">
        <v>2514</v>
      </c>
      <c r="C52" s="36"/>
      <c r="D52" s="934">
        <v>0.88292000000000004</v>
      </c>
      <c r="E52" s="1161">
        <v>8.2500000000000004E-2</v>
      </c>
      <c r="F52" s="1161">
        <v>0.85</v>
      </c>
      <c r="G52" s="934">
        <f>F52*1.07</f>
        <v>0.90949999999999998</v>
      </c>
      <c r="H52" s="7"/>
      <c r="I52" s="7"/>
      <c r="J52" s="7"/>
      <c r="K52" s="7"/>
    </row>
    <row r="53" spans="1:20">
      <c r="A53" s="23"/>
      <c r="B53" s="1015" t="s">
        <v>949</v>
      </c>
      <c r="C53" s="36">
        <f>0.3+0.25+0.8</f>
        <v>1.35</v>
      </c>
      <c r="D53" s="934"/>
      <c r="E53" s="934"/>
      <c r="F53" s="934"/>
      <c r="G53" s="934"/>
      <c r="H53" s="7"/>
      <c r="I53" s="7"/>
      <c r="J53" s="7"/>
      <c r="K53" s="7"/>
    </row>
    <row r="54" spans="1:20" ht="13">
      <c r="A54" s="23"/>
      <c r="B54" s="28" t="s">
        <v>923</v>
      </c>
      <c r="C54" s="37">
        <f>SUM(C50:C53)</f>
        <v>44.74</v>
      </c>
      <c r="D54" s="723">
        <f>SUM(D50:D53)</f>
        <v>451.89709740000001</v>
      </c>
      <c r="E54" s="723">
        <f>SUM(E50:E53)</f>
        <v>251.69468000000001</v>
      </c>
      <c r="F54" s="1830">
        <f>SUM(F50:F53)</f>
        <v>427.85</v>
      </c>
      <c r="G54" s="723">
        <f>SUM(G50:G53)</f>
        <v>457.79950000000002</v>
      </c>
      <c r="H54" s="7"/>
      <c r="I54" s="7"/>
      <c r="J54" s="7"/>
      <c r="K54" s="7"/>
    </row>
    <row r="55" spans="1:20" ht="13">
      <c r="A55" s="23"/>
      <c r="B55" s="28" t="s">
        <v>214</v>
      </c>
      <c r="C55" s="37"/>
      <c r="D55" s="723">
        <f>D14+D21+D28+D34+D48+D54</f>
        <v>14645.432944749999</v>
      </c>
      <c r="E55" s="723">
        <f>E14+E21+E28+E34+E48+E54</f>
        <v>9527.2267799999991</v>
      </c>
      <c r="F55" s="723">
        <f>F14+F21+F28+F34+F48+F54</f>
        <v>19108.758718334575</v>
      </c>
      <c r="G55" s="723">
        <f>G14+G21+G28+G34+G48+G54</f>
        <v>20446.371828618001</v>
      </c>
      <c r="H55" s="1000">
        <f>(G55-F55)/F55</f>
        <v>7.0000000000000298E-2</v>
      </c>
      <c r="I55" s="7"/>
      <c r="J55" s="7"/>
      <c r="K55" s="7"/>
      <c r="L55" s="12"/>
      <c r="M55" s="7"/>
      <c r="P55" s="145"/>
    </row>
    <row r="56" spans="1:20" ht="13">
      <c r="A56" s="23"/>
      <c r="B56" s="343" t="s">
        <v>2510</v>
      </c>
      <c r="C56" s="37"/>
      <c r="D56" s="723"/>
      <c r="E56" s="934"/>
      <c r="F56" s="1831"/>
      <c r="G56" s="895">
        <f>N133-G44</f>
        <v>384.10300000000007</v>
      </c>
      <c r="H56" s="1010"/>
      <c r="I56" s="628"/>
      <c r="J56" s="1010"/>
      <c r="K56" s="1010"/>
      <c r="P56" s="1836"/>
      <c r="Q56" s="1836"/>
      <c r="R56" s="1837"/>
      <c r="S56" s="1837"/>
      <c r="T56" s="1837"/>
    </row>
    <row r="57" spans="1:20" ht="13">
      <c r="A57" s="23"/>
      <c r="B57" s="343" t="s">
        <v>1978</v>
      </c>
      <c r="C57" s="37"/>
      <c r="D57" s="723"/>
      <c r="E57" s="1830"/>
      <c r="F57" s="1831"/>
      <c r="G57" s="895">
        <f>N112-500</f>
        <v>1419.11385</v>
      </c>
      <c r="H57" s="7"/>
      <c r="I57" s="7"/>
      <c r="J57" s="7"/>
      <c r="K57" s="7"/>
      <c r="L57" s="1838" t="s">
        <v>950</v>
      </c>
      <c r="M57" s="1839" t="s">
        <v>1964</v>
      </c>
      <c r="N57" s="1839"/>
      <c r="P57" s="1840"/>
      <c r="Q57" s="1841"/>
      <c r="R57" s="489"/>
      <c r="S57" s="489"/>
      <c r="T57" s="489"/>
    </row>
    <row r="58" spans="1:20" ht="13">
      <c r="A58" s="23"/>
      <c r="B58" s="343" t="s">
        <v>1977</v>
      </c>
      <c r="C58" s="37"/>
      <c r="D58" s="1842"/>
      <c r="E58" s="895"/>
      <c r="F58" s="895"/>
      <c r="G58" s="895">
        <f>N137+N143+(N140-800)</f>
        <v>565</v>
      </c>
      <c r="H58" s="7"/>
      <c r="I58" s="7"/>
      <c r="J58" s="7"/>
      <c r="K58" s="7"/>
      <c r="L58" s="347" t="s">
        <v>1975</v>
      </c>
      <c r="M58">
        <v>2.08</v>
      </c>
      <c r="P58" s="1840"/>
      <c r="Q58" s="1841"/>
      <c r="R58" s="489"/>
      <c r="S58" s="489"/>
      <c r="T58" s="489"/>
    </row>
    <row r="59" spans="1:20" ht="15">
      <c r="A59" s="23"/>
      <c r="B59" s="343" t="s">
        <v>2474</v>
      </c>
      <c r="C59" s="37"/>
      <c r="D59" s="723"/>
      <c r="E59" s="723"/>
      <c r="F59" s="895"/>
      <c r="G59" s="895">
        <f>N79</f>
        <v>322</v>
      </c>
      <c r="H59" s="7"/>
      <c r="I59" s="7"/>
      <c r="J59" s="7"/>
      <c r="K59" s="7"/>
      <c r="L59" s="1843" t="s">
        <v>951</v>
      </c>
      <c r="M59">
        <v>0.25</v>
      </c>
      <c r="P59" s="1840"/>
      <c r="R59" s="489"/>
      <c r="S59" s="489"/>
      <c r="T59" s="489"/>
    </row>
    <row r="60" spans="1:20" ht="13">
      <c r="A60" s="23"/>
      <c r="B60" s="343" t="s">
        <v>2515</v>
      </c>
      <c r="C60" s="37"/>
      <c r="D60" s="723"/>
      <c r="E60" s="723"/>
      <c r="F60" s="895"/>
      <c r="G60" s="934">
        <f>N100</f>
        <v>433.8</v>
      </c>
      <c r="H60" s="7"/>
      <c r="I60" s="7"/>
      <c r="J60" s="7"/>
      <c r="K60" s="7"/>
      <c r="L60" s="347" t="s">
        <v>954</v>
      </c>
      <c r="M60">
        <v>1.21</v>
      </c>
      <c r="P60" s="1840"/>
      <c r="R60" s="489"/>
      <c r="S60" s="489"/>
      <c r="T60" s="489"/>
    </row>
    <row r="61" spans="1:20" ht="13">
      <c r="A61" s="23"/>
      <c r="B61" s="343" t="s">
        <v>2073</v>
      </c>
      <c r="C61" s="23"/>
      <c r="D61" s="483"/>
      <c r="E61" s="483"/>
      <c r="F61" s="483"/>
      <c r="G61" s="934">
        <f>X108</f>
        <v>505.89599999999996</v>
      </c>
      <c r="H61" s="7"/>
      <c r="I61" s="7"/>
      <c r="J61" s="7"/>
      <c r="K61" s="7"/>
      <c r="L61" s="347" t="s">
        <v>953</v>
      </c>
      <c r="M61">
        <v>1.1100000000000001</v>
      </c>
      <c r="P61" s="1840"/>
      <c r="Q61" s="1841"/>
      <c r="R61" s="489"/>
      <c r="S61" s="489"/>
      <c r="T61" s="489"/>
    </row>
    <row r="62" spans="1:20" ht="13">
      <c r="A62" s="23"/>
      <c r="B62" s="343" t="s">
        <v>2114</v>
      </c>
      <c r="C62" s="37"/>
      <c r="D62" s="895"/>
      <c r="E62" s="895"/>
      <c r="F62" s="895"/>
      <c r="G62" s="895">
        <f>R113+R114</f>
        <v>4.8</v>
      </c>
      <c r="H62" s="7"/>
      <c r="I62" s="7"/>
      <c r="J62" s="7"/>
      <c r="K62" s="7"/>
      <c r="L62" s="347" t="s">
        <v>1976</v>
      </c>
      <c r="M62">
        <v>2.0299999999999998</v>
      </c>
      <c r="P62" s="1840"/>
      <c r="Q62" s="1841"/>
      <c r="R62" s="489"/>
      <c r="S62" s="489"/>
      <c r="T62" s="489"/>
    </row>
    <row r="63" spans="1:20" ht="13">
      <c r="A63" s="23"/>
      <c r="B63" s="343" t="s">
        <v>2540</v>
      </c>
      <c r="C63" s="37"/>
      <c r="D63" s="895"/>
      <c r="E63" s="895"/>
      <c r="F63" s="895"/>
      <c r="G63" s="895">
        <f>N70-G43</f>
        <v>505.45</v>
      </c>
      <c r="H63" s="7"/>
      <c r="I63" s="7"/>
      <c r="J63" s="7"/>
      <c r="K63" s="7"/>
      <c r="L63" s="2" t="s">
        <v>145</v>
      </c>
      <c r="M63" s="2">
        <f>SUM(M58:M62)</f>
        <v>6.68</v>
      </c>
      <c r="P63" s="1840"/>
      <c r="Q63" s="1841"/>
      <c r="R63" s="489"/>
      <c r="S63" s="489"/>
      <c r="T63" s="489"/>
    </row>
    <row r="64" spans="1:20" ht="13">
      <c r="A64" s="23"/>
      <c r="B64" s="71" t="s">
        <v>874</v>
      </c>
      <c r="C64" s="37"/>
      <c r="D64" s="723">
        <f>SUM(D56:D63)</f>
        <v>0</v>
      </c>
      <c r="E64" s="723">
        <f>SUM(E56:E63)</f>
        <v>0</v>
      </c>
      <c r="F64" s="723">
        <f>SUM(F56:F63)</f>
        <v>0</v>
      </c>
      <c r="G64" s="723">
        <f>SUM(G56:G63)</f>
        <v>4140.1628499999997</v>
      </c>
      <c r="H64" s="7"/>
      <c r="I64" s="7"/>
      <c r="J64" s="7"/>
      <c r="K64" s="7"/>
      <c r="P64" s="1840"/>
      <c r="Q64" s="1841"/>
      <c r="R64" s="489"/>
      <c r="S64" s="489"/>
      <c r="T64" s="489"/>
    </row>
    <row r="65" spans="1:20" ht="13">
      <c r="A65" s="23"/>
      <c r="B65" s="28"/>
      <c r="C65" s="37"/>
      <c r="D65" s="723"/>
      <c r="E65" s="1830"/>
      <c r="F65" s="1830"/>
      <c r="G65" s="895"/>
      <c r="H65" s="7"/>
      <c r="I65" s="7"/>
      <c r="J65" s="7"/>
      <c r="K65" s="7"/>
      <c r="L65" s="7"/>
      <c r="M65" s="1839"/>
      <c r="N65" s="1839"/>
      <c r="P65" s="1840"/>
      <c r="Q65" s="1841"/>
      <c r="R65" s="489"/>
      <c r="S65" s="489"/>
      <c r="T65" s="489"/>
    </row>
    <row r="66" spans="1:20" ht="13">
      <c r="A66" s="23"/>
      <c r="B66" s="28" t="s">
        <v>214</v>
      </c>
      <c r="C66" s="36">
        <f>C54+C48+C34+C28+C21+C14</f>
        <v>354.21000000000004</v>
      </c>
      <c r="D66" s="723">
        <f>(D55+D64)</f>
        <v>14645.432944749999</v>
      </c>
      <c r="E66" s="723">
        <f>E55+E64</f>
        <v>9527.2267799999991</v>
      </c>
      <c r="F66" s="723">
        <f>F55+F64</f>
        <v>19108.758718334575</v>
      </c>
      <c r="G66" s="723">
        <f>G55+G64</f>
        <v>24586.534678618002</v>
      </c>
      <c r="H66" s="1010"/>
      <c r="I66" s="202"/>
      <c r="J66" s="7"/>
      <c r="K66" s="7"/>
      <c r="L66" s="2078" t="s">
        <v>2449</v>
      </c>
      <c r="M66" s="2071" t="s">
        <v>2033</v>
      </c>
      <c r="N66" s="2071" t="s">
        <v>2215</v>
      </c>
      <c r="P66" s="2072"/>
      <c r="Q66" s="2072"/>
      <c r="R66" s="489"/>
      <c r="S66" s="489"/>
      <c r="T66" s="1845"/>
    </row>
    <row r="67" spans="1:20" ht="13">
      <c r="D67" s="1846"/>
      <c r="E67" s="1846"/>
      <c r="F67" s="216"/>
      <c r="G67" s="216"/>
      <c r="H67" s="1010"/>
      <c r="I67" s="202"/>
      <c r="J67" s="1010"/>
      <c r="K67" s="1010"/>
      <c r="L67" s="2078"/>
      <c r="M67" s="2071"/>
      <c r="N67" s="2071" t="s">
        <v>2215</v>
      </c>
      <c r="P67" s="1840">
        <v>31</v>
      </c>
      <c r="Q67">
        <f>P67*1.25*12</f>
        <v>465</v>
      </c>
      <c r="R67" s="489"/>
      <c r="S67" s="489"/>
      <c r="T67" s="489"/>
    </row>
    <row r="68" spans="1:20" ht="26.25" customHeight="1">
      <c r="B68" s="2084" t="s">
        <v>1973</v>
      </c>
      <c r="C68" s="2085"/>
      <c r="D68" s="2085"/>
      <c r="E68" s="2085"/>
      <c r="F68" s="2085"/>
      <c r="G68" s="2085"/>
      <c r="I68" s="202"/>
      <c r="L68" s="902" t="s">
        <v>2450</v>
      </c>
      <c r="M68" s="934">
        <v>601</v>
      </c>
      <c r="N68" s="934">
        <v>801</v>
      </c>
      <c r="O68" s="2"/>
      <c r="P68" s="1840">
        <v>70</v>
      </c>
      <c r="Q68">
        <f>P68*1.25*12</f>
        <v>1050</v>
      </c>
      <c r="R68" s="489"/>
      <c r="S68" s="489"/>
      <c r="T68" s="1847"/>
    </row>
    <row r="69" spans="1:20" ht="12.75" customHeight="1">
      <c r="B69" s="2084"/>
      <c r="C69" s="2084"/>
      <c r="D69" s="2084"/>
      <c r="E69" s="2084"/>
      <c r="F69" s="2084"/>
      <c r="G69" s="2084"/>
      <c r="L69" s="343" t="s">
        <v>2451</v>
      </c>
      <c r="M69" s="934">
        <v>101</v>
      </c>
      <c r="N69" s="934">
        <v>202</v>
      </c>
      <c r="O69" s="7"/>
      <c r="P69" s="1840"/>
      <c r="Q69" s="64">
        <f>Q68-Q67</f>
        <v>585</v>
      </c>
      <c r="R69" s="489"/>
      <c r="S69" s="489"/>
      <c r="T69" s="489"/>
    </row>
    <row r="70" spans="1:20" ht="13">
      <c r="A70" s="64"/>
      <c r="B70" s="2084"/>
      <c r="C70" s="2084"/>
      <c r="D70" s="2084"/>
      <c r="E70" s="2084"/>
      <c r="F70" s="2084"/>
      <c r="G70" s="2084"/>
      <c r="L70" s="28" t="s">
        <v>214</v>
      </c>
      <c r="M70" s="1614">
        <f>SUM(M68:M69)</f>
        <v>702</v>
      </c>
      <c r="N70" s="1614">
        <f>SUM(N68:N69)</f>
        <v>1003</v>
      </c>
      <c r="O70" s="1848">
        <f>M70*1.07</f>
        <v>751.1400000000001</v>
      </c>
      <c r="P70" s="1840"/>
      <c r="Q70" s="9">
        <f>Q69/1.07</f>
        <v>546.72897196261681</v>
      </c>
      <c r="R70" s="489"/>
      <c r="S70" s="489"/>
      <c r="T70" s="489"/>
    </row>
    <row r="71" spans="1:20" ht="13">
      <c r="A71" s="64"/>
      <c r="B71" s="2084"/>
      <c r="C71" s="2084"/>
      <c r="D71" s="2084"/>
      <c r="E71" s="2084"/>
      <c r="F71" s="2084"/>
      <c r="G71" s="2084"/>
      <c r="L71" s="7"/>
      <c r="M71" s="7"/>
      <c r="O71" s="7">
        <f>N70-O70</f>
        <v>251.8599999999999</v>
      </c>
      <c r="T71" s="295"/>
    </row>
    <row r="72" spans="1:20" ht="14.5">
      <c r="D72" s="7"/>
      <c r="E72" s="7"/>
      <c r="F72" s="7"/>
      <c r="G72" s="7"/>
      <c r="L72" s="2079" t="s">
        <v>2480</v>
      </c>
      <c r="M72" s="2080"/>
      <c r="N72" s="1844" t="s">
        <v>2215</v>
      </c>
      <c r="P72" s="2073"/>
      <c r="Q72" s="2073"/>
      <c r="R72" s="489"/>
      <c r="S72" s="489"/>
      <c r="T72" s="1845"/>
    </row>
    <row r="73" spans="1:20" ht="13" thickBot="1">
      <c r="L73" s="2056" t="s">
        <v>2452</v>
      </c>
      <c r="M73" s="2057"/>
      <c r="N73" s="895">
        <v>340</v>
      </c>
      <c r="O73" s="2093" t="s">
        <v>2539</v>
      </c>
    </row>
    <row r="74" spans="1:20">
      <c r="A74" s="984"/>
      <c r="L74" s="2056" t="s">
        <v>2453</v>
      </c>
      <c r="M74" s="2057"/>
      <c r="N74" s="895">
        <v>203</v>
      </c>
      <c r="O74" s="2094"/>
      <c r="Q74" s="347"/>
    </row>
    <row r="75" spans="1:20">
      <c r="A75" s="88"/>
      <c r="L75" s="2056" t="s">
        <v>2455</v>
      </c>
      <c r="M75" s="2057"/>
      <c r="N75" s="934">
        <v>11</v>
      </c>
      <c r="O75" s="2094"/>
      <c r="Q75" s="1850"/>
      <c r="R75" s="1851"/>
    </row>
    <row r="76" spans="1:20">
      <c r="A76" s="1852" t="s">
        <v>956</v>
      </c>
      <c r="L76" s="2056" t="s">
        <v>2454</v>
      </c>
      <c r="M76" s="2057"/>
      <c r="N76" s="934">
        <v>12</v>
      </c>
      <c r="O76" s="2094"/>
      <c r="Q76" s="1853"/>
      <c r="R76" s="1851"/>
    </row>
    <row r="77" spans="1:20">
      <c r="A77" s="88"/>
      <c r="L77" s="2056" t="s">
        <v>2456</v>
      </c>
      <c r="M77" s="2057"/>
      <c r="N77" s="934">
        <v>1.2</v>
      </c>
      <c r="O77" s="2094"/>
      <c r="Q77" s="1850"/>
      <c r="R77" s="1851"/>
    </row>
    <row r="78" spans="1:20">
      <c r="A78" s="1852" t="s">
        <v>957</v>
      </c>
      <c r="L78" s="2056" t="s">
        <v>2457</v>
      </c>
      <c r="M78" s="2057"/>
      <c r="N78" s="76">
        <v>12.5</v>
      </c>
      <c r="O78" s="2094"/>
      <c r="Q78" s="1850"/>
      <c r="R78" s="1851"/>
    </row>
    <row r="79" spans="1:20">
      <c r="A79" s="88"/>
      <c r="L79" s="2056" t="s">
        <v>2458</v>
      </c>
      <c r="M79" s="2057"/>
      <c r="N79" s="1854">
        <v>322</v>
      </c>
      <c r="O79" s="347" t="s">
        <v>2538</v>
      </c>
      <c r="Q79" s="1853"/>
      <c r="R79" s="1851"/>
    </row>
    <row r="80" spans="1:20" ht="13">
      <c r="A80" s="1852" t="s">
        <v>369</v>
      </c>
      <c r="L80" s="2076" t="s">
        <v>214</v>
      </c>
      <c r="M80" s="2077"/>
      <c r="N80" s="1614">
        <f>SUM(N73:N79)</f>
        <v>901.7</v>
      </c>
      <c r="Q80" s="1850"/>
      <c r="R80" s="1851"/>
    </row>
    <row r="81" spans="1:24">
      <c r="A81" s="88"/>
      <c r="Q81" s="1853"/>
      <c r="R81" s="1851"/>
    </row>
    <row r="82" spans="1:24" ht="28.5" customHeight="1">
      <c r="A82" s="88"/>
      <c r="L82" s="2058" t="s">
        <v>2467</v>
      </c>
      <c r="M82" s="2059"/>
      <c r="N82" s="1855" t="s">
        <v>2215</v>
      </c>
      <c r="Q82" s="1853"/>
      <c r="R82" s="1851"/>
    </row>
    <row r="83" spans="1:24" ht="31" customHeight="1">
      <c r="A83" s="88"/>
      <c r="L83" s="2064" t="s">
        <v>2459</v>
      </c>
      <c r="M83" s="2065"/>
      <c r="N83" s="934">
        <f>40313526.04/10^5*12</f>
        <v>4837.6231248000004</v>
      </c>
      <c r="Q83" s="1856"/>
      <c r="R83" s="1851"/>
    </row>
    <row r="84" spans="1:24" ht="27" customHeight="1">
      <c r="A84" s="1852" t="s">
        <v>956</v>
      </c>
      <c r="L84" s="2064" t="s">
        <v>2460</v>
      </c>
      <c r="M84" s="2065"/>
      <c r="N84" s="934">
        <f>594744.04/10^5*12</f>
        <v>71.369284800000003</v>
      </c>
    </row>
    <row r="85" spans="1:24" ht="25.5" customHeight="1">
      <c r="A85" s="88"/>
      <c r="L85" s="2066" t="s">
        <v>2461</v>
      </c>
      <c r="M85" s="2065"/>
      <c r="N85" s="934">
        <f>888009.89/10^5*12</f>
        <v>106.5611868</v>
      </c>
    </row>
    <row r="86" spans="1:24" ht="29.5" customHeight="1">
      <c r="A86" s="1852" t="s">
        <v>958</v>
      </c>
      <c r="L86" s="2064" t="s">
        <v>2462</v>
      </c>
      <c r="M86" s="2065"/>
      <c r="N86" s="934">
        <f>240411.31/10^5*12</f>
        <v>28.8493572</v>
      </c>
      <c r="Q86" s="1857"/>
      <c r="R86" s="668"/>
    </row>
    <row r="87" spans="1:24" ht="27.5" customHeight="1">
      <c r="A87" s="88"/>
      <c r="L87" s="2067" t="s">
        <v>2463</v>
      </c>
      <c r="M87" s="2065"/>
      <c r="N87" s="934">
        <f>1748713.73/10^5*12</f>
        <v>209.84564760000001</v>
      </c>
      <c r="Q87" s="1857"/>
      <c r="R87" s="1858"/>
    </row>
    <row r="88" spans="1:24" ht="13" customHeight="1">
      <c r="A88" s="1852" t="s">
        <v>369</v>
      </c>
      <c r="L88" s="2075" t="s">
        <v>2464</v>
      </c>
      <c r="M88" s="2065"/>
      <c r="N88" s="934">
        <f>2082546.07/10^5*12</f>
        <v>249.90552840000001</v>
      </c>
      <c r="Q88" s="1857"/>
      <c r="R88" s="668"/>
    </row>
    <row r="89" spans="1:24" ht="13">
      <c r="A89" t="s">
        <v>959</v>
      </c>
      <c r="L89" s="2060" t="s">
        <v>2465</v>
      </c>
      <c r="M89" s="2065"/>
      <c r="N89" s="76">
        <f>43826.49/10^5*12</f>
        <v>5.259178799999999</v>
      </c>
      <c r="Q89" s="891"/>
      <c r="R89" s="1845"/>
    </row>
    <row r="90" spans="1:24" ht="25" customHeight="1">
      <c r="A90" t="s">
        <v>960</v>
      </c>
      <c r="L90" s="2060" t="s">
        <v>2466</v>
      </c>
      <c r="M90" s="2061"/>
      <c r="N90" s="934">
        <f>4724732.13/10^5*12</f>
        <v>566.96785559999989</v>
      </c>
    </row>
    <row r="91" spans="1:24" ht="13">
      <c r="L91" s="2062" t="s">
        <v>214</v>
      </c>
      <c r="M91" s="2062"/>
      <c r="N91" s="1614">
        <f>SUM(N83:N90)</f>
        <v>6076.3811639999994</v>
      </c>
      <c r="Q91" s="1859" t="s">
        <v>2073</v>
      </c>
      <c r="T91" s="1860" t="s">
        <v>2528</v>
      </c>
    </row>
    <row r="92" spans="1:24" ht="14.5">
      <c r="L92" s="347"/>
      <c r="M92" s="7"/>
      <c r="N92" s="7"/>
      <c r="Q92" s="2074" t="s">
        <v>2527</v>
      </c>
      <c r="R92" s="2074"/>
      <c r="S92" s="2074"/>
      <c r="T92" s="2074"/>
    </row>
    <row r="93" spans="1:24" ht="12.75" customHeight="1">
      <c r="L93" s="2058" t="s">
        <v>2468</v>
      </c>
      <c r="M93" s="2059"/>
      <c r="N93" s="1855" t="s">
        <v>2215</v>
      </c>
      <c r="Q93" s="1252" t="s">
        <v>2167</v>
      </c>
      <c r="R93" s="656" t="s">
        <v>2168</v>
      </c>
      <c r="S93" s="892" t="s">
        <v>2169</v>
      </c>
      <c r="T93" s="656" t="s">
        <v>2170</v>
      </c>
      <c r="U93" s="2" t="s">
        <v>1850</v>
      </c>
      <c r="V93" s="206" t="s">
        <v>2537</v>
      </c>
    </row>
    <row r="94" spans="1:24">
      <c r="L94" s="2060" t="s">
        <v>2469</v>
      </c>
      <c r="M94" s="2061"/>
      <c r="N94" s="934">
        <v>249</v>
      </c>
      <c r="Q94" s="867" t="s">
        <v>2171</v>
      </c>
      <c r="R94" s="483">
        <v>1</v>
      </c>
      <c r="S94" s="867">
        <v>267500</v>
      </c>
      <c r="T94" s="867">
        <f t="shared" ref="T94:T100" si="3">(R94*S94)/10^5</f>
        <v>2.6749999999999998</v>
      </c>
      <c r="V94" s="23">
        <v>1</v>
      </c>
      <c r="W94" s="23">
        <f>S94</f>
        <v>267500</v>
      </c>
      <c r="X94" s="23">
        <f>(V94*W94)/10^5</f>
        <v>2.6749999999999998</v>
      </c>
    </row>
    <row r="95" spans="1:24">
      <c r="L95" s="2067" t="s">
        <v>2470</v>
      </c>
      <c r="M95" s="2067"/>
      <c r="N95" s="934">
        <f>0.6*100</f>
        <v>60</v>
      </c>
      <c r="Q95" s="867" t="s">
        <v>2172</v>
      </c>
      <c r="R95" s="483">
        <v>5</v>
      </c>
      <c r="S95" s="867">
        <v>107000</v>
      </c>
      <c r="T95" s="867">
        <f t="shared" si="3"/>
        <v>5.35</v>
      </c>
      <c r="V95" s="23">
        <v>2</v>
      </c>
      <c r="W95" s="23">
        <f>S95</f>
        <v>107000</v>
      </c>
      <c r="X95" s="23">
        <f>(V95*W95)/10^5</f>
        <v>2.14</v>
      </c>
    </row>
    <row r="96" spans="1:24" ht="37.5" customHeight="1">
      <c r="L96" s="2060" t="s">
        <v>2471</v>
      </c>
      <c r="M96" s="2061"/>
      <c r="N96" s="934">
        <f>510000/10^5*12</f>
        <v>61.199999999999996</v>
      </c>
      <c r="Q96" s="867" t="s">
        <v>2173</v>
      </c>
      <c r="R96" s="483">
        <v>17</v>
      </c>
      <c r="S96" s="867">
        <v>85600</v>
      </c>
      <c r="T96" s="867">
        <f t="shared" si="3"/>
        <v>14.552</v>
      </c>
      <c r="V96" s="23">
        <v>5</v>
      </c>
      <c r="W96" s="23">
        <f t="shared" ref="W96:W100" si="4">S96</f>
        <v>85600</v>
      </c>
      <c r="X96" s="23">
        <f t="shared" ref="X96:X100" si="5">(V96*W96)/10^5</f>
        <v>4.28</v>
      </c>
    </row>
    <row r="97" spans="8:24">
      <c r="L97" s="2068" t="s">
        <v>2472</v>
      </c>
      <c r="M97" s="2069"/>
      <c r="N97" s="76">
        <f>90000/10^5*12</f>
        <v>10.8</v>
      </c>
      <c r="O97" s="8"/>
      <c r="Q97" s="867" t="s">
        <v>2174</v>
      </c>
      <c r="R97" s="483">
        <v>34</v>
      </c>
      <c r="S97" s="867">
        <v>64200</v>
      </c>
      <c r="T97" s="867">
        <f t="shared" si="3"/>
        <v>21.827999999999999</v>
      </c>
      <c r="V97" s="23">
        <v>10</v>
      </c>
      <c r="W97" s="23">
        <f t="shared" si="4"/>
        <v>64200</v>
      </c>
      <c r="X97" s="23">
        <f t="shared" si="5"/>
        <v>6.42</v>
      </c>
    </row>
    <row r="98" spans="8:24" ht="27.5" customHeight="1">
      <c r="H98" s="2063"/>
      <c r="I98" s="8"/>
      <c r="J98" s="8"/>
      <c r="K98" s="8"/>
      <c r="L98" s="2068" t="s">
        <v>2473</v>
      </c>
      <c r="M98" s="2069"/>
      <c r="N98" s="1861">
        <f>440000/10^5*12</f>
        <v>52.800000000000004</v>
      </c>
      <c r="O98" s="1849"/>
      <c r="P98" s="2063"/>
      <c r="Q98" s="867" t="s">
        <v>2175</v>
      </c>
      <c r="R98" s="483">
        <v>17</v>
      </c>
      <c r="S98" s="867">
        <v>64200</v>
      </c>
      <c r="T98" s="867">
        <f t="shared" si="3"/>
        <v>10.914</v>
      </c>
      <c r="V98" s="23">
        <v>5</v>
      </c>
      <c r="W98" s="23">
        <f t="shared" si="4"/>
        <v>64200</v>
      </c>
      <c r="X98" s="23">
        <f t="shared" si="5"/>
        <v>3.21</v>
      </c>
    </row>
    <row r="99" spans="8:24" ht="13">
      <c r="H99" s="2063"/>
      <c r="I99" s="8"/>
      <c r="J99" s="8"/>
      <c r="K99" s="8"/>
      <c r="L99" s="2060" t="s">
        <v>1971</v>
      </c>
      <c r="M99" s="2061"/>
      <c r="N99" s="76">
        <f>1469*0</f>
        <v>0</v>
      </c>
      <c r="O99" s="1845"/>
      <c r="P99" s="2063"/>
      <c r="Q99" s="867" t="s">
        <v>2176</v>
      </c>
      <c r="R99" s="483">
        <v>34</v>
      </c>
      <c r="S99" s="867">
        <v>42800</v>
      </c>
      <c r="T99" s="867">
        <f t="shared" si="3"/>
        <v>14.552</v>
      </c>
      <c r="V99" s="23">
        <v>10</v>
      </c>
      <c r="W99" s="23">
        <f t="shared" si="4"/>
        <v>42800</v>
      </c>
      <c r="X99" s="23">
        <f t="shared" si="5"/>
        <v>4.28</v>
      </c>
    </row>
    <row r="100" spans="8:24" ht="13">
      <c r="H100" s="2063"/>
      <c r="I100" s="8"/>
      <c r="J100" s="8"/>
      <c r="K100" s="8"/>
      <c r="L100" s="2005" t="s">
        <v>214</v>
      </c>
      <c r="M100" s="2070"/>
      <c r="N100" s="723">
        <f>SUM(N94:N99)</f>
        <v>433.8</v>
      </c>
      <c r="O100" s="668"/>
      <c r="P100" s="2063"/>
      <c r="Q100" s="867" t="s">
        <v>2177</v>
      </c>
      <c r="R100" s="483">
        <v>17</v>
      </c>
      <c r="S100" s="867">
        <v>42800</v>
      </c>
      <c r="T100" s="867">
        <f t="shared" si="3"/>
        <v>7.2759999999999998</v>
      </c>
      <c r="V100" s="23">
        <v>5</v>
      </c>
      <c r="W100" s="23">
        <f t="shared" si="4"/>
        <v>42800</v>
      </c>
      <c r="X100" s="23">
        <f t="shared" si="5"/>
        <v>2.14</v>
      </c>
    </row>
    <row r="101" spans="8:24" ht="13">
      <c r="H101" s="2063"/>
      <c r="I101" s="8"/>
      <c r="J101" s="8"/>
      <c r="K101" s="8"/>
      <c r="L101" s="1"/>
      <c r="M101" s="1862"/>
      <c r="N101" s="668"/>
      <c r="O101" s="668"/>
      <c r="P101" s="2063"/>
      <c r="Q101" s="867" t="s">
        <v>145</v>
      </c>
      <c r="R101" s="483">
        <f>SUM(R94:R100)</f>
        <v>125</v>
      </c>
      <c r="S101" s="867"/>
      <c r="T101" s="867">
        <f>SUM(T94:T100)</f>
        <v>77.147000000000006</v>
      </c>
      <c r="V101" s="23">
        <f>SUM(V94:V100)</f>
        <v>38</v>
      </c>
      <c r="W101" s="23"/>
      <c r="X101" s="37"/>
    </row>
    <row r="102" spans="8:24" ht="14.5">
      <c r="H102" s="2063"/>
      <c r="I102" s="8"/>
      <c r="J102" s="8"/>
      <c r="K102" s="8"/>
      <c r="L102" s="2058" t="s">
        <v>2481</v>
      </c>
      <c r="M102" s="2059"/>
      <c r="N102" s="1855" t="s">
        <v>2215</v>
      </c>
      <c r="O102" s="1845"/>
      <c r="P102" s="2063"/>
      <c r="Q102" s="2074" t="s">
        <v>2178</v>
      </c>
      <c r="R102" s="2074"/>
      <c r="S102" s="2074"/>
      <c r="T102" s="2074"/>
      <c r="V102" s="23"/>
      <c r="W102" s="23"/>
      <c r="X102" s="23"/>
    </row>
    <row r="103" spans="8:24">
      <c r="H103" s="2063"/>
      <c r="I103" s="8"/>
      <c r="J103" s="8"/>
      <c r="K103" s="8"/>
      <c r="L103" s="2086" t="s">
        <v>2482</v>
      </c>
      <c r="M103" s="2087"/>
      <c r="N103" s="934">
        <f>1792000/10^5</f>
        <v>17.920000000000002</v>
      </c>
      <c r="P103" s="2063"/>
      <c r="Q103" s="23" t="s">
        <v>2179</v>
      </c>
      <c r="R103" s="483">
        <v>17</v>
      </c>
      <c r="S103" s="867">
        <v>107000</v>
      </c>
      <c r="T103" s="867">
        <f>(R103*S103)/10^5</f>
        <v>18.190000000000001</v>
      </c>
      <c r="V103" s="23">
        <v>5</v>
      </c>
      <c r="W103" s="23">
        <f>S103</f>
        <v>107000</v>
      </c>
      <c r="X103" s="23">
        <f>(V103*W103)/10^5</f>
        <v>5.35</v>
      </c>
    </row>
    <row r="104" spans="8:24">
      <c r="H104" s="2063"/>
      <c r="I104" s="8"/>
      <c r="J104" s="8"/>
      <c r="K104" s="8"/>
      <c r="L104" s="2086" t="s">
        <v>2483</v>
      </c>
      <c r="M104" s="2087"/>
      <c r="N104" s="934">
        <f>3000000/10^5</f>
        <v>30</v>
      </c>
      <c r="P104" s="2063"/>
      <c r="Q104" s="23" t="s">
        <v>2180</v>
      </c>
      <c r="R104" s="483">
        <v>35</v>
      </c>
      <c r="S104" s="867">
        <v>64200</v>
      </c>
      <c r="T104" s="867">
        <f>(R104*S104)/10^5</f>
        <v>22.47</v>
      </c>
      <c r="V104" s="23">
        <v>14</v>
      </c>
      <c r="W104" s="23">
        <f t="shared" ref="W104:W105" si="6">S104</f>
        <v>64200</v>
      </c>
      <c r="X104" s="23">
        <f t="shared" ref="X104:X105" si="7">(V104*W104)/10^5</f>
        <v>8.9879999999999995</v>
      </c>
    </row>
    <row r="105" spans="8:24" ht="25">
      <c r="L105" s="2086" t="s">
        <v>2484</v>
      </c>
      <c r="M105" s="2087"/>
      <c r="N105" s="895">
        <f>104784000/10^5</f>
        <v>1047.8399999999999</v>
      </c>
      <c r="O105" s="885"/>
      <c r="Q105" s="1814" t="s">
        <v>2181</v>
      </c>
      <c r="R105" s="483">
        <v>17</v>
      </c>
      <c r="S105" s="867">
        <v>53500</v>
      </c>
      <c r="T105" s="867">
        <f>(R105*S105)/10^5</f>
        <v>9.0950000000000006</v>
      </c>
      <c r="V105" s="23">
        <v>5</v>
      </c>
      <c r="W105" s="23">
        <f t="shared" si="6"/>
        <v>53500</v>
      </c>
      <c r="X105" s="23">
        <f t="shared" si="7"/>
        <v>2.6749999999999998</v>
      </c>
    </row>
    <row r="106" spans="8:24" ht="13">
      <c r="L106" s="2086" t="s">
        <v>2485</v>
      </c>
      <c r="M106" s="2087"/>
      <c r="N106" s="934">
        <f>7080000/10^5</f>
        <v>70.8</v>
      </c>
      <c r="Q106" s="23" t="s">
        <v>145</v>
      </c>
      <c r="R106" s="23"/>
      <c r="S106" s="867"/>
      <c r="T106" s="867">
        <f>SUM(T103:T105)</f>
        <v>49.754999999999995</v>
      </c>
      <c r="V106" s="23"/>
      <c r="W106" s="23"/>
      <c r="X106" s="37"/>
    </row>
    <row r="107" spans="8:24" ht="13">
      <c r="L107" s="2088" t="s">
        <v>2486</v>
      </c>
      <c r="M107" s="2089"/>
      <c r="N107" s="934">
        <f>47200000/10^5</f>
        <v>472</v>
      </c>
      <c r="Q107" s="2055" t="s">
        <v>2182</v>
      </c>
      <c r="R107" s="2055"/>
      <c r="S107" s="2055"/>
      <c r="T107" s="1252">
        <f>T106+T101</f>
        <v>126.902</v>
      </c>
      <c r="V107" s="23"/>
      <c r="W107" s="23"/>
      <c r="X107" s="37">
        <f>SUM(X94:X105)</f>
        <v>42.157999999999994</v>
      </c>
    </row>
    <row r="108" spans="8:24" ht="13">
      <c r="L108" s="2088" t="s">
        <v>2487</v>
      </c>
      <c r="M108" s="2089"/>
      <c r="N108" s="934">
        <f>3540000/10^5</f>
        <v>35.4</v>
      </c>
      <c r="Q108" s="2055" t="s">
        <v>2183</v>
      </c>
      <c r="R108" s="2055"/>
      <c r="S108" s="2055"/>
      <c r="T108" s="1252">
        <f>T107*12</f>
        <v>1522.8240000000001</v>
      </c>
      <c r="V108" s="23"/>
      <c r="W108" s="23"/>
      <c r="X108" s="37">
        <f>X107*12</f>
        <v>505.89599999999996</v>
      </c>
    </row>
    <row r="109" spans="8:24" ht="14.5">
      <c r="L109" s="2090" t="s">
        <v>2488</v>
      </c>
      <c r="M109" s="2089"/>
      <c r="N109" s="934">
        <f>22050000/10^5</f>
        <v>220.5</v>
      </c>
    </row>
    <row r="110" spans="8:24" ht="14.5">
      <c r="L110" s="2090" t="s">
        <v>2489</v>
      </c>
      <c r="M110" s="2089"/>
      <c r="N110" s="934">
        <f>1080000/10^5</f>
        <v>10.8</v>
      </c>
    </row>
    <row r="111" spans="8:24" ht="14.5">
      <c r="L111" s="2090" t="s">
        <v>2490</v>
      </c>
      <c r="M111" s="2089"/>
      <c r="N111" s="934">
        <f>1385385/10^5</f>
        <v>13.85385</v>
      </c>
      <c r="Q111" s="1859" t="s">
        <v>2114</v>
      </c>
      <c r="R111" s="885" t="s">
        <v>2532</v>
      </c>
    </row>
    <row r="112" spans="8:24" ht="13">
      <c r="L112" s="2091" t="s">
        <v>214</v>
      </c>
      <c r="M112" s="2091"/>
      <c r="N112" s="1614">
        <f>SUM(N103:N111)</f>
        <v>1919.11385</v>
      </c>
      <c r="Q112" s="892" t="s">
        <v>2529</v>
      </c>
      <c r="R112" s="1855" t="s">
        <v>2268</v>
      </c>
    </row>
    <row r="113" spans="2:18" ht="25.5">
      <c r="L113" s="145"/>
      <c r="Q113" s="350" t="s">
        <v>2530</v>
      </c>
      <c r="R113" s="483">
        <f>200000/100000</f>
        <v>2</v>
      </c>
    </row>
    <row r="114" spans="2:18" ht="25">
      <c r="L114" s="2058" t="s">
        <v>2491</v>
      </c>
      <c r="M114" s="2059"/>
      <c r="N114" s="1855" t="s">
        <v>2215</v>
      </c>
      <c r="Q114" s="350" t="s">
        <v>2531</v>
      </c>
      <c r="R114" s="483">
        <f>280000/100000</f>
        <v>2.8</v>
      </c>
    </row>
    <row r="115" spans="2:18">
      <c r="L115" s="2065" t="s">
        <v>2492</v>
      </c>
      <c r="M115" s="2065"/>
      <c r="N115" s="934">
        <f>16800000/(10^5)</f>
        <v>168</v>
      </c>
      <c r="Q115" s="488"/>
    </row>
    <row r="116" spans="2:18">
      <c r="L116" s="2065" t="s">
        <v>2493</v>
      </c>
      <c r="M116" s="2065"/>
      <c r="N116" s="934">
        <f>1680000/(10^5)</f>
        <v>16.8</v>
      </c>
    </row>
    <row r="117" spans="2:18">
      <c r="L117" s="2065" t="s">
        <v>2494</v>
      </c>
      <c r="M117" s="2065"/>
      <c r="N117" s="934">
        <f>48000/(10^5)</f>
        <v>0.48</v>
      </c>
    </row>
    <row r="118" spans="2:18" ht="13.5" thickBot="1">
      <c r="B118" s="2083" t="s">
        <v>955</v>
      </c>
      <c r="C118" s="2083"/>
      <c r="D118" s="2083"/>
      <c r="E118" s="2083"/>
      <c r="F118" s="2083"/>
      <c r="G118" s="2083"/>
      <c r="L118" s="2065" t="s">
        <v>2495</v>
      </c>
      <c r="M118" s="2065"/>
      <c r="N118" s="934">
        <f>360000/(10^5)</f>
        <v>3.6</v>
      </c>
    </row>
    <row r="119" spans="2:18">
      <c r="B119" s="985"/>
      <c r="C119" s="985"/>
      <c r="D119" s="1016" t="s">
        <v>1979</v>
      </c>
      <c r="E119" s="1016"/>
      <c r="F119" s="1863"/>
      <c r="G119" s="1864"/>
      <c r="L119" s="2065" t="s">
        <v>2496</v>
      </c>
      <c r="M119" s="2065"/>
      <c r="N119" s="934">
        <f>60000/(10^5)</f>
        <v>0.6</v>
      </c>
    </row>
    <row r="120" spans="2:18" ht="13" thickBot="1">
      <c r="B120" s="1801" t="s">
        <v>90</v>
      </c>
      <c r="C120" s="1801"/>
      <c r="D120" s="1865" t="s">
        <v>76</v>
      </c>
      <c r="E120" s="1865"/>
      <c r="F120" s="1865" t="s">
        <v>44</v>
      </c>
      <c r="G120" s="1866" t="s">
        <v>145</v>
      </c>
      <c r="L120" s="2065" t="s">
        <v>2497</v>
      </c>
      <c r="M120" s="2065"/>
      <c r="N120" s="934">
        <f>12240000/(10^5)</f>
        <v>122.4</v>
      </c>
    </row>
    <row r="121" spans="2:18" ht="13.5" thickTop="1" thickBot="1">
      <c r="B121" s="1804"/>
      <c r="C121" s="1804"/>
      <c r="D121" s="1804">
        <f>'T-1'!N56</f>
        <v>2444</v>
      </c>
      <c r="E121" s="1804"/>
      <c r="F121" s="1804">
        <f>'T-1'!N37</f>
        <v>3340.5</v>
      </c>
      <c r="G121" s="1867"/>
      <c r="L121" s="2065" t="s">
        <v>2498</v>
      </c>
      <c r="M121" s="2065"/>
      <c r="N121" s="934">
        <f>17760000/(10^5)</f>
        <v>177.6</v>
      </c>
    </row>
    <row r="122" spans="2:18">
      <c r="D122" s="7"/>
      <c r="E122" s="7"/>
      <c r="F122" s="7"/>
      <c r="G122" s="87"/>
      <c r="L122" s="2065" t="s">
        <v>2499</v>
      </c>
      <c r="M122" s="2065"/>
      <c r="N122" s="934">
        <f>6912000/(10^5)</f>
        <v>69.12</v>
      </c>
    </row>
    <row r="123" spans="2:18">
      <c r="B123" s="7">
        <f>F66*2%</f>
        <v>382.17517436669152</v>
      </c>
      <c r="D123" s="7">
        <f>(G123-B122:B123)/SUM(D121:F121)*D121</f>
        <v>7912.1393692553393</v>
      </c>
      <c r="E123" s="7"/>
      <c r="F123" s="7">
        <f>(G123-B123)/SUM(D121:F121)*F121</f>
        <v>10814.444174712546</v>
      </c>
      <c r="G123" s="87">
        <f>F66</f>
        <v>19108.758718334575</v>
      </c>
      <c r="L123" s="2065" t="s">
        <v>2500</v>
      </c>
      <c r="M123" s="2065"/>
      <c r="N123" s="934">
        <f>168000/(10^5)</f>
        <v>1.68</v>
      </c>
    </row>
    <row r="124" spans="2:18">
      <c r="D124" s="7"/>
      <c r="E124" s="7"/>
      <c r="F124" s="7"/>
      <c r="G124" s="87"/>
      <c r="L124" s="2075" t="s">
        <v>2508</v>
      </c>
      <c r="M124" s="2065"/>
      <c r="N124" s="934">
        <f>1038000/(10^5)</f>
        <v>10.38</v>
      </c>
    </row>
    <row r="125" spans="2:18" ht="13" thickBot="1">
      <c r="B125" s="1017">
        <f>B123/G123</f>
        <v>0.02</v>
      </c>
      <c r="C125" s="1017"/>
      <c r="D125" s="1017">
        <f>D123/G123</f>
        <v>0.41405825914080735</v>
      </c>
      <c r="E125" s="1017"/>
      <c r="F125" s="1017">
        <f>F123/G123</f>
        <v>0.56594174085919269</v>
      </c>
      <c r="G125" s="1018">
        <f>SUM(B125:F125)</f>
        <v>1</v>
      </c>
      <c r="L125" s="2065" t="s">
        <v>2501</v>
      </c>
      <c r="M125" s="2065"/>
      <c r="N125" s="934">
        <f>9600000/(10^5)</f>
        <v>96</v>
      </c>
    </row>
    <row r="126" spans="2:18" ht="13" thickTop="1">
      <c r="D126" s="7"/>
      <c r="E126" s="7"/>
      <c r="F126" s="7"/>
      <c r="G126" s="87"/>
      <c r="L126" s="2065" t="s">
        <v>2502</v>
      </c>
      <c r="M126" s="2065"/>
      <c r="N126" s="934">
        <f>394800/(10^5)</f>
        <v>3.948</v>
      </c>
    </row>
    <row r="127" spans="2:18">
      <c r="D127" s="216" t="s">
        <v>1980</v>
      </c>
      <c r="E127" s="216"/>
      <c r="F127" s="7"/>
      <c r="G127" s="87"/>
      <c r="L127" s="2065" t="s">
        <v>2503</v>
      </c>
      <c r="M127" s="2065"/>
      <c r="N127" s="934">
        <f>5000000/(10^5)</f>
        <v>50</v>
      </c>
    </row>
    <row r="128" spans="2:18" ht="13" thickBot="1">
      <c r="B128" s="1801" t="s">
        <v>90</v>
      </c>
      <c r="C128" s="1801"/>
      <c r="D128" s="1865" t="s">
        <v>76</v>
      </c>
      <c r="E128" s="1865"/>
      <c r="F128" s="1865" t="s">
        <v>44</v>
      </c>
      <c r="G128" s="1866" t="s">
        <v>145</v>
      </c>
      <c r="L128" s="2065" t="s">
        <v>2504</v>
      </c>
      <c r="M128" s="2065"/>
      <c r="N128" s="895">
        <f>3000000/(10^5)</f>
        <v>30</v>
      </c>
    </row>
    <row r="129" spans="2:14" ht="13.5" thickTop="1" thickBot="1">
      <c r="B129" s="1804"/>
      <c r="C129" s="1804"/>
      <c r="D129" s="1804">
        <f>'T-1'!S56</f>
        <v>2590.0000019999998</v>
      </c>
      <c r="E129" s="1804"/>
      <c r="F129" s="1804">
        <f>'T-1'!S37</f>
        <v>3544.0999999999995</v>
      </c>
      <c r="G129" s="1867"/>
      <c r="L129" s="2065" t="s">
        <v>2505</v>
      </c>
      <c r="M129" s="2065"/>
      <c r="N129" s="895">
        <f>12397500/(10^5)</f>
        <v>123.97499999999999</v>
      </c>
    </row>
    <row r="130" spans="2:14">
      <c r="D130" s="7"/>
      <c r="E130" s="7"/>
      <c r="F130" s="7"/>
      <c r="G130" s="87"/>
      <c r="L130" s="2065" t="s">
        <v>2502</v>
      </c>
      <c r="M130" s="2065"/>
      <c r="N130" s="895">
        <f>2160000/(10^5)</f>
        <v>21.6</v>
      </c>
    </row>
    <row r="131" spans="2:14">
      <c r="B131" s="7">
        <f>G66*2%</f>
        <v>491.73069357236005</v>
      </c>
      <c r="D131" s="7">
        <f>(G131-B131)/SUM(D129:F129)*D129</f>
        <v>10173.544994230731</v>
      </c>
      <c r="E131" s="7"/>
      <c r="F131" s="7">
        <f>(G131-B131)/SUM(D129:F129)*F129</f>
        <v>13921.258990814909</v>
      </c>
      <c r="G131" s="87">
        <f>G66</f>
        <v>24586.534678618002</v>
      </c>
      <c r="L131" s="2065" t="s">
        <v>2506</v>
      </c>
      <c r="M131" s="2065"/>
      <c r="N131" s="895">
        <f>432000/(10^5)</f>
        <v>4.32</v>
      </c>
    </row>
    <row r="132" spans="2:14">
      <c r="D132" s="7"/>
      <c r="E132" s="7"/>
      <c r="F132" s="7"/>
      <c r="G132" s="87"/>
      <c r="L132" s="2065" t="s">
        <v>2507</v>
      </c>
      <c r="M132" s="2065"/>
      <c r="N132" s="934">
        <f>4000000/(10^5)</f>
        <v>40</v>
      </c>
    </row>
    <row r="133" spans="2:14" ht="15" thickBot="1">
      <c r="B133" s="1017">
        <f>B131/G131</f>
        <v>0.02</v>
      </c>
      <c r="C133" s="1017"/>
      <c r="D133" s="1017">
        <f>D131/G131</f>
        <v>0.41378523355218033</v>
      </c>
      <c r="E133" s="1017"/>
      <c r="F133" s="1017">
        <f>F131/G131</f>
        <v>0.56621476644781965</v>
      </c>
      <c r="G133" s="1018">
        <f>SUM(B133:F133)</f>
        <v>1</v>
      </c>
      <c r="L133" s="2100" t="s">
        <v>214</v>
      </c>
      <c r="M133" s="2100"/>
      <c r="N133" s="723">
        <f>SUM(N115:N132)</f>
        <v>940.50300000000004</v>
      </c>
    </row>
    <row r="134" spans="2:14" ht="13.5" thickTop="1" thickBot="1">
      <c r="B134" s="972"/>
      <c r="C134" s="972"/>
      <c r="D134" s="972"/>
      <c r="E134" s="972"/>
      <c r="F134" s="972"/>
      <c r="G134" s="973"/>
    </row>
    <row r="135" spans="2:14" ht="14.5">
      <c r="L135" s="2058" t="s">
        <v>2509</v>
      </c>
      <c r="M135" s="2059"/>
      <c r="N135" s="1868" t="s">
        <v>2215</v>
      </c>
    </row>
    <row r="136" spans="2:14">
      <c r="L136" s="2075" t="s">
        <v>2077</v>
      </c>
      <c r="M136" s="2065"/>
      <c r="N136" s="934">
        <f>22500000/10^5</f>
        <v>225</v>
      </c>
    </row>
    <row r="137" spans="2:14">
      <c r="L137" s="2075" t="s">
        <v>2078</v>
      </c>
      <c r="M137" s="2065"/>
      <c r="N137" s="934">
        <f>2500000/10^5</f>
        <v>25</v>
      </c>
    </row>
    <row r="138" spans="2:14">
      <c r="L138" s="2095" t="s">
        <v>2079</v>
      </c>
      <c r="M138" s="2096"/>
      <c r="N138" s="934">
        <f>30000000/10^5</f>
        <v>300</v>
      </c>
    </row>
    <row r="139" spans="2:14">
      <c r="L139" s="2095" t="s">
        <v>2080</v>
      </c>
      <c r="M139" s="2096"/>
      <c r="N139" s="934">
        <f>3000000/10^5</f>
        <v>30</v>
      </c>
    </row>
    <row r="140" spans="2:14">
      <c r="L140" s="2095" t="s">
        <v>2081</v>
      </c>
      <c r="M140" s="2096"/>
      <c r="N140" s="934">
        <f>120000000/10^5</f>
        <v>1200</v>
      </c>
    </row>
    <row r="141" spans="2:14">
      <c r="L141" s="2095" t="s">
        <v>2082</v>
      </c>
      <c r="M141" s="2096"/>
      <c r="N141" s="934">
        <f>27000000/10^5</f>
        <v>270</v>
      </c>
    </row>
    <row r="142" spans="2:14">
      <c r="L142" s="2095" t="s">
        <v>2083</v>
      </c>
      <c r="M142" s="2096"/>
      <c r="N142" s="934">
        <f>24000000/10^5</f>
        <v>240</v>
      </c>
    </row>
    <row r="143" spans="2:14">
      <c r="L143" s="2095" t="s">
        <v>2084</v>
      </c>
      <c r="M143" s="2096"/>
      <c r="N143" s="934">
        <f>14000000/10^5</f>
        <v>140</v>
      </c>
    </row>
    <row r="144" spans="2:14" ht="13">
      <c r="L144" s="2098" t="s">
        <v>214</v>
      </c>
      <c r="M144" s="2099"/>
      <c r="N144" s="723">
        <f>SUM(N136:N143)</f>
        <v>2430</v>
      </c>
    </row>
    <row r="145" spans="12:14">
      <c r="L145" s="2097"/>
      <c r="M145" s="2097"/>
      <c r="N145" s="489"/>
    </row>
    <row r="146" spans="12:14">
      <c r="L146" s="2092"/>
      <c r="M146" s="2092"/>
      <c r="N146" s="489"/>
    </row>
    <row r="147" spans="12:14">
      <c r="N147" s="489"/>
    </row>
    <row r="148" spans="12:14">
      <c r="L148" s="2092"/>
      <c r="M148" s="2092"/>
      <c r="N148" s="489"/>
    </row>
    <row r="149" spans="12:14">
      <c r="L149" s="2092"/>
      <c r="M149" s="2092"/>
      <c r="N149" s="489"/>
    </row>
    <row r="150" spans="12:14">
      <c r="L150" s="2092"/>
      <c r="M150" s="2092"/>
      <c r="N150" s="489"/>
    </row>
    <row r="151" spans="12:14">
      <c r="L151" s="2092"/>
      <c r="M151" s="2092"/>
      <c r="N151" s="489"/>
    </row>
    <row r="152" spans="12:14">
      <c r="L152" s="2092"/>
      <c r="M152" s="2092"/>
      <c r="N152" s="489"/>
    </row>
    <row r="163" spans="12:14" ht="13">
      <c r="L163" s="145"/>
    </row>
    <row r="165" spans="12:14">
      <c r="L165" s="64"/>
    </row>
    <row r="168" spans="12:14" ht="13">
      <c r="N168" s="12"/>
    </row>
  </sheetData>
  <mergeCells count="91">
    <mergeCell ref="O73:O78"/>
    <mergeCell ref="L138:M138"/>
    <mergeCell ref="L146:M146"/>
    <mergeCell ref="L145:M145"/>
    <mergeCell ref="L144:M144"/>
    <mergeCell ref="L139:M139"/>
    <mergeCell ref="L140:M140"/>
    <mergeCell ref="L141:M141"/>
    <mergeCell ref="L142:M142"/>
    <mergeCell ref="L143:M143"/>
    <mergeCell ref="L133:M133"/>
    <mergeCell ref="L135:M135"/>
    <mergeCell ref="L136:M136"/>
    <mergeCell ref="L137:M137"/>
    <mergeCell ref="L128:M128"/>
    <mergeCell ref="L129:M129"/>
    <mergeCell ref="L149:M149"/>
    <mergeCell ref="L150:M150"/>
    <mergeCell ref="L151:M151"/>
    <mergeCell ref="L152:M152"/>
    <mergeCell ref="L148:M148"/>
    <mergeCell ref="L130:M130"/>
    <mergeCell ref="L131:M131"/>
    <mergeCell ref="L132:M132"/>
    <mergeCell ref="L123:M123"/>
    <mergeCell ref="L124:M124"/>
    <mergeCell ref="L125:M125"/>
    <mergeCell ref="L126:M126"/>
    <mergeCell ref="L127:M127"/>
    <mergeCell ref="L118:M118"/>
    <mergeCell ref="L119:M119"/>
    <mergeCell ref="L120:M120"/>
    <mergeCell ref="L121:M121"/>
    <mergeCell ref="L122:M122"/>
    <mergeCell ref="L112:M112"/>
    <mergeCell ref="L114:M114"/>
    <mergeCell ref="L115:M115"/>
    <mergeCell ref="L116:M116"/>
    <mergeCell ref="L117:M117"/>
    <mergeCell ref="L107:M107"/>
    <mergeCell ref="L108:M108"/>
    <mergeCell ref="L109:M109"/>
    <mergeCell ref="L110:M110"/>
    <mergeCell ref="L111:M111"/>
    <mergeCell ref="L102:M102"/>
    <mergeCell ref="L103:M103"/>
    <mergeCell ref="L104:M104"/>
    <mergeCell ref="L105:M105"/>
    <mergeCell ref="L106:M106"/>
    <mergeCell ref="L93:M93"/>
    <mergeCell ref="L94:M94"/>
    <mergeCell ref="L95:M95"/>
    <mergeCell ref="L96:M96"/>
    <mergeCell ref="L97:M97"/>
    <mergeCell ref="B5:B6"/>
    <mergeCell ref="H98:H104"/>
    <mergeCell ref="B118:G118"/>
    <mergeCell ref="B68:G68"/>
    <mergeCell ref="B69:G71"/>
    <mergeCell ref="M66:M67"/>
    <mergeCell ref="P66:Q66"/>
    <mergeCell ref="P72:Q72"/>
    <mergeCell ref="Q92:T92"/>
    <mergeCell ref="Q102:T102"/>
    <mergeCell ref="L75:M75"/>
    <mergeCell ref="L76:M76"/>
    <mergeCell ref="L88:M88"/>
    <mergeCell ref="L80:M80"/>
    <mergeCell ref="L89:M89"/>
    <mergeCell ref="N66:N67"/>
    <mergeCell ref="L66:L67"/>
    <mergeCell ref="L72:M72"/>
    <mergeCell ref="L73:M73"/>
    <mergeCell ref="L74:M74"/>
    <mergeCell ref="L83:M83"/>
    <mergeCell ref="Q107:S107"/>
    <mergeCell ref="Q108:S108"/>
    <mergeCell ref="L77:M77"/>
    <mergeCell ref="L78:M78"/>
    <mergeCell ref="L79:M79"/>
    <mergeCell ref="L82:M82"/>
    <mergeCell ref="L90:M90"/>
    <mergeCell ref="L91:M91"/>
    <mergeCell ref="P98:P104"/>
    <mergeCell ref="L84:M84"/>
    <mergeCell ref="L85:M85"/>
    <mergeCell ref="L86:M86"/>
    <mergeCell ref="L87:M87"/>
    <mergeCell ref="L98:M98"/>
    <mergeCell ref="L100:M100"/>
    <mergeCell ref="L99:M99"/>
  </mergeCells>
  <phoneticPr fontId="0" type="noConversion"/>
  <printOptions horizontalCentered="1" gridLines="1"/>
  <pageMargins left="0.23622047244094491" right="0" top="0.98425196850393704" bottom="0.51181102362204722" header="0" footer="0.59055118110236227"/>
  <pageSetup paperSize="9" orientation="portrait" r:id="rId1"/>
  <headerFooter alignWithMargins="0">
    <oddFooter>&amp;R&amp;"Arial,Bold"&amp;12OERC FORM-&amp;A</oddFooter>
  </headerFooter>
  <rowBreaks count="1" manualBreakCount="1">
    <brk id="48" max="6"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9"/>
  <dimension ref="A1:M51"/>
  <sheetViews>
    <sheetView showGridLines="0" view="pageBreakPreview" zoomScale="90" zoomScaleNormal="75" zoomScaleSheetLayoutView="90" workbookViewId="0">
      <pane xSplit="1" ySplit="6" topLeftCell="B18" activePane="bottomRight" state="frozen"/>
      <selection activeCell="L17" sqref="L17"/>
      <selection pane="topRight" activeCell="L17" sqref="L17"/>
      <selection pane="bottomLeft" activeCell="L17" sqref="L17"/>
      <selection pane="bottomRight" activeCell="L17" sqref="L17"/>
    </sheetView>
  </sheetViews>
  <sheetFormatPr defaultRowHeight="12.5"/>
  <cols>
    <col min="1" max="1" width="23.26953125" customWidth="1"/>
    <col min="2" max="3" width="12.81640625" bestFit="1" customWidth="1"/>
    <col min="4" max="4" width="14.1796875" bestFit="1" customWidth="1"/>
    <col min="5" max="5" width="10.54296875" hidden="1" customWidth="1"/>
    <col min="6" max="6" width="10.7265625" customWidth="1"/>
    <col min="7" max="7" width="12" hidden="1" customWidth="1"/>
    <col min="8" max="8" width="11" hidden="1" customWidth="1"/>
    <col min="9" max="9" width="9.81640625" customWidth="1"/>
    <col min="10" max="10" width="10.26953125" customWidth="1"/>
    <col min="12" max="12" width="12.453125" customWidth="1"/>
  </cols>
  <sheetData>
    <row r="1" spans="1:13" ht="13">
      <c r="A1" s="20" t="s">
        <v>104</v>
      </c>
      <c r="J1" s="3" t="s">
        <v>0</v>
      </c>
      <c r="K1" s="2" t="s">
        <v>961</v>
      </c>
      <c r="L1" s="2"/>
    </row>
    <row r="2" spans="1:13" ht="13">
      <c r="K2" s="2"/>
      <c r="L2" s="2"/>
    </row>
    <row r="3" spans="1:13" ht="15.5">
      <c r="A3" s="579" t="s">
        <v>2448</v>
      </c>
      <c r="B3" s="579"/>
      <c r="C3" s="579"/>
      <c r="D3" s="579"/>
      <c r="E3" s="579"/>
      <c r="F3" s="579"/>
      <c r="G3" s="579"/>
      <c r="H3" s="579"/>
      <c r="I3" s="579"/>
      <c r="J3" s="579"/>
      <c r="K3" s="579"/>
      <c r="L3" s="579"/>
    </row>
    <row r="4" spans="1:13" ht="13">
      <c r="B4" s="580"/>
      <c r="C4" s="580"/>
      <c r="D4" s="580"/>
      <c r="E4" s="580"/>
      <c r="F4" s="580"/>
      <c r="K4" s="2"/>
      <c r="L4" s="2" t="s">
        <v>496</v>
      </c>
    </row>
    <row r="5" spans="1:13" ht="32.25" customHeight="1">
      <c r="A5" s="33" t="s">
        <v>962</v>
      </c>
      <c r="B5" s="2101" t="s">
        <v>963</v>
      </c>
      <c r="C5" s="2101" t="s">
        <v>964</v>
      </c>
      <c r="D5" s="2101" t="s">
        <v>2040</v>
      </c>
      <c r="E5" s="2101" t="s">
        <v>965</v>
      </c>
      <c r="F5" s="2101" t="s">
        <v>966</v>
      </c>
      <c r="G5" s="33" t="s">
        <v>967</v>
      </c>
      <c r="H5" s="1974" t="s">
        <v>968</v>
      </c>
      <c r="I5" s="1974" t="s">
        <v>969</v>
      </c>
      <c r="J5" s="1974" t="s">
        <v>970</v>
      </c>
      <c r="K5" s="1974" t="s">
        <v>971</v>
      </c>
      <c r="L5" s="1974" t="s">
        <v>972</v>
      </c>
      <c r="M5" s="64"/>
    </row>
    <row r="6" spans="1:13" ht="13.5" customHeight="1">
      <c r="A6" s="33"/>
      <c r="B6" s="2101"/>
      <c r="C6" s="2101"/>
      <c r="D6" s="2101"/>
      <c r="E6" s="2101"/>
      <c r="F6" s="2101"/>
      <c r="G6" s="33"/>
      <c r="H6" s="1974"/>
      <c r="I6" s="1974"/>
      <c r="J6" s="1974"/>
      <c r="K6" s="1974"/>
      <c r="L6" s="1974"/>
      <c r="M6" s="64"/>
    </row>
    <row r="7" spans="1:13">
      <c r="A7" s="66" t="s">
        <v>973</v>
      </c>
      <c r="B7" s="581">
        <v>205.65365968970002</v>
      </c>
      <c r="C7" s="581">
        <v>137.82952161819998</v>
      </c>
      <c r="D7" s="581">
        <v>1937.8319529435048</v>
      </c>
      <c r="E7" s="581"/>
      <c r="F7" s="440">
        <f>SUM(B7:E7)</f>
        <v>2281.3151342514047</v>
      </c>
      <c r="G7" s="440">
        <f>'T-6'!I12</f>
        <v>286.02941568763862</v>
      </c>
      <c r="H7" s="436">
        <f t="shared" ref="H7:H28" si="0">F7/G7*365</f>
        <v>2911.1691956574828</v>
      </c>
      <c r="I7" s="243">
        <v>0</v>
      </c>
      <c r="J7" s="243">
        <v>4488.0764694317104</v>
      </c>
      <c r="K7" s="243"/>
      <c r="L7" s="243"/>
    </row>
    <row r="8" spans="1:13">
      <c r="A8" s="66" t="s">
        <v>166</v>
      </c>
      <c r="B8" s="581">
        <v>23526.556198666189</v>
      </c>
      <c r="C8" s="581">
        <v>15015.455122351208</v>
      </c>
      <c r="D8" s="581">
        <v>188695.63123192359</v>
      </c>
      <c r="E8" s="581"/>
      <c r="F8" s="440">
        <f t="shared" ref="F8:F28" si="1">SUM(B8:E8)</f>
        <v>227237.64255294099</v>
      </c>
      <c r="G8" s="440">
        <f>'T-6'!I18</f>
        <v>75117.207512991066</v>
      </c>
      <c r="H8" s="436">
        <f t="shared" si="0"/>
        <v>1104.1643090563396</v>
      </c>
      <c r="I8" s="581">
        <v>854.04849850000005</v>
      </c>
      <c r="J8" s="581">
        <v>126553.36362768114</v>
      </c>
      <c r="K8" s="243"/>
      <c r="L8" s="243"/>
    </row>
    <row r="9" spans="1:13">
      <c r="A9" s="66" t="s">
        <v>974</v>
      </c>
      <c r="B9" s="581">
        <f>'[12]F-15'!B14+'[12]F-15'!B16+'[12]F-15'!B39+'[12]F-15'!B41</f>
        <v>894.29635271879931</v>
      </c>
      <c r="C9" s="581">
        <f>'[12]F-15'!C14+'[12]F-15'!C16+'[12]F-15'!C39+'[12]F-15'!C41</f>
        <v>1141.2556313940004</v>
      </c>
      <c r="D9" s="581">
        <f>'[12]F-15'!D14+'[12]F-15'!D16+'[12]F-15'!D39+'[12]F-15'!D41</f>
        <v>7720.6332985577092</v>
      </c>
      <c r="E9" s="581"/>
      <c r="F9" s="440">
        <f t="shared" si="1"/>
        <v>9756.185282670509</v>
      </c>
      <c r="G9" s="440">
        <f>'T-6'!I25</f>
        <v>31564.980584916804</v>
      </c>
      <c r="H9" s="436">
        <f t="shared" si="0"/>
        <v>112.81513760462595</v>
      </c>
      <c r="I9" s="581">
        <f>'[12]F-15'!I14+'[12]F-15'!I16+'[12]F-15'!I39+'[12]F-15'!I41</f>
        <v>36.7430801</v>
      </c>
      <c r="J9" s="581">
        <f>'[12]F-15'!J14+'[12]F-15'!J16+'[12]F-15'!J39+'[12]F-15'!J41</f>
        <v>18558.963945084073</v>
      </c>
      <c r="K9" s="243"/>
      <c r="L9" s="243"/>
    </row>
    <row r="10" spans="1:13">
      <c r="A10" s="412" t="s">
        <v>62</v>
      </c>
      <c r="B10" s="581">
        <v>2729.223041493804</v>
      </c>
      <c r="C10" s="581">
        <v>2088.3910503578995</v>
      </c>
      <c r="D10" s="581">
        <v>19689.354104288093</v>
      </c>
      <c r="E10" s="581"/>
      <c r="F10" s="440">
        <f t="shared" si="1"/>
        <v>24506.968196139795</v>
      </c>
      <c r="G10" s="440">
        <f>'T-6'!I26</f>
        <v>4592.8529097276096</v>
      </c>
      <c r="H10" s="436">
        <f t="shared" si="0"/>
        <v>1947.6006672553187</v>
      </c>
      <c r="I10" s="581">
        <v>0</v>
      </c>
      <c r="J10" s="581">
        <v>7396.8185406473076</v>
      </c>
      <c r="K10" s="243"/>
      <c r="L10" s="243"/>
    </row>
    <row r="11" spans="1:13">
      <c r="A11" s="412" t="s">
        <v>63</v>
      </c>
      <c r="B11" s="581">
        <v>13.948434746199998</v>
      </c>
      <c r="C11" s="581">
        <v>6.8727066134999992</v>
      </c>
      <c r="D11" s="581">
        <v>27.321075987400004</v>
      </c>
      <c r="E11" s="581"/>
      <c r="F11" s="440">
        <f t="shared" si="1"/>
        <v>48.142217347100001</v>
      </c>
      <c r="G11" s="440">
        <f>'T-6'!I27+'T-6'!I41</f>
        <v>229.338943</v>
      </c>
      <c r="H11" s="436">
        <f t="shared" si="0"/>
        <v>76.619823488466579</v>
      </c>
      <c r="I11" s="243">
        <v>0</v>
      </c>
      <c r="J11" s="243">
        <v>12.848273360000002</v>
      </c>
      <c r="K11" s="243"/>
      <c r="L11" s="243"/>
    </row>
    <row r="12" spans="1:13">
      <c r="A12" s="412" t="s">
        <v>64</v>
      </c>
      <c r="B12" s="581">
        <v>3.2090181170000007</v>
      </c>
      <c r="C12" s="581">
        <v>-1.2171229466000002</v>
      </c>
      <c r="D12" s="581">
        <v>23.082128540100005</v>
      </c>
      <c r="E12" s="581"/>
      <c r="F12" s="440">
        <f t="shared" si="1"/>
        <v>25.074023710500004</v>
      </c>
      <c r="G12" s="440">
        <f>'T-6'!I28+'T-6'!I42</f>
        <v>433.6078</v>
      </c>
      <c r="H12" s="436">
        <f t="shared" si="0"/>
        <v>21.106674405609173</v>
      </c>
      <c r="I12" s="243">
        <v>0</v>
      </c>
      <c r="J12" s="243">
        <v>33.473910054999997</v>
      </c>
      <c r="K12" s="243"/>
      <c r="L12" s="243"/>
    </row>
    <row r="13" spans="1:13">
      <c r="A13" s="66" t="s">
        <v>975</v>
      </c>
      <c r="B13" s="581">
        <v>783.50203522959987</v>
      </c>
      <c r="C13" s="581">
        <v>761.65662757729979</v>
      </c>
      <c r="D13" s="581">
        <v>2458.4498171318946</v>
      </c>
      <c r="E13" s="581"/>
      <c r="F13" s="440">
        <f t="shared" si="1"/>
        <v>4003.6084799387945</v>
      </c>
      <c r="G13" s="440">
        <f>'T-6'!I29</f>
        <v>3160.4057400000002</v>
      </c>
      <c r="H13" s="436">
        <f t="shared" si="0"/>
        <v>462.38274936738344</v>
      </c>
      <c r="I13" s="243">
        <v>0</v>
      </c>
      <c r="J13" s="243">
        <v>558.85716835490018</v>
      </c>
      <c r="K13" s="243"/>
      <c r="L13" s="243"/>
    </row>
    <row r="14" spans="1:13">
      <c r="A14" s="66" t="s">
        <v>174</v>
      </c>
      <c r="B14" s="581">
        <v>36.296238815600006</v>
      </c>
      <c r="C14" s="581">
        <v>24.720501238700002</v>
      </c>
      <c r="D14" s="581">
        <v>65.403697781300025</v>
      </c>
      <c r="E14" s="581"/>
      <c r="F14" s="440">
        <f t="shared" si="1"/>
        <v>126.42043783560004</v>
      </c>
      <c r="G14" s="440">
        <f>'T-6'!I30</f>
        <v>1422.7987000000001</v>
      </c>
      <c r="H14" s="436">
        <f t="shared" si="0"/>
        <v>32.431474536766174</v>
      </c>
      <c r="I14" s="243">
        <v>0</v>
      </c>
      <c r="J14" s="243">
        <v>1274.0080723198</v>
      </c>
      <c r="K14" s="243"/>
      <c r="L14" s="243"/>
    </row>
    <row r="15" spans="1:13">
      <c r="A15" s="66" t="s">
        <v>175</v>
      </c>
      <c r="B15" s="581">
        <v>108.9151087379</v>
      </c>
      <c r="C15" s="581">
        <v>34.725604842999999</v>
      </c>
      <c r="D15" s="581">
        <v>118.86592527740001</v>
      </c>
      <c r="E15" s="581"/>
      <c r="F15" s="440">
        <f t="shared" si="1"/>
        <v>262.50663885829999</v>
      </c>
      <c r="G15" s="440">
        <f>'T-6'!I31</f>
        <v>4649.7972</v>
      </c>
      <c r="H15" s="436">
        <f t="shared" si="0"/>
        <v>20.606258523119998</v>
      </c>
      <c r="I15" s="243">
        <v>0</v>
      </c>
      <c r="J15" s="243">
        <v>648.65648993930017</v>
      </c>
      <c r="K15" s="243"/>
      <c r="L15" s="243"/>
    </row>
    <row r="16" spans="1:13" ht="25">
      <c r="A16" s="66" t="s">
        <v>2348</v>
      </c>
      <c r="B16" s="1159">
        <v>237.39396847869992</v>
      </c>
      <c r="C16" s="1159">
        <v>125.08492902869996</v>
      </c>
      <c r="D16" s="1159">
        <v>408.58488429000022</v>
      </c>
      <c r="E16" s="1159"/>
      <c r="F16" s="904">
        <f t="shared" si="1"/>
        <v>771.06378179740011</v>
      </c>
      <c r="G16" s="904">
        <f>'T-6'!I32</f>
        <v>3485.4918600000001</v>
      </c>
      <c r="H16" s="1077">
        <f t="shared" si="0"/>
        <v>80.745642698488766</v>
      </c>
      <c r="I16" s="904">
        <v>342.00057649999997</v>
      </c>
      <c r="J16" s="904">
        <v>228.98909880990007</v>
      </c>
      <c r="K16" s="243"/>
      <c r="L16" s="243"/>
    </row>
    <row r="17" spans="1:12">
      <c r="A17" s="66" t="s">
        <v>976</v>
      </c>
      <c r="B17" s="581">
        <v>97.708753590900116</v>
      </c>
      <c r="C17" s="581">
        <v>269.21862111009995</v>
      </c>
      <c r="D17" s="581">
        <v>1544.116808461001</v>
      </c>
      <c r="E17" s="581"/>
      <c r="F17" s="440">
        <f t="shared" si="1"/>
        <v>1911.044183162001</v>
      </c>
      <c r="G17" s="440">
        <f>'T-6'!I33+'T-6'!I34</f>
        <v>4458.3356130000002</v>
      </c>
      <c r="H17" s="436">
        <f t="shared" si="0"/>
        <v>156.45549985519457</v>
      </c>
      <c r="I17" s="243">
        <v>7.5946961999999996</v>
      </c>
      <c r="J17" s="243">
        <v>640.00870733030001</v>
      </c>
      <c r="K17" s="243"/>
      <c r="L17" s="243"/>
    </row>
    <row r="18" spans="1:12">
      <c r="A18" s="350" t="s">
        <v>2041</v>
      </c>
      <c r="B18" s="581">
        <v>10.724700064100006</v>
      </c>
      <c r="C18" s="581">
        <v>1.1623071910000002</v>
      </c>
      <c r="D18" s="581">
        <v>14.738741599300001</v>
      </c>
      <c r="E18" s="581"/>
      <c r="F18" s="440">
        <f t="shared" si="1"/>
        <v>26.625748854400008</v>
      </c>
      <c r="G18" s="440">
        <f>'T-6'!I39</f>
        <v>876.05284400000005</v>
      </c>
      <c r="H18" s="436">
        <f t="shared" si="0"/>
        <v>11.093392822609228</v>
      </c>
      <c r="I18" s="36">
        <v>0</v>
      </c>
      <c r="J18" s="36">
        <v>188.17992190000004</v>
      </c>
      <c r="K18" s="243"/>
      <c r="L18" s="243"/>
    </row>
    <row r="19" spans="1:12">
      <c r="A19" s="427" t="s">
        <v>2349</v>
      </c>
      <c r="B19" s="440">
        <v>18.159257765500001</v>
      </c>
      <c r="C19" s="440">
        <v>7.5537823207999999</v>
      </c>
      <c r="D19" s="440">
        <v>55.210516039199995</v>
      </c>
      <c r="E19" s="440"/>
      <c r="F19" s="440">
        <f t="shared" si="1"/>
        <v>80.923556125499999</v>
      </c>
      <c r="G19" s="440">
        <f>'T-6'!I40</f>
        <v>2221.3200000000002</v>
      </c>
      <c r="H19" s="436"/>
      <c r="I19" s="36">
        <v>0</v>
      </c>
      <c r="J19" s="36">
        <v>16.821788099900001</v>
      </c>
      <c r="K19" s="243"/>
      <c r="L19" s="243"/>
    </row>
    <row r="20" spans="1:12">
      <c r="A20" s="66" t="s">
        <v>77</v>
      </c>
      <c r="B20" s="440">
        <v>176.22234747549996</v>
      </c>
      <c r="C20" s="440">
        <v>82.31212583230004</v>
      </c>
      <c r="D20" s="440">
        <v>277.32867443790036</v>
      </c>
      <c r="E20" s="440"/>
      <c r="F20" s="440">
        <f t="shared" si="1"/>
        <v>535.86314774570042</v>
      </c>
      <c r="G20" s="440">
        <f>'T-6'!I43</f>
        <v>2547.6149999999998</v>
      </c>
      <c r="H20" s="436">
        <f t="shared" si="0"/>
        <v>76.773786041917901</v>
      </c>
      <c r="I20" s="440">
        <v>18.946911099999998</v>
      </c>
      <c r="J20" s="440">
        <v>929.83110565419952</v>
      </c>
      <c r="K20" s="243"/>
      <c r="L20" s="243"/>
    </row>
    <row r="21" spans="1:12">
      <c r="A21" s="427" t="s">
        <v>89</v>
      </c>
      <c r="B21" s="440">
        <f>'[12]F-15'!B12+'[12]F-15'!B13+'[12]F-15'!B15+'[12]F-15'!B17+'[12]F-15'!B40+'[12]F-15'!B42</f>
        <v>100.24044539889999</v>
      </c>
      <c r="C21" s="440">
        <f>'[12]F-15'!C12+'[12]F-15'!C13+'[12]F-15'!C15+'[12]F-15'!C17+'[12]F-15'!C40+'[12]F-15'!C42</f>
        <v>40.343739093800004</v>
      </c>
      <c r="D21" s="440">
        <f>'[12]F-15'!D12+'[12]F-15'!D13+'[12]F-15'!D15+'[12]F-15'!D17+'[12]F-15'!D40+'[12]F-15'!D42</f>
        <v>316.14744171860002</v>
      </c>
      <c r="E21" s="440"/>
      <c r="F21" s="440">
        <f t="shared" si="1"/>
        <v>456.73162621130001</v>
      </c>
      <c r="G21" s="440">
        <f>'T-6'!I35+'T-6'!I45+'T-6'!I57</f>
        <v>11455.00511</v>
      </c>
      <c r="H21" s="436">
        <f t="shared" si="0"/>
        <v>14.553205517262708</v>
      </c>
      <c r="I21" s="440">
        <f>'[12]F-15'!I12+'[12]F-15'!I13+'[12]F-15'!I15+'[12]F-15'!I17+'[12]F-15'!I40+'[12]F-15'!I42</f>
        <v>3.9631898000000003</v>
      </c>
      <c r="J21" s="440">
        <f>'[12]F-15'!J12+'[12]F-15'!J13+'[12]F-15'!J15+'[12]F-15'!J17+'[12]F-15'!J40+'[12]F-15'!J42</f>
        <v>144.29745757359998</v>
      </c>
      <c r="K21" s="243"/>
      <c r="L21" s="243"/>
    </row>
    <row r="22" spans="1:12">
      <c r="A22" s="427" t="s">
        <v>977</v>
      </c>
      <c r="B22" s="440">
        <v>24.835169799999999</v>
      </c>
      <c r="C22" s="440">
        <v>7.4202899999999996</v>
      </c>
      <c r="D22" s="440">
        <v>38.503455300000006</v>
      </c>
      <c r="E22" s="440"/>
      <c r="F22" s="440">
        <f t="shared" si="1"/>
        <v>70.758915099999996</v>
      </c>
      <c r="G22" s="440">
        <f>'T-6'!I47</f>
        <v>3431.4150500000001</v>
      </c>
      <c r="H22" s="436">
        <f t="shared" si="0"/>
        <v>7.5266336584669338</v>
      </c>
      <c r="I22" s="36">
        <v>361.55347399999994</v>
      </c>
      <c r="J22" s="36">
        <v>-2.2000000000000003E-5</v>
      </c>
      <c r="K22" s="243"/>
      <c r="L22" s="243"/>
    </row>
    <row r="23" spans="1:12">
      <c r="A23" s="427" t="s">
        <v>72</v>
      </c>
      <c r="B23" s="440">
        <v>0</v>
      </c>
      <c r="C23" s="440">
        <v>62.358845442999986</v>
      </c>
      <c r="D23" s="440">
        <v>1010.3602875494004</v>
      </c>
      <c r="E23" s="440"/>
      <c r="F23" s="440">
        <f t="shared" si="1"/>
        <v>1072.7191329924003</v>
      </c>
      <c r="G23" s="440">
        <f>'T-6'!I36+'T-6'!I46+'T-6'!I48+'T-6'!I54+'T-6'!I58</f>
        <v>101180.26934</v>
      </c>
      <c r="H23" s="436">
        <f t="shared" si="0"/>
        <v>3.8697513467424232</v>
      </c>
      <c r="I23" s="440">
        <v>1619.6580391</v>
      </c>
      <c r="J23" s="440">
        <v>3663.8757604785005</v>
      </c>
      <c r="K23" s="243"/>
      <c r="L23" s="243"/>
    </row>
    <row r="24" spans="1:12">
      <c r="A24" s="427" t="s">
        <v>978</v>
      </c>
      <c r="B24" s="440">
        <v>0</v>
      </c>
      <c r="C24" s="440">
        <v>4.3000000000000001E-8</v>
      </c>
      <c r="D24" s="440">
        <v>-8.0000000000000003E-10</v>
      </c>
      <c r="E24" s="440"/>
      <c r="F24" s="440">
        <f t="shared" si="1"/>
        <v>4.2200000000000001E-8</v>
      </c>
      <c r="G24" s="440">
        <f>'T-6'!I53+'T-6'!I65</f>
        <v>517.48015999999996</v>
      </c>
      <c r="H24" s="436">
        <f t="shared" si="0"/>
        <v>2.9765392358230703E-8</v>
      </c>
      <c r="I24" s="36">
        <v>0</v>
      </c>
      <c r="J24" s="36">
        <v>331.32093859999998</v>
      </c>
      <c r="K24" s="243"/>
      <c r="L24" s="243"/>
    </row>
    <row r="25" spans="1:12">
      <c r="A25" s="1237" t="s">
        <v>84</v>
      </c>
      <c r="B25" s="1226">
        <v>0</v>
      </c>
      <c r="C25" s="1226">
        <v>2.1000000000000002E-6</v>
      </c>
      <c r="D25" s="1226">
        <v>2.7632999999999994E-6</v>
      </c>
      <c r="E25" s="1226"/>
      <c r="F25" s="1226">
        <f t="shared" si="1"/>
        <v>4.8632999999999997E-6</v>
      </c>
      <c r="G25" s="1226">
        <f>'T-6'!I60+'T-6'!I52</f>
        <v>57795.223019999998</v>
      </c>
      <c r="H25" s="527">
        <f t="shared" si="0"/>
        <v>3.0713688904457142E-8</v>
      </c>
      <c r="I25" s="108">
        <v>0</v>
      </c>
      <c r="J25" s="108">
        <v>0</v>
      </c>
      <c r="K25" s="441"/>
      <c r="L25" s="441"/>
    </row>
    <row r="26" spans="1:12">
      <c r="A26" s="412" t="s">
        <v>91</v>
      </c>
      <c r="B26" s="440">
        <v>2.3769800000000001E-5</v>
      </c>
      <c r="C26" s="440">
        <v>0</v>
      </c>
      <c r="D26" s="440">
        <v>1.2999999999999999E-8</v>
      </c>
      <c r="E26" s="440"/>
      <c r="F26" s="440">
        <f t="shared" si="1"/>
        <v>2.3782800000000002E-5</v>
      </c>
      <c r="G26" s="440">
        <f>'T-6'!I61+'T-6'!I66</f>
        <v>49449.630539999998</v>
      </c>
      <c r="H26" s="436">
        <f t="shared" si="0"/>
        <v>1.755467514156275E-7</v>
      </c>
      <c r="I26" s="36">
        <v>283.32822720000001</v>
      </c>
      <c r="J26" s="36">
        <v>0</v>
      </c>
      <c r="K26" s="243"/>
      <c r="L26" s="243"/>
    </row>
    <row r="27" spans="1:12">
      <c r="A27" s="412" t="s">
        <v>82</v>
      </c>
      <c r="B27" s="440">
        <v>0</v>
      </c>
      <c r="C27" s="440">
        <v>3.3069999999999998E-6</v>
      </c>
      <c r="D27" s="440">
        <v>1.3097000000000004E-6</v>
      </c>
      <c r="E27" s="440"/>
      <c r="F27" s="440">
        <f t="shared" si="1"/>
        <v>4.6167000000000002E-6</v>
      </c>
      <c r="G27" s="440">
        <f>'T-6'!I50+'T-6'!I62</f>
        <v>91634.272452464007</v>
      </c>
      <c r="H27" s="436">
        <f t="shared" si="0"/>
        <v>1.8389358641704245E-8</v>
      </c>
      <c r="I27" s="36">
        <v>27832.7756433</v>
      </c>
      <c r="J27" s="36">
        <v>2314.7145188</v>
      </c>
      <c r="K27" s="243"/>
      <c r="L27" s="243"/>
    </row>
    <row r="28" spans="1:12">
      <c r="A28" s="412" t="s">
        <v>92</v>
      </c>
      <c r="B28" s="440">
        <v>0</v>
      </c>
      <c r="C28" s="440">
        <v>0</v>
      </c>
      <c r="D28" s="440">
        <v>4.0000000000000001E-10</v>
      </c>
      <c r="E28" s="440"/>
      <c r="F28" s="440">
        <f t="shared" si="1"/>
        <v>4.0000000000000001E-10</v>
      </c>
      <c r="G28" s="440">
        <f>'T-6'!I51+'T-6'!I64</f>
        <v>9970.6215799999991</v>
      </c>
      <c r="H28" s="436">
        <f t="shared" si="0"/>
        <v>1.4643018875860299E-11</v>
      </c>
      <c r="I28" s="36">
        <v>17.52392</v>
      </c>
      <c r="J28" s="36">
        <v>-1.3500000000000001E-5</v>
      </c>
      <c r="K28" s="243"/>
      <c r="L28" s="243"/>
    </row>
    <row r="29" spans="1:12" ht="13">
      <c r="A29" s="33" t="s">
        <v>214</v>
      </c>
      <c r="B29" s="582">
        <f>SUM(B7:B28)</f>
        <v>28966.884754558192</v>
      </c>
      <c r="C29" s="582">
        <f t="shared" ref="C29:G29" si="2">SUM(C7:C28)</f>
        <v>19805.144288516905</v>
      </c>
      <c r="D29" s="582">
        <f t="shared" si="2"/>
        <v>224401.56404591203</v>
      </c>
      <c r="E29" s="582">
        <f t="shared" si="2"/>
        <v>0</v>
      </c>
      <c r="F29" s="582">
        <f t="shared" si="2"/>
        <v>273173.59308898717</v>
      </c>
      <c r="G29" s="582">
        <f t="shared" si="2"/>
        <v>460479.75137578702</v>
      </c>
      <c r="H29" s="436">
        <f>F29/G29*365</f>
        <v>216.53147870146108</v>
      </c>
      <c r="I29" s="582">
        <f>SUM(I7:I28)</f>
        <v>31378.1362558</v>
      </c>
      <c r="J29" s="582">
        <f>SUM(J7:J28)</f>
        <v>167983.10575861964</v>
      </c>
      <c r="K29" s="582">
        <f>SUM(K7:K28)</f>
        <v>0</v>
      </c>
      <c r="L29" s="582">
        <f>SUM(L7:L28)</f>
        <v>0</v>
      </c>
    </row>
    <row r="30" spans="1:12">
      <c r="B30" s="1236"/>
      <c r="C30" s="1236"/>
      <c r="D30" s="1236"/>
      <c r="E30" s="1236"/>
      <c r="F30" s="1236"/>
      <c r="G30" s="1236"/>
      <c r="H30" s="1236"/>
      <c r="I30" s="1236"/>
      <c r="J30" s="1236"/>
      <c r="K30" s="7"/>
      <c r="L30" s="155"/>
    </row>
    <row r="31" spans="1:12">
      <c r="A31" t="s">
        <v>979</v>
      </c>
      <c r="B31" s="151"/>
      <c r="C31" s="151"/>
      <c r="D31" s="151"/>
      <c r="E31" s="151"/>
      <c r="F31" s="151"/>
      <c r="G31" s="151"/>
      <c r="I31" s="7"/>
      <c r="J31" s="7"/>
      <c r="K31" s="7"/>
      <c r="L31" s="7"/>
    </row>
    <row r="32" spans="1:12" ht="13">
      <c r="A32" s="583"/>
      <c r="B32" s="151"/>
      <c r="C32" s="151"/>
      <c r="D32" s="151"/>
      <c r="E32" s="151"/>
      <c r="F32" s="151"/>
      <c r="G32" s="151"/>
      <c r="I32" s="7"/>
      <c r="J32" s="7"/>
      <c r="K32" s="7"/>
      <c r="L32" s="7"/>
    </row>
    <row r="33" spans="1:12">
      <c r="A33" s="165"/>
      <c r="B33" s="151"/>
      <c r="C33" s="151"/>
      <c r="D33" s="151"/>
      <c r="E33" s="151"/>
      <c r="G33" s="7" t="e">
        <f>#REF!</f>
        <v>#REF!</v>
      </c>
      <c r="I33" s="7"/>
      <c r="J33" s="7"/>
      <c r="K33" s="7"/>
      <c r="L33" s="7"/>
    </row>
    <row r="34" spans="1:12">
      <c r="F34" s="7"/>
      <c r="G34" s="7">
        <f>109890.78+63482.91</f>
        <v>173373.69</v>
      </c>
      <c r="L34" s="7"/>
    </row>
    <row r="35" spans="1:12">
      <c r="B35" s="7"/>
      <c r="C35" s="7"/>
      <c r="D35" s="7"/>
      <c r="E35" s="7"/>
      <c r="F35" s="7"/>
      <c r="G35">
        <f>17579.48+19096.83+20257.92+21097.29+19565.24+18110.26</f>
        <v>115707.01999999999</v>
      </c>
    </row>
    <row r="36" spans="1:12" hidden="1">
      <c r="J36" s="7"/>
    </row>
    <row r="37" spans="1:12" hidden="1">
      <c r="F37" s="7"/>
      <c r="H37" t="s">
        <v>980</v>
      </c>
      <c r="J37" s="7"/>
    </row>
    <row r="38" spans="1:12" hidden="1">
      <c r="H38" t="s">
        <v>981</v>
      </c>
      <c r="J38" s="7">
        <f>'F-9'!C16</f>
        <v>126891.90249559999</v>
      </c>
    </row>
    <row r="39" spans="1:12" hidden="1">
      <c r="F39" s="7"/>
      <c r="H39" t="s">
        <v>982</v>
      </c>
      <c r="J39" s="7" t="e">
        <f>#REF!</f>
        <v>#REF!</v>
      </c>
    </row>
    <row r="40" spans="1:12" hidden="1">
      <c r="H40" t="s">
        <v>368</v>
      </c>
      <c r="J40" s="7">
        <f>('F-22'!C8+'F-22'!C9)/2</f>
        <v>23010.393205</v>
      </c>
    </row>
    <row r="41" spans="1:12" hidden="1">
      <c r="H41" t="s">
        <v>983</v>
      </c>
      <c r="J41" s="7">
        <f>9535.79+9041.91+10034.69+11940.56+10750.15+13851.77</f>
        <v>65154.869999999995</v>
      </c>
    </row>
    <row r="42" spans="1:12" ht="13" hidden="1">
      <c r="H42" t="s">
        <v>984</v>
      </c>
      <c r="J42" s="12" t="e">
        <f>J38+J39+J40-J41</f>
        <v>#REF!</v>
      </c>
    </row>
    <row r="43" spans="1:12" hidden="1">
      <c r="F43" s="7"/>
      <c r="J43" s="7"/>
    </row>
    <row r="44" spans="1:12" hidden="1">
      <c r="H44" t="s">
        <v>985</v>
      </c>
      <c r="J44">
        <f>(5869.02+2203.87+2308.24+3871.28+780+826)</f>
        <v>15858.410000000002</v>
      </c>
    </row>
    <row r="45" spans="1:12" hidden="1">
      <c r="H45" t="s">
        <v>986</v>
      </c>
      <c r="J45" s="155" t="e">
        <f>J44+J42</f>
        <v>#REF!</v>
      </c>
    </row>
    <row r="46" spans="1:12" hidden="1">
      <c r="J46" s="7" t="e">
        <f>J45-F29</f>
        <v>#REF!</v>
      </c>
    </row>
    <row r="47" spans="1:12" hidden="1"/>
    <row r="48" spans="1:12">
      <c r="G48" s="7" t="e">
        <f>G34+G33-G35</f>
        <v>#REF!</v>
      </c>
    </row>
    <row r="49" spans="7:10">
      <c r="G49" s="7"/>
      <c r="J49" s="7"/>
    </row>
    <row r="51" spans="7:10">
      <c r="G51" s="7"/>
    </row>
  </sheetData>
  <mergeCells count="10">
    <mergeCell ref="B5:B6"/>
    <mergeCell ref="F5:F6"/>
    <mergeCell ref="D5:D6"/>
    <mergeCell ref="C5:C6"/>
    <mergeCell ref="E5:E6"/>
    <mergeCell ref="L5:L6"/>
    <mergeCell ref="H5:H6"/>
    <mergeCell ref="I5:I6"/>
    <mergeCell ref="J5:J6"/>
    <mergeCell ref="K5:K6"/>
  </mergeCells>
  <phoneticPr fontId="0" type="noConversion"/>
  <printOptions horizontalCentered="1" gridLines="1"/>
  <pageMargins left="0.51181102362204722" right="0.23622047244094491" top="0.98425196850393704" bottom="0.74803149606299213" header="0.51181102362204722" footer="0.51181102362204722"/>
  <pageSetup paperSize="9" orientation="landscape" r:id="rId1"/>
  <headerFooter alignWithMargins="0">
    <oddFooter xml:space="preserve">&amp;R&amp;"Arial,Bold"&amp;12OERC FORM-&amp;A&amp;"Arial,Regular"&amp;10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0"/>
  <dimension ref="A1:G30"/>
  <sheetViews>
    <sheetView showGridLines="0" view="pageBreakPreview" topLeftCell="A10" workbookViewId="0">
      <selection activeCell="L17" sqref="L17"/>
    </sheetView>
  </sheetViews>
  <sheetFormatPr defaultRowHeight="12.5"/>
  <cols>
    <col min="1" max="1" width="19.81640625" customWidth="1"/>
    <col min="2" max="2" width="18" customWidth="1"/>
    <col min="3" max="3" width="17.26953125" customWidth="1"/>
    <col min="4" max="4" width="12.26953125" customWidth="1"/>
    <col min="5" max="5" width="16.453125" customWidth="1"/>
  </cols>
  <sheetData>
    <row r="1" spans="1:5" ht="13">
      <c r="A1" s="20" t="s">
        <v>104</v>
      </c>
      <c r="D1" s="3" t="s">
        <v>0</v>
      </c>
      <c r="E1" s="2" t="s">
        <v>987</v>
      </c>
    </row>
    <row r="3" spans="1:5" ht="13">
      <c r="A3" s="65" t="s">
        <v>988</v>
      </c>
      <c r="B3" s="65"/>
      <c r="C3" s="65"/>
      <c r="D3" s="65"/>
      <c r="E3" s="65"/>
    </row>
    <row r="4" spans="1:5" ht="13">
      <c r="A4" s="20"/>
      <c r="E4" s="2" t="s">
        <v>496</v>
      </c>
    </row>
    <row r="5" spans="1:5" ht="13">
      <c r="A5" s="2" t="s">
        <v>2263</v>
      </c>
    </row>
    <row r="6" spans="1:5" ht="13">
      <c r="A6" s="2081" t="s">
        <v>735</v>
      </c>
      <c r="B6" s="2102" t="s">
        <v>26</v>
      </c>
      <c r="C6" s="2103"/>
      <c r="D6" s="656" t="s">
        <v>989</v>
      </c>
      <c r="E6" s="656" t="s">
        <v>990</v>
      </c>
    </row>
    <row r="7" spans="1:5" ht="27" customHeight="1">
      <c r="A7" s="2082"/>
      <c r="B7" s="618" t="s">
        <v>991</v>
      </c>
      <c r="C7" s="618" t="s">
        <v>2038</v>
      </c>
      <c r="D7" s="656" t="s">
        <v>2039</v>
      </c>
      <c r="E7" s="656" t="s">
        <v>992</v>
      </c>
    </row>
    <row r="8" spans="1:5">
      <c r="A8" s="23"/>
      <c r="B8" s="23"/>
      <c r="C8" s="23"/>
      <c r="D8" s="23"/>
      <c r="E8" s="23"/>
    </row>
    <row r="9" spans="1:5" ht="26">
      <c r="A9" s="33" t="s">
        <v>993</v>
      </c>
      <c r="B9" s="23"/>
      <c r="C9" s="23"/>
      <c r="D9" s="23"/>
      <c r="E9" s="23"/>
    </row>
    <row r="10" spans="1:5">
      <c r="A10" s="66" t="s">
        <v>994</v>
      </c>
      <c r="B10" s="23"/>
      <c r="C10" s="23"/>
      <c r="D10" s="23"/>
      <c r="E10" s="23"/>
    </row>
    <row r="11" spans="1:5">
      <c r="A11" s="66" t="s">
        <v>995</v>
      </c>
      <c r="B11" s="23"/>
      <c r="C11" s="23"/>
      <c r="D11" s="23"/>
      <c r="E11" s="23"/>
    </row>
    <row r="12" spans="1:5">
      <c r="A12" s="66" t="s">
        <v>996</v>
      </c>
      <c r="B12" s="23"/>
      <c r="C12" s="23"/>
      <c r="D12" s="23"/>
      <c r="E12" s="23"/>
    </row>
    <row r="13" spans="1:5">
      <c r="A13" s="66" t="s">
        <v>997</v>
      </c>
      <c r="B13" s="23"/>
      <c r="C13" s="23"/>
      <c r="D13" s="23"/>
      <c r="E13" s="23"/>
    </row>
    <row r="14" spans="1:5">
      <c r="A14" s="66"/>
      <c r="B14" s="23"/>
      <c r="C14" s="23"/>
      <c r="D14" s="23"/>
      <c r="E14" s="23"/>
    </row>
    <row r="15" spans="1:5">
      <c r="A15" s="66"/>
      <c r="B15" s="23"/>
      <c r="C15" s="23"/>
      <c r="D15" s="23"/>
      <c r="E15" s="23"/>
    </row>
    <row r="16" spans="1:5" ht="13">
      <c r="A16" s="33" t="s">
        <v>998</v>
      </c>
      <c r="B16" s="23"/>
      <c r="C16" s="23"/>
      <c r="D16" s="23"/>
      <c r="E16" s="23"/>
    </row>
    <row r="17" spans="1:7">
      <c r="A17" s="1015" t="s">
        <v>994</v>
      </c>
      <c r="B17" s="23"/>
      <c r="C17" s="1219">
        <v>2190.1903041999999</v>
      </c>
      <c r="D17" s="1219">
        <v>1301.2144629999989</v>
      </c>
      <c r="E17" s="868">
        <f>D17/C17*12</f>
        <v>7.1293227470036875</v>
      </c>
    </row>
    <row r="18" spans="1:7" ht="13">
      <c r="A18" s="1015" t="s">
        <v>995</v>
      </c>
      <c r="B18" s="23"/>
      <c r="C18" s="1219">
        <v>0</v>
      </c>
      <c r="D18" s="1219">
        <v>0</v>
      </c>
      <c r="E18" s="868"/>
      <c r="G18" s="206"/>
    </row>
    <row r="19" spans="1:7" ht="25">
      <c r="A19" s="1015" t="s">
        <v>999</v>
      </c>
      <c r="B19" s="23"/>
      <c r="C19" s="1219">
        <v>2591.9870406</v>
      </c>
      <c r="D19" s="1219">
        <v>552.44258989999992</v>
      </c>
      <c r="E19" s="868">
        <f>D19/C19*12</f>
        <v>2.5576173703651808</v>
      </c>
      <c r="G19" s="7"/>
    </row>
    <row r="20" spans="1:7">
      <c r="A20" s="1015" t="s">
        <v>1000</v>
      </c>
      <c r="B20" s="23"/>
      <c r="C20" s="1219">
        <v>1283.01907799998</v>
      </c>
      <c r="D20" s="1219">
        <v>1571.5064679</v>
      </c>
      <c r="E20" s="868">
        <f>D20/C20*12</f>
        <v>14.698205146097049</v>
      </c>
    </row>
    <row r="21" spans="1:7">
      <c r="A21" s="1254" t="s">
        <v>1001</v>
      </c>
      <c r="B21" s="23"/>
      <c r="C21" s="1219">
        <v>338.58614229999995</v>
      </c>
      <c r="D21" s="1219">
        <v>468.24833429999899</v>
      </c>
      <c r="E21" s="868">
        <f>D21/C21*12</f>
        <v>16.595422285834019</v>
      </c>
    </row>
    <row r="22" spans="1:7">
      <c r="A22" s="1015" t="s">
        <v>1002</v>
      </c>
      <c r="B22" s="23"/>
      <c r="C22" s="1219">
        <v>2821.5753573000002</v>
      </c>
      <c r="D22" s="1219">
        <v>2827.5903747999996</v>
      </c>
      <c r="E22" s="868">
        <f>D22/C22*12</f>
        <v>12.025581528351971</v>
      </c>
    </row>
    <row r="23" spans="1:7">
      <c r="A23" s="1015" t="s">
        <v>49</v>
      </c>
      <c r="B23" s="23"/>
      <c r="C23" s="1219">
        <f>'F-10'!O32-SUM(C17:C22)</f>
        <v>2725.9568182518087</v>
      </c>
      <c r="D23" s="868">
        <f>'F-10'!O49-SUM(D17:D22)</f>
        <v>2605.079039168806</v>
      </c>
      <c r="E23" s="868">
        <f>D23/C23*12</f>
        <v>11.467881024642834</v>
      </c>
    </row>
    <row r="24" spans="1:7">
      <c r="A24" s="1015"/>
      <c r="B24" s="23"/>
      <c r="C24" s="867"/>
      <c r="D24" s="867"/>
      <c r="E24" s="867"/>
    </row>
    <row r="25" spans="1:7" ht="13">
      <c r="A25" s="33" t="s">
        <v>214</v>
      </c>
      <c r="B25" s="23"/>
      <c r="C25" s="869">
        <f>SUM(C17:C24)</f>
        <v>11951.314740651789</v>
      </c>
      <c r="D25" s="869">
        <f>SUM(D17:D24)</f>
        <v>9326.0812690688035</v>
      </c>
      <c r="E25" s="869">
        <f>D25/C25*12</f>
        <v>9.364072293080806</v>
      </c>
    </row>
    <row r="26" spans="1:7">
      <c r="A26" t="s">
        <v>1003</v>
      </c>
      <c r="D26" s="7"/>
      <c r="E26" s="7"/>
    </row>
    <row r="27" spans="1:7">
      <c r="C27" s="7"/>
      <c r="D27" s="7"/>
    </row>
    <row r="28" spans="1:7">
      <c r="A28" t="s">
        <v>1004</v>
      </c>
    </row>
    <row r="30" spans="1:7">
      <c r="A30" t="s">
        <v>29</v>
      </c>
      <c r="C30" s="161"/>
      <c r="D30" s="161"/>
    </row>
  </sheetData>
  <mergeCells count="2">
    <mergeCell ref="A6:A7"/>
    <mergeCell ref="B6:C6"/>
  </mergeCells>
  <phoneticPr fontId="0" type="noConversion"/>
  <printOptions horizontalCentered="1" verticalCentered="1" gridLines="1"/>
  <pageMargins left="0.51181102362204722" right="0.51181102362204722" top="0.74803149606299213" bottom="0.74803149606299213" header="0.51181102362204722" footer="0.51181102362204722"/>
  <pageSetup paperSize="9" orientation="portrait" r:id="rId1"/>
  <headerFooter alignWithMargins="0">
    <oddFooter xml:space="preserve">&amp;R&amp;"Arial,Bold"&amp;12OERC FORM-&amp;A&amp;"Arial,Regular"&amp;10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1">
    <pageSetUpPr fitToPage="1"/>
  </sheetPr>
  <dimension ref="A1:S67"/>
  <sheetViews>
    <sheetView showGridLines="0" view="pageBreakPreview" topLeftCell="B33" zoomScale="85" zoomScaleNormal="75" workbookViewId="0">
      <selection activeCell="L17" sqref="L17"/>
    </sheetView>
  </sheetViews>
  <sheetFormatPr defaultRowHeight="12.5"/>
  <cols>
    <col min="1" max="1" width="23.26953125" customWidth="1"/>
    <col min="2" max="2" width="9.453125" customWidth="1"/>
    <col min="3" max="3" width="23" customWidth="1"/>
    <col min="4" max="4" width="7.7265625" customWidth="1"/>
    <col min="5" max="5" width="6.81640625" customWidth="1"/>
    <col min="6" max="6" width="8.453125" customWidth="1"/>
    <col min="7" max="7" width="7.453125" customWidth="1"/>
    <col min="8" max="8" width="8.54296875" customWidth="1"/>
    <col min="9" max="9" width="8.1796875" customWidth="1"/>
    <col min="10" max="10" width="8.453125" customWidth="1"/>
    <col min="11" max="11" width="9.453125" bestFit="1" customWidth="1"/>
    <col min="12" max="12" width="9.26953125" customWidth="1"/>
    <col min="13" max="13" width="11" customWidth="1"/>
    <col min="14" max="14" width="12.54296875" customWidth="1"/>
    <col min="15" max="15" width="13" customWidth="1"/>
    <col min="16" max="16" width="10.26953125" customWidth="1"/>
    <col min="17" max="17" width="7.81640625" customWidth="1"/>
    <col min="18" max="18" width="8.1796875" customWidth="1"/>
    <col min="19" max="19" width="10.7265625" customWidth="1"/>
  </cols>
  <sheetData>
    <row r="1" spans="1:19" ht="17.25" customHeight="1">
      <c r="A1" s="20" t="s">
        <v>104</v>
      </c>
    </row>
    <row r="2" spans="1:19" ht="20">
      <c r="A2" s="119" t="s">
        <v>1846</v>
      </c>
      <c r="F2" s="7"/>
      <c r="H2" s="104"/>
      <c r="J2" s="7"/>
      <c r="K2" s="7"/>
      <c r="L2" s="7"/>
      <c r="M2" s="7"/>
      <c r="N2" s="7"/>
      <c r="O2" s="7"/>
      <c r="P2" s="7"/>
      <c r="Q2" s="101" t="s">
        <v>0</v>
      </c>
      <c r="R2" s="2" t="s">
        <v>1005</v>
      </c>
    </row>
    <row r="3" spans="1:19" ht="13">
      <c r="A3" s="65" t="s">
        <v>1006</v>
      </c>
      <c r="B3" s="65"/>
      <c r="C3" s="65"/>
      <c r="D3" s="65"/>
      <c r="E3" s="26"/>
      <c r="F3" s="102"/>
      <c r="G3" s="26"/>
      <c r="H3" s="105"/>
      <c r="I3" s="26"/>
      <c r="J3" s="102"/>
      <c r="K3" s="102"/>
      <c r="L3" s="102"/>
      <c r="M3" s="102"/>
      <c r="N3" s="102"/>
      <c r="O3" s="102"/>
      <c r="P3" s="102"/>
      <c r="Q3" s="102"/>
      <c r="R3" s="26"/>
      <c r="S3" s="26"/>
    </row>
    <row r="4" spans="1:19" ht="13">
      <c r="F4" s="7"/>
      <c r="H4" s="104"/>
      <c r="J4" s="7"/>
      <c r="K4" s="7"/>
      <c r="L4" s="7"/>
      <c r="M4" s="7"/>
      <c r="N4" s="7"/>
      <c r="O4" s="7"/>
      <c r="P4" s="7"/>
      <c r="Q4" s="7"/>
      <c r="R4" s="2" t="s">
        <v>912</v>
      </c>
    </row>
    <row r="5" spans="1:19" ht="13">
      <c r="A5" s="65"/>
      <c r="B5" s="26"/>
      <c r="C5" s="308" t="s">
        <v>1007</v>
      </c>
      <c r="D5" s="67"/>
      <c r="E5" s="67"/>
      <c r="F5" s="103"/>
      <c r="G5" s="67"/>
      <c r="H5" s="106"/>
      <c r="I5" s="67"/>
      <c r="J5" s="103"/>
      <c r="K5" s="107" t="s">
        <v>1008</v>
      </c>
      <c r="L5" s="103"/>
      <c r="M5" s="103"/>
      <c r="N5" s="107" t="s">
        <v>1009</v>
      </c>
      <c r="O5" s="103"/>
      <c r="P5" s="107" t="s">
        <v>1010</v>
      </c>
      <c r="Q5" s="103"/>
      <c r="R5" s="67"/>
      <c r="S5" s="67"/>
    </row>
    <row r="6" spans="1:19" ht="52.5">
      <c r="A6" s="586" t="s">
        <v>1011</v>
      </c>
      <c r="B6" s="586" t="s">
        <v>1012</v>
      </c>
      <c r="C6" s="586" t="s">
        <v>1013</v>
      </c>
      <c r="D6" s="586" t="s">
        <v>1014</v>
      </c>
      <c r="E6" s="586" t="s">
        <v>1015</v>
      </c>
      <c r="F6" s="1234" t="s">
        <v>1016</v>
      </c>
      <c r="G6" s="586" t="s">
        <v>1017</v>
      </c>
      <c r="H6" s="1235" t="s">
        <v>1018</v>
      </c>
      <c r="I6" s="586" t="s">
        <v>1019</v>
      </c>
      <c r="J6" s="1234" t="s">
        <v>1020</v>
      </c>
      <c r="K6" s="1234" t="s">
        <v>1021</v>
      </c>
      <c r="L6" s="1234" t="s">
        <v>1022</v>
      </c>
      <c r="M6" s="1234" t="s">
        <v>1023</v>
      </c>
      <c r="N6" s="1234" t="s">
        <v>1024</v>
      </c>
      <c r="O6" s="1234" t="s">
        <v>2191</v>
      </c>
      <c r="P6" s="1234" t="s">
        <v>683</v>
      </c>
      <c r="Q6" s="1234" t="s">
        <v>1025</v>
      </c>
      <c r="R6" s="586" t="s">
        <v>1026</v>
      </c>
      <c r="S6" s="586" t="s">
        <v>1027</v>
      </c>
    </row>
    <row r="7" spans="1:19">
      <c r="A7" s="23"/>
      <c r="B7" s="23"/>
      <c r="C7" s="23"/>
      <c r="D7" s="23"/>
      <c r="E7" s="23"/>
      <c r="F7" s="36"/>
      <c r="G7" s="23"/>
      <c r="H7" s="95"/>
      <c r="I7" s="23"/>
      <c r="J7" s="36"/>
      <c r="K7" s="36"/>
      <c r="L7" s="36"/>
      <c r="M7" s="36"/>
      <c r="N7" s="36"/>
      <c r="O7" s="36"/>
      <c r="P7" s="36"/>
      <c r="Q7" s="36"/>
      <c r="R7" s="23"/>
      <c r="S7" s="23"/>
    </row>
    <row r="8" spans="1:19" hidden="1">
      <c r="A8" s="23"/>
      <c r="B8" s="23"/>
      <c r="C8" s="23"/>
      <c r="D8" s="23"/>
      <c r="E8" s="23"/>
      <c r="F8" s="36"/>
      <c r="G8" s="23"/>
      <c r="H8" s="95"/>
      <c r="I8" s="23"/>
      <c r="J8" s="36"/>
      <c r="K8" s="36"/>
      <c r="L8" s="36"/>
      <c r="M8" s="36"/>
      <c r="N8" s="36"/>
      <c r="O8" s="36"/>
      <c r="P8" s="36"/>
      <c r="Q8" s="36"/>
      <c r="R8" s="23"/>
      <c r="S8" s="23"/>
    </row>
    <row r="9" spans="1:19" ht="37.5" hidden="1">
      <c r="A9" s="23" t="s">
        <v>581</v>
      </c>
      <c r="B9" s="66" t="s">
        <v>1028</v>
      </c>
      <c r="C9" s="66" t="s">
        <v>1029</v>
      </c>
      <c r="D9" s="23"/>
      <c r="E9" s="23" t="s">
        <v>1030</v>
      </c>
      <c r="F9" s="36"/>
      <c r="G9" s="23" t="s">
        <v>1030</v>
      </c>
      <c r="H9" s="221">
        <v>0</v>
      </c>
      <c r="I9" s="23" t="s">
        <v>1031</v>
      </c>
      <c r="J9" s="36">
        <v>0</v>
      </c>
      <c r="K9" s="36"/>
      <c r="L9" s="36"/>
      <c r="M9" s="36"/>
      <c r="N9" s="36"/>
      <c r="O9" s="36"/>
      <c r="P9" s="7"/>
      <c r="Q9" s="7"/>
      <c r="R9" s="23"/>
      <c r="S9" s="23"/>
    </row>
    <row r="10" spans="1:19" hidden="1">
      <c r="A10" s="23"/>
      <c r="B10" s="23"/>
      <c r="C10" s="23"/>
      <c r="D10" s="23"/>
      <c r="E10" s="23"/>
      <c r="F10" s="36"/>
      <c r="G10" s="23"/>
      <c r="H10" s="221"/>
      <c r="I10" s="23"/>
      <c r="J10" s="36"/>
      <c r="K10" s="36"/>
      <c r="L10" s="36"/>
      <c r="M10" s="36"/>
      <c r="N10" s="36"/>
      <c r="O10" s="36"/>
      <c r="P10" s="36"/>
      <c r="Q10" s="36"/>
      <c r="R10" s="23"/>
      <c r="S10" s="23"/>
    </row>
    <row r="11" spans="1:19" ht="25" hidden="1">
      <c r="A11" s="23"/>
      <c r="B11" s="23"/>
      <c r="C11" s="350" t="s">
        <v>1032</v>
      </c>
      <c r="D11" s="36"/>
      <c r="E11" s="23"/>
      <c r="F11" s="36"/>
      <c r="G11" s="23"/>
      <c r="H11" s="221">
        <v>0</v>
      </c>
      <c r="I11" s="23"/>
      <c r="J11" s="36"/>
      <c r="K11" s="36">
        <v>0</v>
      </c>
      <c r="L11" s="36">
        <f>'loan&amp;int'!C9</f>
        <v>0</v>
      </c>
      <c r="M11" s="36">
        <f>K11+L11</f>
        <v>0</v>
      </c>
      <c r="N11" s="36">
        <f>'loan&amp;int'!B10</f>
        <v>0</v>
      </c>
      <c r="O11" s="36">
        <f>'loan&amp;int'!C7+'loan&amp;int'!C8-'loan&amp;int'!C9</f>
        <v>0</v>
      </c>
      <c r="P11" s="36">
        <v>0</v>
      </c>
      <c r="Q11" s="36">
        <v>0</v>
      </c>
      <c r="R11" s="23"/>
      <c r="S11" s="23"/>
    </row>
    <row r="12" spans="1:19" ht="37.5" hidden="1">
      <c r="A12" s="23"/>
      <c r="B12" s="23"/>
      <c r="C12" s="66" t="s">
        <v>1033</v>
      </c>
      <c r="D12" s="36"/>
      <c r="E12" s="23"/>
      <c r="F12" s="36">
        <f>'loan&amp;int'!C8</f>
        <v>0</v>
      </c>
      <c r="G12" s="23"/>
      <c r="H12" s="95"/>
      <c r="I12" s="23"/>
      <c r="J12" s="36"/>
      <c r="K12" s="36"/>
      <c r="L12" s="36"/>
      <c r="M12" s="36"/>
      <c r="N12" s="36"/>
      <c r="O12" s="36"/>
      <c r="P12" s="36"/>
      <c r="Q12" s="36"/>
      <c r="R12" s="23"/>
      <c r="S12" s="23"/>
    </row>
    <row r="13" spans="1:19" hidden="1">
      <c r="A13" s="23"/>
      <c r="B13" s="23"/>
      <c r="C13" s="23"/>
      <c r="D13" s="23"/>
      <c r="E13" s="23"/>
      <c r="F13" s="36"/>
      <c r="G13" s="23"/>
      <c r="H13" s="95"/>
      <c r="I13" s="23"/>
      <c r="J13" s="36"/>
      <c r="K13" s="36"/>
      <c r="L13" s="36"/>
      <c r="M13" s="36"/>
      <c r="N13" s="36" t="s">
        <v>1034</v>
      </c>
      <c r="O13" s="36"/>
      <c r="P13" s="36">
        <f>SUM(P11:P12)</f>
        <v>0</v>
      </c>
      <c r="Q13" s="36">
        <f>SUM(Q11:Q12)</f>
        <v>0</v>
      </c>
      <c r="R13" s="23"/>
      <c r="S13" s="23"/>
    </row>
    <row r="14" spans="1:19" ht="50" hidden="1">
      <c r="A14" s="66" t="s">
        <v>1035</v>
      </c>
      <c r="B14" s="66" t="s">
        <v>1028</v>
      </c>
      <c r="C14" s="66" t="s">
        <v>1036</v>
      </c>
      <c r="D14" s="36"/>
      <c r="E14" s="23" t="s">
        <v>1030</v>
      </c>
      <c r="F14" s="36">
        <v>0</v>
      </c>
      <c r="G14" s="23" t="s">
        <v>1030</v>
      </c>
      <c r="H14" s="221">
        <v>0.13</v>
      </c>
      <c r="I14" s="36" t="s">
        <v>1037</v>
      </c>
      <c r="J14" s="36" t="s">
        <v>1038</v>
      </c>
      <c r="K14" s="36">
        <v>0</v>
      </c>
      <c r="L14" s="36">
        <f>'loan&amp;int'!C40</f>
        <v>0</v>
      </c>
      <c r="M14" s="36">
        <f>L14+K14</f>
        <v>0</v>
      </c>
      <c r="N14" s="7">
        <f>'loan&amp;int'!C38</f>
        <v>0</v>
      </c>
      <c r="O14" s="36">
        <f>'loan&amp;int'!C41</f>
        <v>0</v>
      </c>
      <c r="P14" s="36">
        <f>'loan&amp;int'!C43</f>
        <v>0</v>
      </c>
      <c r="Q14" s="36"/>
      <c r="R14" s="23"/>
      <c r="S14" s="23"/>
    </row>
    <row r="15" spans="1:19" hidden="1">
      <c r="A15" s="23"/>
      <c r="B15" s="23"/>
      <c r="C15" s="23"/>
      <c r="D15" s="23"/>
      <c r="E15" s="23"/>
      <c r="F15" s="36"/>
      <c r="G15" s="23"/>
      <c r="H15" s="221"/>
      <c r="I15" s="23"/>
      <c r="J15" s="36"/>
      <c r="K15" s="36"/>
      <c r="L15" s="36"/>
      <c r="M15" s="36"/>
      <c r="N15" s="36"/>
      <c r="O15" s="36"/>
      <c r="P15" s="36"/>
      <c r="Q15" s="36"/>
      <c r="R15" s="23"/>
      <c r="S15" s="23"/>
    </row>
    <row r="16" spans="1:19" ht="13" hidden="1">
      <c r="A16" s="23"/>
      <c r="B16" s="23"/>
      <c r="C16" s="350" t="s">
        <v>1039</v>
      </c>
      <c r="D16" s="23"/>
      <c r="E16" s="23"/>
      <c r="F16" s="36">
        <f>'loan&amp;int'!C39</f>
        <v>0</v>
      </c>
      <c r="G16" s="23"/>
      <c r="H16" s="221"/>
      <c r="I16" s="23"/>
      <c r="J16" s="36"/>
      <c r="K16" s="36">
        <v>0</v>
      </c>
      <c r="L16" s="36">
        <f>L14</f>
        <v>0</v>
      </c>
      <c r="M16" s="36">
        <f>L16</f>
        <v>0</v>
      </c>
      <c r="N16" s="7">
        <f>'loan&amp;int'!C38</f>
        <v>0</v>
      </c>
      <c r="O16" s="37">
        <f>N16+F16-M16</f>
        <v>0</v>
      </c>
      <c r="P16" s="37">
        <f>'loan&amp;int'!C44</f>
        <v>0</v>
      </c>
      <c r="Q16" s="37">
        <v>0</v>
      </c>
      <c r="R16" s="23"/>
      <c r="S16" s="23"/>
    </row>
    <row r="17" spans="1:19" ht="13" hidden="1">
      <c r="A17" s="23"/>
      <c r="B17" s="23"/>
      <c r="C17" s="23"/>
      <c r="D17" s="23"/>
      <c r="E17" s="23"/>
      <c r="F17" s="36"/>
      <c r="G17" s="23"/>
      <c r="H17" s="221"/>
      <c r="I17" s="23"/>
      <c r="J17" s="36"/>
      <c r="K17" s="36"/>
      <c r="L17" s="36"/>
      <c r="M17" s="36"/>
      <c r="N17" s="36" t="s">
        <v>1034</v>
      </c>
      <c r="O17" s="36"/>
      <c r="P17" s="37">
        <f>SUM(P14:P16)</f>
        <v>0</v>
      </c>
      <c r="Q17" s="36"/>
      <c r="R17" s="23"/>
      <c r="S17" s="23"/>
    </row>
    <row r="18" spans="1:19">
      <c r="A18" s="23"/>
      <c r="B18" s="23"/>
      <c r="C18" s="23"/>
      <c r="D18" s="23"/>
      <c r="E18" s="23"/>
      <c r="F18" s="36"/>
      <c r="G18" s="23"/>
      <c r="H18" s="221"/>
      <c r="I18" s="23"/>
      <c r="J18" s="36"/>
      <c r="K18" s="36"/>
      <c r="L18" s="36"/>
      <c r="M18" s="36"/>
      <c r="N18" s="36"/>
      <c r="O18" s="36"/>
      <c r="P18" s="36"/>
      <c r="Q18" s="36"/>
      <c r="R18" s="23"/>
      <c r="S18" s="23"/>
    </row>
    <row r="19" spans="1:19">
      <c r="A19" s="23" t="s">
        <v>561</v>
      </c>
      <c r="B19" s="66"/>
      <c r="C19" s="23" t="s">
        <v>1040</v>
      </c>
      <c r="D19" s="23"/>
      <c r="E19" s="23"/>
      <c r="F19" s="36"/>
      <c r="G19" s="23"/>
      <c r="H19" s="221">
        <v>0.1055</v>
      </c>
      <c r="I19" s="23" t="s">
        <v>1041</v>
      </c>
      <c r="J19" s="343" t="s">
        <v>1042</v>
      </c>
      <c r="K19" s="36">
        <f>'loan&amp;int'!E51</f>
        <v>0</v>
      </c>
      <c r="L19" s="36">
        <f>'loan&amp;int'!F51</f>
        <v>6713.808747</v>
      </c>
      <c r="M19" s="36">
        <f>K19</f>
        <v>0</v>
      </c>
      <c r="N19" s="36">
        <f>'loan&amp;int'!F49</f>
        <v>22379.36249</v>
      </c>
      <c r="O19" s="36">
        <f>'loan&amp;int'!F52</f>
        <v>35665.553742999997</v>
      </c>
      <c r="P19" s="36">
        <f>'loan&amp;int'!F55</f>
        <v>283.33333333333337</v>
      </c>
      <c r="Q19" s="36">
        <v>0</v>
      </c>
      <c r="R19" s="23"/>
      <c r="S19" s="23"/>
    </row>
    <row r="20" spans="1:19">
      <c r="A20" s="23"/>
      <c r="B20" s="23"/>
      <c r="C20" s="66"/>
      <c r="D20" s="23"/>
      <c r="E20" s="23"/>
      <c r="F20" s="36"/>
      <c r="G20" s="23"/>
      <c r="H20" s="95"/>
      <c r="I20" s="23"/>
      <c r="J20" s="36"/>
      <c r="K20" s="36"/>
      <c r="L20" s="36"/>
      <c r="M20" s="36"/>
      <c r="N20" s="36"/>
      <c r="O20" s="36"/>
      <c r="P20" s="36"/>
      <c r="Q20" s="36"/>
      <c r="R20" s="23"/>
      <c r="S20" s="23"/>
    </row>
    <row r="21" spans="1:19" ht="37.5" hidden="1">
      <c r="A21" s="23" t="s">
        <v>1043</v>
      </c>
      <c r="B21" s="66" t="s">
        <v>1028</v>
      </c>
      <c r="C21" s="66"/>
      <c r="D21" s="23"/>
      <c r="E21" s="23"/>
      <c r="G21" s="23"/>
      <c r="H21" s="221">
        <f>'loan&amp;int'!B60</f>
        <v>0</v>
      </c>
      <c r="I21" s="23" t="s">
        <v>1044</v>
      </c>
      <c r="J21" s="23" t="s">
        <v>1045</v>
      </c>
      <c r="K21" s="36">
        <v>0</v>
      </c>
      <c r="L21" s="36">
        <v>0</v>
      </c>
      <c r="M21" s="36">
        <v>0</v>
      </c>
      <c r="N21" s="108">
        <f>'loan&amp;int'!C61</f>
        <v>0</v>
      </c>
      <c r="O21" s="7">
        <f>'loan&amp;int'!C64</f>
        <v>0</v>
      </c>
      <c r="P21" s="108">
        <f>'loan&amp;int'!C66</f>
        <v>0</v>
      </c>
      <c r="Q21" s="108">
        <v>0</v>
      </c>
      <c r="R21" s="23"/>
      <c r="S21" s="23"/>
    </row>
    <row r="22" spans="1:19" hidden="1">
      <c r="A22" s="23"/>
      <c r="B22" s="66"/>
      <c r="C22" s="350" t="s">
        <v>1046</v>
      </c>
      <c r="D22" s="23"/>
      <c r="E22" s="23"/>
      <c r="F22" s="36">
        <f>'loan&amp;int'!C62</f>
        <v>0</v>
      </c>
      <c r="G22" s="23"/>
      <c r="H22" s="221">
        <f>H21</f>
        <v>0</v>
      </c>
      <c r="I22" s="23"/>
      <c r="J22" s="36"/>
      <c r="K22" s="36">
        <v>0</v>
      </c>
      <c r="L22" s="36">
        <v>0</v>
      </c>
      <c r="M22" s="36">
        <v>0</v>
      </c>
      <c r="N22" s="108">
        <f>'loan&amp;int'!C61</f>
        <v>0</v>
      </c>
      <c r="O22" s="108">
        <f>'loan&amp;int'!C64</f>
        <v>0</v>
      </c>
      <c r="P22" s="108">
        <f>'loan&amp;int'!C67</f>
        <v>0</v>
      </c>
      <c r="Q22" s="108"/>
      <c r="R22" s="23"/>
      <c r="S22" s="23"/>
    </row>
    <row r="23" spans="1:19" ht="13" hidden="1">
      <c r="A23" s="23"/>
      <c r="B23" s="66"/>
      <c r="C23" s="66"/>
      <c r="D23" s="23"/>
      <c r="E23" s="23"/>
      <c r="F23" s="36"/>
      <c r="G23" s="23"/>
      <c r="H23" s="221"/>
      <c r="I23" s="23"/>
      <c r="J23" s="36"/>
      <c r="K23" s="36"/>
      <c r="L23" s="36"/>
      <c r="M23" s="36"/>
      <c r="N23" s="37" t="s">
        <v>1034</v>
      </c>
      <c r="O23" s="108"/>
      <c r="P23" s="153">
        <f>P22+P21</f>
        <v>0</v>
      </c>
      <c r="Q23" s="108"/>
      <c r="R23" s="23"/>
      <c r="S23" s="23"/>
    </row>
    <row r="24" spans="1:19" ht="38" hidden="1">
      <c r="A24" s="23" t="s">
        <v>1047</v>
      </c>
      <c r="B24" s="66" t="s">
        <v>1028</v>
      </c>
      <c r="C24" s="350" t="s">
        <v>1046</v>
      </c>
      <c r="D24" s="23"/>
      <c r="E24" s="23"/>
      <c r="F24" s="36">
        <f>'loan&amp;int'!C18+'loan&amp;int'!C29</f>
        <v>0</v>
      </c>
      <c r="G24" s="23"/>
      <c r="H24" s="221" t="s">
        <v>1048</v>
      </c>
      <c r="I24" s="23" t="s">
        <v>1049</v>
      </c>
      <c r="J24" s="23" t="s">
        <v>1045</v>
      </c>
      <c r="K24" s="36">
        <v>0</v>
      </c>
      <c r="L24" s="36">
        <v>0</v>
      </c>
      <c r="M24" s="36">
        <v>0</v>
      </c>
      <c r="N24" s="153">
        <f>'loan&amp;int'!C17+'loan&amp;int'!C28</f>
        <v>0</v>
      </c>
      <c r="O24" s="108">
        <f>'loan&amp;int'!C20+'loan&amp;int'!C31</f>
        <v>0</v>
      </c>
      <c r="P24" s="153">
        <f>'loan&amp;int'!C24+'loan&amp;int'!C35</f>
        <v>0</v>
      </c>
      <c r="Q24" s="108">
        <v>0</v>
      </c>
      <c r="R24" s="23"/>
      <c r="S24" s="23"/>
    </row>
    <row r="25" spans="1:19" hidden="1">
      <c r="A25" s="23" t="s">
        <v>1050</v>
      </c>
      <c r="B25" s="66"/>
      <c r="C25" s="66"/>
      <c r="D25" s="23"/>
      <c r="E25" s="23"/>
      <c r="F25" s="36"/>
      <c r="G25" s="23"/>
      <c r="H25" s="221">
        <f>'loan&amp;int'!B82</f>
        <v>0</v>
      </c>
      <c r="I25" s="23" t="s">
        <v>1051</v>
      </c>
      <c r="J25" s="23" t="s">
        <v>1052</v>
      </c>
      <c r="K25" s="36">
        <f>'loan&amp;int'!B85</f>
        <v>0</v>
      </c>
      <c r="L25" s="36">
        <f>'loan&amp;int'!C85</f>
        <v>0</v>
      </c>
      <c r="M25" s="36">
        <f>K25+L25</f>
        <v>0</v>
      </c>
      <c r="N25" s="108">
        <f>'loan&amp;int'!C83</f>
        <v>0</v>
      </c>
      <c r="O25" s="108">
        <f>'loan&amp;int'!C86</f>
        <v>0</v>
      </c>
      <c r="P25" s="108">
        <f>'loan&amp;int'!C88</f>
        <v>0</v>
      </c>
      <c r="Q25" s="108"/>
      <c r="R25" s="23"/>
      <c r="S25" s="23"/>
    </row>
    <row r="26" spans="1:19" hidden="1">
      <c r="A26" s="23"/>
      <c r="B26" s="66"/>
      <c r="C26" s="350" t="s">
        <v>1046</v>
      </c>
      <c r="D26" s="23"/>
      <c r="E26" s="23"/>
      <c r="F26" s="36">
        <f>'loan&amp;int'!C70</f>
        <v>0</v>
      </c>
      <c r="G26" s="23"/>
      <c r="H26" s="221">
        <f>'loan&amp;int'!B82</f>
        <v>0</v>
      </c>
      <c r="I26" s="23"/>
      <c r="J26" s="36"/>
      <c r="K26" s="36">
        <v>0</v>
      </c>
      <c r="L26" s="36">
        <v>0</v>
      </c>
      <c r="M26" s="36">
        <f>K26+L26</f>
        <v>0</v>
      </c>
      <c r="N26" s="108">
        <f>'loan&amp;int'!C83</f>
        <v>0</v>
      </c>
      <c r="O26" s="108">
        <f>'loan&amp;int'!C86</f>
        <v>0</v>
      </c>
      <c r="P26" s="108">
        <f>'loan&amp;int'!C89</f>
        <v>0</v>
      </c>
      <c r="Q26" s="108"/>
      <c r="R26" s="23"/>
      <c r="S26" s="23"/>
    </row>
    <row r="27" spans="1:19" ht="13" hidden="1">
      <c r="A27" s="23"/>
      <c r="B27" s="66"/>
      <c r="C27" s="66"/>
      <c r="D27" s="23"/>
      <c r="E27" s="23"/>
      <c r="F27" s="36"/>
      <c r="G27" s="23"/>
      <c r="H27" s="95"/>
      <c r="I27" s="23"/>
      <c r="J27" s="36"/>
      <c r="K27" s="36"/>
      <c r="L27" s="36"/>
      <c r="M27" s="36"/>
      <c r="N27" s="37" t="s">
        <v>1034</v>
      </c>
      <c r="O27" s="108"/>
      <c r="P27" s="153">
        <f>P26+P25</f>
        <v>0</v>
      </c>
      <c r="Q27" s="108"/>
      <c r="R27" s="23"/>
      <c r="S27" s="23"/>
    </row>
    <row r="28" spans="1:19" hidden="1">
      <c r="A28" s="23" t="s">
        <v>1053</v>
      </c>
      <c r="B28" s="66"/>
      <c r="C28" s="66"/>
      <c r="D28" s="23"/>
      <c r="E28" s="23"/>
      <c r="F28" s="36"/>
      <c r="G28" s="23"/>
      <c r="H28" s="221">
        <f>'loan&amp;int'!B71</f>
        <v>0</v>
      </c>
      <c r="I28" s="23" t="s">
        <v>1051</v>
      </c>
      <c r="J28" s="23" t="s">
        <v>1052</v>
      </c>
      <c r="K28" s="36">
        <f>'loan&amp;int'!B74</f>
        <v>0</v>
      </c>
      <c r="L28" s="36">
        <f>'loan&amp;int'!C74</f>
        <v>0</v>
      </c>
      <c r="M28" s="36">
        <f>K28+L28</f>
        <v>0</v>
      </c>
      <c r="N28" s="108">
        <f>'loan&amp;int'!C72</f>
        <v>0</v>
      </c>
      <c r="O28" s="108">
        <f>'loan&amp;int'!C75</f>
        <v>0</v>
      </c>
      <c r="P28" s="108">
        <f>'loan&amp;int'!C77</f>
        <v>0</v>
      </c>
      <c r="Q28" s="108"/>
      <c r="R28" s="23"/>
      <c r="S28" s="23"/>
    </row>
    <row r="29" spans="1:19" hidden="1">
      <c r="A29" s="23"/>
      <c r="B29" s="66"/>
      <c r="C29" s="350" t="s">
        <v>1046</v>
      </c>
      <c r="D29" s="23"/>
      <c r="E29" s="23"/>
      <c r="F29" s="36">
        <f>'loan&amp;int'!C73</f>
        <v>0</v>
      </c>
      <c r="G29" s="23"/>
      <c r="H29" s="221">
        <f>'loan&amp;int'!B71</f>
        <v>0</v>
      </c>
      <c r="I29" s="23"/>
      <c r="J29" s="36"/>
      <c r="K29" s="36">
        <v>0</v>
      </c>
      <c r="L29" s="36">
        <v>0</v>
      </c>
      <c r="M29" s="36">
        <f>K29+L29</f>
        <v>0</v>
      </c>
      <c r="N29" s="108">
        <f>'loan&amp;int'!C72</f>
        <v>0</v>
      </c>
      <c r="O29" s="108">
        <f>'loan&amp;int'!C75</f>
        <v>0</v>
      </c>
      <c r="P29" s="108">
        <f>'loan&amp;int'!C78</f>
        <v>0</v>
      </c>
      <c r="Q29" s="108"/>
      <c r="R29" s="23"/>
      <c r="S29" s="23"/>
    </row>
    <row r="30" spans="1:19" ht="13" hidden="1">
      <c r="A30" s="23"/>
      <c r="B30" s="66"/>
      <c r="C30" s="66"/>
      <c r="D30" s="23"/>
      <c r="E30" s="23"/>
      <c r="F30" s="36"/>
      <c r="G30" s="23"/>
      <c r="H30" s="95"/>
      <c r="I30" s="23"/>
      <c r="J30" s="36"/>
      <c r="K30" s="36"/>
      <c r="L30" s="36"/>
      <c r="M30" s="36"/>
      <c r="N30" s="37" t="s">
        <v>1034</v>
      </c>
      <c r="O30" s="108"/>
      <c r="P30" s="153">
        <f>P29+P28</f>
        <v>0</v>
      </c>
      <c r="Q30" s="108"/>
      <c r="R30" s="23"/>
      <c r="S30" s="23"/>
    </row>
    <row r="31" spans="1:19" ht="25">
      <c r="A31" s="350" t="s">
        <v>2204</v>
      </c>
      <c r="B31" s="23"/>
      <c r="C31" s="350" t="s">
        <v>1063</v>
      </c>
      <c r="D31" s="23"/>
      <c r="E31" s="23"/>
      <c r="F31" s="108">
        <f>'loan&amp;int'!C95</f>
        <v>0</v>
      </c>
      <c r="G31" s="23"/>
      <c r="H31" s="221">
        <v>0.1055</v>
      </c>
      <c r="I31" s="23"/>
      <c r="J31" s="36"/>
      <c r="K31" s="36"/>
      <c r="L31" s="36"/>
      <c r="M31" s="36"/>
      <c r="N31" s="108"/>
      <c r="O31" s="108">
        <f>'loan&amp;int'!F97</f>
        <v>15571.372555150083</v>
      </c>
      <c r="P31" s="108">
        <f>'loan&amp;int'!F101</f>
        <v>5557.1372555150083</v>
      </c>
      <c r="Q31" s="108"/>
      <c r="R31" s="23"/>
      <c r="S31" s="23"/>
    </row>
    <row r="32" spans="1:19" ht="13.5" thickBot="1">
      <c r="A32" s="23"/>
      <c r="B32" s="23"/>
      <c r="C32" s="23"/>
      <c r="D32" s="23"/>
      <c r="E32" s="23"/>
      <c r="F32" s="23"/>
      <c r="G32" s="23"/>
      <c r="H32" s="95"/>
      <c r="I32" s="23"/>
      <c r="J32" s="36"/>
      <c r="K32" s="36"/>
      <c r="L32" s="37" t="s">
        <v>1054</v>
      </c>
      <c r="M32" s="36"/>
      <c r="N32" s="99">
        <f>N22+N19+N16+N24+N26+N29+N11+N31</f>
        <v>22379.36249</v>
      </c>
      <c r="O32" s="99">
        <f>O22+O19+O16+O24+O26+O29+O11+O31</f>
        <v>51236.92629815008</v>
      </c>
      <c r="P32" s="99">
        <f>P30+P19+P17+P13+P23+P24+P27+P31</f>
        <v>5840.4705888483413</v>
      </c>
      <c r="Q32" s="99">
        <f>Q30+Q19+Q17+Q13+Q24+Q31</f>
        <v>0</v>
      </c>
      <c r="R32" s="23"/>
      <c r="S32" s="23"/>
    </row>
    <row r="33" spans="1:19" ht="13" thickTop="1">
      <c r="A33" s="23"/>
      <c r="B33" s="23"/>
      <c r="C33" s="23"/>
      <c r="D33" s="23"/>
      <c r="E33" s="23"/>
      <c r="F33" s="23"/>
      <c r="G33" s="23"/>
      <c r="H33" s="95"/>
      <c r="I33" s="23"/>
      <c r="J33" s="36"/>
      <c r="K33" s="36"/>
      <c r="L33" s="36"/>
      <c r="M33" s="36"/>
      <c r="N33" s="100"/>
      <c r="O33" s="100"/>
      <c r="P33" s="100"/>
      <c r="Q33" s="100"/>
      <c r="R33" s="23"/>
      <c r="S33" s="23"/>
    </row>
    <row r="34" spans="1:19">
      <c r="A34" t="s">
        <v>1055</v>
      </c>
      <c r="N34" s="7"/>
      <c r="P34" s="7"/>
    </row>
    <row r="35" spans="1:19" ht="18.75" customHeight="1">
      <c r="A35" s="20" t="s">
        <v>104</v>
      </c>
    </row>
    <row r="36" spans="1:19" ht="20">
      <c r="A36" s="119" t="s">
        <v>2193</v>
      </c>
      <c r="F36" s="7"/>
      <c r="H36" s="104"/>
      <c r="J36" s="7"/>
      <c r="K36" s="7"/>
      <c r="L36" s="7"/>
      <c r="M36" s="7"/>
      <c r="N36" s="7"/>
      <c r="O36" s="7"/>
      <c r="P36" s="7"/>
      <c r="Q36" s="101" t="s">
        <v>0</v>
      </c>
      <c r="R36" s="2" t="s">
        <v>1005</v>
      </c>
    </row>
    <row r="37" spans="1:19" ht="13">
      <c r="A37" s="65" t="s">
        <v>1006</v>
      </c>
      <c r="B37" s="65"/>
      <c r="C37" s="65"/>
      <c r="D37" s="65"/>
      <c r="E37" s="26"/>
      <c r="F37" s="102"/>
      <c r="G37" s="26"/>
      <c r="H37" s="105"/>
      <c r="I37" s="26"/>
      <c r="J37" s="102"/>
      <c r="K37" s="102"/>
      <c r="L37" s="102"/>
      <c r="M37" s="102"/>
      <c r="N37" s="102"/>
      <c r="O37" s="102"/>
      <c r="P37" s="102"/>
      <c r="Q37" s="102"/>
      <c r="R37" s="26"/>
      <c r="S37" s="26"/>
    </row>
    <row r="38" spans="1:19" ht="13">
      <c r="F38" s="7"/>
      <c r="H38" s="104"/>
      <c r="J38" s="7"/>
      <c r="K38" s="7"/>
      <c r="L38" s="7"/>
      <c r="M38" s="7"/>
      <c r="N38" s="7"/>
      <c r="O38" s="7"/>
      <c r="P38" s="7"/>
      <c r="Q38" s="7"/>
      <c r="R38" s="2" t="s">
        <v>912</v>
      </c>
    </row>
    <row r="39" spans="1:19" ht="13">
      <c r="A39" s="65"/>
      <c r="B39" s="26"/>
      <c r="C39" s="308" t="s">
        <v>1007</v>
      </c>
      <c r="D39" s="67"/>
      <c r="E39" s="67"/>
      <c r="F39" s="103"/>
      <c r="G39" s="67"/>
      <c r="H39" s="106"/>
      <c r="I39" s="67"/>
      <c r="J39" s="103"/>
      <c r="K39" s="107" t="s">
        <v>1008</v>
      </c>
      <c r="L39" s="103"/>
      <c r="M39" s="103"/>
      <c r="N39" s="107" t="s">
        <v>1009</v>
      </c>
      <c r="O39" s="103"/>
      <c r="P39" s="107" t="s">
        <v>1010</v>
      </c>
      <c r="Q39" s="103"/>
      <c r="R39" s="67"/>
      <c r="S39" s="67"/>
    </row>
    <row r="40" spans="1:19" ht="52.5">
      <c r="A40" s="586" t="s">
        <v>1011</v>
      </c>
      <c r="B40" s="586" t="s">
        <v>1012</v>
      </c>
      <c r="C40" s="586" t="s">
        <v>1013</v>
      </c>
      <c r="D40" s="586" t="s">
        <v>1014</v>
      </c>
      <c r="E40" s="586" t="s">
        <v>1015</v>
      </c>
      <c r="F40" s="1234" t="s">
        <v>1016</v>
      </c>
      <c r="G40" s="586" t="s">
        <v>1017</v>
      </c>
      <c r="H40" s="1235" t="s">
        <v>1018</v>
      </c>
      <c r="I40" s="586" t="s">
        <v>1019</v>
      </c>
      <c r="J40" s="1234" t="s">
        <v>1020</v>
      </c>
      <c r="K40" s="1234" t="s">
        <v>1021</v>
      </c>
      <c r="L40" s="1234" t="s">
        <v>1022</v>
      </c>
      <c r="M40" s="1234" t="s">
        <v>1023</v>
      </c>
      <c r="N40" s="1234" t="s">
        <v>1024</v>
      </c>
      <c r="O40" s="1234" t="s">
        <v>2359</v>
      </c>
      <c r="P40" s="1234" t="s">
        <v>683</v>
      </c>
      <c r="Q40" s="1234" t="s">
        <v>1025</v>
      </c>
      <c r="R40" s="586" t="s">
        <v>1026</v>
      </c>
      <c r="S40" s="586" t="s">
        <v>1027</v>
      </c>
    </row>
    <row r="41" spans="1:19">
      <c r="A41" s="23"/>
      <c r="B41" s="23"/>
      <c r="C41" s="23"/>
      <c r="D41" s="23"/>
      <c r="E41" s="23"/>
      <c r="F41" s="36"/>
      <c r="G41" s="23"/>
      <c r="H41" s="95"/>
      <c r="I41" s="23"/>
      <c r="J41" s="36"/>
      <c r="K41" s="36"/>
      <c r="L41" s="36"/>
      <c r="M41" s="36"/>
      <c r="N41" s="36"/>
      <c r="O41" s="36"/>
      <c r="P41" s="36"/>
      <c r="Q41" s="36"/>
      <c r="R41" s="23"/>
      <c r="S41" s="23"/>
    </row>
    <row r="42" spans="1:19">
      <c r="A42" s="23"/>
      <c r="B42" s="23"/>
      <c r="C42" s="23"/>
      <c r="D42" s="23"/>
      <c r="E42" s="23"/>
      <c r="F42" s="36"/>
      <c r="G42" s="23"/>
      <c r="H42" s="95"/>
      <c r="I42" s="23"/>
      <c r="J42" s="36"/>
      <c r="K42" s="36"/>
      <c r="L42" s="36"/>
      <c r="M42" s="36"/>
      <c r="N42" s="36"/>
      <c r="O42" s="36"/>
      <c r="P42" s="36"/>
      <c r="Q42" s="36"/>
      <c r="R42" s="23"/>
      <c r="S42" s="23"/>
    </row>
    <row r="43" spans="1:19" ht="37.5" hidden="1">
      <c r="A43" s="23" t="s">
        <v>581</v>
      </c>
      <c r="B43" s="66" t="s">
        <v>1028</v>
      </c>
      <c r="C43" s="66" t="s">
        <v>1029</v>
      </c>
      <c r="D43" s="23"/>
      <c r="E43" s="23" t="s">
        <v>1030</v>
      </c>
      <c r="F43" s="36"/>
      <c r="G43" s="23" t="s">
        <v>1030</v>
      </c>
      <c r="H43" s="221">
        <v>0</v>
      </c>
      <c r="I43" s="23" t="s">
        <v>1031</v>
      </c>
      <c r="J43" s="36">
        <v>0</v>
      </c>
      <c r="K43" s="36"/>
      <c r="L43" s="36"/>
      <c r="M43" s="36"/>
      <c r="N43" s="36"/>
      <c r="O43" s="36"/>
      <c r="P43" s="7"/>
      <c r="Q43" s="7"/>
      <c r="R43" s="23"/>
      <c r="S43" s="23"/>
    </row>
    <row r="44" spans="1:19" hidden="1">
      <c r="A44" s="23"/>
      <c r="B44" s="23"/>
      <c r="C44" s="23"/>
      <c r="D44" s="23"/>
      <c r="E44" s="23"/>
      <c r="F44" s="36"/>
      <c r="G44" s="23"/>
      <c r="H44" s="221"/>
      <c r="I44" s="23"/>
      <c r="J44" s="36"/>
      <c r="K44" s="36"/>
      <c r="L44" s="36"/>
      <c r="M44" s="36"/>
      <c r="N44" s="36"/>
      <c r="O44" s="36"/>
      <c r="P44" s="36"/>
      <c r="Q44" s="36"/>
      <c r="R44" s="23"/>
      <c r="S44" s="23"/>
    </row>
    <row r="45" spans="1:19" hidden="1">
      <c r="A45" s="23"/>
      <c r="B45" s="23"/>
      <c r="C45" s="66" t="s">
        <v>1056</v>
      </c>
      <c r="D45" s="36"/>
      <c r="E45" s="23"/>
      <c r="F45" s="36"/>
      <c r="G45" s="23"/>
      <c r="H45" s="221">
        <f>H43</f>
        <v>0</v>
      </c>
      <c r="I45" s="23"/>
      <c r="J45" s="36"/>
      <c r="K45" s="36">
        <f>M11</f>
        <v>0</v>
      </c>
      <c r="L45" s="36">
        <f>'loan&amp;int'!D9</f>
        <v>0</v>
      </c>
      <c r="M45" s="36">
        <f>K45+L45</f>
        <v>0</v>
      </c>
      <c r="N45" s="36">
        <f>'loan&amp;int'!D7</f>
        <v>0</v>
      </c>
      <c r="O45" s="36">
        <f>'loan&amp;int'!D10</f>
        <v>0</v>
      </c>
      <c r="P45" s="36">
        <v>0</v>
      </c>
      <c r="Q45" s="36">
        <v>0</v>
      </c>
      <c r="R45" s="23"/>
      <c r="S45" s="23"/>
    </row>
    <row r="46" spans="1:19" hidden="1">
      <c r="A46" s="23"/>
      <c r="B46" s="23"/>
      <c r="C46" s="23"/>
      <c r="D46" s="23"/>
      <c r="E46" s="23"/>
      <c r="F46" s="36"/>
      <c r="G46" s="23"/>
      <c r="H46" s="221"/>
      <c r="I46" s="23"/>
      <c r="J46" s="36"/>
      <c r="K46" s="36"/>
      <c r="L46" s="36"/>
      <c r="M46" s="36"/>
      <c r="N46" s="36" t="s">
        <v>1034</v>
      </c>
      <c r="O46" s="36"/>
      <c r="P46" s="36">
        <f>SUM(P45:P45)</f>
        <v>0</v>
      </c>
      <c r="Q46" s="36">
        <f>SUM(Q45:Q45)</f>
        <v>0</v>
      </c>
      <c r="R46" s="23"/>
      <c r="S46" s="23"/>
    </row>
    <row r="47" spans="1:19" ht="50" hidden="1">
      <c r="A47" s="66" t="s">
        <v>1057</v>
      </c>
      <c r="B47" s="170" t="s">
        <v>1028</v>
      </c>
      <c r="C47" s="66" t="s">
        <v>1036</v>
      </c>
      <c r="D47" s="36"/>
      <c r="E47" s="23" t="s">
        <v>1030</v>
      </c>
      <c r="F47" s="36">
        <v>0</v>
      </c>
      <c r="G47" s="23" t="s">
        <v>1030</v>
      </c>
      <c r="H47" s="221">
        <v>0.13</v>
      </c>
      <c r="I47" s="23" t="s">
        <v>1058</v>
      </c>
      <c r="J47" s="36" t="s">
        <v>1059</v>
      </c>
      <c r="K47" s="36">
        <v>0</v>
      </c>
      <c r="L47" s="36"/>
      <c r="M47" s="36"/>
      <c r="N47" s="7"/>
      <c r="O47" s="36"/>
      <c r="P47" s="36">
        <f>'loan&amp;int'!D43</f>
        <v>0</v>
      </c>
      <c r="Q47" s="36"/>
      <c r="R47" s="23"/>
      <c r="S47" s="23"/>
    </row>
    <row r="48" spans="1:19" ht="13" hidden="1">
      <c r="A48" s="23"/>
      <c r="B48" s="23"/>
      <c r="C48" s="350" t="s">
        <v>1039</v>
      </c>
      <c r="D48" s="23"/>
      <c r="E48" s="23"/>
      <c r="F48" s="36">
        <f>'loan&amp;int'!D39</f>
        <v>0</v>
      </c>
      <c r="G48" s="23"/>
      <c r="H48" s="221"/>
      <c r="I48" s="23"/>
      <c r="J48" s="36"/>
      <c r="K48" s="36">
        <v>0</v>
      </c>
      <c r="L48" s="36">
        <f>'loan&amp;int'!D40</f>
        <v>0</v>
      </c>
      <c r="M48" s="36">
        <f>L48</f>
        <v>0</v>
      </c>
      <c r="N48" s="36">
        <f>'loan&amp;int'!D38</f>
        <v>0</v>
      </c>
      <c r="O48" s="37">
        <f>N48-M48</f>
        <v>0</v>
      </c>
      <c r="P48" s="37">
        <f>'loan&amp;int'!D44</f>
        <v>0</v>
      </c>
      <c r="Q48" s="37">
        <v>0</v>
      </c>
      <c r="R48" s="23"/>
      <c r="S48" s="23"/>
    </row>
    <row r="49" spans="1:19" ht="13" hidden="1">
      <c r="A49" s="23"/>
      <c r="B49" s="23"/>
      <c r="C49" s="23"/>
      <c r="D49" s="23"/>
      <c r="E49" s="23"/>
      <c r="F49" s="36"/>
      <c r="G49" s="23"/>
      <c r="H49" s="221"/>
      <c r="I49" s="23"/>
      <c r="J49" s="36"/>
      <c r="K49" s="36"/>
      <c r="L49" s="36"/>
      <c r="M49" s="36"/>
      <c r="N49" s="36" t="s">
        <v>1034</v>
      </c>
      <c r="O49" s="36"/>
      <c r="P49" s="37">
        <f>SUM(P47:P48)</f>
        <v>0</v>
      </c>
      <c r="Q49" s="37">
        <f>SUM(Q47:Q48)</f>
        <v>0</v>
      </c>
      <c r="R49" s="23"/>
      <c r="S49" s="23"/>
    </row>
    <row r="50" spans="1:19">
      <c r="A50" s="23"/>
      <c r="B50" s="23"/>
      <c r="C50" s="23"/>
      <c r="D50" s="23"/>
      <c r="E50" s="23"/>
      <c r="F50" s="36"/>
      <c r="G50" s="23"/>
      <c r="H50" s="221"/>
      <c r="I50" s="23"/>
      <c r="J50" s="36"/>
      <c r="K50" s="36"/>
      <c r="L50" s="36"/>
      <c r="M50" s="36"/>
      <c r="N50" s="36"/>
      <c r="O50" s="36"/>
      <c r="P50" s="36"/>
      <c r="Q50" s="36"/>
      <c r="R50" s="23"/>
      <c r="S50" s="23"/>
    </row>
    <row r="51" spans="1:19">
      <c r="A51" s="343" t="s">
        <v>1060</v>
      </c>
      <c r="B51" s="66"/>
      <c r="C51" s="23" t="s">
        <v>1040</v>
      </c>
      <c r="D51" s="23"/>
      <c r="E51" s="23"/>
      <c r="F51" s="36"/>
      <c r="G51" s="23"/>
      <c r="H51" s="221">
        <v>0.11700000000000001</v>
      </c>
      <c r="I51" s="23">
        <v>10</v>
      </c>
      <c r="J51" s="243" t="s">
        <v>1042</v>
      </c>
      <c r="K51" s="36">
        <f>K19+L19</f>
        <v>6713.808747</v>
      </c>
      <c r="L51" s="36">
        <f>'loan&amp;int'!G51</f>
        <v>10699.666122899998</v>
      </c>
      <c r="M51" s="36">
        <f>L51+K51</f>
        <v>17413.474869899997</v>
      </c>
      <c r="N51" s="36">
        <f>'loan&amp;int'!G49</f>
        <v>35665.553742999997</v>
      </c>
      <c r="O51" s="36">
        <f>'loan&amp;int'!G52</f>
        <v>59965.887620099995</v>
      </c>
      <c r="P51" s="36">
        <f>'loan&amp;int'!G54+'loan&amp;int'!G57</f>
        <v>3156.4015062554995</v>
      </c>
      <c r="Q51" s="36">
        <v>0</v>
      </c>
      <c r="R51" s="23"/>
      <c r="S51" s="23"/>
    </row>
    <row r="52" spans="1:19">
      <c r="A52" s="23"/>
      <c r="B52" s="23"/>
      <c r="C52" s="66"/>
      <c r="D52" s="23"/>
      <c r="E52" s="23"/>
      <c r="F52" s="36"/>
      <c r="G52" s="23"/>
      <c r="H52" s="221"/>
      <c r="I52" s="23"/>
      <c r="J52" s="36"/>
      <c r="K52" s="36"/>
      <c r="L52" s="36"/>
      <c r="M52" s="36"/>
      <c r="N52" s="36"/>
      <c r="O52" s="36"/>
      <c r="P52" s="36"/>
      <c r="Q52" s="36"/>
      <c r="R52" s="23"/>
      <c r="S52" s="23"/>
    </row>
    <row r="53" spans="1:19" hidden="1">
      <c r="A53" s="23"/>
      <c r="B53" s="23"/>
      <c r="C53" s="66"/>
      <c r="D53" s="23"/>
      <c r="E53" s="23"/>
      <c r="F53" s="36"/>
      <c r="G53" s="23"/>
      <c r="H53" s="221"/>
      <c r="I53" s="23"/>
      <c r="J53" s="36"/>
      <c r="K53" s="36"/>
      <c r="L53" s="36"/>
      <c r="M53" s="36"/>
      <c r="N53" s="108"/>
      <c r="O53" s="108"/>
      <c r="P53" s="108"/>
      <c r="Q53" s="108"/>
      <c r="R53" s="23"/>
      <c r="S53" s="23"/>
    </row>
    <row r="54" spans="1:19" ht="30.5" hidden="1">
      <c r="A54" s="23" t="s">
        <v>1061</v>
      </c>
      <c r="B54" s="170" t="s">
        <v>1028</v>
      </c>
      <c r="C54" s="66"/>
      <c r="D54" s="23"/>
      <c r="E54" s="23"/>
      <c r="G54" s="23"/>
      <c r="H54" s="221">
        <f>'loan&amp;int'!B60</f>
        <v>0</v>
      </c>
      <c r="I54" s="23" t="s">
        <v>1044</v>
      </c>
      <c r="J54" s="23" t="s">
        <v>1045</v>
      </c>
      <c r="K54" s="36">
        <v>0</v>
      </c>
      <c r="L54" s="36">
        <v>0</v>
      </c>
      <c r="M54" s="36">
        <v>0</v>
      </c>
      <c r="N54" s="108">
        <f>'loan&amp;int'!D61</f>
        <v>0</v>
      </c>
      <c r="O54" s="108">
        <f>'loan&amp;int'!D64</f>
        <v>0</v>
      </c>
      <c r="P54" s="108">
        <f>'loan&amp;int'!D66</f>
        <v>0</v>
      </c>
      <c r="Q54" s="108">
        <v>0</v>
      </c>
      <c r="R54" s="23"/>
      <c r="S54" s="23"/>
    </row>
    <row r="55" spans="1:19" hidden="1">
      <c r="A55" s="23"/>
      <c r="B55" s="66"/>
      <c r="C55" s="350" t="s">
        <v>1039</v>
      </c>
      <c r="D55" s="23"/>
      <c r="E55" s="23"/>
      <c r="F55" s="36">
        <f>'loan&amp;int'!D62</f>
        <v>0</v>
      </c>
      <c r="G55" s="23"/>
      <c r="H55" s="221">
        <f>H54</f>
        <v>0</v>
      </c>
      <c r="I55" s="23"/>
      <c r="J55" s="36"/>
      <c r="K55" s="36">
        <v>0</v>
      </c>
      <c r="L55" s="36">
        <v>0</v>
      </c>
      <c r="M55" s="36">
        <v>0</v>
      </c>
      <c r="N55" s="108">
        <f>'loan&amp;int'!D61</f>
        <v>0</v>
      </c>
      <c r="O55" s="108">
        <f>'loan&amp;int'!D64</f>
        <v>0</v>
      </c>
      <c r="P55" s="108">
        <f>'loan&amp;int'!D67</f>
        <v>0</v>
      </c>
      <c r="Q55" s="108"/>
      <c r="R55" s="23"/>
      <c r="S55" s="23"/>
    </row>
    <row r="56" spans="1:19" ht="13" hidden="1">
      <c r="A56" s="23"/>
      <c r="B56" s="66"/>
      <c r="C56" s="66"/>
      <c r="D56" s="23"/>
      <c r="E56" s="23"/>
      <c r="F56" s="36"/>
      <c r="G56" s="23"/>
      <c r="H56" s="221"/>
      <c r="I56" s="23"/>
      <c r="J56" s="36"/>
      <c r="K56" s="36"/>
      <c r="L56" s="36"/>
      <c r="M56" s="36"/>
      <c r="N56" s="37" t="s">
        <v>1034</v>
      </c>
      <c r="O56" s="108"/>
      <c r="P56" s="153">
        <f>P55+P54</f>
        <v>0</v>
      </c>
      <c r="Q56" s="108"/>
      <c r="R56" s="23"/>
      <c r="S56" s="23"/>
    </row>
    <row r="57" spans="1:19" ht="37.5" hidden="1">
      <c r="A57" s="23" t="s">
        <v>1047</v>
      </c>
      <c r="B57" s="66" t="s">
        <v>1028</v>
      </c>
      <c r="C57" s="350" t="s">
        <v>1039</v>
      </c>
      <c r="D57" s="23"/>
      <c r="E57" s="23"/>
      <c r="F57" s="36">
        <f>'loan&amp;int'!D18+'loan&amp;int'!D29</f>
        <v>0</v>
      </c>
      <c r="G57" s="23"/>
      <c r="H57" s="221" t="s">
        <v>1048</v>
      </c>
      <c r="I57" s="23" t="s">
        <v>1049</v>
      </c>
      <c r="J57" s="23" t="s">
        <v>1045</v>
      </c>
      <c r="K57" s="36">
        <v>0</v>
      </c>
      <c r="L57" s="36">
        <v>0</v>
      </c>
      <c r="M57" s="36">
        <v>0</v>
      </c>
      <c r="N57" s="441">
        <f>'loan&amp;int'!D17+'loan&amp;int'!D28</f>
        <v>0</v>
      </c>
      <c r="O57" s="108">
        <f>'loan&amp;int'!D20+'loan&amp;int'!D31</f>
        <v>0</v>
      </c>
      <c r="P57" s="441">
        <f>'loan&amp;int'!D24+'loan&amp;int'!D35</f>
        <v>0</v>
      </c>
      <c r="Q57" s="108">
        <v>0</v>
      </c>
      <c r="R57" s="23"/>
      <c r="S57" s="23"/>
    </row>
    <row r="58" spans="1:19" hidden="1">
      <c r="A58" s="23" t="s">
        <v>1050</v>
      </c>
      <c r="B58" s="66"/>
      <c r="C58" s="66"/>
      <c r="D58" s="23"/>
      <c r="E58" s="23"/>
      <c r="F58" s="36"/>
      <c r="G58" s="23"/>
      <c r="H58" s="221">
        <f>'loan&amp;int'!B82</f>
        <v>0</v>
      </c>
      <c r="I58" s="23" t="s">
        <v>1051</v>
      </c>
      <c r="J58" s="23" t="s">
        <v>1052</v>
      </c>
      <c r="K58" s="36">
        <f>M25</f>
        <v>0</v>
      </c>
      <c r="L58" s="36">
        <f>'loan&amp;int'!D85</f>
        <v>0</v>
      </c>
      <c r="M58" s="36">
        <f>L58+K58</f>
        <v>0</v>
      </c>
      <c r="N58" s="108">
        <f>'loan&amp;int'!D83</f>
        <v>0</v>
      </c>
      <c r="O58" s="108">
        <f>'loan&amp;int'!D86</f>
        <v>0</v>
      </c>
      <c r="P58" s="108">
        <f>'loan&amp;int'!D89</f>
        <v>0</v>
      </c>
      <c r="Q58" s="108"/>
      <c r="R58" s="23"/>
      <c r="S58" s="23"/>
    </row>
    <row r="59" spans="1:19" hidden="1">
      <c r="A59" s="23"/>
      <c r="B59" s="66"/>
      <c r="C59" s="350" t="s">
        <v>1039</v>
      </c>
      <c r="D59" s="23"/>
      <c r="E59" s="23"/>
      <c r="F59" s="36">
        <f>'loan&amp;int'!D70</f>
        <v>0</v>
      </c>
      <c r="G59" s="23"/>
      <c r="H59" s="221">
        <f>'loan&amp;int'!B82</f>
        <v>0</v>
      </c>
      <c r="I59" s="23"/>
      <c r="J59" s="36"/>
      <c r="K59" s="36">
        <v>0</v>
      </c>
      <c r="L59" s="36">
        <v>0</v>
      </c>
      <c r="M59" s="36">
        <v>0</v>
      </c>
      <c r="N59" s="108">
        <f>'loan&amp;int'!D83</f>
        <v>0</v>
      </c>
      <c r="O59" s="108">
        <f>'loan&amp;int'!D86</f>
        <v>0</v>
      </c>
      <c r="P59" s="108">
        <f>'loan&amp;int'!D89</f>
        <v>0</v>
      </c>
      <c r="Q59" s="108"/>
      <c r="R59" s="23"/>
      <c r="S59" s="23"/>
    </row>
    <row r="60" spans="1:19" ht="13" hidden="1">
      <c r="A60" s="23"/>
      <c r="B60" s="66"/>
      <c r="C60" s="66"/>
      <c r="D60" s="23"/>
      <c r="E60" s="23"/>
      <c r="F60" s="36"/>
      <c r="G60" s="23"/>
      <c r="H60" s="95"/>
      <c r="I60" s="23"/>
      <c r="J60" s="36"/>
      <c r="K60" s="36"/>
      <c r="L60" s="36"/>
      <c r="M60" s="36"/>
      <c r="N60" s="37" t="s">
        <v>1034</v>
      </c>
      <c r="O60" s="108"/>
      <c r="P60" s="153">
        <f>P59+P58</f>
        <v>0</v>
      </c>
      <c r="Q60" s="153">
        <f>SUM(Q51:Q59)</f>
        <v>0</v>
      </c>
      <c r="R60" s="23"/>
      <c r="S60" s="23"/>
    </row>
    <row r="61" spans="1:19" hidden="1">
      <c r="A61" s="23" t="s">
        <v>1062</v>
      </c>
      <c r="B61" s="66"/>
      <c r="C61" s="66"/>
      <c r="D61" s="23"/>
      <c r="E61" s="23"/>
      <c r="F61" s="36"/>
      <c r="G61" s="23"/>
      <c r="H61" s="221">
        <f>'loan&amp;int'!B71</f>
        <v>0</v>
      </c>
      <c r="I61" s="23" t="s">
        <v>1051</v>
      </c>
      <c r="J61" s="23" t="s">
        <v>1052</v>
      </c>
      <c r="K61" s="36">
        <f>M28</f>
        <v>0</v>
      </c>
      <c r="L61" s="36">
        <f>'loan&amp;int'!D74</f>
        <v>0</v>
      </c>
      <c r="M61" s="36">
        <f>L61+K61</f>
        <v>0</v>
      </c>
      <c r="N61" s="108">
        <f>'loan&amp;int'!D72</f>
        <v>0</v>
      </c>
      <c r="O61" s="108">
        <f>'loan&amp;int'!D75</f>
        <v>0</v>
      </c>
      <c r="P61" s="108">
        <f>'loan&amp;int'!D77</f>
        <v>0</v>
      </c>
      <c r="Q61" s="108"/>
      <c r="R61" s="23"/>
      <c r="S61" s="23"/>
    </row>
    <row r="62" spans="1:19" hidden="1">
      <c r="A62" s="23"/>
      <c r="B62" s="66"/>
      <c r="C62" s="350" t="s">
        <v>1039</v>
      </c>
      <c r="D62" s="23"/>
      <c r="E62" s="23"/>
      <c r="F62" s="36">
        <f>'loan&amp;int'!D73</f>
        <v>0</v>
      </c>
      <c r="G62" s="23"/>
      <c r="H62" s="221">
        <f>'loan&amp;int'!B71</f>
        <v>0</v>
      </c>
      <c r="I62" s="23"/>
      <c r="J62" s="36"/>
      <c r="K62" s="36">
        <v>0</v>
      </c>
      <c r="L62" s="36">
        <v>0</v>
      </c>
      <c r="M62" s="36">
        <v>0</v>
      </c>
      <c r="N62" s="108">
        <f>'loan&amp;int'!D72</f>
        <v>0</v>
      </c>
      <c r="O62" s="108">
        <f>'loan&amp;int'!D75</f>
        <v>0</v>
      </c>
      <c r="P62" s="108">
        <f>'loan&amp;int'!D78</f>
        <v>0</v>
      </c>
      <c r="Q62" s="108"/>
      <c r="R62" s="23"/>
      <c r="S62" s="23"/>
    </row>
    <row r="63" spans="1:19" ht="13" hidden="1">
      <c r="A63" s="23"/>
      <c r="B63" s="66"/>
      <c r="C63" s="66"/>
      <c r="D63" s="23"/>
      <c r="E63" s="23"/>
      <c r="F63" s="36"/>
      <c r="G63" s="23"/>
      <c r="H63" s="95"/>
      <c r="I63" s="23"/>
      <c r="J63" s="36"/>
      <c r="K63" s="36"/>
      <c r="L63" s="36"/>
      <c r="M63" s="36"/>
      <c r="N63" s="37" t="s">
        <v>1034</v>
      </c>
      <c r="O63" s="108"/>
      <c r="P63" s="153">
        <f>P62+P61</f>
        <v>0</v>
      </c>
      <c r="Q63" s="153">
        <f>SUM(Q54:Q62)</f>
        <v>0</v>
      </c>
      <c r="R63" s="23"/>
      <c r="S63" s="23"/>
    </row>
    <row r="64" spans="1:19" ht="25">
      <c r="A64" s="350" t="s">
        <v>2204</v>
      </c>
      <c r="B64" s="23"/>
      <c r="C64" s="350" t="s">
        <v>2190</v>
      </c>
      <c r="D64" s="23"/>
      <c r="E64" s="23"/>
      <c r="F64" s="108">
        <f>'loan&amp;int'!D95</f>
        <v>0</v>
      </c>
      <c r="G64" s="23"/>
      <c r="H64" s="221">
        <v>0.11700000000000001</v>
      </c>
      <c r="I64" s="23"/>
      <c r="J64" s="36"/>
      <c r="K64" s="36"/>
      <c r="L64" s="36"/>
      <c r="M64" s="36"/>
      <c r="N64" s="108">
        <f>'loan&amp;int'!G94</f>
        <v>47420.240903648541</v>
      </c>
      <c r="O64" s="108">
        <f>'loan&amp;int'!G97</f>
        <v>22991.613458798623</v>
      </c>
      <c r="P64" s="108">
        <f>'loan&amp;int'!G101</f>
        <v>6212.0515583779588</v>
      </c>
      <c r="Q64" s="108"/>
      <c r="R64" s="23"/>
      <c r="S64" s="23"/>
    </row>
    <row r="65" spans="1:19" ht="13.5" thickBot="1">
      <c r="A65" s="23"/>
      <c r="B65" s="23"/>
      <c r="C65" s="23"/>
      <c r="D65" s="23"/>
      <c r="E65" s="23"/>
      <c r="F65" s="23"/>
      <c r="G65" s="23"/>
      <c r="H65" s="95"/>
      <c r="I65" s="23"/>
      <c r="J65" s="36"/>
      <c r="K65" s="36"/>
      <c r="L65" s="37" t="s">
        <v>1054</v>
      </c>
      <c r="M65" s="36"/>
      <c r="N65" s="99">
        <f>N55+N51+N48+N62+N45+N57+N59+N64</f>
        <v>83085.794646648545</v>
      </c>
      <c r="O65" s="99">
        <f>O55+O51+O48+O62+O45+O57+O59+O64</f>
        <v>82957.501078898611</v>
      </c>
      <c r="P65" s="99">
        <f>P63+P51+P49+P46+P56+P57+P60+P64</f>
        <v>9368.4530646334588</v>
      </c>
      <c r="Q65" s="99">
        <f>Q63+Q51+Q49+Q46+Q57+Q64</f>
        <v>0</v>
      </c>
      <c r="R65" s="23"/>
      <c r="S65" s="23"/>
    </row>
    <row r="66" spans="1:19" ht="13" thickTop="1">
      <c r="A66" s="23"/>
      <c r="B66" s="23"/>
      <c r="C66" s="23"/>
      <c r="D66" s="23"/>
      <c r="E66" s="23"/>
      <c r="F66" s="23"/>
      <c r="G66" s="23"/>
      <c r="H66" s="95"/>
      <c r="I66" s="23"/>
      <c r="J66" s="36"/>
      <c r="K66" s="36"/>
      <c r="L66" s="36"/>
      <c r="M66" s="36"/>
      <c r="N66" s="100"/>
      <c r="O66" s="100"/>
      <c r="P66" s="100"/>
      <c r="Q66" s="100"/>
      <c r="R66" s="23"/>
      <c r="S66" s="23"/>
    </row>
    <row r="67" spans="1:19">
      <c r="A67" t="s">
        <v>1055</v>
      </c>
      <c r="P67" s="7"/>
    </row>
  </sheetData>
  <phoneticPr fontId="0" type="noConversion"/>
  <printOptions horizontalCentered="1" verticalCentered="1" gridLines="1"/>
  <pageMargins left="3.937007874015748E-2" right="0" top="0.19685039370078741" bottom="0.19685039370078741" header="0" footer="0"/>
  <pageSetup paperSize="9" scale="72" orientation="landscape" r:id="rId1"/>
  <headerFooter alignWithMargins="0">
    <oddFooter xml:space="preserve">&amp;R&amp;"Arial,Bold"&amp;12OERC FORM-&amp;A&amp;"Arial,Regular"&amp;10
</oddFooter>
  </headerFooter>
  <colBreaks count="1" manualBreakCount="1">
    <brk id="13" max="6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4">
    <pageSetUpPr fitToPage="1"/>
  </sheetPr>
  <dimension ref="A1:I14"/>
  <sheetViews>
    <sheetView showGridLines="0" view="pageBreakPreview" workbookViewId="0">
      <selection activeCell="L17" sqref="L17"/>
    </sheetView>
  </sheetViews>
  <sheetFormatPr defaultRowHeight="12.5"/>
  <cols>
    <col min="2" max="2" width="23" customWidth="1"/>
    <col min="3" max="3" width="18.1796875" customWidth="1"/>
    <col min="4" max="4" width="20.7265625" customWidth="1"/>
    <col min="5" max="5" width="26.54296875" customWidth="1"/>
    <col min="6" max="6" width="20.54296875" customWidth="1"/>
  </cols>
  <sheetData>
    <row r="1" spans="1:9" ht="15.5">
      <c r="A1" s="20" t="s">
        <v>104</v>
      </c>
      <c r="C1" s="347"/>
      <c r="D1" s="347"/>
      <c r="E1" s="109" t="s">
        <v>0</v>
      </c>
      <c r="F1" s="5" t="s">
        <v>1064</v>
      </c>
    </row>
    <row r="2" spans="1:9">
      <c r="C2" s="347"/>
      <c r="D2" s="347"/>
    </row>
    <row r="3" spans="1:9" ht="13">
      <c r="A3" s="65" t="s">
        <v>1065</v>
      </c>
      <c r="B3" s="65"/>
      <c r="C3" s="442"/>
      <c r="D3" s="442"/>
      <c r="E3" s="65"/>
      <c r="F3" s="65"/>
    </row>
    <row r="4" spans="1:9">
      <c r="A4" t="s">
        <v>1066</v>
      </c>
      <c r="C4" s="347"/>
      <c r="D4" s="347"/>
    </row>
    <row r="5" spans="1:9" ht="12.75" customHeight="1">
      <c r="C5" s="347"/>
      <c r="D5" s="347"/>
      <c r="F5" s="2" t="s">
        <v>912</v>
      </c>
    </row>
    <row r="6" spans="1:9" ht="31.5" customHeight="1">
      <c r="A6" s="69" t="s">
        <v>734</v>
      </c>
      <c r="B6" s="70" t="s">
        <v>1067</v>
      </c>
      <c r="C6" s="443" t="s">
        <v>1068</v>
      </c>
      <c r="D6" s="443" t="s">
        <v>1069</v>
      </c>
      <c r="E6" s="70" t="s">
        <v>1070</v>
      </c>
      <c r="F6" s="70" t="s">
        <v>1071</v>
      </c>
      <c r="G6" s="64"/>
      <c r="H6" s="64"/>
      <c r="I6" s="64"/>
    </row>
    <row r="7" spans="1:9" ht="13">
      <c r="A7" s="28"/>
      <c r="B7" s="2104" t="s">
        <v>2265</v>
      </c>
      <c r="C7" s="2105"/>
      <c r="D7" s="2105"/>
      <c r="E7" s="2105"/>
      <c r="F7" s="2106"/>
    </row>
    <row r="8" spans="1:9" ht="13">
      <c r="A8" s="28"/>
      <c r="B8" s="2107"/>
      <c r="C8" s="2108"/>
      <c r="D8" s="2108"/>
      <c r="E8" s="2108"/>
      <c r="F8" s="2109"/>
    </row>
    <row r="9" spans="1:9" ht="13">
      <c r="A9" s="28"/>
      <c r="B9" s="2107"/>
      <c r="C9" s="2108"/>
      <c r="D9" s="2108"/>
      <c r="E9" s="2108"/>
      <c r="F9" s="2109"/>
    </row>
    <row r="10" spans="1:9" ht="13">
      <c r="A10" s="28"/>
      <c r="B10" s="2107"/>
      <c r="C10" s="2108"/>
      <c r="D10" s="2108"/>
      <c r="E10" s="2108"/>
      <c r="F10" s="2109"/>
    </row>
    <row r="11" spans="1:9" ht="13">
      <c r="A11" s="28"/>
      <c r="B11" s="2107"/>
      <c r="C11" s="2108"/>
      <c r="D11" s="2108"/>
      <c r="E11" s="2108"/>
      <c r="F11" s="2109"/>
    </row>
    <row r="12" spans="1:9" ht="13">
      <c r="A12" s="28"/>
      <c r="B12" s="2107"/>
      <c r="C12" s="2108"/>
      <c r="D12" s="2108"/>
      <c r="E12" s="2108"/>
      <c r="F12" s="2109"/>
    </row>
    <row r="13" spans="1:9" ht="13">
      <c r="A13" s="28"/>
      <c r="B13" s="2107"/>
      <c r="C13" s="2108"/>
      <c r="D13" s="2108"/>
      <c r="E13" s="2108"/>
      <c r="F13" s="2109"/>
    </row>
    <row r="14" spans="1:9" ht="13">
      <c r="A14" s="28"/>
      <c r="B14" s="2110"/>
      <c r="C14" s="2111"/>
      <c r="D14" s="2111"/>
      <c r="E14" s="2111"/>
      <c r="F14" s="2112"/>
    </row>
  </sheetData>
  <mergeCells count="1">
    <mergeCell ref="B7:F14"/>
  </mergeCells>
  <phoneticPr fontId="0" type="noConversion"/>
  <printOptions horizontalCentered="1" gridLines="1"/>
  <pageMargins left="0.74803149606299213" right="0.23622047244094491" top="2.0078740157480315" bottom="0.98425196850393704" header="0.51181102362204722" footer="0.51181102362204722"/>
  <pageSetup paperSize="9" orientation="landscape" r:id="rId1"/>
  <headerFooter alignWithMargins="0">
    <oddFooter xml:space="preserve">&amp;R&amp;12OERC FORM-&amp;A&amp;10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750AF-1D6D-4145-A502-14F2BDF67894}">
  <dimension ref="A1:T51"/>
  <sheetViews>
    <sheetView showGridLines="0" view="pageBreakPreview" zoomScale="55" zoomScaleNormal="70" zoomScaleSheetLayoutView="55" workbookViewId="0">
      <selection activeCell="P16" sqref="P16"/>
    </sheetView>
  </sheetViews>
  <sheetFormatPr defaultColWidth="14.7265625" defaultRowHeight="15.5"/>
  <cols>
    <col min="1" max="1" width="6" style="354" customWidth="1"/>
    <col min="2" max="2" width="34" style="381" customWidth="1"/>
    <col min="3" max="3" width="15.26953125" style="359" customWidth="1"/>
    <col min="4" max="4" width="13.7265625" style="359" customWidth="1"/>
    <col min="5" max="6" width="12.54296875" style="359" customWidth="1"/>
    <col min="7" max="8" width="11.54296875" style="359" customWidth="1"/>
    <col min="9" max="9" width="14" style="359" customWidth="1"/>
    <col min="10" max="10" width="12.26953125" style="359" customWidth="1"/>
    <col min="11" max="11" width="12.81640625" style="359" customWidth="1"/>
    <col min="12" max="12" width="12.1796875" style="359" customWidth="1"/>
    <col min="13" max="13" width="12.54296875" style="359" customWidth="1"/>
    <col min="14" max="14" width="10.7265625" style="359" customWidth="1"/>
    <col min="15" max="15" width="16.26953125" style="359" customWidth="1"/>
    <col min="16" max="256" width="14.7265625" style="359"/>
    <col min="257" max="257" width="6" style="359" customWidth="1"/>
    <col min="258" max="258" width="34" style="359" customWidth="1"/>
    <col min="259" max="259" width="15.26953125" style="359" customWidth="1"/>
    <col min="260" max="260" width="13.7265625" style="359" customWidth="1"/>
    <col min="261" max="262" width="12.54296875" style="359" customWidth="1"/>
    <col min="263" max="265" width="11.54296875" style="359" customWidth="1"/>
    <col min="266" max="266" width="12.26953125" style="359" customWidth="1"/>
    <col min="267" max="267" width="12.81640625" style="359" customWidth="1"/>
    <col min="268" max="268" width="12.1796875" style="359" customWidth="1"/>
    <col min="269" max="269" width="12.54296875" style="359" customWidth="1"/>
    <col min="270" max="270" width="10.7265625" style="359" customWidth="1"/>
    <col min="271" max="271" width="16.26953125" style="359" customWidth="1"/>
    <col min="272" max="512" width="14.7265625" style="359"/>
    <col min="513" max="513" width="6" style="359" customWidth="1"/>
    <col min="514" max="514" width="34" style="359" customWidth="1"/>
    <col min="515" max="515" width="15.26953125" style="359" customWidth="1"/>
    <col min="516" max="516" width="13.7265625" style="359" customWidth="1"/>
    <col min="517" max="518" width="12.54296875" style="359" customWidth="1"/>
    <col min="519" max="521" width="11.54296875" style="359" customWidth="1"/>
    <col min="522" max="522" width="12.26953125" style="359" customWidth="1"/>
    <col min="523" max="523" width="12.81640625" style="359" customWidth="1"/>
    <col min="524" max="524" width="12.1796875" style="359" customWidth="1"/>
    <col min="525" max="525" width="12.54296875" style="359" customWidth="1"/>
    <col min="526" max="526" width="10.7265625" style="359" customWidth="1"/>
    <col min="527" max="527" width="16.26953125" style="359" customWidth="1"/>
    <col min="528" max="768" width="14.7265625" style="359"/>
    <col min="769" max="769" width="6" style="359" customWidth="1"/>
    <col min="770" max="770" width="34" style="359" customWidth="1"/>
    <col min="771" max="771" width="15.26953125" style="359" customWidth="1"/>
    <col min="772" max="772" width="13.7265625" style="359" customWidth="1"/>
    <col min="773" max="774" width="12.54296875" style="359" customWidth="1"/>
    <col min="775" max="777" width="11.54296875" style="359" customWidth="1"/>
    <col min="778" max="778" width="12.26953125" style="359" customWidth="1"/>
    <col min="779" max="779" width="12.81640625" style="359" customWidth="1"/>
    <col min="780" max="780" width="12.1796875" style="359" customWidth="1"/>
    <col min="781" max="781" width="12.54296875" style="359" customWidth="1"/>
    <col min="782" max="782" width="10.7265625" style="359" customWidth="1"/>
    <col min="783" max="783" width="16.26953125" style="359" customWidth="1"/>
    <col min="784" max="1024" width="14.7265625" style="359"/>
    <col min="1025" max="1025" width="6" style="359" customWidth="1"/>
    <col min="1026" max="1026" width="34" style="359" customWidth="1"/>
    <col min="1027" max="1027" width="15.26953125" style="359" customWidth="1"/>
    <col min="1028" max="1028" width="13.7265625" style="359" customWidth="1"/>
    <col min="1029" max="1030" width="12.54296875" style="359" customWidth="1"/>
    <col min="1031" max="1033" width="11.54296875" style="359" customWidth="1"/>
    <col min="1034" max="1034" width="12.26953125" style="359" customWidth="1"/>
    <col min="1035" max="1035" width="12.81640625" style="359" customWidth="1"/>
    <col min="1036" max="1036" width="12.1796875" style="359" customWidth="1"/>
    <col min="1037" max="1037" width="12.54296875" style="359" customWidth="1"/>
    <col min="1038" max="1038" width="10.7265625" style="359" customWidth="1"/>
    <col min="1039" max="1039" width="16.26953125" style="359" customWidth="1"/>
    <col min="1040" max="1280" width="14.7265625" style="359"/>
    <col min="1281" max="1281" width="6" style="359" customWidth="1"/>
    <col min="1282" max="1282" width="34" style="359" customWidth="1"/>
    <col min="1283" max="1283" width="15.26953125" style="359" customWidth="1"/>
    <col min="1284" max="1284" width="13.7265625" style="359" customWidth="1"/>
    <col min="1285" max="1286" width="12.54296875" style="359" customWidth="1"/>
    <col min="1287" max="1289" width="11.54296875" style="359" customWidth="1"/>
    <col min="1290" max="1290" width="12.26953125" style="359" customWidth="1"/>
    <col min="1291" max="1291" width="12.81640625" style="359" customWidth="1"/>
    <col min="1292" max="1292" width="12.1796875" style="359" customWidth="1"/>
    <col min="1293" max="1293" width="12.54296875" style="359" customWidth="1"/>
    <col min="1294" max="1294" width="10.7265625" style="359" customWidth="1"/>
    <col min="1295" max="1295" width="16.26953125" style="359" customWidth="1"/>
    <col min="1296" max="1536" width="14.7265625" style="359"/>
    <col min="1537" max="1537" width="6" style="359" customWidth="1"/>
    <col min="1538" max="1538" width="34" style="359" customWidth="1"/>
    <col min="1539" max="1539" width="15.26953125" style="359" customWidth="1"/>
    <col min="1540" max="1540" width="13.7265625" style="359" customWidth="1"/>
    <col min="1541" max="1542" width="12.54296875" style="359" customWidth="1"/>
    <col min="1543" max="1545" width="11.54296875" style="359" customWidth="1"/>
    <col min="1546" max="1546" width="12.26953125" style="359" customWidth="1"/>
    <col min="1547" max="1547" width="12.81640625" style="359" customWidth="1"/>
    <col min="1548" max="1548" width="12.1796875" style="359" customWidth="1"/>
    <col min="1549" max="1549" width="12.54296875" style="359" customWidth="1"/>
    <col min="1550" max="1550" width="10.7265625" style="359" customWidth="1"/>
    <col min="1551" max="1551" width="16.26953125" style="359" customWidth="1"/>
    <col min="1552" max="1792" width="14.7265625" style="359"/>
    <col min="1793" max="1793" width="6" style="359" customWidth="1"/>
    <col min="1794" max="1794" width="34" style="359" customWidth="1"/>
    <col min="1795" max="1795" width="15.26953125" style="359" customWidth="1"/>
    <col min="1796" max="1796" width="13.7265625" style="359" customWidth="1"/>
    <col min="1797" max="1798" width="12.54296875" style="359" customWidth="1"/>
    <col min="1799" max="1801" width="11.54296875" style="359" customWidth="1"/>
    <col min="1802" max="1802" width="12.26953125" style="359" customWidth="1"/>
    <col min="1803" max="1803" width="12.81640625" style="359" customWidth="1"/>
    <col min="1804" max="1804" width="12.1796875" style="359" customWidth="1"/>
    <col min="1805" max="1805" width="12.54296875" style="359" customWidth="1"/>
    <col min="1806" max="1806" width="10.7265625" style="359" customWidth="1"/>
    <col min="1807" max="1807" width="16.26953125" style="359" customWidth="1"/>
    <col min="1808" max="2048" width="14.7265625" style="359"/>
    <col min="2049" max="2049" width="6" style="359" customWidth="1"/>
    <col min="2050" max="2050" width="34" style="359" customWidth="1"/>
    <col min="2051" max="2051" width="15.26953125" style="359" customWidth="1"/>
    <col min="2052" max="2052" width="13.7265625" style="359" customWidth="1"/>
    <col min="2053" max="2054" width="12.54296875" style="359" customWidth="1"/>
    <col min="2055" max="2057" width="11.54296875" style="359" customWidth="1"/>
    <col min="2058" max="2058" width="12.26953125" style="359" customWidth="1"/>
    <col min="2059" max="2059" width="12.81640625" style="359" customWidth="1"/>
    <col min="2060" max="2060" width="12.1796875" style="359" customWidth="1"/>
    <col min="2061" max="2061" width="12.54296875" style="359" customWidth="1"/>
    <col min="2062" max="2062" width="10.7265625" style="359" customWidth="1"/>
    <col min="2063" max="2063" width="16.26953125" style="359" customWidth="1"/>
    <col min="2064" max="2304" width="14.7265625" style="359"/>
    <col min="2305" max="2305" width="6" style="359" customWidth="1"/>
    <col min="2306" max="2306" width="34" style="359" customWidth="1"/>
    <col min="2307" max="2307" width="15.26953125" style="359" customWidth="1"/>
    <col min="2308" max="2308" width="13.7265625" style="359" customWidth="1"/>
    <col min="2309" max="2310" width="12.54296875" style="359" customWidth="1"/>
    <col min="2311" max="2313" width="11.54296875" style="359" customWidth="1"/>
    <col min="2314" max="2314" width="12.26953125" style="359" customWidth="1"/>
    <col min="2315" max="2315" width="12.81640625" style="359" customWidth="1"/>
    <col min="2316" max="2316" width="12.1796875" style="359" customWidth="1"/>
    <col min="2317" max="2317" width="12.54296875" style="359" customWidth="1"/>
    <col min="2318" max="2318" width="10.7265625" style="359" customWidth="1"/>
    <col min="2319" max="2319" width="16.26953125" style="359" customWidth="1"/>
    <col min="2320" max="2560" width="14.7265625" style="359"/>
    <col min="2561" max="2561" width="6" style="359" customWidth="1"/>
    <col min="2562" max="2562" width="34" style="359" customWidth="1"/>
    <col min="2563" max="2563" width="15.26953125" style="359" customWidth="1"/>
    <col min="2564" max="2564" width="13.7265625" style="359" customWidth="1"/>
    <col min="2565" max="2566" width="12.54296875" style="359" customWidth="1"/>
    <col min="2567" max="2569" width="11.54296875" style="359" customWidth="1"/>
    <col min="2570" max="2570" width="12.26953125" style="359" customWidth="1"/>
    <col min="2571" max="2571" width="12.81640625" style="359" customWidth="1"/>
    <col min="2572" max="2572" width="12.1796875" style="359" customWidth="1"/>
    <col min="2573" max="2573" width="12.54296875" style="359" customWidth="1"/>
    <col min="2574" max="2574" width="10.7265625" style="359" customWidth="1"/>
    <col min="2575" max="2575" width="16.26953125" style="359" customWidth="1"/>
    <col min="2576" max="2816" width="14.7265625" style="359"/>
    <col min="2817" max="2817" width="6" style="359" customWidth="1"/>
    <col min="2818" max="2818" width="34" style="359" customWidth="1"/>
    <col min="2819" max="2819" width="15.26953125" style="359" customWidth="1"/>
    <col min="2820" max="2820" width="13.7265625" style="359" customWidth="1"/>
    <col min="2821" max="2822" width="12.54296875" style="359" customWidth="1"/>
    <col min="2823" max="2825" width="11.54296875" style="359" customWidth="1"/>
    <col min="2826" max="2826" width="12.26953125" style="359" customWidth="1"/>
    <col min="2827" max="2827" width="12.81640625" style="359" customWidth="1"/>
    <col min="2828" max="2828" width="12.1796875" style="359" customWidth="1"/>
    <col min="2829" max="2829" width="12.54296875" style="359" customWidth="1"/>
    <col min="2830" max="2830" width="10.7265625" style="359" customWidth="1"/>
    <col min="2831" max="2831" width="16.26953125" style="359" customWidth="1"/>
    <col min="2832" max="3072" width="14.7265625" style="359"/>
    <col min="3073" max="3073" width="6" style="359" customWidth="1"/>
    <col min="3074" max="3074" width="34" style="359" customWidth="1"/>
    <col min="3075" max="3075" width="15.26953125" style="359" customWidth="1"/>
    <col min="3076" max="3076" width="13.7265625" style="359" customWidth="1"/>
    <col min="3077" max="3078" width="12.54296875" style="359" customWidth="1"/>
    <col min="3079" max="3081" width="11.54296875" style="359" customWidth="1"/>
    <col min="3082" max="3082" width="12.26953125" style="359" customWidth="1"/>
    <col min="3083" max="3083" width="12.81640625" style="359" customWidth="1"/>
    <col min="3084" max="3084" width="12.1796875" style="359" customWidth="1"/>
    <col min="3085" max="3085" width="12.54296875" style="359" customWidth="1"/>
    <col min="3086" max="3086" width="10.7265625" style="359" customWidth="1"/>
    <col min="3087" max="3087" width="16.26953125" style="359" customWidth="1"/>
    <col min="3088" max="3328" width="14.7265625" style="359"/>
    <col min="3329" max="3329" width="6" style="359" customWidth="1"/>
    <col min="3330" max="3330" width="34" style="359" customWidth="1"/>
    <col min="3331" max="3331" width="15.26953125" style="359" customWidth="1"/>
    <col min="3332" max="3332" width="13.7265625" style="359" customWidth="1"/>
    <col min="3333" max="3334" width="12.54296875" style="359" customWidth="1"/>
    <col min="3335" max="3337" width="11.54296875" style="359" customWidth="1"/>
    <col min="3338" max="3338" width="12.26953125" style="359" customWidth="1"/>
    <col min="3339" max="3339" width="12.81640625" style="359" customWidth="1"/>
    <col min="3340" max="3340" width="12.1796875" style="359" customWidth="1"/>
    <col min="3341" max="3341" width="12.54296875" style="359" customWidth="1"/>
    <col min="3342" max="3342" width="10.7265625" style="359" customWidth="1"/>
    <col min="3343" max="3343" width="16.26953125" style="359" customWidth="1"/>
    <col min="3344" max="3584" width="14.7265625" style="359"/>
    <col min="3585" max="3585" width="6" style="359" customWidth="1"/>
    <col min="3586" max="3586" width="34" style="359" customWidth="1"/>
    <col min="3587" max="3587" width="15.26953125" style="359" customWidth="1"/>
    <col min="3588" max="3588" width="13.7265625" style="359" customWidth="1"/>
    <col min="3589" max="3590" width="12.54296875" style="359" customWidth="1"/>
    <col min="3591" max="3593" width="11.54296875" style="359" customWidth="1"/>
    <col min="3594" max="3594" width="12.26953125" style="359" customWidth="1"/>
    <col min="3595" max="3595" width="12.81640625" style="359" customWidth="1"/>
    <col min="3596" max="3596" width="12.1796875" style="359" customWidth="1"/>
    <col min="3597" max="3597" width="12.54296875" style="359" customWidth="1"/>
    <col min="3598" max="3598" width="10.7265625" style="359" customWidth="1"/>
    <col min="3599" max="3599" width="16.26953125" style="359" customWidth="1"/>
    <col min="3600" max="3840" width="14.7265625" style="359"/>
    <col min="3841" max="3841" width="6" style="359" customWidth="1"/>
    <col min="3842" max="3842" width="34" style="359" customWidth="1"/>
    <col min="3843" max="3843" width="15.26953125" style="359" customWidth="1"/>
    <col min="3844" max="3844" width="13.7265625" style="359" customWidth="1"/>
    <col min="3845" max="3846" width="12.54296875" style="359" customWidth="1"/>
    <col min="3847" max="3849" width="11.54296875" style="359" customWidth="1"/>
    <col min="3850" max="3850" width="12.26953125" style="359" customWidth="1"/>
    <col min="3851" max="3851" width="12.81640625" style="359" customWidth="1"/>
    <col min="3852" max="3852" width="12.1796875" style="359" customWidth="1"/>
    <col min="3853" max="3853" width="12.54296875" style="359" customWidth="1"/>
    <col min="3854" max="3854" width="10.7265625" style="359" customWidth="1"/>
    <col min="3855" max="3855" width="16.26953125" style="359" customWidth="1"/>
    <col min="3856" max="4096" width="14.7265625" style="359"/>
    <col min="4097" max="4097" width="6" style="359" customWidth="1"/>
    <col min="4098" max="4098" width="34" style="359" customWidth="1"/>
    <col min="4099" max="4099" width="15.26953125" style="359" customWidth="1"/>
    <col min="4100" max="4100" width="13.7265625" style="359" customWidth="1"/>
    <col min="4101" max="4102" width="12.54296875" style="359" customWidth="1"/>
    <col min="4103" max="4105" width="11.54296875" style="359" customWidth="1"/>
    <col min="4106" max="4106" width="12.26953125" style="359" customWidth="1"/>
    <col min="4107" max="4107" width="12.81640625" style="359" customWidth="1"/>
    <col min="4108" max="4108" width="12.1796875" style="359" customWidth="1"/>
    <col min="4109" max="4109" width="12.54296875" style="359" customWidth="1"/>
    <col min="4110" max="4110" width="10.7265625" style="359" customWidth="1"/>
    <col min="4111" max="4111" width="16.26953125" style="359" customWidth="1"/>
    <col min="4112" max="4352" width="14.7265625" style="359"/>
    <col min="4353" max="4353" width="6" style="359" customWidth="1"/>
    <col min="4354" max="4354" width="34" style="359" customWidth="1"/>
    <col min="4355" max="4355" width="15.26953125" style="359" customWidth="1"/>
    <col min="4356" max="4356" width="13.7265625" style="359" customWidth="1"/>
    <col min="4357" max="4358" width="12.54296875" style="359" customWidth="1"/>
    <col min="4359" max="4361" width="11.54296875" style="359" customWidth="1"/>
    <col min="4362" max="4362" width="12.26953125" style="359" customWidth="1"/>
    <col min="4363" max="4363" width="12.81640625" style="359" customWidth="1"/>
    <col min="4364" max="4364" width="12.1796875" style="359" customWidth="1"/>
    <col min="4365" max="4365" width="12.54296875" style="359" customWidth="1"/>
    <col min="4366" max="4366" width="10.7265625" style="359" customWidth="1"/>
    <col min="4367" max="4367" width="16.26953125" style="359" customWidth="1"/>
    <col min="4368" max="4608" width="14.7265625" style="359"/>
    <col min="4609" max="4609" width="6" style="359" customWidth="1"/>
    <col min="4610" max="4610" width="34" style="359" customWidth="1"/>
    <col min="4611" max="4611" width="15.26953125" style="359" customWidth="1"/>
    <col min="4612" max="4612" width="13.7265625" style="359" customWidth="1"/>
    <col min="4613" max="4614" width="12.54296875" style="359" customWidth="1"/>
    <col min="4615" max="4617" width="11.54296875" style="359" customWidth="1"/>
    <col min="4618" max="4618" width="12.26953125" style="359" customWidth="1"/>
    <col min="4619" max="4619" width="12.81640625" style="359" customWidth="1"/>
    <col min="4620" max="4620" width="12.1796875" style="359" customWidth="1"/>
    <col min="4621" max="4621" width="12.54296875" style="359" customWidth="1"/>
    <col min="4622" max="4622" width="10.7265625" style="359" customWidth="1"/>
    <col min="4623" max="4623" width="16.26953125" style="359" customWidth="1"/>
    <col min="4624" max="4864" width="14.7265625" style="359"/>
    <col min="4865" max="4865" width="6" style="359" customWidth="1"/>
    <col min="4866" max="4866" width="34" style="359" customWidth="1"/>
    <col min="4867" max="4867" width="15.26953125" style="359" customWidth="1"/>
    <col min="4868" max="4868" width="13.7265625" style="359" customWidth="1"/>
    <col min="4869" max="4870" width="12.54296875" style="359" customWidth="1"/>
    <col min="4871" max="4873" width="11.54296875" style="359" customWidth="1"/>
    <col min="4874" max="4874" width="12.26953125" style="359" customWidth="1"/>
    <col min="4875" max="4875" width="12.81640625" style="359" customWidth="1"/>
    <col min="4876" max="4876" width="12.1796875" style="359" customWidth="1"/>
    <col min="4877" max="4877" width="12.54296875" style="359" customWidth="1"/>
    <col min="4878" max="4878" width="10.7265625" style="359" customWidth="1"/>
    <col min="4879" max="4879" width="16.26953125" style="359" customWidth="1"/>
    <col min="4880" max="5120" width="14.7265625" style="359"/>
    <col min="5121" max="5121" width="6" style="359" customWidth="1"/>
    <col min="5122" max="5122" width="34" style="359" customWidth="1"/>
    <col min="5123" max="5123" width="15.26953125" style="359" customWidth="1"/>
    <col min="5124" max="5124" width="13.7265625" style="359" customWidth="1"/>
    <col min="5125" max="5126" width="12.54296875" style="359" customWidth="1"/>
    <col min="5127" max="5129" width="11.54296875" style="359" customWidth="1"/>
    <col min="5130" max="5130" width="12.26953125" style="359" customWidth="1"/>
    <col min="5131" max="5131" width="12.81640625" style="359" customWidth="1"/>
    <col min="5132" max="5132" width="12.1796875" style="359" customWidth="1"/>
    <col min="5133" max="5133" width="12.54296875" style="359" customWidth="1"/>
    <col min="5134" max="5134" width="10.7265625" style="359" customWidth="1"/>
    <col min="5135" max="5135" width="16.26953125" style="359" customWidth="1"/>
    <col min="5136" max="5376" width="14.7265625" style="359"/>
    <col min="5377" max="5377" width="6" style="359" customWidth="1"/>
    <col min="5378" max="5378" width="34" style="359" customWidth="1"/>
    <col min="5379" max="5379" width="15.26953125" style="359" customWidth="1"/>
    <col min="5380" max="5380" width="13.7265625" style="359" customWidth="1"/>
    <col min="5381" max="5382" width="12.54296875" style="359" customWidth="1"/>
    <col min="5383" max="5385" width="11.54296875" style="359" customWidth="1"/>
    <col min="5386" max="5386" width="12.26953125" style="359" customWidth="1"/>
    <col min="5387" max="5387" width="12.81640625" style="359" customWidth="1"/>
    <col min="5388" max="5388" width="12.1796875" style="359" customWidth="1"/>
    <col min="5389" max="5389" width="12.54296875" style="359" customWidth="1"/>
    <col min="5390" max="5390" width="10.7265625" style="359" customWidth="1"/>
    <col min="5391" max="5391" width="16.26953125" style="359" customWidth="1"/>
    <col min="5392" max="5632" width="14.7265625" style="359"/>
    <col min="5633" max="5633" width="6" style="359" customWidth="1"/>
    <col min="5634" max="5634" width="34" style="359" customWidth="1"/>
    <col min="5635" max="5635" width="15.26953125" style="359" customWidth="1"/>
    <col min="5636" max="5636" width="13.7265625" style="359" customWidth="1"/>
    <col min="5637" max="5638" width="12.54296875" style="359" customWidth="1"/>
    <col min="5639" max="5641" width="11.54296875" style="359" customWidth="1"/>
    <col min="5642" max="5642" width="12.26953125" style="359" customWidth="1"/>
    <col min="5643" max="5643" width="12.81640625" style="359" customWidth="1"/>
    <col min="5644" max="5644" width="12.1796875" style="359" customWidth="1"/>
    <col min="5645" max="5645" width="12.54296875" style="359" customWidth="1"/>
    <col min="5646" max="5646" width="10.7265625" style="359" customWidth="1"/>
    <col min="5647" max="5647" width="16.26953125" style="359" customWidth="1"/>
    <col min="5648" max="5888" width="14.7265625" style="359"/>
    <col min="5889" max="5889" width="6" style="359" customWidth="1"/>
    <col min="5890" max="5890" width="34" style="359" customWidth="1"/>
    <col min="5891" max="5891" width="15.26953125" style="359" customWidth="1"/>
    <col min="5892" max="5892" width="13.7265625" style="359" customWidth="1"/>
    <col min="5893" max="5894" width="12.54296875" style="359" customWidth="1"/>
    <col min="5895" max="5897" width="11.54296875" style="359" customWidth="1"/>
    <col min="5898" max="5898" width="12.26953125" style="359" customWidth="1"/>
    <col min="5899" max="5899" width="12.81640625" style="359" customWidth="1"/>
    <col min="5900" max="5900" width="12.1796875" style="359" customWidth="1"/>
    <col min="5901" max="5901" width="12.54296875" style="359" customWidth="1"/>
    <col min="5902" max="5902" width="10.7265625" style="359" customWidth="1"/>
    <col min="5903" max="5903" width="16.26953125" style="359" customWidth="1"/>
    <col min="5904" max="6144" width="14.7265625" style="359"/>
    <col min="6145" max="6145" width="6" style="359" customWidth="1"/>
    <col min="6146" max="6146" width="34" style="359" customWidth="1"/>
    <col min="6147" max="6147" width="15.26953125" style="359" customWidth="1"/>
    <col min="6148" max="6148" width="13.7265625" style="359" customWidth="1"/>
    <col min="6149" max="6150" width="12.54296875" style="359" customWidth="1"/>
    <col min="6151" max="6153" width="11.54296875" style="359" customWidth="1"/>
    <col min="6154" max="6154" width="12.26953125" style="359" customWidth="1"/>
    <col min="6155" max="6155" width="12.81640625" style="359" customWidth="1"/>
    <col min="6156" max="6156" width="12.1796875" style="359" customWidth="1"/>
    <col min="6157" max="6157" width="12.54296875" style="359" customWidth="1"/>
    <col min="6158" max="6158" width="10.7265625" style="359" customWidth="1"/>
    <col min="6159" max="6159" width="16.26953125" style="359" customWidth="1"/>
    <col min="6160" max="6400" width="14.7265625" style="359"/>
    <col min="6401" max="6401" width="6" style="359" customWidth="1"/>
    <col min="6402" max="6402" width="34" style="359" customWidth="1"/>
    <col min="6403" max="6403" width="15.26953125" style="359" customWidth="1"/>
    <col min="6404" max="6404" width="13.7265625" style="359" customWidth="1"/>
    <col min="6405" max="6406" width="12.54296875" style="359" customWidth="1"/>
    <col min="6407" max="6409" width="11.54296875" style="359" customWidth="1"/>
    <col min="6410" max="6410" width="12.26953125" style="359" customWidth="1"/>
    <col min="6411" max="6411" width="12.81640625" style="359" customWidth="1"/>
    <col min="6412" max="6412" width="12.1796875" style="359" customWidth="1"/>
    <col min="6413" max="6413" width="12.54296875" style="359" customWidth="1"/>
    <col min="6414" max="6414" width="10.7265625" style="359" customWidth="1"/>
    <col min="6415" max="6415" width="16.26953125" style="359" customWidth="1"/>
    <col min="6416" max="6656" width="14.7265625" style="359"/>
    <col min="6657" max="6657" width="6" style="359" customWidth="1"/>
    <col min="6658" max="6658" width="34" style="359" customWidth="1"/>
    <col min="6659" max="6659" width="15.26953125" style="359" customWidth="1"/>
    <col min="6660" max="6660" width="13.7265625" style="359" customWidth="1"/>
    <col min="6661" max="6662" width="12.54296875" style="359" customWidth="1"/>
    <col min="6663" max="6665" width="11.54296875" style="359" customWidth="1"/>
    <col min="6666" max="6666" width="12.26953125" style="359" customWidth="1"/>
    <col min="6667" max="6667" width="12.81640625" style="359" customWidth="1"/>
    <col min="6668" max="6668" width="12.1796875" style="359" customWidth="1"/>
    <col min="6669" max="6669" width="12.54296875" style="359" customWidth="1"/>
    <col min="6670" max="6670" width="10.7265625" style="359" customWidth="1"/>
    <col min="6671" max="6671" width="16.26953125" style="359" customWidth="1"/>
    <col min="6672" max="6912" width="14.7265625" style="359"/>
    <col min="6913" max="6913" width="6" style="359" customWidth="1"/>
    <col min="6914" max="6914" width="34" style="359" customWidth="1"/>
    <col min="6915" max="6915" width="15.26953125" style="359" customWidth="1"/>
    <col min="6916" max="6916" width="13.7265625" style="359" customWidth="1"/>
    <col min="6917" max="6918" width="12.54296875" style="359" customWidth="1"/>
    <col min="6919" max="6921" width="11.54296875" style="359" customWidth="1"/>
    <col min="6922" max="6922" width="12.26953125" style="359" customWidth="1"/>
    <col min="6923" max="6923" width="12.81640625" style="359" customWidth="1"/>
    <col min="6924" max="6924" width="12.1796875" style="359" customWidth="1"/>
    <col min="6925" max="6925" width="12.54296875" style="359" customWidth="1"/>
    <col min="6926" max="6926" width="10.7265625" style="359" customWidth="1"/>
    <col min="6927" max="6927" width="16.26953125" style="359" customWidth="1"/>
    <col min="6928" max="7168" width="14.7265625" style="359"/>
    <col min="7169" max="7169" width="6" style="359" customWidth="1"/>
    <col min="7170" max="7170" width="34" style="359" customWidth="1"/>
    <col min="7171" max="7171" width="15.26953125" style="359" customWidth="1"/>
    <col min="7172" max="7172" width="13.7265625" style="359" customWidth="1"/>
    <col min="7173" max="7174" width="12.54296875" style="359" customWidth="1"/>
    <col min="7175" max="7177" width="11.54296875" style="359" customWidth="1"/>
    <col min="7178" max="7178" width="12.26953125" style="359" customWidth="1"/>
    <col min="7179" max="7179" width="12.81640625" style="359" customWidth="1"/>
    <col min="7180" max="7180" width="12.1796875" style="359" customWidth="1"/>
    <col min="7181" max="7181" width="12.54296875" style="359" customWidth="1"/>
    <col min="7182" max="7182" width="10.7265625" style="359" customWidth="1"/>
    <col min="7183" max="7183" width="16.26953125" style="359" customWidth="1"/>
    <col min="7184" max="7424" width="14.7265625" style="359"/>
    <col min="7425" max="7425" width="6" style="359" customWidth="1"/>
    <col min="7426" max="7426" width="34" style="359" customWidth="1"/>
    <col min="7427" max="7427" width="15.26953125" style="359" customWidth="1"/>
    <col min="7428" max="7428" width="13.7265625" style="359" customWidth="1"/>
    <col min="7429" max="7430" width="12.54296875" style="359" customWidth="1"/>
    <col min="7431" max="7433" width="11.54296875" style="359" customWidth="1"/>
    <col min="7434" max="7434" width="12.26953125" style="359" customWidth="1"/>
    <col min="7435" max="7435" width="12.81640625" style="359" customWidth="1"/>
    <col min="7436" max="7436" width="12.1796875" style="359" customWidth="1"/>
    <col min="7437" max="7437" width="12.54296875" style="359" customWidth="1"/>
    <col min="7438" max="7438" width="10.7265625" style="359" customWidth="1"/>
    <col min="7439" max="7439" width="16.26953125" style="359" customWidth="1"/>
    <col min="7440" max="7680" width="14.7265625" style="359"/>
    <col min="7681" max="7681" width="6" style="359" customWidth="1"/>
    <col min="7682" max="7682" width="34" style="359" customWidth="1"/>
    <col min="7683" max="7683" width="15.26953125" style="359" customWidth="1"/>
    <col min="7684" max="7684" width="13.7265625" style="359" customWidth="1"/>
    <col min="7685" max="7686" width="12.54296875" style="359" customWidth="1"/>
    <col min="7687" max="7689" width="11.54296875" style="359" customWidth="1"/>
    <col min="7690" max="7690" width="12.26953125" style="359" customWidth="1"/>
    <col min="7691" max="7691" width="12.81640625" style="359" customWidth="1"/>
    <col min="7692" max="7692" width="12.1796875" style="359" customWidth="1"/>
    <col min="7693" max="7693" width="12.54296875" style="359" customWidth="1"/>
    <col min="7694" max="7694" width="10.7265625" style="359" customWidth="1"/>
    <col min="7695" max="7695" width="16.26953125" style="359" customWidth="1"/>
    <col min="7696" max="7936" width="14.7265625" style="359"/>
    <col min="7937" max="7937" width="6" style="359" customWidth="1"/>
    <col min="7938" max="7938" width="34" style="359" customWidth="1"/>
    <col min="7939" max="7939" width="15.26953125" style="359" customWidth="1"/>
    <col min="7940" max="7940" width="13.7265625" style="359" customWidth="1"/>
    <col min="7941" max="7942" width="12.54296875" style="359" customWidth="1"/>
    <col min="7943" max="7945" width="11.54296875" style="359" customWidth="1"/>
    <col min="7946" max="7946" width="12.26953125" style="359" customWidth="1"/>
    <col min="7947" max="7947" width="12.81640625" style="359" customWidth="1"/>
    <col min="7948" max="7948" width="12.1796875" style="359" customWidth="1"/>
    <col min="7949" max="7949" width="12.54296875" style="359" customWidth="1"/>
    <col min="7950" max="7950" width="10.7265625" style="359" customWidth="1"/>
    <col min="7951" max="7951" width="16.26953125" style="359" customWidth="1"/>
    <col min="7952" max="8192" width="14.7265625" style="359"/>
    <col min="8193" max="8193" width="6" style="359" customWidth="1"/>
    <col min="8194" max="8194" width="34" style="359" customWidth="1"/>
    <col min="8195" max="8195" width="15.26953125" style="359" customWidth="1"/>
    <col min="8196" max="8196" width="13.7265625" style="359" customWidth="1"/>
    <col min="8197" max="8198" width="12.54296875" style="359" customWidth="1"/>
    <col min="8199" max="8201" width="11.54296875" style="359" customWidth="1"/>
    <col min="8202" max="8202" width="12.26953125" style="359" customWidth="1"/>
    <col min="8203" max="8203" width="12.81640625" style="359" customWidth="1"/>
    <col min="8204" max="8204" width="12.1796875" style="359" customWidth="1"/>
    <col min="8205" max="8205" width="12.54296875" style="359" customWidth="1"/>
    <col min="8206" max="8206" width="10.7265625" style="359" customWidth="1"/>
    <col min="8207" max="8207" width="16.26953125" style="359" customWidth="1"/>
    <col min="8208" max="8448" width="14.7265625" style="359"/>
    <col min="8449" max="8449" width="6" style="359" customWidth="1"/>
    <col min="8450" max="8450" width="34" style="359" customWidth="1"/>
    <col min="8451" max="8451" width="15.26953125" style="359" customWidth="1"/>
    <col min="8452" max="8452" width="13.7265625" style="359" customWidth="1"/>
    <col min="8453" max="8454" width="12.54296875" style="359" customWidth="1"/>
    <col min="8455" max="8457" width="11.54296875" style="359" customWidth="1"/>
    <col min="8458" max="8458" width="12.26953125" style="359" customWidth="1"/>
    <col min="8459" max="8459" width="12.81640625" style="359" customWidth="1"/>
    <col min="8460" max="8460" width="12.1796875" style="359" customWidth="1"/>
    <col min="8461" max="8461" width="12.54296875" style="359" customWidth="1"/>
    <col min="8462" max="8462" width="10.7265625" style="359" customWidth="1"/>
    <col min="8463" max="8463" width="16.26953125" style="359" customWidth="1"/>
    <col min="8464" max="8704" width="14.7265625" style="359"/>
    <col min="8705" max="8705" width="6" style="359" customWidth="1"/>
    <col min="8706" max="8706" width="34" style="359" customWidth="1"/>
    <col min="8707" max="8707" width="15.26953125" style="359" customWidth="1"/>
    <col min="8708" max="8708" width="13.7265625" style="359" customWidth="1"/>
    <col min="8709" max="8710" width="12.54296875" style="359" customWidth="1"/>
    <col min="8711" max="8713" width="11.54296875" style="359" customWidth="1"/>
    <col min="8714" max="8714" width="12.26953125" style="359" customWidth="1"/>
    <col min="8715" max="8715" width="12.81640625" style="359" customWidth="1"/>
    <col min="8716" max="8716" width="12.1796875" style="359" customWidth="1"/>
    <col min="8717" max="8717" width="12.54296875" style="359" customWidth="1"/>
    <col min="8718" max="8718" width="10.7265625" style="359" customWidth="1"/>
    <col min="8719" max="8719" width="16.26953125" style="359" customWidth="1"/>
    <col min="8720" max="8960" width="14.7265625" style="359"/>
    <col min="8961" max="8961" width="6" style="359" customWidth="1"/>
    <col min="8962" max="8962" width="34" style="359" customWidth="1"/>
    <col min="8963" max="8963" width="15.26953125" style="359" customWidth="1"/>
    <col min="8964" max="8964" width="13.7265625" style="359" customWidth="1"/>
    <col min="8965" max="8966" width="12.54296875" style="359" customWidth="1"/>
    <col min="8967" max="8969" width="11.54296875" style="359" customWidth="1"/>
    <col min="8970" max="8970" width="12.26953125" style="359" customWidth="1"/>
    <col min="8971" max="8971" width="12.81640625" style="359" customWidth="1"/>
    <col min="8972" max="8972" width="12.1796875" style="359" customWidth="1"/>
    <col min="8973" max="8973" width="12.54296875" style="359" customWidth="1"/>
    <col min="8974" max="8974" width="10.7265625" style="359" customWidth="1"/>
    <col min="8975" max="8975" width="16.26953125" style="359" customWidth="1"/>
    <col min="8976" max="9216" width="14.7265625" style="359"/>
    <col min="9217" max="9217" width="6" style="359" customWidth="1"/>
    <col min="9218" max="9218" width="34" style="359" customWidth="1"/>
    <col min="9219" max="9219" width="15.26953125" style="359" customWidth="1"/>
    <col min="9220" max="9220" width="13.7265625" style="359" customWidth="1"/>
    <col min="9221" max="9222" width="12.54296875" style="359" customWidth="1"/>
    <col min="9223" max="9225" width="11.54296875" style="359" customWidth="1"/>
    <col min="9226" max="9226" width="12.26953125" style="359" customWidth="1"/>
    <col min="9227" max="9227" width="12.81640625" style="359" customWidth="1"/>
    <col min="9228" max="9228" width="12.1796875" style="359" customWidth="1"/>
    <col min="9229" max="9229" width="12.54296875" style="359" customWidth="1"/>
    <col min="9230" max="9230" width="10.7265625" style="359" customWidth="1"/>
    <col min="9231" max="9231" width="16.26953125" style="359" customWidth="1"/>
    <col min="9232" max="9472" width="14.7265625" style="359"/>
    <col min="9473" max="9473" width="6" style="359" customWidth="1"/>
    <col min="9474" max="9474" width="34" style="359" customWidth="1"/>
    <col min="9475" max="9475" width="15.26953125" style="359" customWidth="1"/>
    <col min="9476" max="9476" width="13.7265625" style="359" customWidth="1"/>
    <col min="9477" max="9478" width="12.54296875" style="359" customWidth="1"/>
    <col min="9479" max="9481" width="11.54296875" style="359" customWidth="1"/>
    <col min="9482" max="9482" width="12.26953125" style="359" customWidth="1"/>
    <col min="9483" max="9483" width="12.81640625" style="359" customWidth="1"/>
    <col min="9484" max="9484" width="12.1796875" style="359" customWidth="1"/>
    <col min="9485" max="9485" width="12.54296875" style="359" customWidth="1"/>
    <col min="9486" max="9486" width="10.7265625" style="359" customWidth="1"/>
    <col min="9487" max="9487" width="16.26953125" style="359" customWidth="1"/>
    <col min="9488" max="9728" width="14.7265625" style="359"/>
    <col min="9729" max="9729" width="6" style="359" customWidth="1"/>
    <col min="9730" max="9730" width="34" style="359" customWidth="1"/>
    <col min="9731" max="9731" width="15.26953125" style="359" customWidth="1"/>
    <col min="9732" max="9732" width="13.7265625" style="359" customWidth="1"/>
    <col min="9733" max="9734" width="12.54296875" style="359" customWidth="1"/>
    <col min="9735" max="9737" width="11.54296875" style="359" customWidth="1"/>
    <col min="9738" max="9738" width="12.26953125" style="359" customWidth="1"/>
    <col min="9739" max="9739" width="12.81640625" style="359" customWidth="1"/>
    <col min="9740" max="9740" width="12.1796875" style="359" customWidth="1"/>
    <col min="9741" max="9741" width="12.54296875" style="359" customWidth="1"/>
    <col min="9742" max="9742" width="10.7265625" style="359" customWidth="1"/>
    <col min="9743" max="9743" width="16.26953125" style="359" customWidth="1"/>
    <col min="9744" max="9984" width="14.7265625" style="359"/>
    <col min="9985" max="9985" width="6" style="359" customWidth="1"/>
    <col min="9986" max="9986" width="34" style="359" customWidth="1"/>
    <col min="9987" max="9987" width="15.26953125" style="359" customWidth="1"/>
    <col min="9988" max="9988" width="13.7265625" style="359" customWidth="1"/>
    <col min="9989" max="9990" width="12.54296875" style="359" customWidth="1"/>
    <col min="9991" max="9993" width="11.54296875" style="359" customWidth="1"/>
    <col min="9994" max="9994" width="12.26953125" style="359" customWidth="1"/>
    <col min="9995" max="9995" width="12.81640625" style="359" customWidth="1"/>
    <col min="9996" max="9996" width="12.1796875" style="359" customWidth="1"/>
    <col min="9997" max="9997" width="12.54296875" style="359" customWidth="1"/>
    <col min="9998" max="9998" width="10.7265625" style="359" customWidth="1"/>
    <col min="9999" max="9999" width="16.26953125" style="359" customWidth="1"/>
    <col min="10000" max="10240" width="14.7265625" style="359"/>
    <col min="10241" max="10241" width="6" style="359" customWidth="1"/>
    <col min="10242" max="10242" width="34" style="359" customWidth="1"/>
    <col min="10243" max="10243" width="15.26953125" style="359" customWidth="1"/>
    <col min="10244" max="10244" width="13.7265625" style="359" customWidth="1"/>
    <col min="10245" max="10246" width="12.54296875" style="359" customWidth="1"/>
    <col min="10247" max="10249" width="11.54296875" style="359" customWidth="1"/>
    <col min="10250" max="10250" width="12.26953125" style="359" customWidth="1"/>
    <col min="10251" max="10251" width="12.81640625" style="359" customWidth="1"/>
    <col min="10252" max="10252" width="12.1796875" style="359" customWidth="1"/>
    <col min="10253" max="10253" width="12.54296875" style="359" customWidth="1"/>
    <col min="10254" max="10254" width="10.7265625" style="359" customWidth="1"/>
    <col min="10255" max="10255" width="16.26953125" style="359" customWidth="1"/>
    <col min="10256" max="10496" width="14.7265625" style="359"/>
    <col min="10497" max="10497" width="6" style="359" customWidth="1"/>
    <col min="10498" max="10498" width="34" style="359" customWidth="1"/>
    <col min="10499" max="10499" width="15.26953125" style="359" customWidth="1"/>
    <col min="10500" max="10500" width="13.7265625" style="359" customWidth="1"/>
    <col min="10501" max="10502" width="12.54296875" style="359" customWidth="1"/>
    <col min="10503" max="10505" width="11.54296875" style="359" customWidth="1"/>
    <col min="10506" max="10506" width="12.26953125" style="359" customWidth="1"/>
    <col min="10507" max="10507" width="12.81640625" style="359" customWidth="1"/>
    <col min="10508" max="10508" width="12.1796875" style="359" customWidth="1"/>
    <col min="10509" max="10509" width="12.54296875" style="359" customWidth="1"/>
    <col min="10510" max="10510" width="10.7265625" style="359" customWidth="1"/>
    <col min="10511" max="10511" width="16.26953125" style="359" customWidth="1"/>
    <col min="10512" max="10752" width="14.7265625" style="359"/>
    <col min="10753" max="10753" width="6" style="359" customWidth="1"/>
    <col min="10754" max="10754" width="34" style="359" customWidth="1"/>
    <col min="10755" max="10755" width="15.26953125" style="359" customWidth="1"/>
    <col min="10756" max="10756" width="13.7265625" style="359" customWidth="1"/>
    <col min="10757" max="10758" width="12.54296875" style="359" customWidth="1"/>
    <col min="10759" max="10761" width="11.54296875" style="359" customWidth="1"/>
    <col min="10762" max="10762" width="12.26953125" style="359" customWidth="1"/>
    <col min="10763" max="10763" width="12.81640625" style="359" customWidth="1"/>
    <col min="10764" max="10764" width="12.1796875" style="359" customWidth="1"/>
    <col min="10765" max="10765" width="12.54296875" style="359" customWidth="1"/>
    <col min="10766" max="10766" width="10.7265625" style="359" customWidth="1"/>
    <col min="10767" max="10767" width="16.26953125" style="359" customWidth="1"/>
    <col min="10768" max="11008" width="14.7265625" style="359"/>
    <col min="11009" max="11009" width="6" style="359" customWidth="1"/>
    <col min="11010" max="11010" width="34" style="359" customWidth="1"/>
    <col min="11011" max="11011" width="15.26953125" style="359" customWidth="1"/>
    <col min="11012" max="11012" width="13.7265625" style="359" customWidth="1"/>
    <col min="11013" max="11014" width="12.54296875" style="359" customWidth="1"/>
    <col min="11015" max="11017" width="11.54296875" style="359" customWidth="1"/>
    <col min="11018" max="11018" width="12.26953125" style="359" customWidth="1"/>
    <col min="11019" max="11019" width="12.81640625" style="359" customWidth="1"/>
    <col min="11020" max="11020" width="12.1796875" style="359" customWidth="1"/>
    <col min="11021" max="11021" width="12.54296875" style="359" customWidth="1"/>
    <col min="11022" max="11022" width="10.7265625" style="359" customWidth="1"/>
    <col min="11023" max="11023" width="16.26953125" style="359" customWidth="1"/>
    <col min="11024" max="11264" width="14.7265625" style="359"/>
    <col min="11265" max="11265" width="6" style="359" customWidth="1"/>
    <col min="11266" max="11266" width="34" style="359" customWidth="1"/>
    <col min="11267" max="11267" width="15.26953125" style="359" customWidth="1"/>
    <col min="11268" max="11268" width="13.7265625" style="359" customWidth="1"/>
    <col min="11269" max="11270" width="12.54296875" style="359" customWidth="1"/>
    <col min="11271" max="11273" width="11.54296875" style="359" customWidth="1"/>
    <col min="11274" max="11274" width="12.26953125" style="359" customWidth="1"/>
    <col min="11275" max="11275" width="12.81640625" style="359" customWidth="1"/>
    <col min="11276" max="11276" width="12.1796875" style="359" customWidth="1"/>
    <col min="11277" max="11277" width="12.54296875" style="359" customWidth="1"/>
    <col min="11278" max="11278" width="10.7265625" style="359" customWidth="1"/>
    <col min="11279" max="11279" width="16.26953125" style="359" customWidth="1"/>
    <col min="11280" max="11520" width="14.7265625" style="359"/>
    <col min="11521" max="11521" width="6" style="359" customWidth="1"/>
    <col min="11522" max="11522" width="34" style="359" customWidth="1"/>
    <col min="11523" max="11523" width="15.26953125" style="359" customWidth="1"/>
    <col min="11524" max="11524" width="13.7265625" style="359" customWidth="1"/>
    <col min="11525" max="11526" width="12.54296875" style="359" customWidth="1"/>
    <col min="11527" max="11529" width="11.54296875" style="359" customWidth="1"/>
    <col min="11530" max="11530" width="12.26953125" style="359" customWidth="1"/>
    <col min="11531" max="11531" width="12.81640625" style="359" customWidth="1"/>
    <col min="11532" max="11532" width="12.1796875" style="359" customWidth="1"/>
    <col min="11533" max="11533" width="12.54296875" style="359" customWidth="1"/>
    <col min="11534" max="11534" width="10.7265625" style="359" customWidth="1"/>
    <col min="11535" max="11535" width="16.26953125" style="359" customWidth="1"/>
    <col min="11536" max="11776" width="14.7265625" style="359"/>
    <col min="11777" max="11777" width="6" style="359" customWidth="1"/>
    <col min="11778" max="11778" width="34" style="359" customWidth="1"/>
    <col min="11779" max="11779" width="15.26953125" style="359" customWidth="1"/>
    <col min="11780" max="11780" width="13.7265625" style="359" customWidth="1"/>
    <col min="11781" max="11782" width="12.54296875" style="359" customWidth="1"/>
    <col min="11783" max="11785" width="11.54296875" style="359" customWidth="1"/>
    <col min="11786" max="11786" width="12.26953125" style="359" customWidth="1"/>
    <col min="11787" max="11787" width="12.81640625" style="359" customWidth="1"/>
    <col min="11788" max="11788" width="12.1796875" style="359" customWidth="1"/>
    <col min="11789" max="11789" width="12.54296875" style="359" customWidth="1"/>
    <col min="11790" max="11790" width="10.7265625" style="359" customWidth="1"/>
    <col min="11791" max="11791" width="16.26953125" style="359" customWidth="1"/>
    <col min="11792" max="12032" width="14.7265625" style="359"/>
    <col min="12033" max="12033" width="6" style="359" customWidth="1"/>
    <col min="12034" max="12034" width="34" style="359" customWidth="1"/>
    <col min="12035" max="12035" width="15.26953125" style="359" customWidth="1"/>
    <col min="12036" max="12036" width="13.7265625" style="359" customWidth="1"/>
    <col min="12037" max="12038" width="12.54296875" style="359" customWidth="1"/>
    <col min="12039" max="12041" width="11.54296875" style="359" customWidth="1"/>
    <col min="12042" max="12042" width="12.26953125" style="359" customWidth="1"/>
    <col min="12043" max="12043" width="12.81640625" style="359" customWidth="1"/>
    <col min="12044" max="12044" width="12.1796875" style="359" customWidth="1"/>
    <col min="12045" max="12045" width="12.54296875" style="359" customWidth="1"/>
    <col min="12046" max="12046" width="10.7265625" style="359" customWidth="1"/>
    <col min="12047" max="12047" width="16.26953125" style="359" customWidth="1"/>
    <col min="12048" max="12288" width="14.7265625" style="359"/>
    <col min="12289" max="12289" width="6" style="359" customWidth="1"/>
    <col min="12290" max="12290" width="34" style="359" customWidth="1"/>
    <col min="12291" max="12291" width="15.26953125" style="359" customWidth="1"/>
    <col min="12292" max="12292" width="13.7265625" style="359" customWidth="1"/>
    <col min="12293" max="12294" width="12.54296875" style="359" customWidth="1"/>
    <col min="12295" max="12297" width="11.54296875" style="359" customWidth="1"/>
    <col min="12298" max="12298" width="12.26953125" style="359" customWidth="1"/>
    <col min="12299" max="12299" width="12.81640625" style="359" customWidth="1"/>
    <col min="12300" max="12300" width="12.1796875" style="359" customWidth="1"/>
    <col min="12301" max="12301" width="12.54296875" style="359" customWidth="1"/>
    <col min="12302" max="12302" width="10.7265625" style="359" customWidth="1"/>
    <col min="12303" max="12303" width="16.26953125" style="359" customWidth="1"/>
    <col min="12304" max="12544" width="14.7265625" style="359"/>
    <col min="12545" max="12545" width="6" style="359" customWidth="1"/>
    <col min="12546" max="12546" width="34" style="359" customWidth="1"/>
    <col min="12547" max="12547" width="15.26953125" style="359" customWidth="1"/>
    <col min="12548" max="12548" width="13.7265625" style="359" customWidth="1"/>
    <col min="12549" max="12550" width="12.54296875" style="359" customWidth="1"/>
    <col min="12551" max="12553" width="11.54296875" style="359" customWidth="1"/>
    <col min="12554" max="12554" width="12.26953125" style="359" customWidth="1"/>
    <col min="12555" max="12555" width="12.81640625" style="359" customWidth="1"/>
    <col min="12556" max="12556" width="12.1796875" style="359" customWidth="1"/>
    <col min="12557" max="12557" width="12.54296875" style="359" customWidth="1"/>
    <col min="12558" max="12558" width="10.7265625" style="359" customWidth="1"/>
    <col min="12559" max="12559" width="16.26953125" style="359" customWidth="1"/>
    <col min="12560" max="12800" width="14.7265625" style="359"/>
    <col min="12801" max="12801" width="6" style="359" customWidth="1"/>
    <col min="12802" max="12802" width="34" style="359" customWidth="1"/>
    <col min="12803" max="12803" width="15.26953125" style="359" customWidth="1"/>
    <col min="12804" max="12804" width="13.7265625" style="359" customWidth="1"/>
    <col min="12805" max="12806" width="12.54296875" style="359" customWidth="1"/>
    <col min="12807" max="12809" width="11.54296875" style="359" customWidth="1"/>
    <col min="12810" max="12810" width="12.26953125" style="359" customWidth="1"/>
    <col min="12811" max="12811" width="12.81640625" style="359" customWidth="1"/>
    <col min="12812" max="12812" width="12.1796875" style="359" customWidth="1"/>
    <col min="12813" max="12813" width="12.54296875" style="359" customWidth="1"/>
    <col min="12814" max="12814" width="10.7265625" style="359" customWidth="1"/>
    <col min="12815" max="12815" width="16.26953125" style="359" customWidth="1"/>
    <col min="12816" max="13056" width="14.7265625" style="359"/>
    <col min="13057" max="13057" width="6" style="359" customWidth="1"/>
    <col min="13058" max="13058" width="34" style="359" customWidth="1"/>
    <col min="13059" max="13059" width="15.26953125" style="359" customWidth="1"/>
    <col min="13060" max="13060" width="13.7265625" style="359" customWidth="1"/>
    <col min="13061" max="13062" width="12.54296875" style="359" customWidth="1"/>
    <col min="13063" max="13065" width="11.54296875" style="359" customWidth="1"/>
    <col min="13066" max="13066" width="12.26953125" style="359" customWidth="1"/>
    <col min="13067" max="13067" width="12.81640625" style="359" customWidth="1"/>
    <col min="13068" max="13068" width="12.1796875" style="359" customWidth="1"/>
    <col min="13069" max="13069" width="12.54296875" style="359" customWidth="1"/>
    <col min="13070" max="13070" width="10.7265625" style="359" customWidth="1"/>
    <col min="13071" max="13071" width="16.26953125" style="359" customWidth="1"/>
    <col min="13072" max="13312" width="14.7265625" style="359"/>
    <col min="13313" max="13313" width="6" style="359" customWidth="1"/>
    <col min="13314" max="13314" width="34" style="359" customWidth="1"/>
    <col min="13315" max="13315" width="15.26953125" style="359" customWidth="1"/>
    <col min="13316" max="13316" width="13.7265625" style="359" customWidth="1"/>
    <col min="13317" max="13318" width="12.54296875" style="359" customWidth="1"/>
    <col min="13319" max="13321" width="11.54296875" style="359" customWidth="1"/>
    <col min="13322" max="13322" width="12.26953125" style="359" customWidth="1"/>
    <col min="13323" max="13323" width="12.81640625" style="359" customWidth="1"/>
    <col min="13324" max="13324" width="12.1796875" style="359" customWidth="1"/>
    <col min="13325" max="13325" width="12.54296875" style="359" customWidth="1"/>
    <col min="13326" max="13326" width="10.7265625" style="359" customWidth="1"/>
    <col min="13327" max="13327" width="16.26953125" style="359" customWidth="1"/>
    <col min="13328" max="13568" width="14.7265625" style="359"/>
    <col min="13569" max="13569" width="6" style="359" customWidth="1"/>
    <col min="13570" max="13570" width="34" style="359" customWidth="1"/>
    <col min="13571" max="13571" width="15.26953125" style="359" customWidth="1"/>
    <col min="13572" max="13572" width="13.7265625" style="359" customWidth="1"/>
    <col min="13573" max="13574" width="12.54296875" style="359" customWidth="1"/>
    <col min="13575" max="13577" width="11.54296875" style="359" customWidth="1"/>
    <col min="13578" max="13578" width="12.26953125" style="359" customWidth="1"/>
    <col min="13579" max="13579" width="12.81640625" style="359" customWidth="1"/>
    <col min="13580" max="13580" width="12.1796875" style="359" customWidth="1"/>
    <col min="13581" max="13581" width="12.54296875" style="359" customWidth="1"/>
    <col min="13582" max="13582" width="10.7265625" style="359" customWidth="1"/>
    <col min="13583" max="13583" width="16.26953125" style="359" customWidth="1"/>
    <col min="13584" max="13824" width="14.7265625" style="359"/>
    <col min="13825" max="13825" width="6" style="359" customWidth="1"/>
    <col min="13826" max="13826" width="34" style="359" customWidth="1"/>
    <col min="13827" max="13827" width="15.26953125" style="359" customWidth="1"/>
    <col min="13828" max="13828" width="13.7265625" style="359" customWidth="1"/>
    <col min="13829" max="13830" width="12.54296875" style="359" customWidth="1"/>
    <col min="13831" max="13833" width="11.54296875" style="359" customWidth="1"/>
    <col min="13834" max="13834" width="12.26953125" style="359" customWidth="1"/>
    <col min="13835" max="13835" width="12.81640625" style="359" customWidth="1"/>
    <col min="13836" max="13836" width="12.1796875" style="359" customWidth="1"/>
    <col min="13837" max="13837" width="12.54296875" style="359" customWidth="1"/>
    <col min="13838" max="13838" width="10.7265625" style="359" customWidth="1"/>
    <col min="13839" max="13839" width="16.26953125" style="359" customWidth="1"/>
    <col min="13840" max="14080" width="14.7265625" style="359"/>
    <col min="14081" max="14081" width="6" style="359" customWidth="1"/>
    <col min="14082" max="14082" width="34" style="359" customWidth="1"/>
    <col min="14083" max="14083" width="15.26953125" style="359" customWidth="1"/>
    <col min="14084" max="14084" width="13.7265625" style="359" customWidth="1"/>
    <col min="14085" max="14086" width="12.54296875" style="359" customWidth="1"/>
    <col min="14087" max="14089" width="11.54296875" style="359" customWidth="1"/>
    <col min="14090" max="14090" width="12.26953125" style="359" customWidth="1"/>
    <col min="14091" max="14091" width="12.81640625" style="359" customWidth="1"/>
    <col min="14092" max="14092" width="12.1796875" style="359" customWidth="1"/>
    <col min="14093" max="14093" width="12.54296875" style="359" customWidth="1"/>
    <col min="14094" max="14094" width="10.7265625" style="359" customWidth="1"/>
    <col min="14095" max="14095" width="16.26953125" style="359" customWidth="1"/>
    <col min="14096" max="14336" width="14.7265625" style="359"/>
    <col min="14337" max="14337" width="6" style="359" customWidth="1"/>
    <col min="14338" max="14338" width="34" style="359" customWidth="1"/>
    <col min="14339" max="14339" width="15.26953125" style="359" customWidth="1"/>
    <col min="14340" max="14340" width="13.7265625" style="359" customWidth="1"/>
    <col min="14341" max="14342" width="12.54296875" style="359" customWidth="1"/>
    <col min="14343" max="14345" width="11.54296875" style="359" customWidth="1"/>
    <col min="14346" max="14346" width="12.26953125" style="359" customWidth="1"/>
    <col min="14347" max="14347" width="12.81640625" style="359" customWidth="1"/>
    <col min="14348" max="14348" width="12.1796875" style="359" customWidth="1"/>
    <col min="14349" max="14349" width="12.54296875" style="359" customWidth="1"/>
    <col min="14350" max="14350" width="10.7265625" style="359" customWidth="1"/>
    <col min="14351" max="14351" width="16.26953125" style="359" customWidth="1"/>
    <col min="14352" max="14592" width="14.7265625" style="359"/>
    <col min="14593" max="14593" width="6" style="359" customWidth="1"/>
    <col min="14594" max="14594" width="34" style="359" customWidth="1"/>
    <col min="14595" max="14595" width="15.26953125" style="359" customWidth="1"/>
    <col min="14596" max="14596" width="13.7265625" style="359" customWidth="1"/>
    <col min="14597" max="14598" width="12.54296875" style="359" customWidth="1"/>
    <col min="14599" max="14601" width="11.54296875" style="359" customWidth="1"/>
    <col min="14602" max="14602" width="12.26953125" style="359" customWidth="1"/>
    <col min="14603" max="14603" width="12.81640625" style="359" customWidth="1"/>
    <col min="14604" max="14604" width="12.1796875" style="359" customWidth="1"/>
    <col min="14605" max="14605" width="12.54296875" style="359" customWidth="1"/>
    <col min="14606" max="14606" width="10.7265625" style="359" customWidth="1"/>
    <col min="14607" max="14607" width="16.26953125" style="359" customWidth="1"/>
    <col min="14608" max="14848" width="14.7265625" style="359"/>
    <col min="14849" max="14849" width="6" style="359" customWidth="1"/>
    <col min="14850" max="14850" width="34" style="359" customWidth="1"/>
    <col min="14851" max="14851" width="15.26953125" style="359" customWidth="1"/>
    <col min="14852" max="14852" width="13.7265625" style="359" customWidth="1"/>
    <col min="14853" max="14854" width="12.54296875" style="359" customWidth="1"/>
    <col min="14855" max="14857" width="11.54296875" style="359" customWidth="1"/>
    <col min="14858" max="14858" width="12.26953125" style="359" customWidth="1"/>
    <col min="14859" max="14859" width="12.81640625" style="359" customWidth="1"/>
    <col min="14860" max="14860" width="12.1796875" style="359" customWidth="1"/>
    <col min="14861" max="14861" width="12.54296875" style="359" customWidth="1"/>
    <col min="14862" max="14862" width="10.7265625" style="359" customWidth="1"/>
    <col min="14863" max="14863" width="16.26953125" style="359" customWidth="1"/>
    <col min="14864" max="15104" width="14.7265625" style="359"/>
    <col min="15105" max="15105" width="6" style="359" customWidth="1"/>
    <col min="15106" max="15106" width="34" style="359" customWidth="1"/>
    <col min="15107" max="15107" width="15.26953125" style="359" customWidth="1"/>
    <col min="15108" max="15108" width="13.7265625" style="359" customWidth="1"/>
    <col min="15109" max="15110" width="12.54296875" style="359" customWidth="1"/>
    <col min="15111" max="15113" width="11.54296875" style="359" customWidth="1"/>
    <col min="15114" max="15114" width="12.26953125" style="359" customWidth="1"/>
    <col min="15115" max="15115" width="12.81640625" style="359" customWidth="1"/>
    <col min="15116" max="15116" width="12.1796875" style="359" customWidth="1"/>
    <col min="15117" max="15117" width="12.54296875" style="359" customWidth="1"/>
    <col min="15118" max="15118" width="10.7265625" style="359" customWidth="1"/>
    <col min="15119" max="15119" width="16.26953125" style="359" customWidth="1"/>
    <col min="15120" max="15360" width="14.7265625" style="359"/>
    <col min="15361" max="15361" width="6" style="359" customWidth="1"/>
    <col min="15362" max="15362" width="34" style="359" customWidth="1"/>
    <col min="15363" max="15363" width="15.26953125" style="359" customWidth="1"/>
    <col min="15364" max="15364" width="13.7265625" style="359" customWidth="1"/>
    <col min="15365" max="15366" width="12.54296875" style="359" customWidth="1"/>
    <col min="15367" max="15369" width="11.54296875" style="359" customWidth="1"/>
    <col min="15370" max="15370" width="12.26953125" style="359" customWidth="1"/>
    <col min="15371" max="15371" width="12.81640625" style="359" customWidth="1"/>
    <col min="15372" max="15372" width="12.1796875" style="359" customWidth="1"/>
    <col min="15373" max="15373" width="12.54296875" style="359" customWidth="1"/>
    <col min="15374" max="15374" width="10.7265625" style="359" customWidth="1"/>
    <col min="15375" max="15375" width="16.26953125" style="359" customWidth="1"/>
    <col min="15376" max="15616" width="14.7265625" style="359"/>
    <col min="15617" max="15617" width="6" style="359" customWidth="1"/>
    <col min="15618" max="15618" width="34" style="359" customWidth="1"/>
    <col min="15619" max="15619" width="15.26953125" style="359" customWidth="1"/>
    <col min="15620" max="15620" width="13.7265625" style="359" customWidth="1"/>
    <col min="15621" max="15622" width="12.54296875" style="359" customWidth="1"/>
    <col min="15623" max="15625" width="11.54296875" style="359" customWidth="1"/>
    <col min="15626" max="15626" width="12.26953125" style="359" customWidth="1"/>
    <col min="15627" max="15627" width="12.81640625" style="359" customWidth="1"/>
    <col min="15628" max="15628" width="12.1796875" style="359" customWidth="1"/>
    <col min="15629" max="15629" width="12.54296875" style="359" customWidth="1"/>
    <col min="15630" max="15630" width="10.7265625" style="359" customWidth="1"/>
    <col min="15631" max="15631" width="16.26953125" style="359" customWidth="1"/>
    <col min="15632" max="15872" width="14.7265625" style="359"/>
    <col min="15873" max="15873" width="6" style="359" customWidth="1"/>
    <col min="15874" max="15874" width="34" style="359" customWidth="1"/>
    <col min="15875" max="15875" width="15.26953125" style="359" customWidth="1"/>
    <col min="15876" max="15876" width="13.7265625" style="359" customWidth="1"/>
    <col min="15877" max="15878" width="12.54296875" style="359" customWidth="1"/>
    <col min="15879" max="15881" width="11.54296875" style="359" customWidth="1"/>
    <col min="15882" max="15882" width="12.26953125" style="359" customWidth="1"/>
    <col min="15883" max="15883" width="12.81640625" style="359" customWidth="1"/>
    <col min="15884" max="15884" width="12.1796875" style="359" customWidth="1"/>
    <col min="15885" max="15885" width="12.54296875" style="359" customWidth="1"/>
    <col min="15886" max="15886" width="10.7265625" style="359" customWidth="1"/>
    <col min="15887" max="15887" width="16.26953125" style="359" customWidth="1"/>
    <col min="15888" max="16128" width="14.7265625" style="359"/>
    <col min="16129" max="16129" width="6" style="359" customWidth="1"/>
    <col min="16130" max="16130" width="34" style="359" customWidth="1"/>
    <col min="16131" max="16131" width="15.26953125" style="359" customWidth="1"/>
    <col min="16132" max="16132" width="13.7265625" style="359" customWidth="1"/>
    <col min="16133" max="16134" width="12.54296875" style="359" customWidth="1"/>
    <col min="16135" max="16137" width="11.54296875" style="359" customWidth="1"/>
    <col min="16138" max="16138" width="12.26953125" style="359" customWidth="1"/>
    <col min="16139" max="16139" width="12.81640625" style="359" customWidth="1"/>
    <col min="16140" max="16140" width="12.1796875" style="359" customWidth="1"/>
    <col min="16141" max="16141" width="12.54296875" style="359" customWidth="1"/>
    <col min="16142" max="16142" width="10.7265625" style="359" customWidth="1"/>
    <col min="16143" max="16143" width="16.26953125" style="359" customWidth="1"/>
    <col min="16144" max="16384" width="14.7265625" style="359"/>
  </cols>
  <sheetData>
    <row r="1" spans="1:14" ht="18">
      <c r="B1" s="355" t="s">
        <v>104</v>
      </c>
      <c r="C1" s="356"/>
      <c r="D1" s="356"/>
      <c r="E1" s="356"/>
      <c r="F1" s="356"/>
      <c r="G1" s="356"/>
      <c r="H1" s="356"/>
      <c r="I1" s="357" t="s">
        <v>0</v>
      </c>
      <c r="J1" s="358" t="s">
        <v>147</v>
      </c>
    </row>
    <row r="2" spans="1:14" s="382" customFormat="1" ht="21.75" customHeight="1">
      <c r="B2" s="1928" t="s">
        <v>148</v>
      </c>
      <c r="C2" s="1928"/>
      <c r="D2" s="1928"/>
      <c r="E2" s="1928"/>
      <c r="F2" s="1928"/>
      <c r="G2" s="1928"/>
      <c r="H2" s="1928"/>
      <c r="I2" s="1928"/>
      <c r="J2" s="1928"/>
    </row>
    <row r="3" spans="1:14" ht="18">
      <c r="A3" s="374" t="s">
        <v>107</v>
      </c>
      <c r="B3" s="384" t="s">
        <v>149</v>
      </c>
      <c r="C3" s="360" t="s">
        <v>109</v>
      </c>
      <c r="D3" s="356"/>
      <c r="F3" s="356"/>
      <c r="G3" s="356"/>
      <c r="H3" s="356"/>
      <c r="I3" s="356"/>
      <c r="J3" s="356"/>
    </row>
    <row r="4" spans="1:14" ht="18.5" thickBot="1">
      <c r="B4" s="356"/>
      <c r="C4" s="361"/>
      <c r="D4" s="356"/>
      <c r="E4" s="1930" t="s">
        <v>110</v>
      </c>
      <c r="F4" s="1930"/>
      <c r="G4" s="1930"/>
      <c r="H4" s="356"/>
      <c r="I4" s="356"/>
      <c r="J4" s="356"/>
    </row>
    <row r="5" spans="1:14" ht="18">
      <c r="A5" s="1909" t="s">
        <v>2035</v>
      </c>
      <c r="B5" s="1911" t="s">
        <v>112</v>
      </c>
      <c r="C5" s="1911" t="s">
        <v>113</v>
      </c>
      <c r="D5" s="1913" t="s">
        <v>114</v>
      </c>
      <c r="E5" s="769" t="s">
        <v>115</v>
      </c>
      <c r="F5" s="741"/>
      <c r="G5" s="741"/>
      <c r="H5" s="742"/>
      <c r="I5" s="763"/>
      <c r="J5" s="742"/>
    </row>
    <row r="6" spans="1:14" s="367" customFormat="1" ht="78.75" customHeight="1" thickBot="1">
      <c r="A6" s="1910"/>
      <c r="B6" s="1912"/>
      <c r="C6" s="1912"/>
      <c r="D6" s="1914"/>
      <c r="E6" s="770" t="s">
        <v>58</v>
      </c>
      <c r="F6" s="757" t="s">
        <v>150</v>
      </c>
      <c r="G6" s="757" t="s">
        <v>151</v>
      </c>
      <c r="H6" s="758" t="s">
        <v>121</v>
      </c>
      <c r="I6" s="764" t="s">
        <v>122</v>
      </c>
      <c r="J6" s="758" t="s">
        <v>123</v>
      </c>
    </row>
    <row r="7" spans="1:14" ht="17.5">
      <c r="A7" s="752"/>
      <c r="B7" s="753" t="s">
        <v>124</v>
      </c>
      <c r="C7" s="754"/>
      <c r="D7" s="759"/>
      <c r="E7" s="771"/>
      <c r="F7" s="754"/>
      <c r="G7" s="754"/>
      <c r="H7" s="772"/>
      <c r="I7" s="806"/>
      <c r="J7" s="756"/>
    </row>
    <row r="8" spans="1:14" ht="17.5">
      <c r="A8" s="743">
        <v>1</v>
      </c>
      <c r="B8" s="369" t="s">
        <v>125</v>
      </c>
      <c r="C8" s="1150">
        <v>30189</v>
      </c>
      <c r="D8" s="760">
        <f>19850.77+3000</f>
        <v>22850.77</v>
      </c>
      <c r="E8" s="809">
        <v>11.708617902966761</v>
      </c>
      <c r="F8" s="370">
        <v>7.3793658878623489</v>
      </c>
      <c r="G8" s="370">
        <v>4.9032164072836775</v>
      </c>
      <c r="H8" s="774">
        <f>E8+F8+G8</f>
        <v>23.991200198112786</v>
      </c>
      <c r="I8" s="1139">
        <v>1709.0593753477167</v>
      </c>
      <c r="J8" s="744"/>
      <c r="K8" s="386"/>
      <c r="L8" s="376"/>
    </row>
    <row r="9" spans="1:14" ht="17.5">
      <c r="A9" s="743">
        <v>2</v>
      </c>
      <c r="B9" s="369" t="s">
        <v>126</v>
      </c>
      <c r="C9" s="1150">
        <v>10026</v>
      </c>
      <c r="D9" s="760">
        <f>16508.81+2000</f>
        <v>18508.810000000001</v>
      </c>
      <c r="E9" s="809">
        <v>4.2768904968457324</v>
      </c>
      <c r="F9" s="370">
        <v>4.7072170787875107</v>
      </c>
      <c r="G9" s="370">
        <v>4.6049177933180667</v>
      </c>
      <c r="H9" s="774">
        <f>E9+F9+G9</f>
        <v>13.589025368951308</v>
      </c>
      <c r="I9" s="1139">
        <v>1004.7469634764723</v>
      </c>
      <c r="J9" s="744"/>
      <c r="K9" s="386"/>
      <c r="L9" s="376"/>
    </row>
    <row r="10" spans="1:14" ht="17.5">
      <c r="A10" s="743">
        <v>3</v>
      </c>
      <c r="B10" s="369" t="s">
        <v>127</v>
      </c>
      <c r="C10" s="1150">
        <v>5914</v>
      </c>
      <c r="D10" s="760">
        <v>13964.96</v>
      </c>
      <c r="E10" s="809">
        <v>2.5095479614500542</v>
      </c>
      <c r="F10" s="370">
        <v>3.4736284129838104</v>
      </c>
      <c r="G10" s="370">
        <v>4.483553019708185</v>
      </c>
      <c r="H10" s="774">
        <f>E10+F10+G10</f>
        <v>10.46672939414205</v>
      </c>
      <c r="I10" s="1139">
        <v>776.35976849778478</v>
      </c>
      <c r="J10" s="744"/>
      <c r="K10" s="386"/>
      <c r="L10" s="376"/>
    </row>
    <row r="11" spans="1:14" ht="17.5">
      <c r="A11" s="743">
        <v>4</v>
      </c>
      <c r="B11" s="369">
        <v>4</v>
      </c>
      <c r="C11" s="1150">
        <v>1937</v>
      </c>
      <c r="D11" s="760">
        <v>7462.89</v>
      </c>
      <c r="E11" s="809">
        <v>1.0528688722406481</v>
      </c>
      <c r="F11" s="370">
        <v>1.646820486473874</v>
      </c>
      <c r="G11" s="370">
        <v>2.9550376644851517</v>
      </c>
      <c r="H11" s="774">
        <f>E11+F11+G11</f>
        <v>5.6547270231996745</v>
      </c>
      <c r="I11" s="1139">
        <v>435.48132764432347</v>
      </c>
      <c r="J11" s="744"/>
      <c r="K11" s="386"/>
      <c r="L11" s="376"/>
    </row>
    <row r="12" spans="1:14" ht="17.5">
      <c r="A12" s="743">
        <v>5</v>
      </c>
      <c r="B12" s="372" t="s">
        <v>128</v>
      </c>
      <c r="C12" s="1150">
        <f>7630+1029</f>
        <v>8659</v>
      </c>
      <c r="D12" s="760">
        <f>105383.07+6000</f>
        <v>111383.07</v>
      </c>
      <c r="E12" s="809">
        <v>3.7993295387891246</v>
      </c>
      <c r="F12" s="370">
        <v>10.569781488897606</v>
      </c>
      <c r="G12" s="370">
        <v>168.57743439405323</v>
      </c>
      <c r="H12" s="774">
        <f>E12+F12+G12</f>
        <v>182.94654542173996</v>
      </c>
      <c r="I12" s="1139">
        <v>13892.599394737008</v>
      </c>
      <c r="J12" s="744"/>
      <c r="K12" s="386"/>
      <c r="L12" s="376"/>
    </row>
    <row r="13" spans="1:14" ht="18">
      <c r="A13" s="801">
        <v>6</v>
      </c>
      <c r="B13" s="375" t="s">
        <v>129</v>
      </c>
      <c r="C13" s="1142">
        <f>SUM(C8:C12)</f>
        <v>56725</v>
      </c>
      <c r="D13" s="761">
        <f t="shared" ref="D13:J13" si="0">SUM(D8:D12)</f>
        <v>174170.5</v>
      </c>
      <c r="E13" s="781">
        <f t="shared" si="0"/>
        <v>23.34725477229232</v>
      </c>
      <c r="F13" s="669">
        <f t="shared" si="0"/>
        <v>27.776813355005153</v>
      </c>
      <c r="G13" s="669">
        <f t="shared" si="0"/>
        <v>185.52415927884832</v>
      </c>
      <c r="H13" s="775">
        <f t="shared" si="0"/>
        <v>236.64822740614576</v>
      </c>
      <c r="I13" s="807">
        <f t="shared" si="0"/>
        <v>17818.246829703305</v>
      </c>
      <c r="J13" s="745">
        <f t="shared" si="0"/>
        <v>0</v>
      </c>
      <c r="L13" s="376"/>
    </row>
    <row r="14" spans="1:14" ht="35">
      <c r="A14" s="743">
        <v>7</v>
      </c>
      <c r="B14" s="385" t="s">
        <v>152</v>
      </c>
      <c r="C14" s="1150">
        <v>147</v>
      </c>
      <c r="D14" s="760">
        <v>43411.841999999997</v>
      </c>
      <c r="E14" s="809"/>
      <c r="F14" s="370"/>
      <c r="G14" s="370"/>
      <c r="H14" s="774">
        <v>91.063923776308584</v>
      </c>
      <c r="I14" s="1139">
        <v>6466.2833753995264</v>
      </c>
      <c r="J14" s="744"/>
      <c r="L14" s="376"/>
      <c r="M14" s="376"/>
      <c r="N14" s="386"/>
    </row>
    <row r="15" spans="1:14" ht="18">
      <c r="A15" s="801">
        <v>8</v>
      </c>
      <c r="B15" s="375" t="s">
        <v>129</v>
      </c>
      <c r="C15" s="366">
        <f>C14</f>
        <v>147</v>
      </c>
      <c r="D15" s="803">
        <f t="shared" ref="D15:J15" si="1">D14</f>
        <v>43411.841999999997</v>
      </c>
      <c r="E15" s="781">
        <f t="shared" si="1"/>
        <v>0</v>
      </c>
      <c r="F15" s="669">
        <f t="shared" si="1"/>
        <v>0</v>
      </c>
      <c r="G15" s="669">
        <f t="shared" si="1"/>
        <v>0</v>
      </c>
      <c r="H15" s="775">
        <f t="shared" si="1"/>
        <v>91.063923776308584</v>
      </c>
      <c r="I15" s="807">
        <f t="shared" si="1"/>
        <v>6466.2833753995264</v>
      </c>
      <c r="J15" s="745">
        <f t="shared" si="1"/>
        <v>0</v>
      </c>
    </row>
    <row r="16" spans="1:14" ht="18.5" thickBot="1">
      <c r="A16" s="786">
        <v>9</v>
      </c>
      <c r="B16" s="747" t="s">
        <v>134</v>
      </c>
      <c r="C16" s="748">
        <f>C13+C15</f>
        <v>56872</v>
      </c>
      <c r="D16" s="762">
        <f t="shared" ref="D16:J16" si="2">D13+D15</f>
        <v>217582.342</v>
      </c>
      <c r="E16" s="784">
        <f t="shared" si="2"/>
        <v>23.34725477229232</v>
      </c>
      <c r="F16" s="749">
        <f t="shared" si="2"/>
        <v>27.776813355005153</v>
      </c>
      <c r="G16" s="749">
        <f t="shared" si="2"/>
        <v>185.52415927884832</v>
      </c>
      <c r="H16" s="777">
        <f>H13</f>
        <v>236.64822740614576</v>
      </c>
      <c r="I16" s="808">
        <f>I13</f>
        <v>17818.246829703305</v>
      </c>
      <c r="J16" s="796">
        <f t="shared" si="2"/>
        <v>0</v>
      </c>
    </row>
    <row r="17" spans="1:14" ht="17.5">
      <c r="B17" s="373"/>
      <c r="C17" s="673"/>
      <c r="D17" s="673"/>
      <c r="E17" s="673"/>
      <c r="F17" s="673"/>
      <c r="G17" s="673"/>
      <c r="H17" s="673"/>
      <c r="I17" s="673"/>
      <c r="J17" s="673"/>
    </row>
    <row r="18" spans="1:14" ht="18">
      <c r="A18" s="374" t="s">
        <v>135</v>
      </c>
      <c r="B18" s="384" t="s">
        <v>149</v>
      </c>
      <c r="C18" s="360" t="s">
        <v>136</v>
      </c>
      <c r="D18" s="356"/>
      <c r="F18" s="356"/>
      <c r="G18" s="356"/>
      <c r="H18" s="356"/>
      <c r="I18" s="356"/>
      <c r="J18" s="356"/>
    </row>
    <row r="19" spans="1:14" ht="18.5" thickBot="1">
      <c r="B19" s="373"/>
      <c r="C19" s="361"/>
      <c r="D19" s="356"/>
      <c r="E19" s="1930" t="s">
        <v>110</v>
      </c>
      <c r="F19" s="1930"/>
      <c r="G19" s="1930"/>
      <c r="H19" s="356"/>
      <c r="I19" s="356"/>
      <c r="J19" s="356"/>
    </row>
    <row r="20" spans="1:14" ht="18">
      <c r="A20" s="1909" t="s">
        <v>2035</v>
      </c>
      <c r="B20" s="1911" t="s">
        <v>112</v>
      </c>
      <c r="C20" s="1911" t="s">
        <v>113</v>
      </c>
      <c r="D20" s="1913" t="s">
        <v>114</v>
      </c>
      <c r="E20" s="769" t="s">
        <v>115</v>
      </c>
      <c r="F20" s="741"/>
      <c r="G20" s="741"/>
      <c r="H20" s="742"/>
      <c r="I20" s="763"/>
      <c r="J20" s="742"/>
    </row>
    <row r="21" spans="1:14" s="367" customFormat="1" ht="73.5" customHeight="1" thickBot="1">
      <c r="A21" s="1910"/>
      <c r="B21" s="1912"/>
      <c r="C21" s="1912"/>
      <c r="D21" s="1914"/>
      <c r="E21" s="770" t="s">
        <v>58</v>
      </c>
      <c r="F21" s="757" t="s">
        <v>150</v>
      </c>
      <c r="G21" s="757" t="s">
        <v>151</v>
      </c>
      <c r="H21" s="758" t="s">
        <v>121</v>
      </c>
      <c r="I21" s="764" t="s">
        <v>122</v>
      </c>
      <c r="J21" s="758" t="s">
        <v>123</v>
      </c>
    </row>
    <row r="22" spans="1:14" ht="17.5">
      <c r="A22" s="752"/>
      <c r="B22" s="753" t="s">
        <v>124</v>
      </c>
      <c r="C22" s="754"/>
      <c r="D22" s="759"/>
      <c r="E22" s="771"/>
      <c r="F22" s="754"/>
      <c r="G22" s="754"/>
      <c r="H22" s="772"/>
      <c r="I22" s="806"/>
      <c r="J22" s="756"/>
    </row>
    <row r="23" spans="1:14" ht="17.5">
      <c r="A23" s="743">
        <v>1</v>
      </c>
      <c r="B23" s="369" t="s">
        <v>125</v>
      </c>
      <c r="C23" s="365">
        <v>18406</v>
      </c>
      <c r="D23" s="760">
        <v>15127.7</v>
      </c>
      <c r="E23" s="809">
        <v>7.8690563628678669</v>
      </c>
      <c r="F23" s="370">
        <v>6.6417711374553594</v>
      </c>
      <c r="G23" s="370">
        <v>4.9938127466044229</v>
      </c>
      <c r="H23" s="774">
        <f>E23+F23+G23</f>
        <v>19.50464024692765</v>
      </c>
      <c r="I23" s="1139">
        <v>1380.1991158946971</v>
      </c>
      <c r="J23" s="744"/>
      <c r="K23" s="386"/>
      <c r="L23" s="376"/>
    </row>
    <row r="24" spans="1:14" ht="17.5">
      <c r="A24" s="743">
        <v>2</v>
      </c>
      <c r="B24" s="369" t="s">
        <v>126</v>
      </c>
      <c r="C24" s="365">
        <v>6772</v>
      </c>
      <c r="D24" s="760">
        <v>12665.65</v>
      </c>
      <c r="E24" s="809">
        <v>2.7896298748989152</v>
      </c>
      <c r="F24" s="370">
        <v>4.0276542700212463</v>
      </c>
      <c r="G24" s="370">
        <v>5.2822937019181513</v>
      </c>
      <c r="H24" s="774">
        <f>E24+F24+G24</f>
        <v>12.099577846838313</v>
      </c>
      <c r="I24" s="1139">
        <v>898.30167317602275</v>
      </c>
      <c r="J24" s="744"/>
      <c r="K24" s="386"/>
      <c r="L24" s="376"/>
    </row>
    <row r="25" spans="1:14" ht="17.5">
      <c r="A25" s="743">
        <v>3</v>
      </c>
      <c r="B25" s="369" t="s">
        <v>127</v>
      </c>
      <c r="C25" s="365">
        <v>2743</v>
      </c>
      <c r="D25" s="760">
        <f>7764.51+500</f>
        <v>8264.51</v>
      </c>
      <c r="E25" s="809">
        <v>1.1877693641270259</v>
      </c>
      <c r="F25" s="370">
        <v>2.2071612567659398</v>
      </c>
      <c r="G25" s="370">
        <v>4.0050981838233808</v>
      </c>
      <c r="H25" s="774">
        <f>E25+F25+G25</f>
        <v>7.4000288047163467</v>
      </c>
      <c r="I25" s="1139">
        <v>553.43230191482667</v>
      </c>
      <c r="J25" s="744"/>
      <c r="K25" s="386"/>
      <c r="L25" s="376"/>
    </row>
    <row r="26" spans="1:14" ht="17.5">
      <c r="A26" s="743">
        <v>4</v>
      </c>
      <c r="B26" s="369">
        <v>4</v>
      </c>
      <c r="C26" s="365">
        <v>1008</v>
      </c>
      <c r="D26" s="760">
        <f>3832.41+500</f>
        <v>4332.41</v>
      </c>
      <c r="E26" s="809">
        <v>0.36577817272627128</v>
      </c>
      <c r="F26" s="370">
        <v>0.86837248019504842</v>
      </c>
      <c r="G26" s="370">
        <v>2.1214947504303203</v>
      </c>
      <c r="H26" s="774">
        <f>E26+F26+G26</f>
        <v>3.3556454033516401</v>
      </c>
      <c r="I26" s="1139">
        <v>258.17243601623505</v>
      </c>
      <c r="J26" s="744"/>
      <c r="K26" s="386"/>
      <c r="L26" s="376"/>
    </row>
    <row r="27" spans="1:14" ht="17.5">
      <c r="A27" s="743">
        <v>5</v>
      </c>
      <c r="B27" s="372" t="s">
        <v>128</v>
      </c>
      <c r="C27" s="365">
        <v>8745</v>
      </c>
      <c r="D27" s="760">
        <f>93368.14+279</f>
        <v>93647.14</v>
      </c>
      <c r="E27" s="809">
        <v>2.578305484523908</v>
      </c>
      <c r="F27" s="370">
        <v>11.524152814632137</v>
      </c>
      <c r="G27" s="370">
        <v>128.14480461548519</v>
      </c>
      <c r="H27" s="774">
        <f>E27+F27+G27</f>
        <v>142.24726291464123</v>
      </c>
      <c r="I27" s="1139">
        <v>10656.628228211717</v>
      </c>
      <c r="J27" s="744"/>
      <c r="K27" s="386"/>
      <c r="L27" s="376"/>
    </row>
    <row r="28" spans="1:14" ht="18">
      <c r="A28" s="801">
        <v>6</v>
      </c>
      <c r="B28" s="375" t="s">
        <v>129</v>
      </c>
      <c r="C28" s="366">
        <f>SUM(C23:C27)</f>
        <v>37674</v>
      </c>
      <c r="D28" s="761">
        <f t="shared" ref="D28:J28" si="3">SUM(D23:D27)</f>
        <v>134037.41</v>
      </c>
      <c r="E28" s="781">
        <f t="shared" si="3"/>
        <v>14.790539259143987</v>
      </c>
      <c r="F28" s="669">
        <f t="shared" si="3"/>
        <v>25.269111959069733</v>
      </c>
      <c r="G28" s="669">
        <f t="shared" si="3"/>
        <v>144.54750399826145</v>
      </c>
      <c r="H28" s="775">
        <f t="shared" si="3"/>
        <v>184.60715521647518</v>
      </c>
      <c r="I28" s="807">
        <f>SUM(I23:I27)</f>
        <v>13746.7337552135</v>
      </c>
      <c r="J28" s="745">
        <f t="shared" si="3"/>
        <v>0</v>
      </c>
      <c r="L28" s="376"/>
    </row>
    <row r="29" spans="1:14" ht="39" customHeight="1">
      <c r="A29" s="743">
        <v>7</v>
      </c>
      <c r="B29" s="385" t="s">
        <v>152</v>
      </c>
      <c r="C29" s="365">
        <v>29</v>
      </c>
      <c r="D29" s="760">
        <v>13068.000000000004</v>
      </c>
      <c r="E29" s="809"/>
      <c r="F29" s="370"/>
      <c r="G29" s="370"/>
      <c r="H29" s="774">
        <v>71.038148459664654</v>
      </c>
      <c r="I29" s="1139">
        <v>4988.7217747595123</v>
      </c>
      <c r="J29" s="744"/>
    </row>
    <row r="30" spans="1:14" ht="18">
      <c r="A30" s="801">
        <v>8</v>
      </c>
      <c r="B30" s="375" t="s">
        <v>129</v>
      </c>
      <c r="C30" s="366">
        <f>C29</f>
        <v>29</v>
      </c>
      <c r="D30" s="761">
        <f t="shared" ref="D30:G30" si="4">D29</f>
        <v>13068.000000000004</v>
      </c>
      <c r="E30" s="781">
        <f t="shared" si="4"/>
        <v>0</v>
      </c>
      <c r="F30" s="669">
        <f t="shared" si="4"/>
        <v>0</v>
      </c>
      <c r="G30" s="669">
        <f t="shared" si="4"/>
        <v>0</v>
      </c>
      <c r="H30" s="775">
        <f>H29</f>
        <v>71.038148459664654</v>
      </c>
      <c r="I30" s="807">
        <f t="shared" ref="I30" si="5">I29</f>
        <v>4988.7217747595123</v>
      </c>
      <c r="J30" s="745">
        <f t="shared" ref="J30" si="6">J29</f>
        <v>0</v>
      </c>
      <c r="K30" s="358"/>
      <c r="N30" s="682"/>
    </row>
    <row r="31" spans="1:14" ht="17.5">
      <c r="A31" s="743"/>
      <c r="B31" s="372"/>
      <c r="C31" s="365"/>
      <c r="D31" s="760"/>
      <c r="E31" s="809"/>
      <c r="F31" s="370"/>
      <c r="G31" s="370"/>
      <c r="H31" s="774"/>
      <c r="I31" s="793"/>
      <c r="J31" s="795"/>
    </row>
    <row r="32" spans="1:14" ht="18">
      <c r="A32" s="801">
        <v>9</v>
      </c>
      <c r="B32" s="375" t="s">
        <v>137</v>
      </c>
      <c r="C32" s="366">
        <f>C28+C30</f>
        <v>37703</v>
      </c>
      <c r="D32" s="761">
        <f t="shared" ref="D32:J32" si="7">D28+D30</f>
        <v>147105.41</v>
      </c>
      <c r="E32" s="781">
        <f t="shared" si="7"/>
        <v>14.790539259143987</v>
      </c>
      <c r="F32" s="669">
        <f t="shared" si="7"/>
        <v>25.269111959069733</v>
      </c>
      <c r="G32" s="669">
        <f t="shared" si="7"/>
        <v>144.54750399826145</v>
      </c>
      <c r="H32" s="775">
        <f>H28</f>
        <v>184.60715521647518</v>
      </c>
      <c r="I32" s="807">
        <f>I28</f>
        <v>13746.7337552135</v>
      </c>
      <c r="J32" s="810">
        <f t="shared" si="7"/>
        <v>0</v>
      </c>
      <c r="N32" s="682"/>
    </row>
    <row r="33" spans="1:20" ht="18.5" thickBot="1">
      <c r="A33" s="746"/>
      <c r="B33" s="747" t="s">
        <v>138</v>
      </c>
      <c r="C33" s="748">
        <f>C16+C32</f>
        <v>94575</v>
      </c>
      <c r="D33" s="762">
        <f t="shared" ref="D33:J33" si="8">D16+D32</f>
        <v>364687.75199999998</v>
      </c>
      <c r="E33" s="784">
        <f t="shared" si="8"/>
        <v>38.137794031436307</v>
      </c>
      <c r="F33" s="749">
        <f t="shared" si="8"/>
        <v>53.045925314074886</v>
      </c>
      <c r="G33" s="749">
        <f t="shared" si="8"/>
        <v>330.07166327710979</v>
      </c>
      <c r="H33" s="777">
        <f t="shared" si="8"/>
        <v>421.25538262262091</v>
      </c>
      <c r="I33" s="808">
        <f t="shared" si="8"/>
        <v>31564.980584916804</v>
      </c>
      <c r="J33" s="796">
        <f t="shared" si="8"/>
        <v>0</v>
      </c>
      <c r="L33" s="376"/>
      <c r="M33" s="679"/>
    </row>
    <row r="34" spans="1:20" ht="18" customHeight="1" thickBot="1">
      <c r="B34" s="360" t="s">
        <v>153</v>
      </c>
      <c r="C34" s="361"/>
      <c r="D34" s="361"/>
      <c r="E34" s="356"/>
      <c r="F34" s="356"/>
      <c r="G34" s="356"/>
      <c r="H34" s="417"/>
      <c r="I34" s="416"/>
      <c r="J34" s="356"/>
    </row>
    <row r="35" spans="1:20" ht="54" customHeight="1">
      <c r="A35" s="785"/>
      <c r="B35" s="787"/>
      <c r="C35" s="1920" t="s">
        <v>140</v>
      </c>
      <c r="D35" s="1921"/>
      <c r="E35" s="1921"/>
      <c r="F35" s="1922"/>
      <c r="G35" s="1929" t="s">
        <v>141</v>
      </c>
      <c r="H35" s="1911"/>
      <c r="I35" s="1911"/>
      <c r="J35" s="1913"/>
      <c r="K35" s="1915" t="s">
        <v>142</v>
      </c>
      <c r="L35" s="1911"/>
      <c r="M35" s="1911"/>
      <c r="N35" s="1916"/>
    </row>
    <row r="36" spans="1:20" ht="18">
      <c r="A36" s="743"/>
      <c r="B36" s="789"/>
      <c r="C36" s="1923" t="s">
        <v>109</v>
      </c>
      <c r="D36" s="1924"/>
      <c r="E36" s="1925" t="s">
        <v>136</v>
      </c>
      <c r="F36" s="1926"/>
      <c r="G36" s="1927" t="s">
        <v>109</v>
      </c>
      <c r="H36" s="1924"/>
      <c r="I36" s="1925" t="s">
        <v>136</v>
      </c>
      <c r="J36" s="1927"/>
      <c r="K36" s="1923" t="s">
        <v>109</v>
      </c>
      <c r="L36" s="1924"/>
      <c r="M36" s="1925" t="s">
        <v>136</v>
      </c>
      <c r="N36" s="1926"/>
    </row>
    <row r="37" spans="1:20" ht="54.5" thickBot="1">
      <c r="A37" s="746"/>
      <c r="B37" s="819" t="s">
        <v>124</v>
      </c>
      <c r="C37" s="770" t="s">
        <v>143</v>
      </c>
      <c r="D37" s="757" t="s">
        <v>26</v>
      </c>
      <c r="E37" s="757" t="s">
        <v>143</v>
      </c>
      <c r="F37" s="758" t="s">
        <v>26</v>
      </c>
      <c r="G37" s="764" t="s">
        <v>143</v>
      </c>
      <c r="H37" s="757" t="s">
        <v>26</v>
      </c>
      <c r="I37" s="757" t="s">
        <v>143</v>
      </c>
      <c r="J37" s="804" t="s">
        <v>26</v>
      </c>
      <c r="K37" s="770" t="s">
        <v>143</v>
      </c>
      <c r="L37" s="757" t="s">
        <v>26</v>
      </c>
      <c r="M37" s="757" t="s">
        <v>143</v>
      </c>
      <c r="N37" s="758" t="s">
        <v>26</v>
      </c>
    </row>
    <row r="38" spans="1:20" ht="17.5">
      <c r="A38" s="752">
        <v>1</v>
      </c>
      <c r="B38" s="814" t="s">
        <v>125</v>
      </c>
      <c r="C38" s="1603">
        <v>25660.649999999998</v>
      </c>
      <c r="D38" s="815">
        <v>20.392520168395869</v>
      </c>
      <c r="E38" s="1605">
        <v>14724.800000000001</v>
      </c>
      <c r="F38" s="816">
        <v>15.603712197542121</v>
      </c>
      <c r="G38" s="765"/>
      <c r="H38" s="754"/>
      <c r="I38" s="754"/>
      <c r="J38" s="759"/>
      <c r="K38" s="771">
        <v>1509.45</v>
      </c>
      <c r="L38" s="798">
        <v>1.1995600099056394</v>
      </c>
      <c r="M38" s="817">
        <v>1288.42</v>
      </c>
      <c r="N38" s="818">
        <v>1.3653248172849357</v>
      </c>
      <c r="O38" s="386"/>
      <c r="P38" s="386"/>
      <c r="R38" s="386"/>
      <c r="S38" s="386"/>
      <c r="T38" s="687"/>
    </row>
    <row r="39" spans="1:20" ht="17.5">
      <c r="A39" s="743">
        <v>2</v>
      </c>
      <c r="B39" s="791" t="s">
        <v>126</v>
      </c>
      <c r="C39" s="1604">
        <v>8522.1</v>
      </c>
      <c r="D39" s="675">
        <v>11.550671563608612</v>
      </c>
      <c r="E39" s="1606">
        <v>5417.6</v>
      </c>
      <c r="F39" s="813">
        <v>9.6796622774706513</v>
      </c>
      <c r="G39" s="793"/>
      <c r="H39" s="365"/>
      <c r="I39" s="365"/>
      <c r="J39" s="802"/>
      <c r="K39" s="773">
        <v>501.3</v>
      </c>
      <c r="L39" s="370">
        <v>0.67945126844756543</v>
      </c>
      <c r="M39" s="378">
        <v>474.04</v>
      </c>
      <c r="N39" s="811">
        <v>0.84697044927868204</v>
      </c>
      <c r="O39" s="386"/>
      <c r="P39" s="386"/>
      <c r="R39" s="386"/>
      <c r="S39" s="386"/>
      <c r="T39" s="687"/>
    </row>
    <row r="40" spans="1:20" ht="17.5">
      <c r="A40" s="743">
        <v>3</v>
      </c>
      <c r="B40" s="791" t="s">
        <v>127</v>
      </c>
      <c r="C40" s="1604">
        <v>5026.8999999999996</v>
      </c>
      <c r="D40" s="675">
        <v>8.8967199850207415</v>
      </c>
      <c r="E40" s="1606">
        <v>2194.4</v>
      </c>
      <c r="F40" s="813">
        <v>5.9200230437730781</v>
      </c>
      <c r="G40" s="793"/>
      <c r="H40" s="365"/>
      <c r="I40" s="368"/>
      <c r="J40" s="812"/>
      <c r="K40" s="773">
        <v>295.7</v>
      </c>
      <c r="L40" s="370">
        <v>0.52333646970710246</v>
      </c>
      <c r="M40" s="378">
        <v>192.01000000000002</v>
      </c>
      <c r="N40" s="811">
        <v>0.51800201633014431</v>
      </c>
      <c r="O40" s="386"/>
      <c r="P40" s="386"/>
      <c r="R40" s="386"/>
      <c r="S40" s="386"/>
      <c r="T40" s="687"/>
    </row>
    <row r="41" spans="1:20" ht="17.5">
      <c r="A41" s="743">
        <v>4</v>
      </c>
      <c r="B41" s="791">
        <v>4</v>
      </c>
      <c r="C41" s="1604">
        <v>1646.45</v>
      </c>
      <c r="D41" s="675">
        <v>4.8065179697197236</v>
      </c>
      <c r="E41" s="1606">
        <v>806.40000000000009</v>
      </c>
      <c r="F41" s="813">
        <v>2.6845163226813122</v>
      </c>
      <c r="G41" s="793"/>
      <c r="H41" s="365"/>
      <c r="I41" s="368"/>
      <c r="J41" s="812"/>
      <c r="K41" s="773">
        <v>96.850000000000009</v>
      </c>
      <c r="L41" s="370">
        <v>0.28273635115998375</v>
      </c>
      <c r="M41" s="378">
        <v>70.56</v>
      </c>
      <c r="N41" s="811">
        <v>0.23489517823461484</v>
      </c>
      <c r="O41" s="386"/>
      <c r="P41" s="386"/>
      <c r="R41" s="386"/>
      <c r="S41" s="386"/>
      <c r="T41" s="687"/>
    </row>
    <row r="42" spans="1:20" ht="17.5">
      <c r="A42" s="743">
        <v>5</v>
      </c>
      <c r="B42" s="789" t="s">
        <v>128</v>
      </c>
      <c r="C42" s="1604">
        <v>7360.15</v>
      </c>
      <c r="D42" s="675">
        <v>155.50456360847895</v>
      </c>
      <c r="E42" s="1606">
        <v>6996</v>
      </c>
      <c r="F42" s="813">
        <v>113.79781033171298</v>
      </c>
      <c r="G42" s="793"/>
      <c r="H42" s="365"/>
      <c r="I42" s="365"/>
      <c r="J42" s="802"/>
      <c r="K42" s="773">
        <v>432.95000000000005</v>
      </c>
      <c r="L42" s="370">
        <v>9.1473272710869988</v>
      </c>
      <c r="M42" s="378">
        <v>612.15000000000009</v>
      </c>
      <c r="N42" s="811">
        <v>9.9573084040248876</v>
      </c>
      <c r="O42" s="386"/>
      <c r="P42" s="386"/>
      <c r="R42" s="386"/>
      <c r="S42" s="386"/>
      <c r="T42" s="687"/>
    </row>
    <row r="43" spans="1:20" ht="18.5" thickBot="1">
      <c r="A43" s="786">
        <v>6</v>
      </c>
      <c r="B43" s="792" t="s">
        <v>145</v>
      </c>
      <c r="C43" s="1602">
        <f>SUM(C38:C42)</f>
        <v>48216.25</v>
      </c>
      <c r="D43" s="749">
        <f t="shared" ref="D43:M43" si="9">SUM(D38:D42)</f>
        <v>201.15099329522388</v>
      </c>
      <c r="E43" s="1140">
        <f t="shared" si="9"/>
        <v>30139.200000000004</v>
      </c>
      <c r="F43" s="777">
        <f t="shared" si="9"/>
        <v>147.68572417318015</v>
      </c>
      <c r="G43" s="794"/>
      <c r="H43" s="748"/>
      <c r="I43" s="748"/>
      <c r="J43" s="805"/>
      <c r="K43" s="776">
        <f t="shared" si="9"/>
        <v>2836.25</v>
      </c>
      <c r="L43" s="749">
        <f t="shared" si="9"/>
        <v>11.832411370307289</v>
      </c>
      <c r="M43" s="748">
        <f t="shared" si="9"/>
        <v>2637.1800000000003</v>
      </c>
      <c r="N43" s="777">
        <f>SUM(N38:N42)</f>
        <v>12.922500865153264</v>
      </c>
      <c r="O43" s="686"/>
      <c r="P43" s="686"/>
      <c r="R43" s="686"/>
      <c r="S43" s="686"/>
      <c r="T43" s="386"/>
    </row>
    <row r="44" spans="1:20" ht="17.5">
      <c r="A44" s="380"/>
      <c r="B44" s="373"/>
      <c r="C44" s="356"/>
      <c r="D44" s="356"/>
      <c r="F44" s="356"/>
      <c r="G44" s="356"/>
      <c r="H44" s="356"/>
      <c r="I44" s="356"/>
      <c r="J44" s="356"/>
    </row>
    <row r="45" spans="1:20">
      <c r="M45" s="386"/>
    </row>
    <row r="46" spans="1:20">
      <c r="M46" s="386"/>
      <c r="N46" s="386"/>
    </row>
    <row r="47" spans="1:20">
      <c r="M47" s="386"/>
      <c r="O47" s="681"/>
    </row>
    <row r="48" spans="1:20">
      <c r="L48" s="676"/>
      <c r="M48" s="678"/>
    </row>
    <row r="49" spans="3:13">
      <c r="L49" s="676"/>
      <c r="M49" s="678"/>
    </row>
    <row r="50" spans="3:13">
      <c r="I50" s="386"/>
      <c r="L50" s="676"/>
      <c r="M50" s="678"/>
    </row>
    <row r="51" spans="3:13">
      <c r="C51" s="358"/>
      <c r="D51" s="358"/>
    </row>
  </sheetData>
  <mergeCells count="20">
    <mergeCell ref="C35:F35"/>
    <mergeCell ref="B2:J2"/>
    <mergeCell ref="K35:N35"/>
    <mergeCell ref="C36:D36"/>
    <mergeCell ref="E36:F36"/>
    <mergeCell ref="G36:H36"/>
    <mergeCell ref="I36:J36"/>
    <mergeCell ref="K36:L36"/>
    <mergeCell ref="M36:N36"/>
    <mergeCell ref="G35:J35"/>
    <mergeCell ref="E19:G19"/>
    <mergeCell ref="E4:G4"/>
    <mergeCell ref="A5:A6"/>
    <mergeCell ref="B5:B6"/>
    <mergeCell ref="C5:C6"/>
    <mergeCell ref="D5:D6"/>
    <mergeCell ref="A20:A21"/>
    <mergeCell ref="B20:B21"/>
    <mergeCell ref="C20:C21"/>
    <mergeCell ref="D20:D21"/>
  </mergeCells>
  <printOptions horizontalCentered="1"/>
  <pageMargins left="0.39370078740157483" right="0" top="0.39370078740157483" bottom="0" header="0.11811023622047245" footer="0.11811023622047245"/>
  <pageSetup paperSize="9" scale="70" orientation="landscape" errors="blank" r:id="rId1"/>
  <headerFooter alignWithMargins="0">
    <oddFooter>&amp;R&amp;"Arial,Bold"&amp;12OERC FORM &amp;A</oddFooter>
  </headerFooter>
  <rowBreaks count="1" manualBreakCount="1">
    <brk id="34" max="1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0"/>
  <dimension ref="A1:AA99"/>
  <sheetViews>
    <sheetView showGridLines="0" view="pageBreakPreview" zoomScale="90" zoomScaleSheetLayoutView="90" workbookViewId="0">
      <selection activeCell="L17" sqref="L17"/>
    </sheetView>
  </sheetViews>
  <sheetFormatPr defaultRowHeight="12.5"/>
  <cols>
    <col min="1" max="1" width="25.81640625" customWidth="1"/>
    <col min="2" max="2" width="17" customWidth="1"/>
    <col min="3" max="3" width="18" customWidth="1"/>
    <col min="4" max="4" width="12.54296875" bestFit="1" customWidth="1"/>
    <col min="5" max="5" width="12.7265625" customWidth="1"/>
    <col min="6" max="6" width="14.7265625" customWidth="1"/>
    <col min="7" max="7" width="14.54296875" customWidth="1"/>
    <col min="8" max="8" width="12.7265625" customWidth="1"/>
    <col min="9" max="9" width="11.54296875" bestFit="1" customWidth="1"/>
    <col min="10" max="10" width="12.26953125" customWidth="1"/>
    <col min="11" max="12" width="12.81640625" customWidth="1"/>
    <col min="13" max="13" width="13" customWidth="1"/>
    <col min="25" max="25" width="11.453125" bestFit="1" customWidth="1"/>
    <col min="26" max="26" width="10.453125" bestFit="1" customWidth="1"/>
    <col min="27" max="27" width="11.453125" bestFit="1" customWidth="1"/>
  </cols>
  <sheetData>
    <row r="1" spans="1:14" ht="13">
      <c r="A1" s="20" t="s">
        <v>104</v>
      </c>
      <c r="K1" s="3" t="s">
        <v>0</v>
      </c>
      <c r="L1" s="2" t="s">
        <v>1072</v>
      </c>
    </row>
    <row r="2" spans="1:14" ht="13">
      <c r="A2" s="65" t="s">
        <v>1073</v>
      </c>
      <c r="B2" s="65"/>
      <c r="C2" s="65"/>
      <c r="D2" s="65"/>
      <c r="E2" s="65"/>
      <c r="F2" s="65"/>
      <c r="G2" s="65"/>
      <c r="H2" s="65"/>
      <c r="I2" s="65"/>
      <c r="J2" s="65"/>
      <c r="K2" s="65"/>
      <c r="L2" s="65"/>
      <c r="M2" s="65"/>
    </row>
    <row r="3" spans="1:14" ht="26.25" customHeight="1" thickBot="1">
      <c r="A3" s="2" t="s">
        <v>2087</v>
      </c>
      <c r="L3" s="2" t="s">
        <v>912</v>
      </c>
    </row>
    <row r="4" spans="1:14" ht="14.25" customHeight="1" thickBot="1">
      <c r="A4" s="78" t="s">
        <v>1074</v>
      </c>
      <c r="B4" s="79" t="s">
        <v>1075</v>
      </c>
      <c r="C4" s="80"/>
      <c r="D4" s="80"/>
      <c r="E4" s="80"/>
      <c r="F4" s="80"/>
      <c r="G4" s="80"/>
      <c r="H4" s="79" t="s">
        <v>685</v>
      </c>
      <c r="I4" s="80"/>
      <c r="J4" s="79"/>
      <c r="K4" s="79"/>
      <c r="L4" s="79" t="s">
        <v>1076</v>
      </c>
      <c r="M4" s="81"/>
      <c r="N4" s="64"/>
    </row>
    <row r="5" spans="1:14" ht="58.5" customHeight="1" thickBot="1">
      <c r="A5" s="82" t="s">
        <v>735</v>
      </c>
      <c r="B5" s="2113" t="s">
        <v>1077</v>
      </c>
      <c r="C5" s="2114"/>
      <c r="D5" s="2115"/>
      <c r="E5" s="83" t="s">
        <v>1078</v>
      </c>
      <c r="F5" s="83" t="s">
        <v>1079</v>
      </c>
      <c r="G5" s="83" t="s">
        <v>2366</v>
      </c>
      <c r="H5" s="83" t="s">
        <v>2367</v>
      </c>
      <c r="I5" s="83" t="s">
        <v>1080</v>
      </c>
      <c r="J5" s="83" t="s">
        <v>1081</v>
      </c>
      <c r="K5" s="83" t="s">
        <v>2368</v>
      </c>
      <c r="L5" s="83" t="s">
        <v>2369</v>
      </c>
      <c r="M5" s="84" t="s">
        <v>2370</v>
      </c>
      <c r="N5" s="64"/>
    </row>
    <row r="6" spans="1:14" ht="13">
      <c r="A6" s="77"/>
      <c r="B6" s="85" t="s">
        <v>1082</v>
      </c>
      <c r="C6" s="85" t="s">
        <v>1083</v>
      </c>
      <c r="D6" s="85" t="s">
        <v>145</v>
      </c>
      <c r="E6" s="77"/>
      <c r="F6" s="77"/>
      <c r="G6" s="77"/>
      <c r="H6" s="77"/>
      <c r="I6" s="77"/>
      <c r="J6" s="77"/>
      <c r="K6" s="77"/>
      <c r="L6" s="77"/>
      <c r="M6" s="77"/>
    </row>
    <row r="7" spans="1:14" ht="13">
      <c r="A7" s="28" t="s">
        <v>1084</v>
      </c>
      <c r="B7" s="23"/>
      <c r="C7" s="23"/>
      <c r="D7" s="23"/>
      <c r="E7" s="23"/>
      <c r="F7" s="23"/>
      <c r="G7" s="23"/>
      <c r="H7" s="23"/>
      <c r="I7" s="23"/>
      <c r="J7" s="23"/>
      <c r="K7" s="23"/>
      <c r="L7" s="23"/>
      <c r="M7" s="23"/>
    </row>
    <row r="8" spans="1:14" ht="13">
      <c r="A8" s="28" t="s">
        <v>1085</v>
      </c>
      <c r="B8" s="23"/>
      <c r="C8" s="23"/>
      <c r="D8" s="23"/>
      <c r="E8" s="23"/>
      <c r="F8" s="23"/>
      <c r="G8" s="23"/>
      <c r="H8" s="23"/>
      <c r="I8" s="23"/>
      <c r="J8" s="23"/>
      <c r="K8" s="23"/>
      <c r="L8" s="23"/>
      <c r="M8" s="23"/>
    </row>
    <row r="9" spans="1:14">
      <c r="A9" s="23" t="s">
        <v>1086</v>
      </c>
      <c r="B9" s="23"/>
      <c r="C9" s="23"/>
      <c r="D9" s="23"/>
      <c r="E9" s="23"/>
      <c r="F9" s="23"/>
      <c r="G9" s="23"/>
      <c r="H9" s="23"/>
      <c r="I9" s="23"/>
      <c r="J9" s="23"/>
      <c r="K9" s="23"/>
      <c r="L9" s="23"/>
      <c r="M9" s="23"/>
    </row>
    <row r="10" spans="1:14">
      <c r="A10" s="23" t="s">
        <v>1087</v>
      </c>
      <c r="B10" s="23"/>
      <c r="C10" s="23"/>
      <c r="D10" s="23"/>
      <c r="E10" s="23"/>
      <c r="F10" s="23"/>
      <c r="G10" s="23"/>
      <c r="H10" s="23"/>
      <c r="I10" s="23"/>
      <c r="J10" s="23"/>
      <c r="K10" s="23"/>
      <c r="L10" s="23"/>
      <c r="M10" s="23"/>
    </row>
    <row r="11" spans="1:14">
      <c r="A11" s="23" t="s">
        <v>1088</v>
      </c>
      <c r="B11" s="23"/>
      <c r="C11" s="23"/>
      <c r="D11" s="23"/>
      <c r="E11" s="23"/>
      <c r="F11" s="23"/>
      <c r="G11" s="23"/>
      <c r="H11" s="23"/>
      <c r="I11" s="23"/>
      <c r="J11" s="23"/>
      <c r="K11" s="23"/>
      <c r="L11" s="23"/>
      <c r="M11" s="23"/>
    </row>
    <row r="12" spans="1:14">
      <c r="A12" s="23" t="s">
        <v>1089</v>
      </c>
      <c r="B12" s="23"/>
      <c r="C12" s="23"/>
      <c r="D12" s="23"/>
      <c r="E12" s="23"/>
      <c r="F12" s="23"/>
      <c r="G12" s="23"/>
      <c r="H12" s="23"/>
      <c r="I12" s="23"/>
      <c r="J12" s="23"/>
      <c r="K12" s="23"/>
      <c r="L12" s="23"/>
      <c r="M12" s="23"/>
    </row>
    <row r="13" spans="1:14">
      <c r="A13" s="23" t="s">
        <v>1090</v>
      </c>
      <c r="B13" s="23"/>
      <c r="C13" s="23"/>
      <c r="D13" s="23"/>
      <c r="E13" s="23"/>
      <c r="F13" s="23"/>
      <c r="G13" s="23"/>
      <c r="H13" s="23"/>
      <c r="I13" s="23"/>
      <c r="J13" s="23"/>
      <c r="K13" s="23"/>
      <c r="L13" s="23"/>
      <c r="M13" s="23"/>
    </row>
    <row r="14" spans="1:14">
      <c r="A14" s="23" t="s">
        <v>1091</v>
      </c>
      <c r="B14" s="23"/>
      <c r="C14" s="23"/>
      <c r="D14" s="23"/>
      <c r="E14" s="23"/>
      <c r="F14" s="23"/>
      <c r="G14" s="23"/>
      <c r="H14" s="23"/>
      <c r="I14" s="23"/>
      <c r="J14" s="23"/>
      <c r="K14" s="23"/>
      <c r="L14" s="23"/>
      <c r="M14" s="23"/>
    </row>
    <row r="15" spans="1:14">
      <c r="A15" s="23" t="s">
        <v>1092</v>
      </c>
      <c r="B15" s="23"/>
      <c r="C15" s="23"/>
      <c r="D15" s="23"/>
      <c r="E15" s="23"/>
      <c r="F15" s="23"/>
      <c r="G15" s="23"/>
      <c r="H15" s="23"/>
      <c r="I15" s="23"/>
      <c r="J15" s="23"/>
      <c r="K15" s="23"/>
      <c r="L15" s="23"/>
      <c r="M15" s="23"/>
    </row>
    <row r="16" spans="1:14" ht="25">
      <c r="A16" s="66" t="s">
        <v>1093</v>
      </c>
      <c r="B16" s="23"/>
      <c r="C16" s="23"/>
      <c r="D16" s="23"/>
      <c r="E16" s="23"/>
      <c r="F16" s="23"/>
      <c r="G16" s="23"/>
      <c r="H16" s="23"/>
      <c r="I16" s="23"/>
      <c r="J16" s="23"/>
      <c r="K16" s="23"/>
      <c r="L16" s="23"/>
      <c r="M16" s="23"/>
    </row>
    <row r="17" spans="1:27">
      <c r="A17" s="23" t="s">
        <v>1094</v>
      </c>
      <c r="B17" s="23"/>
      <c r="C17" s="23"/>
      <c r="D17" s="23"/>
      <c r="E17" s="23"/>
      <c r="F17" s="23"/>
      <c r="G17" s="23"/>
      <c r="H17" s="23"/>
      <c r="I17" s="23"/>
      <c r="J17" s="23"/>
      <c r="K17" s="23"/>
      <c r="L17" s="23"/>
      <c r="M17" s="23"/>
      <c r="T17" t="s">
        <v>1088</v>
      </c>
      <c r="Y17">
        <v>54597943</v>
      </c>
      <c r="Z17">
        <v>640555</v>
      </c>
      <c r="AA17">
        <f>(Y17+Z17)/100000</f>
        <v>552.38498000000004</v>
      </c>
    </row>
    <row r="18" spans="1:27">
      <c r="A18" s="23" t="s">
        <v>1095</v>
      </c>
      <c r="B18" s="23"/>
      <c r="C18" s="23"/>
      <c r="D18" s="23"/>
      <c r="E18" s="23"/>
      <c r="F18" s="23"/>
      <c r="G18" s="23"/>
      <c r="H18" s="23"/>
      <c r="I18" s="23"/>
      <c r="J18" s="23"/>
      <c r="K18" s="23"/>
      <c r="L18" s="23"/>
      <c r="M18" s="23"/>
      <c r="AA18">
        <f t="shared" ref="AA18:AA26" si="0">(Y18+Z18)/100000</f>
        <v>0</v>
      </c>
    </row>
    <row r="19" spans="1:27">
      <c r="A19" s="23" t="s">
        <v>1096</v>
      </c>
      <c r="B19" s="23"/>
      <c r="C19" s="23"/>
      <c r="D19" s="23"/>
      <c r="E19" s="23"/>
      <c r="F19" s="23"/>
      <c r="G19" s="23"/>
      <c r="H19" s="23"/>
      <c r="I19" s="23"/>
      <c r="J19" s="23"/>
      <c r="K19" s="23"/>
      <c r="L19" s="23"/>
      <c r="M19" s="23"/>
      <c r="T19" t="s">
        <v>1097</v>
      </c>
      <c r="Y19">
        <v>6145817798</v>
      </c>
      <c r="Z19">
        <v>161760718</v>
      </c>
      <c r="AA19">
        <f t="shared" si="0"/>
        <v>63075.785159999999</v>
      </c>
    </row>
    <row r="20" spans="1:27" ht="13">
      <c r="A20" s="28" t="s">
        <v>1098</v>
      </c>
      <c r="B20" s="23"/>
      <c r="C20" s="23"/>
      <c r="D20" s="23"/>
      <c r="E20" s="23"/>
      <c r="F20" s="23"/>
      <c r="G20" s="23"/>
      <c r="H20" s="23"/>
      <c r="I20" s="23"/>
      <c r="J20" s="23"/>
      <c r="K20" s="23"/>
      <c r="L20" s="23"/>
      <c r="M20" s="23"/>
      <c r="AA20">
        <f t="shared" si="0"/>
        <v>0</v>
      </c>
    </row>
    <row r="21" spans="1:27">
      <c r="A21" s="23" t="s">
        <v>1099</v>
      </c>
      <c r="B21" s="23"/>
      <c r="C21" s="23"/>
      <c r="D21" s="23"/>
      <c r="E21" s="23"/>
      <c r="F21" s="23"/>
      <c r="G21" s="23"/>
      <c r="H21" s="23"/>
      <c r="I21" s="23"/>
      <c r="J21" s="23"/>
      <c r="K21" s="23"/>
      <c r="L21" s="23"/>
      <c r="M21" s="23"/>
      <c r="T21" t="s">
        <v>1094</v>
      </c>
      <c r="Y21">
        <v>4053134</v>
      </c>
      <c r="Z21" s="491">
        <v>78749</v>
      </c>
      <c r="AA21">
        <f t="shared" si="0"/>
        <v>41.318829999999998</v>
      </c>
    </row>
    <row r="22" spans="1:27" ht="13">
      <c r="A22" s="23" t="s">
        <v>1086</v>
      </c>
      <c r="B22" s="36">
        <f>DEPCAL!G33</f>
        <v>0</v>
      </c>
      <c r="C22" s="23"/>
      <c r="D22" s="37">
        <f>C22+B22</f>
        <v>0</v>
      </c>
      <c r="E22" s="36">
        <f>DEPCAL!H20</f>
        <v>0</v>
      </c>
      <c r="F22" s="36">
        <v>0</v>
      </c>
      <c r="G22" s="37">
        <f>D22+E22-F22</f>
        <v>0</v>
      </c>
      <c r="H22" s="36">
        <v>0</v>
      </c>
      <c r="I22" s="36">
        <f>DEPCAL!H56</f>
        <v>0</v>
      </c>
      <c r="J22" s="36">
        <v>0</v>
      </c>
      <c r="K22" s="37">
        <f>H22+I22-J22</f>
        <v>0</v>
      </c>
      <c r="L22" s="37">
        <f>G22-K22</f>
        <v>0</v>
      </c>
      <c r="M22" s="37">
        <f>D22-H22</f>
        <v>0</v>
      </c>
      <c r="AA22">
        <f t="shared" si="0"/>
        <v>0</v>
      </c>
    </row>
    <row r="23" spans="1:27" ht="13">
      <c r="A23" s="23" t="s">
        <v>1087</v>
      </c>
      <c r="B23" s="36"/>
      <c r="C23" s="23"/>
      <c r="D23" s="37"/>
      <c r="E23" s="36"/>
      <c r="F23" s="36"/>
      <c r="G23" s="37"/>
      <c r="H23" s="36"/>
      <c r="I23" s="36"/>
      <c r="J23" s="36"/>
      <c r="K23" s="37"/>
      <c r="L23" s="37"/>
      <c r="M23" s="37"/>
      <c r="T23" t="s">
        <v>1100</v>
      </c>
      <c r="Y23">
        <v>16420125</v>
      </c>
      <c r="Z23">
        <v>161163</v>
      </c>
      <c r="AA23">
        <f t="shared" si="0"/>
        <v>165.81288000000001</v>
      </c>
    </row>
    <row r="24" spans="1:27" ht="13">
      <c r="A24" s="23" t="s">
        <v>1088</v>
      </c>
      <c r="B24" s="36">
        <f>DEPCAL!G34</f>
        <v>12181.5956924</v>
      </c>
      <c r="C24" s="23"/>
      <c r="D24" s="37">
        <f>C24+B24</f>
        <v>12181.5956924</v>
      </c>
      <c r="E24" s="36">
        <f>DEPCAL!H21</f>
        <v>24.427500000000293</v>
      </c>
      <c r="F24" s="36">
        <v>0</v>
      </c>
      <c r="G24" s="37">
        <f>D24+E24-F24</f>
        <v>12206.0231924</v>
      </c>
      <c r="H24" s="36">
        <f>77853966.8960151/10^5</f>
        <v>778.53966896015095</v>
      </c>
      <c r="I24" s="36">
        <f>DEPCAL!H57</f>
        <v>382.60066386025994</v>
      </c>
      <c r="J24" s="36">
        <v>0</v>
      </c>
      <c r="K24" s="37">
        <f>H24+I24-J24</f>
        <v>1161.140332820411</v>
      </c>
      <c r="L24" s="37">
        <f>G24-K24</f>
        <v>11044.882859579589</v>
      </c>
      <c r="M24" s="37">
        <f>D24-H24</f>
        <v>11403.056023439849</v>
      </c>
      <c r="AA24">
        <f t="shared" si="0"/>
        <v>0</v>
      </c>
    </row>
    <row r="25" spans="1:27" ht="13">
      <c r="A25" s="23" t="s">
        <v>1089</v>
      </c>
      <c r="B25" s="36"/>
      <c r="C25" s="23"/>
      <c r="D25" s="37"/>
      <c r="E25" s="36"/>
      <c r="F25" s="36"/>
      <c r="G25" s="37"/>
      <c r="H25" s="36"/>
      <c r="I25" s="36"/>
      <c r="J25" s="36"/>
      <c r="K25" s="37"/>
      <c r="L25" s="37"/>
      <c r="M25" s="37"/>
      <c r="T25" t="s">
        <v>1096</v>
      </c>
      <c r="Y25">
        <v>46131018</v>
      </c>
      <c r="Z25">
        <v>1324435</v>
      </c>
      <c r="AA25">
        <f t="shared" si="0"/>
        <v>474.55453</v>
      </c>
    </row>
    <row r="26" spans="1:27" ht="13">
      <c r="A26" s="343" t="s">
        <v>2206</v>
      </c>
      <c r="B26" s="36">
        <f>DEPCAL!G35</f>
        <v>89839.839790550002</v>
      </c>
      <c r="C26" s="23"/>
      <c r="D26" s="37">
        <f t="shared" ref="D26:D32" si="1">C26+B26</f>
        <v>89839.839790550002</v>
      </c>
      <c r="E26" s="36">
        <f>DEPCAL!H22</f>
        <v>90850.036510792881</v>
      </c>
      <c r="F26" s="36">
        <v>0</v>
      </c>
      <c r="G26" s="37">
        <f>D26+E26-F26</f>
        <v>180689.87630134288</v>
      </c>
      <c r="H26" s="36">
        <f>8020604109.03011/10^5-H27</f>
        <v>28072.114381605388</v>
      </c>
      <c r="I26" s="36">
        <f>DEPCAL!H58</f>
        <v>5774.7117534055287</v>
      </c>
      <c r="J26" s="36">
        <v>0</v>
      </c>
      <c r="K26" s="37">
        <f>H26+I26-J26</f>
        <v>33846.826135010917</v>
      </c>
      <c r="L26" s="37">
        <f>G26-K26</f>
        <v>146843.05016633196</v>
      </c>
      <c r="M26" s="37">
        <f>D26-H26</f>
        <v>61767.725408944614</v>
      </c>
      <c r="AA26">
        <f t="shared" si="0"/>
        <v>0</v>
      </c>
    </row>
    <row r="27" spans="1:27" ht="13">
      <c r="A27" s="23" t="s">
        <v>1091</v>
      </c>
      <c r="B27" s="36">
        <f>DEPCAL!G36</f>
        <v>182530.47437024998</v>
      </c>
      <c r="C27" s="23"/>
      <c r="D27" s="37">
        <f t="shared" si="1"/>
        <v>182530.47437024998</v>
      </c>
      <c r="E27" s="36">
        <f>DEPCAL!H23</f>
        <v>0</v>
      </c>
      <c r="F27" s="36">
        <v>0</v>
      </c>
      <c r="G27" s="37">
        <f>D27+E27-F27</f>
        <v>182530.47437024998</v>
      </c>
      <c r="H27" s="36">
        <f>8020604109.03011/10^5*65%</f>
        <v>52133.926708695719</v>
      </c>
      <c r="I27" s="36">
        <f>DEPCAL!H59</f>
        <v>7380.8499339107839</v>
      </c>
      <c r="J27" s="36"/>
      <c r="K27" s="37">
        <f>H27+I27-J27</f>
        <v>59514.776642606506</v>
      </c>
      <c r="L27" s="37">
        <f>G27-K27</f>
        <v>123015.69772764348</v>
      </c>
      <c r="M27" s="37">
        <f>D27-H27</f>
        <v>130396.54766155427</v>
      </c>
      <c r="Y27">
        <f>SUM(Y17:Y26)</f>
        <v>6267020018</v>
      </c>
      <c r="Z27">
        <f t="shared" ref="Z27:AA27" si="2">SUM(Z17:Z26)</f>
        <v>163965620</v>
      </c>
      <c r="AA27">
        <f t="shared" si="2"/>
        <v>64309.856379999997</v>
      </c>
    </row>
    <row r="28" spans="1:27" ht="13">
      <c r="A28" s="66" t="s">
        <v>1092</v>
      </c>
      <c r="B28" s="36"/>
      <c r="C28" s="23"/>
      <c r="D28" s="37"/>
      <c r="E28" s="36"/>
      <c r="F28" s="36"/>
      <c r="G28" s="37"/>
      <c r="H28" s="36"/>
      <c r="I28" s="36"/>
      <c r="J28" s="36"/>
      <c r="K28" s="37"/>
      <c r="L28" s="37"/>
      <c r="M28" s="37"/>
    </row>
    <row r="29" spans="1:27" ht="25.5">
      <c r="A29" s="66" t="s">
        <v>1093</v>
      </c>
      <c r="B29" s="36"/>
      <c r="C29" s="23"/>
      <c r="D29" s="37"/>
      <c r="E29" s="36"/>
      <c r="F29" s="36"/>
      <c r="G29" s="37"/>
      <c r="H29" s="36"/>
      <c r="I29" s="36"/>
      <c r="J29" s="36"/>
      <c r="K29" s="37"/>
      <c r="L29" s="37"/>
      <c r="M29" s="37"/>
    </row>
    <row r="30" spans="1:27" ht="13">
      <c r="A30" s="23" t="s">
        <v>1094</v>
      </c>
      <c r="B30" s="36">
        <f>DEPCAL!G38*0</f>
        <v>0</v>
      </c>
      <c r="C30" s="36">
        <f>DEPCAL!G38</f>
        <v>554.85407650000002</v>
      </c>
      <c r="D30" s="37">
        <f t="shared" si="1"/>
        <v>554.85407650000002</v>
      </c>
      <c r="E30" s="36">
        <f>DEPCAL!H25</f>
        <v>50</v>
      </c>
      <c r="F30" s="36">
        <v>0</v>
      </c>
      <c r="G30" s="37">
        <f>D30+E30-F30</f>
        <v>604.85407650000002</v>
      </c>
      <c r="H30" s="36">
        <f>6045991.83897205/10^5</f>
        <v>60.459918389720499</v>
      </c>
      <c r="I30" s="36">
        <f>DEPCAL!H61</f>
        <v>56.701195741900008</v>
      </c>
      <c r="J30" s="36">
        <v>0</v>
      </c>
      <c r="K30" s="37">
        <f>H30+I30-J30</f>
        <v>117.16111413162051</v>
      </c>
      <c r="L30" s="37">
        <f>G30-K30</f>
        <v>487.69296236837954</v>
      </c>
      <c r="M30" s="37">
        <f>D30-H30</f>
        <v>494.39415811027953</v>
      </c>
    </row>
    <row r="31" spans="1:27" ht="13">
      <c r="A31" s="23" t="s">
        <v>1101</v>
      </c>
      <c r="B31" s="36">
        <f>DEPCAL!G37</f>
        <v>882.09372299999995</v>
      </c>
      <c r="C31" s="23"/>
      <c r="D31" s="37">
        <f t="shared" si="1"/>
        <v>882.09372299999995</v>
      </c>
      <c r="E31" s="36">
        <f>DEPCAL!H24</f>
        <v>100</v>
      </c>
      <c r="F31" s="36">
        <v>0</v>
      </c>
      <c r="G31" s="37">
        <f>D31+E31-F31</f>
        <v>982.09372299999995</v>
      </c>
      <c r="H31" s="36">
        <f>21608971.6718675/10^5</f>
        <v>216.08971671867502</v>
      </c>
      <c r="I31" s="36">
        <f>DEPCAL!H60</f>
        <v>55.410234448859988</v>
      </c>
      <c r="J31" s="36">
        <v>0</v>
      </c>
      <c r="K31" s="37">
        <f>H31+I31-J31</f>
        <v>271.49995116753502</v>
      </c>
      <c r="L31" s="37">
        <f>G31-K31</f>
        <v>710.59377183246488</v>
      </c>
      <c r="M31" s="37">
        <f>D31-H31</f>
        <v>666.00400628132491</v>
      </c>
    </row>
    <row r="32" spans="1:27" ht="13">
      <c r="A32" s="343" t="s">
        <v>2205</v>
      </c>
      <c r="B32" s="36">
        <f>DEPCAL!G39+DEPCAL!G40+DEPCAL!G41</f>
        <v>13595.909774</v>
      </c>
      <c r="C32" s="23"/>
      <c r="D32" s="37">
        <f t="shared" si="1"/>
        <v>13595.909774</v>
      </c>
      <c r="E32" s="36">
        <f>DEPCAL!H26+DEPCAL!H27+DEPCAL!H28</f>
        <v>80.003180600000007</v>
      </c>
      <c r="F32" s="36">
        <v>0</v>
      </c>
      <c r="G32" s="37">
        <f>D32+E32-F32</f>
        <v>13675.9129546</v>
      </c>
      <c r="H32" s="36">
        <f>217487491.374496/10^5</f>
        <v>2174.8749137449599</v>
      </c>
      <c r="I32" s="36">
        <f>DEPCAL!H62+DEPCAL!H63+DEPCAL!H64</f>
        <v>2047.4987811650399</v>
      </c>
      <c r="J32" s="36">
        <v>0</v>
      </c>
      <c r="K32" s="37">
        <f>H32+I32-J32</f>
        <v>4222.3736949100003</v>
      </c>
      <c r="L32" s="37">
        <f>G32-K32</f>
        <v>9453.5392596900001</v>
      </c>
      <c r="M32" s="37">
        <f>D32-H32</f>
        <v>11421.03486025504</v>
      </c>
    </row>
    <row r="33" spans="1:13" ht="13">
      <c r="A33" s="71" t="s">
        <v>145</v>
      </c>
      <c r="B33" s="37">
        <f t="shared" ref="B33:M33" si="3">SUM(B21:B32)</f>
        <v>299029.91335019999</v>
      </c>
      <c r="C33" s="37">
        <f t="shared" si="3"/>
        <v>554.85407650000002</v>
      </c>
      <c r="D33" s="37">
        <f t="shared" si="3"/>
        <v>299584.76742669998</v>
      </c>
      <c r="E33" s="37">
        <f t="shared" si="3"/>
        <v>91104.467191392891</v>
      </c>
      <c r="F33" s="37">
        <f t="shared" si="3"/>
        <v>0</v>
      </c>
      <c r="G33" s="37">
        <f t="shared" si="3"/>
        <v>390689.23461809289</v>
      </c>
      <c r="H33" s="37">
        <f t="shared" si="3"/>
        <v>83436.005308114618</v>
      </c>
      <c r="I33" s="37">
        <f t="shared" si="3"/>
        <v>15697.772562532373</v>
      </c>
      <c r="J33" s="37">
        <f t="shared" si="3"/>
        <v>0</v>
      </c>
      <c r="K33" s="37">
        <f t="shared" si="3"/>
        <v>99133.777870646998</v>
      </c>
      <c r="L33" s="37">
        <f t="shared" si="3"/>
        <v>291555.4567474458</v>
      </c>
      <c r="M33" s="37">
        <f t="shared" si="3"/>
        <v>216148.76211858541</v>
      </c>
    </row>
    <row r="34" spans="1:13" ht="13">
      <c r="A34" s="28" t="s">
        <v>1102</v>
      </c>
      <c r="B34" s="23"/>
      <c r="C34" s="23"/>
      <c r="D34" s="23"/>
      <c r="E34" s="23"/>
      <c r="F34" s="23"/>
      <c r="G34" s="23"/>
      <c r="H34" s="23"/>
      <c r="I34" s="23"/>
      <c r="J34" s="23"/>
      <c r="K34" s="36"/>
      <c r="L34" s="36"/>
      <c r="M34" s="36"/>
    </row>
    <row r="35" spans="1:13">
      <c r="A35" s="23"/>
      <c r="B35" s="23"/>
      <c r="C35" s="23"/>
      <c r="D35" s="23"/>
      <c r="E35" s="23"/>
      <c r="F35" s="23"/>
      <c r="G35" s="23"/>
      <c r="H35" s="36"/>
      <c r="I35" s="23"/>
      <c r="J35" s="23"/>
      <c r="K35" s="36"/>
      <c r="L35" s="36"/>
      <c r="M35" s="36"/>
    </row>
    <row r="36" spans="1:13">
      <c r="A36" s="23" t="s">
        <v>1085</v>
      </c>
      <c r="B36" s="23"/>
      <c r="C36" s="23"/>
      <c r="D36" s="23"/>
      <c r="E36" s="23"/>
      <c r="F36" s="23"/>
      <c r="G36" s="23"/>
      <c r="H36" s="23"/>
      <c r="I36" s="23"/>
      <c r="J36" s="23"/>
      <c r="K36" s="23"/>
      <c r="L36" s="23"/>
      <c r="M36" s="23"/>
    </row>
    <row r="37" spans="1:13">
      <c r="A37" s="23" t="s">
        <v>1086</v>
      </c>
      <c r="B37" s="23"/>
      <c r="C37" s="23"/>
      <c r="D37" s="23"/>
      <c r="E37" s="23"/>
      <c r="F37" s="23"/>
      <c r="G37" s="23"/>
      <c r="H37" s="23"/>
      <c r="I37" s="23"/>
      <c r="J37" s="23"/>
      <c r="K37" s="23"/>
      <c r="L37" s="23"/>
      <c r="M37" s="23"/>
    </row>
    <row r="38" spans="1:13">
      <c r="A38" s="23" t="s">
        <v>1087</v>
      </c>
      <c r="B38" s="23"/>
      <c r="C38" s="23"/>
      <c r="D38" s="23"/>
      <c r="E38" s="23"/>
      <c r="F38" s="23"/>
      <c r="G38" s="23"/>
      <c r="H38" s="23"/>
      <c r="I38" s="23"/>
      <c r="J38" s="23"/>
      <c r="K38" s="23"/>
      <c r="L38" s="23"/>
      <c r="M38" s="23"/>
    </row>
    <row r="39" spans="1:13">
      <c r="A39" s="23" t="s">
        <v>1088</v>
      </c>
      <c r="B39" s="23"/>
      <c r="C39" s="23"/>
      <c r="D39" s="23"/>
      <c r="E39" s="23"/>
      <c r="F39" s="23"/>
      <c r="G39" s="23"/>
      <c r="H39" s="23"/>
      <c r="I39" s="23"/>
      <c r="J39" s="23"/>
      <c r="K39" s="23"/>
      <c r="L39" s="23"/>
      <c r="M39" s="23"/>
    </row>
    <row r="40" spans="1:13">
      <c r="A40" s="23" t="s">
        <v>1089</v>
      </c>
      <c r="B40" s="23"/>
      <c r="C40" s="23"/>
      <c r="D40" s="23"/>
      <c r="E40" s="23"/>
      <c r="F40" s="23"/>
      <c r="G40" s="23"/>
      <c r="H40" s="23"/>
      <c r="I40" s="23"/>
      <c r="J40" s="23"/>
      <c r="K40" s="23"/>
      <c r="L40" s="23"/>
      <c r="M40" s="23"/>
    </row>
    <row r="41" spans="1:13">
      <c r="A41" s="23" t="s">
        <v>1103</v>
      </c>
      <c r="B41" s="23"/>
      <c r="C41" s="23"/>
      <c r="D41" s="23"/>
      <c r="E41" s="23"/>
      <c r="F41" s="23"/>
      <c r="G41" s="23"/>
      <c r="H41" s="23"/>
      <c r="I41" s="23"/>
      <c r="J41" s="23"/>
      <c r="K41" s="23"/>
      <c r="L41" s="23"/>
      <c r="M41" s="23"/>
    </row>
    <row r="42" spans="1:13">
      <c r="A42" s="23" t="s">
        <v>1095</v>
      </c>
      <c r="B42" s="23"/>
      <c r="C42" s="23"/>
      <c r="D42" s="23"/>
      <c r="E42" s="23"/>
      <c r="F42" s="23"/>
      <c r="G42" s="23"/>
      <c r="H42" s="23"/>
      <c r="I42" s="23"/>
      <c r="J42" s="23"/>
      <c r="K42" s="23"/>
      <c r="L42" s="23"/>
      <c r="M42" s="23"/>
    </row>
    <row r="43" spans="1:13">
      <c r="A43" s="343" t="s">
        <v>2205</v>
      </c>
      <c r="B43" s="23"/>
      <c r="C43" s="23"/>
      <c r="D43" s="23"/>
      <c r="E43" s="23"/>
      <c r="F43" s="23"/>
      <c r="G43" s="23"/>
      <c r="H43" s="23"/>
      <c r="I43" s="23"/>
      <c r="J43" s="23"/>
      <c r="K43" s="23"/>
      <c r="L43" s="23"/>
      <c r="M43" s="23"/>
    </row>
    <row r="44" spans="1:13">
      <c r="A44" s="23" t="s">
        <v>1094</v>
      </c>
      <c r="B44" s="23"/>
      <c r="C44" s="23"/>
      <c r="D44" s="23"/>
      <c r="E44" s="23"/>
      <c r="F44" s="23"/>
      <c r="G44" s="23"/>
      <c r="H44" s="23"/>
      <c r="I44" s="23"/>
      <c r="J44" s="23"/>
      <c r="K44" s="23"/>
      <c r="L44" s="23"/>
      <c r="M44" s="23"/>
    </row>
    <row r="45" spans="1:13" ht="25">
      <c r="A45" s="66" t="s">
        <v>1104</v>
      </c>
      <c r="B45" s="23"/>
      <c r="C45" s="23"/>
      <c r="D45" s="23"/>
      <c r="E45" s="23"/>
      <c r="F45" s="23"/>
      <c r="G45" s="23"/>
      <c r="H45" s="23"/>
      <c r="I45" s="23"/>
      <c r="J45" s="23"/>
      <c r="K45" s="23"/>
      <c r="L45" s="23"/>
      <c r="M45" s="23"/>
    </row>
    <row r="46" spans="1:13">
      <c r="A46" s="23" t="s">
        <v>1105</v>
      </c>
      <c r="B46" s="23"/>
      <c r="C46" s="23"/>
      <c r="D46" s="23"/>
      <c r="E46" s="23"/>
      <c r="F46" s="23"/>
      <c r="G46" s="23"/>
      <c r="H46" s="23"/>
      <c r="I46" s="23"/>
      <c r="J46" s="23"/>
      <c r="K46" s="23"/>
      <c r="L46" s="23"/>
      <c r="M46" s="23"/>
    </row>
    <row r="47" spans="1:13">
      <c r="A47" s="23" t="s">
        <v>1106</v>
      </c>
      <c r="B47" s="23"/>
      <c r="C47" s="23"/>
      <c r="D47" s="23"/>
      <c r="E47" s="23"/>
      <c r="F47" s="23"/>
      <c r="G47" s="23"/>
      <c r="H47" s="23"/>
      <c r="I47" s="23"/>
      <c r="J47" s="23"/>
      <c r="K47" s="23"/>
      <c r="L47" s="23"/>
      <c r="M47" s="23"/>
    </row>
    <row r="48" spans="1:13" ht="13">
      <c r="A48" s="2" t="s">
        <v>1107</v>
      </c>
    </row>
    <row r="49" spans="1:13">
      <c r="B49" t="s">
        <v>1108</v>
      </c>
    </row>
    <row r="50" spans="1:13">
      <c r="A50" t="s">
        <v>29</v>
      </c>
    </row>
    <row r="51" spans="1:13" ht="13">
      <c r="A51" s="20" t="s">
        <v>104</v>
      </c>
      <c r="K51" s="3" t="s">
        <v>0</v>
      </c>
      <c r="L51" s="2" t="s">
        <v>1072</v>
      </c>
    </row>
    <row r="52" spans="1:13" ht="13">
      <c r="A52" s="65" t="s">
        <v>1073</v>
      </c>
      <c r="B52" s="65"/>
      <c r="C52" s="65"/>
      <c r="D52" s="65"/>
      <c r="E52" s="65"/>
      <c r="F52" s="65"/>
      <c r="G52" s="65"/>
      <c r="H52" s="65"/>
      <c r="I52" s="65"/>
      <c r="J52" s="65"/>
      <c r="K52" s="65"/>
      <c r="L52" s="65"/>
      <c r="M52" s="65"/>
    </row>
    <row r="53" spans="1:13" ht="13.5" thickBot="1">
      <c r="A53" s="2" t="s">
        <v>2360</v>
      </c>
      <c r="L53" s="2" t="s">
        <v>912</v>
      </c>
    </row>
    <row r="54" spans="1:13" ht="13.5" thickBot="1">
      <c r="A54" s="78" t="s">
        <v>1074</v>
      </c>
      <c r="B54" s="79" t="s">
        <v>1075</v>
      </c>
      <c r="C54" s="80"/>
      <c r="D54" s="80"/>
      <c r="E54" s="80"/>
      <c r="F54" s="80"/>
      <c r="G54" s="80"/>
      <c r="H54" s="79" t="s">
        <v>685</v>
      </c>
      <c r="I54" s="80"/>
      <c r="J54" s="79"/>
      <c r="K54" s="79"/>
      <c r="L54" s="79" t="s">
        <v>1076</v>
      </c>
      <c r="M54" s="81"/>
    </row>
    <row r="55" spans="1:13" ht="52.5" thickBot="1">
      <c r="A55" s="82" t="s">
        <v>735</v>
      </c>
      <c r="B55" s="2113" t="s">
        <v>1109</v>
      </c>
      <c r="C55" s="2114"/>
      <c r="D55" s="2115"/>
      <c r="E55" s="83" t="s">
        <v>1078</v>
      </c>
      <c r="F55" s="83" t="s">
        <v>1079</v>
      </c>
      <c r="G55" s="83" t="s">
        <v>2361</v>
      </c>
      <c r="H55" s="83" t="s">
        <v>2362</v>
      </c>
      <c r="I55" s="83" t="s">
        <v>1080</v>
      </c>
      <c r="J55" s="83" t="s">
        <v>1081</v>
      </c>
      <c r="K55" s="83" t="s">
        <v>2363</v>
      </c>
      <c r="L55" s="83" t="s">
        <v>2364</v>
      </c>
      <c r="M55" s="84" t="s">
        <v>2365</v>
      </c>
    </row>
    <row r="56" spans="1:13" ht="13">
      <c r="A56" s="77"/>
      <c r="B56" s="85" t="s">
        <v>1082</v>
      </c>
      <c r="C56" s="85" t="s">
        <v>1083</v>
      </c>
      <c r="D56" s="85" t="s">
        <v>145</v>
      </c>
      <c r="E56" s="77"/>
      <c r="F56" s="77"/>
      <c r="G56" s="77"/>
      <c r="H56" s="77"/>
      <c r="I56" s="77"/>
      <c r="J56" s="77"/>
      <c r="K56" s="77"/>
      <c r="L56" s="77"/>
      <c r="M56" s="77"/>
    </row>
    <row r="57" spans="1:13" ht="13">
      <c r="A57" s="28" t="s">
        <v>1084</v>
      </c>
      <c r="B57" s="23"/>
      <c r="C57" s="23"/>
      <c r="D57" s="23"/>
      <c r="E57" s="23"/>
      <c r="F57" s="23"/>
      <c r="G57" s="23"/>
      <c r="H57" s="23"/>
      <c r="I57" s="23"/>
      <c r="J57" s="23"/>
      <c r="K57" s="23"/>
      <c r="L57" s="23"/>
      <c r="M57" s="23"/>
    </row>
    <row r="58" spans="1:13" ht="13">
      <c r="A58" s="28" t="s">
        <v>1085</v>
      </c>
      <c r="B58" s="23"/>
      <c r="C58" s="23"/>
      <c r="D58" s="23"/>
      <c r="E58" s="23"/>
      <c r="F58" s="23"/>
      <c r="G58" s="23"/>
      <c r="H58" s="23"/>
      <c r="I58" s="23"/>
      <c r="J58" s="23"/>
      <c r="K58" s="23"/>
      <c r="L58" s="23"/>
      <c r="M58" s="23"/>
    </row>
    <row r="59" spans="1:13">
      <c r="A59" s="23" t="s">
        <v>1086</v>
      </c>
      <c r="B59" s="23"/>
      <c r="C59" s="23"/>
      <c r="D59" s="23"/>
      <c r="E59" s="23"/>
      <c r="F59" s="23"/>
      <c r="G59" s="23"/>
      <c r="H59" s="23"/>
      <c r="I59" s="23"/>
      <c r="J59" s="23"/>
      <c r="K59" s="23"/>
      <c r="L59" s="23"/>
      <c r="M59" s="23"/>
    </row>
    <row r="60" spans="1:13">
      <c r="A60" s="23" t="s">
        <v>1087</v>
      </c>
      <c r="B60" s="23"/>
      <c r="C60" s="23"/>
      <c r="D60" s="23"/>
      <c r="E60" s="23"/>
      <c r="F60" s="23"/>
      <c r="G60" s="23"/>
      <c r="H60" s="23"/>
      <c r="I60" s="23"/>
      <c r="J60" s="23"/>
      <c r="K60" s="23"/>
      <c r="L60" s="23"/>
      <c r="M60" s="23"/>
    </row>
    <row r="61" spans="1:13">
      <c r="A61" s="23" t="s">
        <v>1088</v>
      </c>
      <c r="B61" s="23"/>
      <c r="C61" s="23"/>
      <c r="D61" s="23"/>
      <c r="E61" s="23"/>
      <c r="F61" s="23"/>
      <c r="G61" s="23"/>
      <c r="H61" s="23"/>
      <c r="I61" s="23"/>
      <c r="J61" s="23"/>
      <c r="K61" s="23"/>
      <c r="L61" s="23"/>
      <c r="M61" s="23"/>
    </row>
    <row r="62" spans="1:13">
      <c r="A62" s="23" t="s">
        <v>1089</v>
      </c>
      <c r="B62" s="23"/>
      <c r="C62" s="23"/>
      <c r="D62" s="23"/>
      <c r="E62" s="23"/>
      <c r="F62" s="23"/>
      <c r="G62" s="23"/>
      <c r="H62" s="23"/>
      <c r="I62" s="23"/>
      <c r="J62" s="23"/>
      <c r="K62" s="23"/>
      <c r="L62" s="23"/>
      <c r="M62" s="23"/>
    </row>
    <row r="63" spans="1:13">
      <c r="A63" s="23" t="s">
        <v>1090</v>
      </c>
      <c r="B63" s="23"/>
      <c r="C63" s="23"/>
      <c r="D63" s="23"/>
      <c r="E63" s="23"/>
      <c r="F63" s="23"/>
      <c r="G63" s="23"/>
      <c r="H63" s="23"/>
      <c r="I63" s="23"/>
      <c r="J63" s="23"/>
      <c r="K63" s="23"/>
      <c r="L63" s="23"/>
      <c r="M63" s="23"/>
    </row>
    <row r="64" spans="1:13">
      <c r="A64" s="23" t="s">
        <v>1091</v>
      </c>
      <c r="B64" s="23"/>
      <c r="C64" s="23"/>
      <c r="D64" s="23"/>
      <c r="E64" s="23"/>
      <c r="F64" s="23"/>
      <c r="G64" s="23"/>
      <c r="H64" s="23"/>
      <c r="I64" s="23"/>
      <c r="J64" s="23"/>
      <c r="K64" s="23"/>
      <c r="L64" s="23"/>
      <c r="M64" s="23"/>
    </row>
    <row r="65" spans="1:13">
      <c r="A65" s="23" t="s">
        <v>1092</v>
      </c>
      <c r="B65" s="23"/>
      <c r="C65" s="23"/>
      <c r="D65" s="23"/>
      <c r="E65" s="23"/>
      <c r="F65" s="23"/>
      <c r="G65" s="23"/>
      <c r="H65" s="23"/>
      <c r="I65" s="23"/>
      <c r="J65" s="23"/>
      <c r="K65" s="23"/>
      <c r="L65" s="23"/>
      <c r="M65" s="23"/>
    </row>
    <row r="66" spans="1:13" ht="25">
      <c r="A66" s="66" t="s">
        <v>1093</v>
      </c>
      <c r="B66" s="23"/>
      <c r="C66" s="23"/>
      <c r="D66" s="23"/>
      <c r="E66" s="23"/>
      <c r="F66" s="23"/>
      <c r="G66" s="23"/>
      <c r="H66" s="23"/>
      <c r="I66" s="23"/>
      <c r="J66" s="23"/>
      <c r="K66" s="23"/>
      <c r="L66" s="23"/>
      <c r="M66" s="23"/>
    </row>
    <row r="67" spans="1:13">
      <c r="A67" s="23" t="s">
        <v>1094</v>
      </c>
      <c r="B67" s="23"/>
      <c r="C67" s="23"/>
      <c r="D67" s="23"/>
      <c r="E67" s="23"/>
      <c r="F67" s="23"/>
      <c r="G67" s="23"/>
      <c r="H67" s="23"/>
      <c r="I67" s="23"/>
      <c r="J67" s="23"/>
      <c r="K67" s="23"/>
      <c r="L67" s="23"/>
      <c r="M67" s="23"/>
    </row>
    <row r="68" spans="1:13">
      <c r="A68" s="23" t="s">
        <v>1095</v>
      </c>
      <c r="B68" s="23"/>
      <c r="C68" s="23"/>
      <c r="D68" s="23"/>
      <c r="E68" s="23"/>
      <c r="F68" s="23"/>
      <c r="G68" s="23"/>
      <c r="H68" s="23"/>
      <c r="I68" s="23"/>
      <c r="J68" s="23"/>
      <c r="K68" s="23"/>
      <c r="L68" s="23"/>
      <c r="M68" s="23"/>
    </row>
    <row r="69" spans="1:13">
      <c r="A69" s="343" t="s">
        <v>2205</v>
      </c>
      <c r="B69" s="23"/>
      <c r="C69" s="23"/>
      <c r="D69" s="23"/>
      <c r="E69" s="23"/>
      <c r="F69" s="23"/>
      <c r="G69" s="23"/>
      <c r="H69" s="23"/>
      <c r="I69" s="23"/>
      <c r="J69" s="23"/>
      <c r="K69" s="23"/>
      <c r="L69" s="23"/>
      <c r="M69" s="23"/>
    </row>
    <row r="70" spans="1:13" ht="13">
      <c r="A70" s="28" t="s">
        <v>1098</v>
      </c>
      <c r="B70" s="23"/>
      <c r="C70" s="23"/>
      <c r="D70" s="23"/>
      <c r="E70" s="23"/>
      <c r="F70" s="23"/>
      <c r="G70" s="23"/>
      <c r="H70" s="23"/>
      <c r="I70" s="23"/>
      <c r="J70" s="23"/>
      <c r="K70" s="23"/>
      <c r="L70" s="23"/>
      <c r="M70" s="23"/>
    </row>
    <row r="71" spans="1:13">
      <c r="A71" s="23" t="s">
        <v>1099</v>
      </c>
      <c r="B71" s="23"/>
      <c r="C71" s="23"/>
      <c r="D71" s="23"/>
      <c r="E71" s="23"/>
      <c r="F71" s="23"/>
      <c r="G71" s="23"/>
      <c r="H71" s="23"/>
      <c r="I71" s="23"/>
      <c r="J71" s="23"/>
      <c r="K71" s="23"/>
      <c r="L71" s="23"/>
      <c r="M71" s="23"/>
    </row>
    <row r="72" spans="1:13" ht="13">
      <c r="A72" s="23" t="s">
        <v>1086</v>
      </c>
      <c r="B72" s="36">
        <f>DEPCAL!H33</f>
        <v>0</v>
      </c>
      <c r="C72" s="23"/>
      <c r="D72" s="37">
        <f>C72+B72</f>
        <v>0</v>
      </c>
      <c r="E72" s="36">
        <f>DEPCAL!I20</f>
        <v>0</v>
      </c>
      <c r="F72" s="36">
        <v>0</v>
      </c>
      <c r="G72" s="37">
        <f>D72+E72-F72</f>
        <v>0</v>
      </c>
      <c r="H72" s="36">
        <f>K22</f>
        <v>0</v>
      </c>
      <c r="I72" s="36">
        <f>DEPCAL!I56</f>
        <v>0</v>
      </c>
      <c r="J72" s="36">
        <v>0</v>
      </c>
      <c r="K72" s="37">
        <f>H72+I72-J72</f>
        <v>0</v>
      </c>
      <c r="L72" s="37">
        <f>G72-K72</f>
        <v>0</v>
      </c>
      <c r="M72" s="37">
        <f>D72-H72</f>
        <v>0</v>
      </c>
    </row>
    <row r="73" spans="1:13" ht="13">
      <c r="A73" s="23" t="s">
        <v>1087</v>
      </c>
      <c r="B73" s="36"/>
      <c r="C73" s="23"/>
      <c r="D73" s="37"/>
      <c r="E73" s="36"/>
      <c r="F73" s="36"/>
      <c r="G73" s="37"/>
      <c r="H73" s="36"/>
      <c r="I73" s="36"/>
      <c r="J73" s="36"/>
      <c r="K73" s="37"/>
      <c r="L73" s="37"/>
      <c r="M73" s="37"/>
    </row>
    <row r="74" spans="1:13" ht="13">
      <c r="A74" s="23" t="s">
        <v>1088</v>
      </c>
      <c r="B74" s="36">
        <f>DEPCAL!H34</f>
        <v>12206.0231924</v>
      </c>
      <c r="C74" s="23"/>
      <c r="D74" s="37">
        <f>C74+B74</f>
        <v>12206.0231924</v>
      </c>
      <c r="E74" s="36">
        <f>DEPCAL!I21</f>
        <v>0</v>
      </c>
      <c r="F74" s="36">
        <v>0</v>
      </c>
      <c r="G74" s="37">
        <f>D74+E74-F74</f>
        <v>12206.0231924</v>
      </c>
      <c r="H74" s="36">
        <f>K24</f>
        <v>1161.140332820411</v>
      </c>
      <c r="I74" s="36">
        <f>DEPCAL!I57</f>
        <v>383.00860311025997</v>
      </c>
      <c r="J74" s="36">
        <v>0</v>
      </c>
      <c r="K74" s="37">
        <f>H74+I74-J74</f>
        <v>1544.1489359306711</v>
      </c>
      <c r="L74" s="37">
        <f>G74-K74</f>
        <v>10661.874256469329</v>
      </c>
      <c r="M74" s="37">
        <f>D74-H74</f>
        <v>11044.882859579589</v>
      </c>
    </row>
    <row r="75" spans="1:13" ht="13">
      <c r="A75" s="23" t="s">
        <v>1089</v>
      </c>
      <c r="B75" s="36"/>
      <c r="C75" s="23"/>
      <c r="D75" s="37"/>
      <c r="E75" s="36"/>
      <c r="F75" s="36"/>
      <c r="G75" s="37"/>
      <c r="H75" s="36"/>
      <c r="I75" s="36"/>
      <c r="J75" s="36"/>
      <c r="K75" s="37"/>
      <c r="L75" s="37"/>
      <c r="M75" s="37"/>
    </row>
    <row r="76" spans="1:13" ht="13">
      <c r="A76" s="23" t="s">
        <v>1090</v>
      </c>
      <c r="B76" s="36">
        <f>DEPCAL!H35</f>
        <v>180689.87630134288</v>
      </c>
      <c r="C76" s="23"/>
      <c r="D76" s="37">
        <f>C76+B76</f>
        <v>180689.87630134288</v>
      </c>
      <c r="E76" s="36">
        <f>DEPCAL!I22</f>
        <v>87365.391601477342</v>
      </c>
      <c r="F76" s="36">
        <v>0</v>
      </c>
      <c r="G76" s="37">
        <f>D76+E76-F76</f>
        <v>268055.26790282025</v>
      </c>
      <c r="H76" s="36">
        <f>K26</f>
        <v>33846.826135010917</v>
      </c>
      <c r="I76" s="36">
        <f>DEPCAL!I58</f>
        <v>9936.041999827039</v>
      </c>
      <c r="J76" s="36">
        <v>0</v>
      </c>
      <c r="K76" s="37">
        <f>H76+I76-J76</f>
        <v>43782.868134837954</v>
      </c>
      <c r="L76" s="37">
        <f>G76-K76</f>
        <v>224272.39976798231</v>
      </c>
      <c r="M76" s="37">
        <f>D76-H76</f>
        <v>146843.05016633196</v>
      </c>
    </row>
    <row r="77" spans="1:13" ht="13">
      <c r="A77" s="23" t="s">
        <v>1091</v>
      </c>
      <c r="B77" s="36">
        <f>DEPCAL!H36</f>
        <v>182530.47437024998</v>
      </c>
      <c r="C77" s="23"/>
      <c r="D77" s="37">
        <f>C77+B77</f>
        <v>182530.47437024998</v>
      </c>
      <c r="E77" s="36">
        <f>DEPCAL!I23</f>
        <v>0</v>
      </c>
      <c r="F77" s="36"/>
      <c r="G77" s="37">
        <f>D77+E77-F77</f>
        <v>182530.47437024998</v>
      </c>
      <c r="H77" s="36">
        <f>K27</f>
        <v>59514.776642606506</v>
      </c>
      <c r="I77" s="36">
        <f>DEPCAL!I59</f>
        <v>7380.8499339107839</v>
      </c>
      <c r="J77" s="36">
        <v>0</v>
      </c>
      <c r="K77" s="37">
        <f>H77+I77-J77</f>
        <v>66895.626576517287</v>
      </c>
      <c r="L77" s="37">
        <f>G77-K77</f>
        <v>115634.8477937327</v>
      </c>
      <c r="M77" s="37">
        <f>D77-H77</f>
        <v>123015.69772764348</v>
      </c>
    </row>
    <row r="78" spans="1:13" ht="13">
      <c r="A78" s="66" t="s">
        <v>1092</v>
      </c>
      <c r="B78" s="36"/>
      <c r="C78" s="23"/>
      <c r="D78" s="37"/>
      <c r="E78" s="36"/>
      <c r="F78" s="36"/>
      <c r="G78" s="37"/>
      <c r="H78" s="36"/>
      <c r="I78" s="36"/>
      <c r="J78" s="36"/>
      <c r="K78" s="37"/>
      <c r="L78" s="37"/>
      <c r="M78" s="37"/>
    </row>
    <row r="79" spans="1:13" ht="25.5">
      <c r="A79" s="66" t="s">
        <v>1093</v>
      </c>
      <c r="B79" s="36"/>
      <c r="C79" s="23"/>
      <c r="D79" s="37"/>
      <c r="E79" s="36"/>
      <c r="F79" s="36"/>
      <c r="G79" s="37"/>
      <c r="H79" s="36"/>
      <c r="I79" s="36"/>
      <c r="J79" s="36"/>
      <c r="K79" s="37"/>
      <c r="L79" s="37"/>
      <c r="M79" s="37"/>
    </row>
    <row r="80" spans="1:13" ht="13">
      <c r="A80" s="23" t="s">
        <v>1094</v>
      </c>
      <c r="B80" s="36">
        <f>DEPCAL!H38*0</f>
        <v>0</v>
      </c>
      <c r="C80" s="36">
        <f>DEPCAL!H38</f>
        <v>604.85407650000002</v>
      </c>
      <c r="D80" s="37">
        <f>C80+B80</f>
        <v>604.85407650000002</v>
      </c>
      <c r="E80" s="36">
        <f>DEPCAL!I25</f>
        <v>60</v>
      </c>
      <c r="F80" s="36">
        <v>0</v>
      </c>
      <c r="G80" s="37">
        <f>D80+E80-F80</f>
        <v>664.85407650000002</v>
      </c>
      <c r="H80" s="36">
        <f>K30</f>
        <v>117.16111413162051</v>
      </c>
      <c r="I80" s="36">
        <f>DEPCAL!I61</f>
        <v>61.92619574190001</v>
      </c>
      <c r="J80" s="36">
        <v>0</v>
      </c>
      <c r="K80" s="37">
        <f>H80+I80-J80</f>
        <v>179.08730987352052</v>
      </c>
      <c r="L80" s="37">
        <f>G80-K80</f>
        <v>485.76676662647947</v>
      </c>
      <c r="M80" s="37">
        <f>D80-H80</f>
        <v>487.69296236837954</v>
      </c>
    </row>
    <row r="81" spans="1:13" ht="13">
      <c r="A81" s="23" t="s">
        <v>1101</v>
      </c>
      <c r="B81" s="36">
        <f>DEPCAL!H37</f>
        <v>982.09372299999995</v>
      </c>
      <c r="C81" s="23"/>
      <c r="D81" s="37">
        <f>C81+B81</f>
        <v>982.09372299999995</v>
      </c>
      <c r="E81" s="36">
        <f>DEPCAL!I24</f>
        <v>120</v>
      </c>
      <c r="F81" s="36">
        <v>0</v>
      </c>
      <c r="G81" s="37">
        <f>D81+E81-F81</f>
        <v>1102.093723</v>
      </c>
      <c r="H81" s="36">
        <f>K31</f>
        <v>271.49995116753502</v>
      </c>
      <c r="I81" s="36">
        <f>DEPCAL!I60</f>
        <v>62.373234448859989</v>
      </c>
      <c r="J81" s="36">
        <v>0</v>
      </c>
      <c r="K81" s="37">
        <f>H81+I81-J81</f>
        <v>333.87318561639501</v>
      </c>
      <c r="L81" s="37">
        <f>G81-K81</f>
        <v>768.22053738360501</v>
      </c>
      <c r="M81" s="37">
        <f>D81-H81</f>
        <v>710.59377183246488</v>
      </c>
    </row>
    <row r="82" spans="1:13" ht="13">
      <c r="A82" s="343" t="s">
        <v>2205</v>
      </c>
      <c r="B82" s="36">
        <f>DEPCAL!H39+DEPCAL!H40+DEPCAL!H41</f>
        <v>13675.912954599999</v>
      </c>
      <c r="C82" s="23"/>
      <c r="D82" s="37">
        <f>C82+B82</f>
        <v>13675.912954599999</v>
      </c>
      <c r="E82" s="36">
        <f>DEPCAL!I26+DEPCAL!I27+DEPCAL!I28</f>
        <v>100</v>
      </c>
      <c r="F82" s="36">
        <v>0</v>
      </c>
      <c r="G82" s="37">
        <f>D82+E82-F82</f>
        <v>13775.912954599999</v>
      </c>
      <c r="H82" s="36">
        <f>K32</f>
        <v>4222.3736949100003</v>
      </c>
      <c r="I82" s="36">
        <f>DEPCAL!I62+DEPCAL!I63+DEPCAL!I64</f>
        <v>2053.1958818310295</v>
      </c>
      <c r="J82" s="36">
        <v>0</v>
      </c>
      <c r="K82" s="37">
        <f>H82+I82-J82</f>
        <v>6275.5695767410298</v>
      </c>
      <c r="L82" s="37">
        <f>G82-K82</f>
        <v>7500.3433778589688</v>
      </c>
      <c r="M82" s="37">
        <f>D82-H82</f>
        <v>9453.5392596899983</v>
      </c>
    </row>
    <row r="83" spans="1:13" ht="13">
      <c r="A83" s="71" t="s">
        <v>145</v>
      </c>
      <c r="B83" s="37">
        <f t="shared" ref="B83:M83" si="4">SUM(B71:B82)</f>
        <v>390084.38054159289</v>
      </c>
      <c r="C83" s="37">
        <f t="shared" si="4"/>
        <v>604.85407650000002</v>
      </c>
      <c r="D83" s="37">
        <f t="shared" si="4"/>
        <v>390689.23461809289</v>
      </c>
      <c r="E83" s="37">
        <f>SUM(E71:E82)</f>
        <v>87645.391601477342</v>
      </c>
      <c r="F83" s="37">
        <f t="shared" si="4"/>
        <v>0</v>
      </c>
      <c r="G83" s="37">
        <f>SUM(G71:G82)</f>
        <v>478334.62621957029</v>
      </c>
      <c r="H83" s="37">
        <f t="shared" si="4"/>
        <v>99133.777870646998</v>
      </c>
      <c r="I83" s="37">
        <f t="shared" si="4"/>
        <v>19877.395848869874</v>
      </c>
      <c r="J83" s="37">
        <f t="shared" si="4"/>
        <v>0</v>
      </c>
      <c r="K83" s="37">
        <f t="shared" si="4"/>
        <v>119011.17371951685</v>
      </c>
      <c r="L83" s="37">
        <f>SUM(L71:L82)</f>
        <v>359323.45250005345</v>
      </c>
      <c r="M83" s="37">
        <f t="shared" si="4"/>
        <v>291555.4567474458</v>
      </c>
    </row>
    <row r="84" spans="1:13" ht="13">
      <c r="A84" s="28" t="s">
        <v>1102</v>
      </c>
      <c r="B84" s="23"/>
      <c r="C84" s="23"/>
      <c r="D84" s="23"/>
      <c r="E84" s="23"/>
      <c r="F84" s="23"/>
      <c r="G84" s="23"/>
      <c r="H84" s="23"/>
      <c r="I84" s="23"/>
      <c r="J84" s="23"/>
      <c r="K84" s="36"/>
      <c r="L84" s="36"/>
      <c r="M84" s="36"/>
    </row>
    <row r="85" spans="1:13">
      <c r="A85" s="23"/>
      <c r="B85" s="23"/>
      <c r="C85" s="23"/>
      <c r="D85" s="23"/>
      <c r="E85" s="23"/>
      <c r="F85" s="23"/>
      <c r="G85" s="23"/>
      <c r="H85" s="23"/>
      <c r="I85" s="23"/>
      <c r="J85" s="23"/>
      <c r="K85" s="23"/>
      <c r="L85" s="36"/>
      <c r="M85" s="36"/>
    </row>
    <row r="86" spans="1:13">
      <c r="A86" s="23" t="s">
        <v>1085</v>
      </c>
      <c r="B86" s="23"/>
      <c r="C86" s="23"/>
      <c r="D86" s="23"/>
      <c r="E86" s="23"/>
      <c r="F86" s="23"/>
      <c r="G86" s="23"/>
      <c r="H86" s="23"/>
      <c r="I86" s="23"/>
      <c r="J86" s="23"/>
      <c r="K86" s="23"/>
      <c r="L86" s="23"/>
      <c r="M86" s="23"/>
    </row>
    <row r="87" spans="1:13">
      <c r="A87" s="23" t="s">
        <v>1086</v>
      </c>
      <c r="B87" s="23"/>
      <c r="C87" s="23"/>
      <c r="D87" s="23"/>
      <c r="E87" s="23"/>
      <c r="F87" s="23"/>
      <c r="G87" s="23"/>
      <c r="H87" s="23"/>
      <c r="I87" s="23"/>
      <c r="J87" s="23"/>
      <c r="K87" s="23"/>
      <c r="L87" s="23"/>
      <c r="M87" s="23"/>
    </row>
    <row r="88" spans="1:13">
      <c r="A88" s="23" t="s">
        <v>1087</v>
      </c>
      <c r="B88" s="23"/>
      <c r="C88" s="23"/>
      <c r="D88" s="23"/>
      <c r="E88" s="23"/>
      <c r="F88" s="23"/>
      <c r="G88" s="23"/>
      <c r="H88" s="23"/>
      <c r="I88" s="23"/>
      <c r="J88" s="23"/>
      <c r="K88" s="23"/>
      <c r="L88" s="23"/>
      <c r="M88" s="23"/>
    </row>
    <row r="89" spans="1:13">
      <c r="A89" s="23" t="s">
        <v>1088</v>
      </c>
      <c r="B89" s="23"/>
      <c r="C89" s="23"/>
      <c r="D89" s="23"/>
      <c r="E89" s="23"/>
      <c r="F89" s="23"/>
      <c r="G89" s="23"/>
      <c r="H89" s="23"/>
      <c r="I89" s="23"/>
      <c r="J89" s="23"/>
      <c r="K89" s="23"/>
      <c r="L89" s="23"/>
      <c r="M89" s="23"/>
    </row>
    <row r="90" spans="1:13">
      <c r="A90" s="23" t="s">
        <v>1089</v>
      </c>
      <c r="B90" s="23"/>
      <c r="C90" s="23"/>
      <c r="D90" s="23"/>
      <c r="E90" s="23"/>
      <c r="F90" s="23"/>
      <c r="G90" s="23"/>
      <c r="H90" s="23"/>
      <c r="I90" s="23"/>
      <c r="J90" s="23"/>
      <c r="K90" s="23"/>
      <c r="L90" s="23"/>
      <c r="M90" s="23"/>
    </row>
    <row r="91" spans="1:13">
      <c r="A91" s="23" t="s">
        <v>1103</v>
      </c>
      <c r="B91" s="23"/>
      <c r="C91" s="23"/>
      <c r="D91" s="23"/>
      <c r="E91" s="23"/>
      <c r="F91" s="23"/>
      <c r="G91" s="23"/>
      <c r="H91" s="23"/>
      <c r="I91" s="23"/>
      <c r="J91" s="23"/>
      <c r="K91" s="23"/>
      <c r="L91" s="23"/>
      <c r="M91" s="23"/>
    </row>
    <row r="92" spans="1:13">
      <c r="A92" s="23" t="s">
        <v>1095</v>
      </c>
      <c r="B92" s="23"/>
      <c r="C92" s="23"/>
      <c r="D92" s="23"/>
      <c r="E92" s="23"/>
      <c r="F92" s="23"/>
      <c r="G92" s="23"/>
      <c r="H92" s="23"/>
      <c r="I92" s="23"/>
      <c r="J92" s="23"/>
      <c r="K92" s="23"/>
      <c r="L92" s="23"/>
      <c r="M92" s="23"/>
    </row>
    <row r="93" spans="1:13">
      <c r="A93" s="23" t="s">
        <v>1096</v>
      </c>
      <c r="B93" s="23"/>
      <c r="C93" s="23"/>
      <c r="D93" s="23"/>
      <c r="E93" s="23"/>
      <c r="F93" s="23"/>
      <c r="G93" s="23"/>
      <c r="H93" s="23"/>
      <c r="I93" s="23"/>
      <c r="J93" s="23"/>
      <c r="K93" s="23"/>
      <c r="L93" s="23"/>
      <c r="M93" s="23"/>
    </row>
    <row r="94" spans="1:13">
      <c r="A94" s="23" t="s">
        <v>1094</v>
      </c>
      <c r="B94" s="23"/>
      <c r="C94" s="23"/>
      <c r="D94" s="23"/>
      <c r="E94" s="23"/>
      <c r="F94" s="23"/>
      <c r="G94" s="23"/>
      <c r="H94" s="23"/>
      <c r="I94" s="23"/>
      <c r="J94" s="23"/>
      <c r="K94" s="23"/>
      <c r="L94" s="23"/>
      <c r="M94" s="23"/>
    </row>
    <row r="95" spans="1:13" ht="25">
      <c r="A95" s="66" t="s">
        <v>1104</v>
      </c>
      <c r="B95" s="23"/>
      <c r="C95" s="23"/>
      <c r="D95" s="23"/>
      <c r="E95" s="23"/>
      <c r="F95" s="23"/>
      <c r="G95" s="23"/>
      <c r="H95" s="23"/>
      <c r="I95" s="23"/>
      <c r="J95" s="23"/>
      <c r="K95" s="23"/>
      <c r="L95" s="23"/>
      <c r="M95" s="23"/>
    </row>
    <row r="96" spans="1:13">
      <c r="A96" s="23" t="s">
        <v>1105</v>
      </c>
      <c r="B96" s="23"/>
      <c r="C96" s="23"/>
      <c r="D96" s="23"/>
      <c r="E96" s="23"/>
      <c r="F96" s="23"/>
      <c r="G96" s="23"/>
      <c r="H96" s="23"/>
      <c r="I96" s="23"/>
      <c r="J96" s="23"/>
      <c r="K96" s="23"/>
      <c r="L96" s="23"/>
      <c r="M96" s="23"/>
    </row>
    <row r="97" spans="1:13">
      <c r="A97" s="23" t="s">
        <v>1106</v>
      </c>
      <c r="B97" s="23"/>
      <c r="C97" s="23"/>
      <c r="D97" s="23"/>
      <c r="E97" s="23"/>
      <c r="F97" s="23"/>
      <c r="G97" s="23"/>
      <c r="H97" s="23"/>
      <c r="I97" s="23"/>
      <c r="J97" s="23"/>
      <c r="K97" s="23"/>
      <c r="L97" s="23"/>
      <c r="M97" s="23"/>
    </row>
    <row r="98" spans="1:13" ht="13">
      <c r="A98" s="2" t="s">
        <v>1107</v>
      </c>
    </row>
    <row r="99" spans="1:13">
      <c r="B99" t="s">
        <v>1108</v>
      </c>
    </row>
  </sheetData>
  <mergeCells count="2">
    <mergeCell ref="B5:D5"/>
    <mergeCell ref="B55:D55"/>
  </mergeCells>
  <phoneticPr fontId="0" type="noConversion"/>
  <printOptions horizontalCentered="1" gridLines="1"/>
  <pageMargins left="0.51181102362204722" right="0.51181102362204722" top="0.51181102362204722" bottom="0.51181102362204722" header="0.51181102362204722" footer="0.51181102362204722"/>
  <pageSetup paperSize="9" scale="70" orientation="landscape" r:id="rId1"/>
  <headerFooter alignWithMargins="0">
    <oddFooter>&amp;R&amp;"Arial,Bold"&amp;12OERC FORM-&amp;A</oddFooter>
  </headerFooter>
  <rowBreaks count="1" manualBreakCount="1">
    <brk id="49" max="1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3"/>
  <dimension ref="A1:E23"/>
  <sheetViews>
    <sheetView showGridLines="0" view="pageBreakPreview" workbookViewId="0">
      <selection activeCell="L17" sqref="L17"/>
    </sheetView>
  </sheetViews>
  <sheetFormatPr defaultRowHeight="12.5"/>
  <cols>
    <col min="2" max="2" width="20.54296875" customWidth="1"/>
    <col min="3" max="3" width="18.453125" customWidth="1"/>
    <col min="4" max="4" width="16" customWidth="1"/>
    <col min="5" max="5" width="19.54296875" customWidth="1"/>
  </cols>
  <sheetData>
    <row r="1" spans="1:5" ht="13">
      <c r="A1" s="20" t="s">
        <v>104</v>
      </c>
      <c r="D1" s="3" t="s">
        <v>0</v>
      </c>
      <c r="E1" s="2" t="s">
        <v>1110</v>
      </c>
    </row>
    <row r="2" spans="1:5" ht="20.25" customHeight="1">
      <c r="B2" s="65" t="s">
        <v>1111</v>
      </c>
      <c r="C2" s="65"/>
      <c r="D2" s="65"/>
      <c r="E2" s="65"/>
    </row>
    <row r="3" spans="1:5" ht="13">
      <c r="E3" s="2" t="s">
        <v>496</v>
      </c>
    </row>
    <row r="4" spans="1:5" ht="13">
      <c r="A4" s="35" t="s">
        <v>1112</v>
      </c>
      <c r="B4" s="34" t="s">
        <v>735</v>
      </c>
      <c r="C4" s="35" t="s">
        <v>1113</v>
      </c>
      <c r="D4" s="35" t="s">
        <v>1114</v>
      </c>
      <c r="E4" s="35" t="s">
        <v>1115</v>
      </c>
    </row>
    <row r="5" spans="1:5" ht="18" customHeight="1">
      <c r="A5" s="483">
        <v>1</v>
      </c>
      <c r="B5" s="1319" t="s">
        <v>1116</v>
      </c>
      <c r="C5" s="934">
        <f>'F-21'!C12</f>
        <v>0</v>
      </c>
      <c r="D5" s="934">
        <f>'F-21'!D12</f>
        <v>0</v>
      </c>
      <c r="E5" s="934">
        <f>'F-21'!E12</f>
        <v>0</v>
      </c>
    </row>
    <row r="6" spans="1:5" ht="18" customHeight="1">
      <c r="A6" s="867"/>
      <c r="B6" s="1254"/>
      <c r="C6" s="867"/>
      <c r="D6" s="934"/>
      <c r="E6" s="934"/>
    </row>
    <row r="7" spans="1:5" ht="18" customHeight="1">
      <c r="A7" s="483">
        <v>2</v>
      </c>
      <c r="B7" s="1319" t="s">
        <v>1117</v>
      </c>
      <c r="C7" s="867"/>
      <c r="D7" s="934"/>
      <c r="E7" s="934"/>
    </row>
    <row r="8" spans="1:5" ht="18" customHeight="1">
      <c r="A8" s="1260" t="s">
        <v>1118</v>
      </c>
      <c r="B8" s="1319" t="s">
        <v>1119</v>
      </c>
      <c r="C8" s="867"/>
      <c r="D8" s="934">
        <v>0</v>
      </c>
      <c r="E8" s="934">
        <v>0</v>
      </c>
    </row>
    <row r="9" spans="1:5" ht="18" customHeight="1">
      <c r="A9" s="1260" t="s">
        <v>1120</v>
      </c>
      <c r="B9" s="1319" t="s">
        <v>1121</v>
      </c>
      <c r="C9" s="867"/>
      <c r="D9" s="934">
        <v>0</v>
      </c>
      <c r="E9" s="934">
        <v>0</v>
      </c>
    </row>
    <row r="10" spans="1:5" ht="18" customHeight="1">
      <c r="A10" s="1260" t="s">
        <v>1122</v>
      </c>
      <c r="B10" s="1319" t="s">
        <v>1123</v>
      </c>
      <c r="C10" s="867"/>
      <c r="D10" s="934">
        <v>0</v>
      </c>
      <c r="E10" s="934">
        <v>0</v>
      </c>
    </row>
    <row r="11" spans="1:5" ht="18" customHeight="1">
      <c r="A11" s="483">
        <v>3</v>
      </c>
      <c r="B11" s="1320" t="s">
        <v>1124</v>
      </c>
      <c r="C11" s="934">
        <f>'F-21'!C13</f>
        <v>0</v>
      </c>
      <c r="D11" s="934">
        <f>'F-21'!D13-D12</f>
        <v>0</v>
      </c>
      <c r="E11" s="934">
        <f>'F-21'!E13-E12</f>
        <v>0</v>
      </c>
    </row>
    <row r="12" spans="1:5" ht="18" customHeight="1">
      <c r="A12" s="483">
        <v>4</v>
      </c>
      <c r="B12" s="1319" t="s">
        <v>1125</v>
      </c>
      <c r="C12" s="483"/>
      <c r="D12" s="934">
        <f>'F-23 CASHFLOW'!B15+C12</f>
        <v>0</v>
      </c>
      <c r="E12" s="934">
        <f>'F-23 CASHFLOW'!C15+D12</f>
        <v>0</v>
      </c>
    </row>
    <row r="13" spans="1:5" ht="18" customHeight="1">
      <c r="A13" s="867"/>
      <c r="B13" s="1319" t="s">
        <v>29</v>
      </c>
      <c r="C13" s="867"/>
      <c r="D13" s="934"/>
      <c r="E13" s="934"/>
    </row>
    <row r="14" spans="1:5" ht="18" customHeight="1">
      <c r="A14" s="867"/>
      <c r="B14" s="1321" t="s">
        <v>145</v>
      </c>
      <c r="C14" s="723">
        <f>SUM(C5:C13)</f>
        <v>0</v>
      </c>
      <c r="D14" s="723">
        <f>SUM(D5:D13)</f>
        <v>0</v>
      </c>
      <c r="E14" s="723">
        <f>SUM(E5:E13)</f>
        <v>0</v>
      </c>
    </row>
    <row r="15" spans="1:5">
      <c r="C15" s="7"/>
      <c r="D15" s="7"/>
      <c r="E15" s="7"/>
    </row>
    <row r="16" spans="1:5">
      <c r="C16" s="7"/>
      <c r="D16" s="7"/>
      <c r="E16" s="7"/>
    </row>
    <row r="17" spans="3:5">
      <c r="C17" s="222">
        <f>'F-21'!C13+'F-21'!C12</f>
        <v>0</v>
      </c>
      <c r="D17" s="222">
        <f>'F-21'!D13+'F-21'!D12</f>
        <v>0</v>
      </c>
      <c r="E17" s="222">
        <f>'F-21'!E13+'F-21'!E12</f>
        <v>0</v>
      </c>
    </row>
    <row r="18" spans="3:5">
      <c r="C18" s="222">
        <f>C17-C14</f>
        <v>0</v>
      </c>
      <c r="D18" s="222">
        <f>D17-D14</f>
        <v>0</v>
      </c>
      <c r="E18" s="222">
        <f>E17-E14</f>
        <v>0</v>
      </c>
    </row>
    <row r="23" spans="3:5">
      <c r="C23" s="7"/>
    </row>
  </sheetData>
  <phoneticPr fontId="0" type="noConversion"/>
  <printOptions horizontalCentered="1"/>
  <pageMargins left="0.74803149606299213" right="0.74803149606299213" top="2.2440944881889764" bottom="0.98425196850393704" header="0.51181102362204722" footer="1.299212598425197"/>
  <pageSetup paperSize="9" orientation="portrait" r:id="rId1"/>
  <headerFooter alignWithMargins="0">
    <oddFooter>&amp;R&amp;"Arial,Bold"&amp;12OERC FORM-&amp;A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4"/>
  <dimension ref="A1:I60"/>
  <sheetViews>
    <sheetView showGridLines="0" view="pageBreakPreview" zoomScale="130" zoomScaleSheetLayoutView="130" workbookViewId="0">
      <pane xSplit="2" ySplit="6" topLeftCell="C38" activePane="bottomRight" state="frozen"/>
      <selection activeCell="L17" sqref="L17"/>
      <selection pane="topRight" activeCell="L17" sqref="L17"/>
      <selection pane="bottomLeft" activeCell="L17" sqref="L17"/>
      <selection pane="bottomRight" activeCell="L17" sqref="L17"/>
    </sheetView>
  </sheetViews>
  <sheetFormatPr defaultColWidth="8.7265625" defaultRowHeight="12.5"/>
  <cols>
    <col min="2" max="2" width="32.26953125" customWidth="1"/>
    <col min="3" max="3" width="13" bestFit="1" customWidth="1"/>
    <col min="4" max="4" width="12.7265625" bestFit="1" customWidth="1"/>
    <col min="5" max="5" width="14" bestFit="1" customWidth="1"/>
    <col min="6" max="6" width="12.7265625" customWidth="1"/>
    <col min="7" max="7" width="13.7265625" bestFit="1" customWidth="1"/>
    <col min="8" max="8" width="14.81640625" customWidth="1"/>
    <col min="9" max="9" width="9.36328125" bestFit="1" customWidth="1"/>
  </cols>
  <sheetData>
    <row r="1" spans="1:8" ht="13">
      <c r="A1" s="20" t="s">
        <v>1126</v>
      </c>
      <c r="C1" s="3"/>
      <c r="D1" s="3"/>
      <c r="E1" s="68" t="s">
        <v>2347</v>
      </c>
    </row>
    <row r="2" spans="1:8" ht="13">
      <c r="A2" s="2" t="s">
        <v>1127</v>
      </c>
    </row>
    <row r="3" spans="1:8" ht="13">
      <c r="E3" s="2" t="s">
        <v>496</v>
      </c>
    </row>
    <row r="4" spans="1:8">
      <c r="A4" s="2121" t="s">
        <v>2035</v>
      </c>
      <c r="B4" s="2118" t="s">
        <v>735</v>
      </c>
      <c r="C4" s="950" t="s">
        <v>1128</v>
      </c>
      <c r="D4" s="950" t="s">
        <v>1851</v>
      </c>
      <c r="E4" s="950" t="s">
        <v>2264</v>
      </c>
    </row>
    <row r="5" spans="1:8" ht="13.15" customHeight="1">
      <c r="A5" s="2122"/>
      <c r="B5" s="2119"/>
      <c r="C5" s="2116" t="s">
        <v>1129</v>
      </c>
      <c r="D5" s="2116" t="s">
        <v>158</v>
      </c>
      <c r="E5" s="2116" t="s">
        <v>915</v>
      </c>
    </row>
    <row r="6" spans="1:8" ht="10.5" customHeight="1">
      <c r="A6" s="2123"/>
      <c r="B6" s="2120"/>
      <c r="C6" s="2117"/>
      <c r="D6" s="2117"/>
      <c r="E6" s="2117"/>
    </row>
    <row r="7" spans="1:8">
      <c r="A7" s="23"/>
      <c r="B7" s="23"/>
      <c r="C7" s="36"/>
      <c r="D7" s="36"/>
      <c r="E7" s="23"/>
    </row>
    <row r="8" spans="1:8" ht="13">
      <c r="A8" s="1257" t="s">
        <v>1130</v>
      </c>
      <c r="B8" s="1252" t="s">
        <v>1131</v>
      </c>
      <c r="C8" s="868"/>
      <c r="D8" s="868"/>
      <c r="E8" s="867"/>
    </row>
    <row r="9" spans="1:8">
      <c r="A9" s="867"/>
      <c r="B9" s="1015" t="s">
        <v>1132</v>
      </c>
      <c r="C9" s="868"/>
      <c r="D9" s="868"/>
      <c r="E9" s="867"/>
    </row>
    <row r="10" spans="1:8">
      <c r="A10" s="867"/>
      <c r="B10" s="1015" t="s">
        <v>1133</v>
      </c>
      <c r="C10" s="868">
        <f>4802000000/10^5</f>
        <v>48020</v>
      </c>
      <c r="D10" s="868">
        <f>C10+'F-23 CASHFLOW'!B10</f>
        <v>67129.878511319985</v>
      </c>
      <c r="E10" s="868">
        <f>D10+'F-23 CASHFLOW'!C10</f>
        <v>84643.543391319981</v>
      </c>
    </row>
    <row r="11" spans="1:8">
      <c r="A11" s="867"/>
      <c r="B11" s="1015" t="s">
        <v>1134</v>
      </c>
      <c r="C11" s="868">
        <f>(0-C12-C13)*0+1538060856.87552/10^5</f>
        <v>15380.6085687552</v>
      </c>
      <c r="D11" s="1869">
        <f>C11+'F-6'!L30</f>
        <v>15380.6085687552</v>
      </c>
      <c r="E11" s="1869">
        <f>D11+'F-6'!P30</f>
        <v>15380.6085687552</v>
      </c>
      <c r="F11" s="7"/>
      <c r="H11" s="7"/>
    </row>
    <row r="12" spans="1:8">
      <c r="A12" s="867"/>
      <c r="B12" s="1015" t="s">
        <v>1135</v>
      </c>
      <c r="C12" s="868">
        <f>996*0</f>
        <v>0</v>
      </c>
      <c r="D12" s="868">
        <f>C12</f>
        <v>0</v>
      </c>
      <c r="E12" s="868">
        <f>D12</f>
        <v>0</v>
      </c>
      <c r="F12" s="7"/>
    </row>
    <row r="13" spans="1:8">
      <c r="A13" s="867"/>
      <c r="B13" s="1015" t="s">
        <v>1136</v>
      </c>
      <c r="C13" s="868">
        <f>(4358.99872-996)*0</f>
        <v>0</v>
      </c>
      <c r="D13" s="868">
        <f>C13+'F-23 CASHFLOW'!B12+'F-23 CASHFLOW'!B15</f>
        <v>0</v>
      </c>
      <c r="E13" s="868">
        <f>D13+'F-23 CASHFLOW'!C12+'F-23 CASHFLOW'!C15</f>
        <v>0</v>
      </c>
      <c r="F13" s="7"/>
      <c r="G13" s="7"/>
      <c r="H13" s="7"/>
    </row>
    <row r="14" spans="1:8" ht="13">
      <c r="A14" s="867"/>
      <c r="B14" s="1612" t="s">
        <v>1137</v>
      </c>
      <c r="C14" s="868"/>
      <c r="D14" s="868"/>
      <c r="E14" s="868"/>
    </row>
    <row r="15" spans="1:8">
      <c r="A15" s="867"/>
      <c r="B15" s="1015" t="s">
        <v>1138</v>
      </c>
      <c r="C15" s="868">
        <f>('loan&amp;int'!E121)</f>
        <v>22380.28037</v>
      </c>
      <c r="D15" s="868">
        <f>C15+SUM('F-23 CASHFLOW'!B11:B20)-'F-23 CASHFLOW'!B12-'F-23 CASHFLOW'!B15-'F-23 CASHFLOW'!B28-'F-23 CASHFLOW'!B32</f>
        <v>51237.844178150088</v>
      </c>
      <c r="E15" s="868">
        <f>D15+SUM('F-23 CASHFLOW'!C11:C20)-'F-23 CASHFLOW'!C12-'F-23 CASHFLOW'!C15-'F-23 CASHFLOW'!C28-'F-23 CASHFLOW'!C32</f>
        <v>82958.418958898634</v>
      </c>
      <c r="F15" s="7"/>
      <c r="G15" s="7"/>
      <c r="H15" s="7"/>
    </row>
    <row r="16" spans="1:8">
      <c r="A16" s="867"/>
      <c r="B16" s="1015" t="s">
        <v>1139</v>
      </c>
      <c r="C16" s="868">
        <v>0</v>
      </c>
      <c r="D16" s="868">
        <v>0</v>
      </c>
      <c r="E16" s="868">
        <v>0</v>
      </c>
      <c r="F16" s="7"/>
      <c r="G16" s="7"/>
      <c r="H16" s="7"/>
    </row>
    <row r="17" spans="1:9" ht="13">
      <c r="A17" s="867"/>
      <c r="B17" s="1612" t="s">
        <v>1140</v>
      </c>
      <c r="C17" s="868"/>
      <c r="D17" s="868"/>
      <c r="E17" s="868"/>
    </row>
    <row r="18" spans="1:9">
      <c r="A18" s="867"/>
      <c r="B18" s="1015" t="s">
        <v>1141</v>
      </c>
      <c r="C18" s="868">
        <f>('loan&amp;int'!E106)</f>
        <v>107649.4648394</v>
      </c>
      <c r="D18" s="868">
        <f>C18+'F-23 CASHFLOW'!B8-'F-23 CASHFLOW'!B31</f>
        <v>123998.49483939999</v>
      </c>
      <c r="E18" s="868">
        <f>D18+'F-23 CASHFLOW'!C8-'F-23 CASHFLOW'!C31</f>
        <v>130498.49483939999</v>
      </c>
      <c r="F18" s="7"/>
      <c r="G18" s="1010"/>
      <c r="H18" s="7"/>
    </row>
    <row r="19" spans="1:9">
      <c r="A19" s="867"/>
      <c r="B19" s="1015" t="s">
        <v>1142</v>
      </c>
      <c r="C19" s="868">
        <f>13182697110.4078/10^5</f>
        <v>131826.97110407799</v>
      </c>
      <c r="D19" s="868">
        <f>C19+'F-23 CASHFLOW'!B9-DEPCAL!H66</f>
        <v>147487.30663149286</v>
      </c>
      <c r="E19" s="868">
        <f>D19+'F-23 CASHFLOW'!C9-DEPCAL!I66</f>
        <v>160708.30663149286</v>
      </c>
      <c r="F19" s="7"/>
      <c r="H19" s="1010"/>
    </row>
    <row r="20" spans="1:9" ht="13">
      <c r="A20" s="867"/>
      <c r="B20" s="1612" t="s">
        <v>145</v>
      </c>
      <c r="C20" s="869">
        <f>SUM(C10:C19)</f>
        <v>325257.32488223317</v>
      </c>
      <c r="D20" s="869">
        <f>SUM(D10:D19)</f>
        <v>405234.13272911811</v>
      </c>
      <c r="E20" s="869">
        <f>SUM(E10:E19)</f>
        <v>474189.37238986668</v>
      </c>
      <c r="F20" s="7"/>
      <c r="G20" s="1010"/>
    </row>
    <row r="21" spans="1:9" ht="13">
      <c r="A21" s="1257" t="s">
        <v>1143</v>
      </c>
      <c r="B21" s="1612" t="s">
        <v>1144</v>
      </c>
      <c r="C21" s="868"/>
      <c r="D21" s="868"/>
      <c r="E21" s="868"/>
    </row>
    <row r="22" spans="1:9" ht="13">
      <c r="A22" s="867"/>
      <c r="B22" s="1612" t="s">
        <v>1074</v>
      </c>
      <c r="C22" s="868"/>
      <c r="D22" s="868"/>
      <c r="E22" s="868"/>
    </row>
    <row r="23" spans="1:9" ht="14">
      <c r="A23" s="867"/>
      <c r="B23" s="1015" t="s">
        <v>1075</v>
      </c>
      <c r="C23" s="868">
        <f>DEPCAL!G42</f>
        <v>299584.76742719999</v>
      </c>
      <c r="D23" s="868">
        <f>DEPCAL!H42</f>
        <v>390689.23461809289</v>
      </c>
      <c r="E23" s="868">
        <f>DEPCAL!I42</f>
        <v>478334.62621957029</v>
      </c>
      <c r="F23" s="7"/>
      <c r="G23" s="1128"/>
      <c r="H23" s="7"/>
    </row>
    <row r="24" spans="1:9" ht="14">
      <c r="A24" s="867"/>
      <c r="B24" s="1015" t="s">
        <v>1145</v>
      </c>
      <c r="C24" s="868">
        <f>(DEPCAL!G71)</f>
        <v>83436.005308114589</v>
      </c>
      <c r="D24" s="868">
        <f>DEPCAL!H71+DEPCAL!H66</f>
        <v>99133.777870646954</v>
      </c>
      <c r="E24" s="868">
        <f>DEPCAL!I71+DEPCAL!I66</f>
        <v>119011.17371951682</v>
      </c>
      <c r="F24" s="7"/>
      <c r="G24" s="1128">
        <f>D24+DEPCAL!I65</f>
        <v>119011.17371951682</v>
      </c>
      <c r="H24" s="7"/>
    </row>
    <row r="25" spans="1:9" ht="13">
      <c r="A25" s="867"/>
      <c r="B25" s="1870" t="s">
        <v>1076</v>
      </c>
      <c r="C25" s="868">
        <f>C23-C24</f>
        <v>216148.76211908541</v>
      </c>
      <c r="D25" s="868">
        <f>D23-D24</f>
        <v>291555.45674744592</v>
      </c>
      <c r="E25" s="868">
        <f>E23-E24</f>
        <v>359323.45250005345</v>
      </c>
      <c r="F25" s="7"/>
      <c r="H25" s="7"/>
    </row>
    <row r="26" spans="1:9">
      <c r="A26" s="867"/>
      <c r="B26" s="1015" t="s">
        <v>1146</v>
      </c>
      <c r="C26" s="1219">
        <f>CWIP!L45-CWIP!L43</f>
        <v>12279.666586912746</v>
      </c>
      <c r="D26" s="868">
        <f>CWIP!W45-CWIP!W43</f>
        <v>19929.926522200003</v>
      </c>
      <c r="E26" s="868">
        <f>CWIP!AH45-CWIP!AH43</f>
        <v>23386.755954743996</v>
      </c>
      <c r="H26" s="7"/>
    </row>
    <row r="27" spans="1:9">
      <c r="A27" s="867"/>
      <c r="B27" s="1015" t="s">
        <v>1147</v>
      </c>
      <c r="C27" s="868">
        <f>CWIP!L43</f>
        <v>11972.2491869</v>
      </c>
      <c r="D27" s="868">
        <f>CWIP!W43</f>
        <v>6020</v>
      </c>
      <c r="E27" s="868">
        <f>CWIP!AH43</f>
        <v>6622</v>
      </c>
    </row>
    <row r="28" spans="1:9" ht="13">
      <c r="A28" s="867"/>
      <c r="B28" s="1870" t="s">
        <v>1148</v>
      </c>
      <c r="C28" s="868">
        <f>C26+C27</f>
        <v>24251.915773812747</v>
      </c>
      <c r="D28" s="868">
        <f>D26+D27</f>
        <v>25949.926522200003</v>
      </c>
      <c r="E28" s="868">
        <f>E26+E27</f>
        <v>30008.755954743996</v>
      </c>
      <c r="F28" s="7"/>
      <c r="G28" s="9">
        <f>2425191551.97/10^5</f>
        <v>24251.915519699996</v>
      </c>
      <c r="H28" s="7">
        <f>G28-C28</f>
        <v>-2.5411275055375881E-4</v>
      </c>
    </row>
    <row r="29" spans="1:9" ht="13">
      <c r="A29" s="867"/>
      <c r="B29" s="1612" t="s">
        <v>1149</v>
      </c>
      <c r="C29" s="868"/>
      <c r="D29" s="868"/>
      <c r="E29" s="868"/>
      <c r="F29" s="7"/>
      <c r="G29" s="9"/>
      <c r="I29" s="7"/>
    </row>
    <row r="30" spans="1:9" ht="26">
      <c r="A30" s="867"/>
      <c r="B30" s="1612" t="s">
        <v>1150</v>
      </c>
      <c r="C30" s="868"/>
      <c r="D30" s="868"/>
      <c r="E30" s="868"/>
      <c r="G30" s="7"/>
    </row>
    <row r="31" spans="1:9">
      <c r="A31" s="867"/>
      <c r="B31" s="1015" t="s">
        <v>1151</v>
      </c>
      <c r="C31" s="868">
        <f>10859571442.49/10^5</f>
        <v>108595.7144249</v>
      </c>
      <c r="D31" s="868">
        <f>C31+'F-22'!C10-'F-6'!L16-'F-23 CASHFLOW'!B7</f>
        <v>107248.20830841514</v>
      </c>
      <c r="E31" s="868">
        <f>D31+'F-22'!D10-'F-6'!P16-'F-23 CASHFLOW'!C7</f>
        <v>107248.20830841525</v>
      </c>
      <c r="F31" s="7"/>
      <c r="G31" s="216"/>
      <c r="H31" s="9"/>
      <c r="I31" s="9"/>
    </row>
    <row r="32" spans="1:9">
      <c r="A32" s="867"/>
      <c r="B32" s="1015" t="s">
        <v>1152</v>
      </c>
      <c r="C32" s="868">
        <f>427473234.61/10^5</f>
        <v>4274.7323461000005</v>
      </c>
      <c r="D32" s="868">
        <f>'F-10'!N32-D27</f>
        <v>5931.3147406518001</v>
      </c>
      <c r="E32" s="868">
        <f>'F-10'!N49-E27</f>
        <v>2704.081269068789</v>
      </c>
      <c r="F32" s="7"/>
      <c r="G32" s="216"/>
      <c r="H32" s="9"/>
      <c r="I32" s="9"/>
    </row>
    <row r="33" spans="1:9">
      <c r="A33" s="867"/>
      <c r="B33" s="1015" t="s">
        <v>1153</v>
      </c>
      <c r="C33" s="868">
        <f>30604263592.24/10^5</f>
        <v>306042.63592239999</v>
      </c>
      <c r="D33" s="1871">
        <f>'F-23 CASHFLOW'!B39</f>
        <v>257445.50385722308</v>
      </c>
      <c r="E33" s="1871">
        <f>'F-23 CASHFLOW'!C39</f>
        <v>235594.97099026176</v>
      </c>
      <c r="G33" s="216"/>
      <c r="H33" s="9"/>
      <c r="I33" s="9"/>
    </row>
    <row r="34" spans="1:9">
      <c r="A34" s="867"/>
      <c r="B34" s="1015" t="s">
        <v>1154</v>
      </c>
      <c r="C34" s="868">
        <f>984892294.55/10^5</f>
        <v>9848.9229455000004</v>
      </c>
      <c r="D34" s="868">
        <f>C34+'F-23 CASHFLOW'!B36</f>
        <v>10398.9229455</v>
      </c>
      <c r="E34" s="868">
        <f>D34+'F-23 CASHFLOW'!C36</f>
        <v>11198.9229455</v>
      </c>
      <c r="G34" s="7"/>
      <c r="H34" s="9"/>
      <c r="I34" s="9"/>
    </row>
    <row r="35" spans="1:9" ht="13">
      <c r="A35" s="867"/>
      <c r="B35" s="1015" t="s">
        <v>1155</v>
      </c>
      <c r="C35" s="868">
        <v>0</v>
      </c>
      <c r="D35" s="868">
        <f>C35</f>
        <v>0</v>
      </c>
      <c r="E35" s="868">
        <f>D35</f>
        <v>0</v>
      </c>
      <c r="G35" s="1010"/>
      <c r="H35" s="150"/>
      <c r="I35" s="150"/>
    </row>
    <row r="36" spans="1:9">
      <c r="A36" s="867"/>
      <c r="B36" s="1015" t="s">
        <v>1156</v>
      </c>
      <c r="C36" s="868"/>
      <c r="D36" s="868"/>
      <c r="E36" s="868"/>
      <c r="G36" s="7"/>
    </row>
    <row r="37" spans="1:9">
      <c r="A37" s="867"/>
      <c r="B37" s="1015" t="s">
        <v>1157</v>
      </c>
      <c r="C37" s="868">
        <f>7977891420.34/10^5</f>
        <v>79778.914203399996</v>
      </c>
      <c r="D37" s="868">
        <f>C37+'F-6'!L10+'F-6'!L11-'F-23 CASHFLOW'!B24</f>
        <v>79778.914203400025</v>
      </c>
      <c r="E37" s="868">
        <f>D37+'F-6'!P10-'F-23 CASHFLOW'!C24</f>
        <v>79778.914203399967</v>
      </c>
      <c r="F37" s="7"/>
      <c r="G37" s="7"/>
    </row>
    <row r="38" spans="1:9">
      <c r="A38" s="867"/>
      <c r="B38" s="1015" t="s">
        <v>1158</v>
      </c>
      <c r="C38" s="868">
        <f>34390536100.03/10^5-C37</f>
        <v>264126.44679690001</v>
      </c>
      <c r="D38" s="868">
        <f>C38+'F-22'!C14+'F-22'!C22+'F-22'!C21-'F-6'!L16-'F-23 CASHFLOW'!B25-'F-23 CASHFLOW'!B26-'F-23 CASHFLOW'!B27+D32-C32+CWIP!R45+CWIP!W42-CWIP!L42+CWIP!W43-CWIP!L43-'F-23 CASHFLOW'!B35-'F-23 CASHFLOW'!B29-'F-23 CASHFLOW'!B30-'F-23 CASHFLOW'!B33-'F-23 CASHFLOW'!B34+'F-6'!L18+'F-6'!L19+'F-6'!L20+'F-6'!L23</f>
        <v>274192.68223430082</v>
      </c>
      <c r="E38" s="868">
        <f>D38+'F-22'!D14+'F-22'!D22+'F-22'!D21+'F-22'!D23-'F-6'!P16-'F-23 CASHFLOW'!C25-'F-23 CASHFLOW'!C26-'F-23 CASHFLOW'!C27-'F-23 CASHFLOW'!C37-'F-23 CASHFLOW'!C34+CWIP!AC45+CWIP!AH42-CWIP!W42+CWIP!AH43-CWIP!W43-'F-23 CASHFLOW'!C35+E32-D32-'F-23 CASHFLOW'!C29-'F-23 CASHFLOW'!C30-'F-23 CASHFLOW'!C33+'F-6'!P18+'F-6'!P19+'F-6'!P20+'F-6'!P23</f>
        <v>290024.60711167805</v>
      </c>
      <c r="F38" s="7"/>
      <c r="G38" s="1010"/>
    </row>
    <row r="39" spans="1:9">
      <c r="A39" s="867"/>
      <c r="B39" s="1015"/>
      <c r="C39" s="868"/>
      <c r="D39" s="868"/>
      <c r="E39" s="868"/>
      <c r="F39" s="7"/>
      <c r="G39" s="7"/>
      <c r="H39" s="7"/>
    </row>
    <row r="40" spans="1:9">
      <c r="A40" s="867"/>
      <c r="B40" s="1015"/>
      <c r="C40" s="868"/>
      <c r="D40" s="868"/>
      <c r="E40" s="868"/>
      <c r="F40" s="7"/>
    </row>
    <row r="41" spans="1:9" ht="13">
      <c r="A41" s="867"/>
      <c r="B41" s="1612" t="s">
        <v>1159</v>
      </c>
      <c r="C41" s="1872">
        <f>C31+C32+C33+C34+C35-SUM(C37:C38)</f>
        <v>84856.644638599944</v>
      </c>
      <c r="D41" s="1872">
        <f>D31+D32+D33+D34+D35-SUM(D37:D38)</f>
        <v>27052.353414089186</v>
      </c>
      <c r="E41" s="1872">
        <f>E31+E32+E33+E34+E35-SUM(E37:E38)</f>
        <v>-13057.33780183224</v>
      </c>
      <c r="F41" s="73"/>
      <c r="H41" s="1010"/>
    </row>
    <row r="42" spans="1:9" ht="25">
      <c r="A42" s="867"/>
      <c r="B42" s="1015" t="s">
        <v>1160</v>
      </c>
      <c r="C42" s="868"/>
      <c r="D42" s="868"/>
      <c r="E42" s="868"/>
      <c r="F42" s="7"/>
    </row>
    <row r="43" spans="1:9">
      <c r="A43" s="867"/>
      <c r="B43" s="1015" t="s">
        <v>1161</v>
      </c>
      <c r="C43" s="868"/>
      <c r="D43" s="868"/>
      <c r="E43" s="868"/>
      <c r="H43" s="1873"/>
    </row>
    <row r="44" spans="1:9">
      <c r="A44" s="867"/>
      <c r="B44" s="1015" t="s">
        <v>1162</v>
      </c>
      <c r="C44" s="1869">
        <f>-'F-22'!B32*0</f>
        <v>0</v>
      </c>
      <c r="D44" s="1869">
        <f>'F-22'!C32</f>
        <v>-60676.393694148224</v>
      </c>
      <c r="E44" s="1869">
        <f>'F-22'!D32</f>
        <v>-97914.499385666975</v>
      </c>
      <c r="H44" s="7"/>
    </row>
    <row r="45" spans="1:9" ht="15.5">
      <c r="A45" s="1254"/>
      <c r="B45" s="940" t="s">
        <v>1163</v>
      </c>
      <c r="C45" s="912">
        <f>C25+C28+C29+C41-C44</f>
        <v>325257.3225314981</v>
      </c>
      <c r="D45" s="912">
        <f>D25+D28+D29+D41-D44</f>
        <v>405234.13037788332</v>
      </c>
      <c r="E45" s="912">
        <f>E25+E28+E29+E41-E44</f>
        <v>474189.37003863219</v>
      </c>
      <c r="F45" s="9"/>
    </row>
    <row r="46" spans="1:9" ht="13">
      <c r="C46" s="1874">
        <f>C45-C20</f>
        <v>-2.3507350706495345E-3</v>
      </c>
      <c r="D46" s="1874">
        <f>D45-D20</f>
        <v>-2.3512347834184766E-3</v>
      </c>
      <c r="E46" s="1874">
        <f>E45-E20</f>
        <v>-2.351234492380172E-3</v>
      </c>
      <c r="G46" s="347"/>
    </row>
    <row r="47" spans="1:9">
      <c r="D47" s="7"/>
      <c r="E47" s="7"/>
    </row>
    <row r="48" spans="1:9">
      <c r="C48" s="72"/>
      <c r="D48" s="7"/>
      <c r="E48" s="7"/>
    </row>
    <row r="49" spans="3:5">
      <c r="C49" s="7"/>
      <c r="D49" s="7"/>
    </row>
    <row r="50" spans="3:5">
      <c r="C50" s="7"/>
      <c r="D50" s="7"/>
      <c r="E50" s="72"/>
    </row>
    <row r="52" spans="3:5">
      <c r="D52" s="7"/>
    </row>
    <row r="60" spans="3:5" ht="11.25" customHeight="1"/>
  </sheetData>
  <mergeCells count="5">
    <mergeCell ref="E5:E6"/>
    <mergeCell ref="D5:D6"/>
    <mergeCell ref="C5:C6"/>
    <mergeCell ref="B4:B6"/>
    <mergeCell ref="A4:A6"/>
  </mergeCells>
  <phoneticPr fontId="0" type="noConversion"/>
  <printOptions horizontalCentered="1"/>
  <pageMargins left="0.51181102362204722" right="0.23622047244094491" top="0.51181102362204722" bottom="0.74803149606299213" header="0.51181102362204722" footer="0.51181102362204722"/>
  <pageSetup paperSize="9" scale="110" orientation="portrait" horizontalDpi="300" verticalDpi="300" r:id="rId1"/>
  <headerFooter alignWithMargins="0">
    <oddFooter xml:space="preserve">&amp;R&amp;"Arial,Bold"&amp;12OERC FORM-&amp;A&amp;"Arial,Regular"&amp;10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5"/>
  <dimension ref="A1:K43"/>
  <sheetViews>
    <sheetView showGridLines="0" view="pageBreakPreview" zoomScaleSheetLayoutView="100" workbookViewId="0">
      <pane xSplit="1" ySplit="4" topLeftCell="B24" activePane="bottomRight" state="frozen"/>
      <selection activeCell="L17" sqref="L17"/>
      <selection pane="topRight" activeCell="L17" sqref="L17"/>
      <selection pane="bottomLeft" activeCell="L17" sqref="L17"/>
      <selection pane="bottomRight" activeCell="L17" sqref="L17"/>
    </sheetView>
  </sheetViews>
  <sheetFormatPr defaultColWidth="9.1796875" defaultRowHeight="12.5"/>
  <cols>
    <col min="1" max="1" width="38" customWidth="1"/>
    <col min="2" max="2" width="11.1796875" customWidth="1"/>
    <col min="3" max="3" width="12" customWidth="1"/>
    <col min="4" max="4" width="11.453125" bestFit="1" customWidth="1"/>
    <col min="5" max="5" width="9.54296875" bestFit="1" customWidth="1"/>
    <col min="6" max="6" width="17.453125" bestFit="1" customWidth="1"/>
    <col min="7" max="7" width="9.453125" customWidth="1"/>
    <col min="8" max="8" width="8.7265625" customWidth="1"/>
    <col min="9" max="9" width="10.26953125" bestFit="1" customWidth="1"/>
  </cols>
  <sheetData>
    <row r="1" spans="1:11" ht="13">
      <c r="A1" s="20" t="s">
        <v>104</v>
      </c>
      <c r="B1" s="3" t="s">
        <v>0</v>
      </c>
      <c r="C1" s="2" t="s">
        <v>1164</v>
      </c>
      <c r="D1" s="3"/>
    </row>
    <row r="2" spans="1:11" ht="15.5">
      <c r="A2" s="2006" t="s">
        <v>1165</v>
      </c>
      <c r="B2" s="2006"/>
      <c r="C2" s="2006"/>
      <c r="D2" s="2006"/>
    </row>
    <row r="3" spans="1:11" ht="13">
      <c r="C3" s="2" t="s">
        <v>912</v>
      </c>
    </row>
    <row r="4" spans="1:11" ht="39">
      <c r="A4" s="1252" t="s">
        <v>735</v>
      </c>
      <c r="B4" s="618" t="s">
        <v>2432</v>
      </c>
      <c r="C4" s="618" t="s">
        <v>2433</v>
      </c>
      <c r="D4" s="618" t="s">
        <v>2434</v>
      </c>
    </row>
    <row r="5" spans="1:11" ht="16" customHeight="1">
      <c r="A5" s="1252" t="s">
        <v>1166</v>
      </c>
      <c r="B5" s="867"/>
      <c r="C5" s="560"/>
      <c r="D5" s="560"/>
      <c r="H5" s="202"/>
    </row>
    <row r="6" spans="1:11" ht="16" customHeight="1">
      <c r="A6" s="867" t="s">
        <v>1167</v>
      </c>
      <c r="B6" s="868">
        <f>6180.85844137655*100-B7</f>
        <v>458983.14413765498</v>
      </c>
      <c r="C6" s="1219">
        <f>'T-7 (Curr)'!AL67-'T-7 (Curr)'!AI67+'T-6 (six mth)'!I69-C7</f>
        <v>493518.48193000123</v>
      </c>
      <c r="D6" s="868">
        <f>'T-8'!BQ67-'T-8'!BN67-D7</f>
        <v>575116.2147717725</v>
      </c>
      <c r="E6" s="7"/>
      <c r="F6" s="7"/>
      <c r="H6" s="202"/>
      <c r="J6" s="1010"/>
    </row>
    <row r="7" spans="1:11" ht="16" customHeight="1">
      <c r="A7" s="1198" t="s">
        <v>1168</v>
      </c>
      <c r="B7" s="868">
        <f>1591.027*100</f>
        <v>159102.70000000001</v>
      </c>
      <c r="C7" s="1219">
        <f>'T-7 (Curr)'!AL61-'T-7 (Curr)'!AI61+'T-6 (six mth)'!I63</f>
        <v>134750.61164848733</v>
      </c>
      <c r="D7" s="1219">
        <f>0*5.5*10</f>
        <v>0</v>
      </c>
      <c r="E7" s="7"/>
      <c r="F7" s="7"/>
      <c r="H7" s="202"/>
    </row>
    <row r="8" spans="1:11" ht="16" customHeight="1">
      <c r="A8" s="1198" t="s">
        <v>1169</v>
      </c>
      <c r="B8" s="868">
        <f>(2339932563.37+697923995)/10^5</f>
        <v>30378.565583699998</v>
      </c>
      <c r="C8" s="868">
        <f>'F-6'!Y60-C9</f>
        <v>8252.2434400000056</v>
      </c>
      <c r="D8" s="868">
        <f>'F-6'!AA60-D9</f>
        <v>8602.1314755000058</v>
      </c>
      <c r="E8" s="7"/>
      <c r="G8" s="73"/>
      <c r="J8" s="1010"/>
    </row>
    <row r="9" spans="1:11" ht="16" customHeight="1">
      <c r="A9" s="867" t="s">
        <v>1170</v>
      </c>
      <c r="B9" s="868">
        <f>540.073193231*100</f>
        <v>54007.319323100004</v>
      </c>
      <c r="C9" s="868">
        <f>'F-6'!Y59+'F-6'!Y53+'F-6'!Y54+'F-6'!Y55+'F-6'!Y57</f>
        <v>37768.542969999995</v>
      </c>
      <c r="D9" s="868">
        <f>'F-6'!AA59+'F-6'!AA55+'F-6'!AA53+'F-6'!AA54+'F-6'!AA57</f>
        <v>30000</v>
      </c>
      <c r="E9" s="7"/>
      <c r="F9" s="7"/>
      <c r="G9" s="235"/>
      <c r="H9" s="7"/>
      <c r="I9" s="7"/>
      <c r="J9" s="1010"/>
      <c r="K9" s="7"/>
    </row>
    <row r="10" spans="1:11" ht="16" customHeight="1">
      <c r="A10" s="656" t="s">
        <v>145</v>
      </c>
      <c r="B10" s="869">
        <f>SUM(B6:B9)</f>
        <v>702471.72904445499</v>
      </c>
      <c r="C10" s="869">
        <f>SUM(C6:C9)</f>
        <v>674289.87998848851</v>
      </c>
      <c r="D10" s="869">
        <f>SUM(D6:D9)</f>
        <v>613718.34624727257</v>
      </c>
      <c r="E10" s="7"/>
      <c r="F10" s="1010"/>
    </row>
    <row r="11" spans="1:11" ht="16" customHeight="1">
      <c r="A11" s="1252" t="s">
        <v>1171</v>
      </c>
      <c r="B11" s="868"/>
      <c r="C11" s="868"/>
      <c r="D11" s="868"/>
      <c r="F11" s="7"/>
      <c r="G11" s="7"/>
    </row>
    <row r="12" spans="1:11" ht="16" customHeight="1">
      <c r="A12" s="867" t="s">
        <v>1172</v>
      </c>
      <c r="B12" s="868">
        <f>'F-6'!G10-B13</f>
        <v>438030.69160999998</v>
      </c>
      <c r="C12" s="868">
        <f>'F-6'!L10-C13</f>
        <v>524075.11666999984</v>
      </c>
      <c r="D12" s="868">
        <f>'F-6'!P10</f>
        <v>477069.15600000002</v>
      </c>
      <c r="F12" s="1010"/>
      <c r="G12" s="7"/>
      <c r="H12" s="7"/>
      <c r="I12" s="7"/>
    </row>
    <row r="13" spans="1:11" ht="16" customHeight="1">
      <c r="A13" s="1198" t="s">
        <v>1173</v>
      </c>
      <c r="B13" s="868">
        <f>7842774276/10^5</f>
        <v>78427.742759999994</v>
      </c>
      <c r="C13" s="868">
        <f>'F-4'!O46</f>
        <v>61989.309099999999</v>
      </c>
      <c r="D13" s="868">
        <v>0</v>
      </c>
      <c r="G13" s="7"/>
      <c r="H13" s="7"/>
      <c r="I13" s="7"/>
    </row>
    <row r="14" spans="1:11" ht="25">
      <c r="A14" s="1015" t="s">
        <v>1174</v>
      </c>
      <c r="B14" s="868">
        <f>'F-6'!G13+'F-6'!G14+'F-6'!G15+'F-6'!G16-'F-6'!G24</f>
        <v>97259.795904300001</v>
      </c>
      <c r="C14" s="868">
        <f>'F-6'!L13+'F-6'!L14+'F-6'!L15+'F-6'!L16-'F-6'!L24</f>
        <v>109633.93582758613</v>
      </c>
      <c r="D14" s="868">
        <f>'F-6'!P13+'F-6'!P14+'F-6'!P15+'F-6'!P16-'F-6'!P24</f>
        <v>124674.01527466816</v>
      </c>
      <c r="E14" s="7"/>
      <c r="F14" s="625"/>
    </row>
    <row r="15" spans="1:11" ht="17.149999999999999" customHeight="1">
      <c r="A15" s="1015" t="s">
        <v>685</v>
      </c>
      <c r="B15" s="868">
        <f>DEPCAL!G67</f>
        <v>4426.5456197775511</v>
      </c>
      <c r="C15" s="868">
        <f>DEPCAL!H67</f>
        <v>9158.1080899472217</v>
      </c>
      <c r="D15" s="868">
        <f>DEPCAL!I67</f>
        <v>12598.395848869874</v>
      </c>
      <c r="E15" s="7"/>
      <c r="F15" s="1010"/>
      <c r="H15" s="347"/>
      <c r="I15" s="347"/>
      <c r="K15" s="7"/>
    </row>
    <row r="16" spans="1:11" ht="17.149999999999999" customHeight="1">
      <c r="A16" s="1015" t="s">
        <v>1175</v>
      </c>
      <c r="B16" s="1869">
        <f>B10-B13-B12-B14-B15</f>
        <v>84326.953150377522</v>
      </c>
      <c r="C16" s="1869">
        <f>C10-C12-C13-C14-C15</f>
        <v>-30566.589699044685</v>
      </c>
      <c r="D16" s="1869">
        <f>D10-D12-D14-D15</f>
        <v>-623.22087626548091</v>
      </c>
      <c r="H16" s="1875"/>
      <c r="I16" s="1875"/>
    </row>
    <row r="17" spans="1:9" ht="17.149999999999999" customHeight="1">
      <c r="A17" s="1015" t="s">
        <v>1176</v>
      </c>
      <c r="B17" s="868">
        <f>'F-6'!G18+'F-6'!G19+'F-6'!G20</f>
        <v>8509.4092836999989</v>
      </c>
      <c r="C17" s="868">
        <f>'F-6'!L18+'F-6'!L19+'F-6'!L20</f>
        <v>16217.490577087841</v>
      </c>
      <c r="D17" s="868">
        <f>'F-6'!P18+'F-6'!P19+'F-6'!P20</f>
        <v>19811.059799626295</v>
      </c>
      <c r="F17" s="1010"/>
      <c r="H17" s="1875"/>
      <c r="I17" s="1875"/>
    </row>
    <row r="18" spans="1:9" ht="17.149999999999999" customHeight="1">
      <c r="A18" s="1015" t="s">
        <v>1177</v>
      </c>
      <c r="B18" s="868">
        <f>'F-6'!G25</f>
        <v>364.33526000000001</v>
      </c>
      <c r="C18" s="868">
        <f>'F-6'!L25</f>
        <v>283.33333333333337</v>
      </c>
      <c r="D18" s="868">
        <f>'F-6'!P25</f>
        <v>1353.3333333333333</v>
      </c>
      <c r="H18" s="1875"/>
      <c r="I18" s="1875"/>
    </row>
    <row r="19" spans="1:9" ht="17.149999999999999" customHeight="1">
      <c r="A19" s="1015" t="s">
        <v>1179</v>
      </c>
      <c r="B19" s="868">
        <f>B17-B18</f>
        <v>8145.0740236999991</v>
      </c>
      <c r="C19" s="868">
        <f>C17-C18</f>
        <v>15934.157243754507</v>
      </c>
      <c r="D19" s="868">
        <f>D17-D18</f>
        <v>18457.726466292963</v>
      </c>
      <c r="I19" s="7"/>
    </row>
    <row r="20" spans="1:9" ht="17.149999999999999" customHeight="1">
      <c r="A20" s="1015" t="s">
        <v>1181</v>
      </c>
      <c r="B20" s="1869">
        <f>B16-B19</f>
        <v>76181.879126677522</v>
      </c>
      <c r="C20" s="1869">
        <f>C16-C19</f>
        <v>-46500.746942799189</v>
      </c>
      <c r="D20" s="1869">
        <f>D16-D19</f>
        <v>-19080.947342558444</v>
      </c>
      <c r="E20" s="7"/>
      <c r="F20" s="628"/>
      <c r="H20" s="1875"/>
      <c r="I20" s="1875"/>
    </row>
    <row r="21" spans="1:9" ht="17.149999999999999" customHeight="1">
      <c r="A21" s="1015" t="s">
        <v>1182</v>
      </c>
      <c r="B21" s="1869">
        <f>'F-6'!G21*0</f>
        <v>0</v>
      </c>
      <c r="C21" s="1869">
        <f>'F-6'!L21</f>
        <v>10740.780561811198</v>
      </c>
      <c r="D21" s="1869">
        <f>'F-6'!P21</f>
        <v>13542.966942611198</v>
      </c>
      <c r="F21" s="1010"/>
      <c r="H21" s="1875"/>
      <c r="I21" s="1875"/>
    </row>
    <row r="22" spans="1:9" ht="17.149999999999999" customHeight="1">
      <c r="A22" s="1015" t="s">
        <v>1183</v>
      </c>
      <c r="B22" s="868">
        <f>'F-6'!G22</f>
        <v>3194.4933410000003</v>
      </c>
      <c r="C22" s="1869">
        <f>'F-6'!L22</f>
        <v>3612.7949584496582</v>
      </c>
      <c r="D22" s="1869">
        <f>'F-6'!P22</f>
        <v>4555.3451549582242</v>
      </c>
      <c r="E22" s="7"/>
      <c r="H22" s="72"/>
      <c r="I22" s="72"/>
    </row>
    <row r="23" spans="1:9" ht="25">
      <c r="A23" s="1015" t="s">
        <v>1184</v>
      </c>
      <c r="B23" s="1876">
        <f>-6387800299.47/10^5</f>
        <v>-63878.0029947</v>
      </c>
      <c r="C23" s="868"/>
      <c r="D23" s="1869"/>
      <c r="E23" s="7"/>
      <c r="H23" s="72"/>
      <c r="I23" s="72"/>
    </row>
    <row r="24" spans="1:9" ht="16.5" customHeight="1">
      <c r="A24" s="1015" t="s">
        <v>1185</v>
      </c>
      <c r="B24" s="1869">
        <f>B20-B21-B22+B23</f>
        <v>9109.3827909775282</v>
      </c>
      <c r="C24" s="1869">
        <f>C20-C21-C22-C23</f>
        <v>-60854.322463060045</v>
      </c>
      <c r="D24" s="1869">
        <f>D20-D21-D22-D23</f>
        <v>-37179.259440127862</v>
      </c>
      <c r="E24" s="7"/>
      <c r="H24" s="7"/>
      <c r="I24" s="7"/>
    </row>
    <row r="25" spans="1:9" ht="16.5" customHeight="1">
      <c r="A25" s="1015" t="s">
        <v>2072</v>
      </c>
      <c r="B25" s="1869"/>
      <c r="C25" s="868">
        <f>-'F-6'!L23</f>
        <v>177.92876891181908</v>
      </c>
      <c r="D25" s="868">
        <f>-'F-6'!P23</f>
        <v>-58.846251390890444</v>
      </c>
      <c r="F25" s="1019"/>
      <c r="H25" s="9"/>
      <c r="I25" s="7"/>
    </row>
    <row r="26" spans="1:9" ht="25">
      <c r="A26" s="1015" t="s">
        <v>1186</v>
      </c>
      <c r="B26" s="1869">
        <v>0</v>
      </c>
      <c r="C26" s="1869">
        <f>B32*0</f>
        <v>0</v>
      </c>
      <c r="D26" s="1869">
        <f>C32</f>
        <v>-60676.393694148224</v>
      </c>
    </row>
    <row r="27" spans="1:9" ht="17.5" customHeight="1">
      <c r="A27" s="1015" t="s">
        <v>1187</v>
      </c>
      <c r="B27" s="868">
        <f>293.9552*0</f>
        <v>0</v>
      </c>
      <c r="C27" s="868">
        <f>'F-6'!L30</f>
        <v>0</v>
      </c>
      <c r="D27" s="868">
        <f>'F-6'!P30</f>
        <v>0</v>
      </c>
      <c r="F27" s="7"/>
    </row>
    <row r="28" spans="1:9" ht="25">
      <c r="A28" s="1015" t="s">
        <v>1188</v>
      </c>
      <c r="B28" s="868"/>
      <c r="C28" s="868"/>
      <c r="D28" s="868"/>
      <c r="F28" s="7"/>
    </row>
    <row r="29" spans="1:9" ht="16" customHeight="1">
      <c r="A29" s="1015" t="s">
        <v>1189</v>
      </c>
      <c r="B29" s="868">
        <v>0</v>
      </c>
      <c r="C29" s="868">
        <v>0</v>
      </c>
      <c r="D29" s="868">
        <v>0</v>
      </c>
      <c r="F29" s="7"/>
    </row>
    <row r="30" spans="1:9" ht="16" customHeight="1">
      <c r="A30" s="1015" t="s">
        <v>1190</v>
      </c>
      <c r="B30" s="868">
        <v>0</v>
      </c>
      <c r="C30" s="868">
        <v>0</v>
      </c>
      <c r="D30" s="868">
        <v>0</v>
      </c>
    </row>
    <row r="31" spans="1:9" ht="16" customHeight="1">
      <c r="A31" s="1015" t="s">
        <v>1191</v>
      </c>
      <c r="B31" s="868">
        <v>0</v>
      </c>
      <c r="C31" s="868">
        <v>0</v>
      </c>
      <c r="D31" s="868">
        <v>0</v>
      </c>
    </row>
    <row r="32" spans="1:9" ht="16" customHeight="1">
      <c r="A32" s="1015" t="s">
        <v>1192</v>
      </c>
      <c r="B32" s="1869">
        <f>B24+B25+B26-SUM(B27:B31)</f>
        <v>9109.3827909775282</v>
      </c>
      <c r="C32" s="1869">
        <f>C24+C25+C26-SUM(C27:C31)</f>
        <v>-60676.393694148224</v>
      </c>
      <c r="D32" s="1869">
        <f>D24+D25+D26-SUM(D27:D31)</f>
        <v>-97914.499385666975</v>
      </c>
      <c r="F32" s="1877"/>
    </row>
    <row r="33" spans="2:6">
      <c r="B33" s="72"/>
      <c r="C33" s="72"/>
    </row>
    <row r="34" spans="2:6">
      <c r="B34" s="7"/>
      <c r="C34" s="7">
        <f>-C32-(-C26)</f>
        <v>60676.393694148224</v>
      </c>
      <c r="D34" s="7">
        <f>-D32</f>
        <v>97914.499385666975</v>
      </c>
      <c r="F34" s="1877"/>
    </row>
    <row r="35" spans="2:6">
      <c r="B35" s="7"/>
      <c r="C35" s="7">
        <f>'F-6'!L39</f>
        <v>676.39369414816611</v>
      </c>
      <c r="D35" s="7">
        <f>'F-6'!P39</f>
        <v>126.19376268959604</v>
      </c>
    </row>
    <row r="36" spans="2:6">
      <c r="B36" s="9"/>
      <c r="C36" s="7">
        <f>C35-C34</f>
        <v>-60000.000000000058</v>
      </c>
      <c r="D36" s="7">
        <f>D35-D34</f>
        <v>-97788.305622977379</v>
      </c>
    </row>
    <row r="37" spans="2:6">
      <c r="B37" s="7"/>
      <c r="D37" s="7"/>
    </row>
    <row r="38" spans="2:6">
      <c r="D38" s="7"/>
    </row>
    <row r="39" spans="2:6">
      <c r="B39" s="7"/>
    </row>
    <row r="40" spans="2:6">
      <c r="B40" s="72"/>
      <c r="C40" s="72"/>
    </row>
    <row r="43" spans="2:6">
      <c r="D43" s="72"/>
    </row>
  </sheetData>
  <mergeCells count="1">
    <mergeCell ref="A2:D2"/>
  </mergeCells>
  <phoneticPr fontId="0" type="noConversion"/>
  <printOptions horizontalCentered="1" verticalCentered="1" gridLines="1"/>
  <pageMargins left="0.51181102362204722" right="0.19685039370078741" top="1.2598425196850394" bottom="0.74803149606299213" header="0.74803149606299213" footer="0.51181102362204722"/>
  <pageSetup paperSize="9" orientation="portrait" r:id="rId1"/>
  <headerFooter alignWithMargins="0">
    <oddFooter xml:space="preserve">&amp;R&amp;"Arial,Bold"&amp;12OERC FORM-&amp;A&amp;"Arial,Regular"&amp;10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2"/>
  <dimension ref="A1:P44"/>
  <sheetViews>
    <sheetView showGridLines="0" view="pageBreakPreview" zoomScale="85" zoomScaleSheetLayoutView="85" workbookViewId="0">
      <selection activeCell="C10" sqref="C10"/>
    </sheetView>
  </sheetViews>
  <sheetFormatPr defaultRowHeight="12.5"/>
  <cols>
    <col min="1" max="1" width="50.54296875" customWidth="1"/>
    <col min="2" max="2" width="13" bestFit="1" customWidth="1"/>
    <col min="3" max="3" width="13.26953125" bestFit="1" customWidth="1"/>
  </cols>
  <sheetData>
    <row r="1" spans="1:6" ht="13">
      <c r="A1" s="20" t="s">
        <v>104</v>
      </c>
    </row>
    <row r="2" spans="1:6" ht="15.5">
      <c r="A2" s="1908" t="s">
        <v>1193</v>
      </c>
      <c r="B2" s="1908"/>
      <c r="C2" s="1908"/>
    </row>
    <row r="3" spans="1:6" ht="13">
      <c r="A3" s="2118" t="s">
        <v>735</v>
      </c>
      <c r="B3" s="2121" t="s">
        <v>1846</v>
      </c>
      <c r="C3" s="28" t="s">
        <v>1194</v>
      </c>
    </row>
    <row r="4" spans="1:6" ht="13">
      <c r="A4" s="2120"/>
      <c r="B4" s="2123"/>
      <c r="C4" s="1611" t="s">
        <v>2193</v>
      </c>
    </row>
    <row r="5" spans="1:6" ht="13">
      <c r="A5" s="1252" t="s">
        <v>1195</v>
      </c>
      <c r="B5" s="867"/>
      <c r="C5" s="867"/>
    </row>
    <row r="6" spans="1:6" ht="25">
      <c r="A6" s="1256" t="s">
        <v>2599</v>
      </c>
      <c r="B6" s="1219">
        <f>'F-21'!C33</f>
        <v>306042.63592239999</v>
      </c>
      <c r="C6" s="1219">
        <f>B39</f>
        <v>257445.50385722308</v>
      </c>
      <c r="F6" s="7"/>
    </row>
    <row r="7" spans="1:6">
      <c r="A7" s="867" t="s">
        <v>1196</v>
      </c>
      <c r="B7" s="868">
        <f>('F-22'!C6*'T-1'!N75)+'F-22'!C7+'F-22'!C8+'F-22'!C9</f>
        <v>669354.69516918855</v>
      </c>
      <c r="C7" s="868">
        <f>('F-22'!D6*'T-1'!S75)+'F-22'!D7+'F-22'!D8+'F-22'!D9</f>
        <v>607967.18409955478</v>
      </c>
    </row>
    <row r="8" spans="1:6">
      <c r="A8" s="867" t="s">
        <v>1197</v>
      </c>
      <c r="B8" s="868">
        <f>14452.16+3500</f>
        <v>17952.16</v>
      </c>
      <c r="C8" s="1219">
        <v>9000</v>
      </c>
    </row>
    <row r="9" spans="1:6">
      <c r="A9" s="1198" t="s">
        <v>2085</v>
      </c>
      <c r="B9" s="868">
        <f>CWIP!N80+CWIP!N81+CWIP!N82+CWIP!N83+CWIP!N84+CWIP!N72</f>
        <v>22200</v>
      </c>
      <c r="C9" s="868">
        <f>CWIP!O72</f>
        <v>20500</v>
      </c>
      <c r="E9" s="7"/>
    </row>
    <row r="10" spans="1:6">
      <c r="A10" s="1198" t="s">
        <v>2086</v>
      </c>
      <c r="B10" s="868">
        <f>SUM(CWIP!U30:V34)*0.3</f>
        <v>19109.878511319992</v>
      </c>
      <c r="C10" s="868">
        <f>SUM(CWIP!AF30:AG34)*0.3</f>
        <v>17513.66488</v>
      </c>
      <c r="E10" s="9"/>
    </row>
    <row r="11" spans="1:6">
      <c r="A11" s="867" t="s">
        <v>1198</v>
      </c>
      <c r="B11" s="868">
        <f>'loan&amp;int'!F39</f>
        <v>0</v>
      </c>
      <c r="C11" s="868">
        <f>'loan&amp;int'!G39</f>
        <v>0</v>
      </c>
      <c r="D11" s="7"/>
    </row>
    <row r="12" spans="1:6">
      <c r="A12" s="867" t="s">
        <v>1199</v>
      </c>
      <c r="B12" s="868">
        <f>'loan&amp;int'!F39/0.7*0.3</f>
        <v>0</v>
      </c>
      <c r="C12" s="868">
        <v>0</v>
      </c>
      <c r="D12" s="7"/>
    </row>
    <row r="13" spans="1:6">
      <c r="A13" s="1198" t="s">
        <v>1200</v>
      </c>
      <c r="B13" s="868">
        <f>'loan&amp;int'!F18</f>
        <v>0</v>
      </c>
      <c r="C13" s="868">
        <f>'loan&amp;int'!G18</f>
        <v>0</v>
      </c>
      <c r="D13" s="7"/>
    </row>
    <row r="14" spans="1:6">
      <c r="A14" s="1198" t="s">
        <v>1201</v>
      </c>
      <c r="B14" s="868">
        <f>'loan&amp;int'!F29</f>
        <v>0</v>
      </c>
      <c r="C14" s="868">
        <f>'loan&amp;int'!G29</f>
        <v>0</v>
      </c>
      <c r="D14" s="7"/>
    </row>
    <row r="15" spans="1:6">
      <c r="A15" s="867" t="s">
        <v>1202</v>
      </c>
      <c r="B15" s="868">
        <v>0</v>
      </c>
      <c r="C15" s="868">
        <v>0</v>
      </c>
      <c r="D15" s="7"/>
    </row>
    <row r="16" spans="1:6">
      <c r="A16" s="867" t="s">
        <v>1203</v>
      </c>
      <c r="B16" s="868">
        <v>0</v>
      </c>
      <c r="C16" s="868">
        <v>0</v>
      </c>
      <c r="D16" s="7"/>
    </row>
    <row r="17" spans="1:14">
      <c r="A17" s="867" t="s">
        <v>1204</v>
      </c>
      <c r="B17" s="868">
        <v>0</v>
      </c>
      <c r="C17" s="868">
        <v>0</v>
      </c>
      <c r="D17" s="7"/>
    </row>
    <row r="18" spans="1:14">
      <c r="A18" s="867" t="s">
        <v>1205</v>
      </c>
      <c r="B18" s="868">
        <v>0</v>
      </c>
      <c r="C18" s="868">
        <v>0</v>
      </c>
      <c r="D18" s="7"/>
    </row>
    <row r="19" spans="1:14">
      <c r="A19" s="867" t="s">
        <v>1206</v>
      </c>
      <c r="B19" s="868">
        <f>'loan&amp;int'!F50</f>
        <v>20000</v>
      </c>
      <c r="C19" s="868">
        <f>'loan&amp;int'!G50</f>
        <v>35000</v>
      </c>
      <c r="E19" s="7"/>
    </row>
    <row r="20" spans="1:14">
      <c r="A20" s="867" t="s">
        <v>1207</v>
      </c>
      <c r="B20" s="868">
        <f>'loan&amp;int'!F94</f>
        <v>55571.372555150083</v>
      </c>
      <c r="C20" s="868">
        <f>'loan&amp;int'!G94</f>
        <v>47420.240903648541</v>
      </c>
      <c r="E20" s="7"/>
    </row>
    <row r="21" spans="1:14" ht="13">
      <c r="A21" s="1260" t="s">
        <v>145</v>
      </c>
      <c r="B21" s="869">
        <f>SUM(B6:B20)</f>
        <v>1110230.7421580588</v>
      </c>
      <c r="C21" s="869">
        <f>SUM(C6:C20)</f>
        <v>994846.59374042647</v>
      </c>
      <c r="D21" s="7"/>
      <c r="E21" s="12"/>
    </row>
    <row r="22" spans="1:14" ht="13">
      <c r="A22" s="1252" t="s">
        <v>1208</v>
      </c>
      <c r="B22" s="868"/>
      <c r="C22" s="868"/>
      <c r="D22" s="7"/>
      <c r="E22" s="7"/>
    </row>
    <row r="23" spans="1:14">
      <c r="A23" s="867"/>
      <c r="B23" s="868"/>
      <c r="C23" s="868"/>
    </row>
    <row r="24" spans="1:14">
      <c r="A24" s="867" t="s">
        <v>1209</v>
      </c>
      <c r="B24" s="868">
        <f>'F-22'!C12+'F-22'!C13</f>
        <v>586064.42576999986</v>
      </c>
      <c r="C24" s="868">
        <f>'F-22'!D12</f>
        <v>477069.15600000002</v>
      </c>
    </row>
    <row r="25" spans="1:14">
      <c r="A25" s="867" t="s">
        <v>1210</v>
      </c>
      <c r="B25" s="868">
        <f>'F-12'!W32</f>
        <v>58270.781067866672</v>
      </c>
      <c r="C25" s="1219">
        <f>'F-12'!AD32-C34</f>
        <v>62658.819106660514</v>
      </c>
      <c r="I25" s="225"/>
      <c r="J25" s="7"/>
      <c r="K25" s="7"/>
      <c r="M25" s="7"/>
      <c r="N25" s="7"/>
    </row>
    <row r="26" spans="1:14">
      <c r="A26" s="867" t="s">
        <v>1211</v>
      </c>
      <c r="B26" s="868">
        <f>'F-14'!F66</f>
        <v>19108.758718334575</v>
      </c>
      <c r="C26" s="1219">
        <f>'F-14'!G66</f>
        <v>24586.534678618002</v>
      </c>
      <c r="I26" s="225"/>
      <c r="J26" s="7"/>
      <c r="K26" s="7"/>
      <c r="M26" s="7"/>
      <c r="N26" s="7"/>
    </row>
    <row r="27" spans="1:14">
      <c r="A27" s="867" t="s">
        <v>1212</v>
      </c>
      <c r="B27" s="868">
        <f>'F-13'!E15</f>
        <v>28199</v>
      </c>
      <c r="C27" s="1219">
        <f>'F-13'!F15</f>
        <v>33686.397853959905</v>
      </c>
      <c r="I27" s="225"/>
      <c r="J27" s="7"/>
      <c r="K27" s="7"/>
      <c r="M27" s="7"/>
      <c r="N27" s="7"/>
    </row>
    <row r="28" spans="1:14">
      <c r="A28" s="867" t="s">
        <v>1213</v>
      </c>
      <c r="B28" s="868">
        <f>'loan&amp;int'!F40+'loan&amp;int'!F74+'loan&amp;int'!F96++'loan&amp;int'!F51</f>
        <v>46713.808747000003</v>
      </c>
      <c r="C28" s="868">
        <f>'loan&amp;int'!G40+'loan&amp;int'!G74+'loan&amp;int'!G96+'loan&amp;int'!G51</f>
        <v>50699.666122900002</v>
      </c>
      <c r="I28" s="225"/>
      <c r="J28" s="7"/>
      <c r="K28" s="7"/>
      <c r="M28" s="7"/>
      <c r="N28" s="7"/>
    </row>
    <row r="29" spans="1:14">
      <c r="A29" s="1198" t="s">
        <v>1214</v>
      </c>
      <c r="B29" s="868">
        <f>(('loan&amp;int'!F14+'loan&amp;int'!F24+'loan&amp;int'!F35+'loan&amp;int'!F68+'loan&amp;int'!F45+'loan&amp;int'!F56))+'loan&amp;int'!F79</f>
        <v>2842.2346824133333</v>
      </c>
      <c r="C29" s="868">
        <f>(('loan&amp;int'!G14+'loan&amp;int'!G24+'loan&amp;int'!G35+'loan&amp;int'!G68+'loan&amp;int'!G45+'loan&amp;int'!G56))+'loan&amp;int'!G79</f>
        <v>5009.734839588833</v>
      </c>
      <c r="I29" s="225"/>
      <c r="J29" s="7"/>
      <c r="K29" s="7"/>
      <c r="M29" s="7"/>
      <c r="N29" s="7"/>
    </row>
    <row r="30" spans="1:14" ht="13">
      <c r="A30" s="1198" t="s">
        <v>1215</v>
      </c>
      <c r="B30" s="1219">
        <f>'loan&amp;int'!F101+'loan&amp;int'!F109</f>
        <v>13375.255894674508</v>
      </c>
      <c r="C30" s="1219">
        <f>'loan&amp;int'!G101+'loan&amp;int'!G109</f>
        <v>14801.324960037458</v>
      </c>
      <c r="H30" s="2"/>
      <c r="I30" s="225"/>
      <c r="J30" s="7"/>
      <c r="K30" s="7"/>
      <c r="M30" s="7"/>
      <c r="N30" s="7"/>
    </row>
    <row r="31" spans="1:14">
      <c r="A31" s="867" t="s">
        <v>1216</v>
      </c>
      <c r="B31" s="868">
        <f>603.13+1000</f>
        <v>1603.13</v>
      </c>
      <c r="C31" s="1219">
        <v>2500</v>
      </c>
      <c r="I31" s="225"/>
      <c r="J31" s="7"/>
      <c r="K31" s="7"/>
      <c r="M31" s="7"/>
      <c r="N31" s="7"/>
    </row>
    <row r="32" spans="1:14">
      <c r="A32" s="867" t="s">
        <v>1217</v>
      </c>
      <c r="B32" s="868">
        <v>0</v>
      </c>
      <c r="C32" s="868">
        <v>0</v>
      </c>
      <c r="I32" s="225"/>
      <c r="J32" s="7"/>
      <c r="K32" s="7"/>
      <c r="M32" s="7"/>
      <c r="N32" s="7"/>
    </row>
    <row r="33" spans="1:16">
      <c r="A33" s="867" t="s">
        <v>1218</v>
      </c>
      <c r="B33" s="868"/>
      <c r="C33" s="1219"/>
      <c r="D33" s="7"/>
      <c r="I33" s="225"/>
      <c r="J33" s="7"/>
      <c r="K33" s="7"/>
      <c r="M33" s="7"/>
      <c r="N33" s="7"/>
      <c r="P33" s="7"/>
    </row>
    <row r="34" spans="1:16">
      <c r="A34" s="867" t="s">
        <v>1219</v>
      </c>
      <c r="B34" s="868">
        <f>5600*30%*0</f>
        <v>0</v>
      </c>
      <c r="C34" s="868"/>
      <c r="D34" s="7"/>
      <c r="I34" s="225"/>
      <c r="J34" s="7"/>
      <c r="K34" s="7"/>
      <c r="M34" s="7"/>
      <c r="N34" s="7"/>
      <c r="P34" s="7"/>
    </row>
    <row r="35" spans="1:16">
      <c r="A35" s="867" t="s">
        <v>1220</v>
      </c>
      <c r="B35" s="868">
        <f>CWIP!P45</f>
        <v>96057.843420546793</v>
      </c>
      <c r="C35" s="1219">
        <f>CWIP!AA45</f>
        <v>87439.989188399995</v>
      </c>
      <c r="I35" s="225"/>
      <c r="J35" s="7"/>
      <c r="K35" s="7"/>
      <c r="M35" s="7"/>
      <c r="N35" s="7"/>
      <c r="P35" s="7"/>
    </row>
    <row r="36" spans="1:16" ht="13">
      <c r="A36" s="867" t="s">
        <v>1221</v>
      </c>
      <c r="B36" s="868">
        <v>550</v>
      </c>
      <c r="C36" s="1219">
        <v>800</v>
      </c>
      <c r="J36" s="12"/>
      <c r="K36" s="12"/>
      <c r="L36" s="12"/>
      <c r="M36" s="12"/>
      <c r="P36" s="12"/>
    </row>
    <row r="37" spans="1:16">
      <c r="A37" s="867"/>
      <c r="B37" s="868"/>
      <c r="C37" s="868"/>
    </row>
    <row r="38" spans="1:16" ht="13">
      <c r="A38" s="1257" t="s">
        <v>145</v>
      </c>
      <c r="B38" s="869">
        <f>SUM(B24:B37)</f>
        <v>852785.23830083571</v>
      </c>
      <c r="C38" s="869">
        <f>SUM(C24:C37)</f>
        <v>759251.62275016471</v>
      </c>
    </row>
    <row r="39" spans="1:16" ht="13">
      <c r="A39" s="1252" t="s">
        <v>1222</v>
      </c>
      <c r="B39" s="1872">
        <f>B21-B38</f>
        <v>257445.50385722308</v>
      </c>
      <c r="C39" s="1872">
        <f>C21-C38</f>
        <v>235594.97099026176</v>
      </c>
    </row>
    <row r="40" spans="1:16" ht="25">
      <c r="A40" s="1256" t="s">
        <v>1223</v>
      </c>
      <c r="B40" s="868">
        <f>(85725+B8-B31)+29288</f>
        <v>131362.03</v>
      </c>
      <c r="C40" s="868">
        <f>B40+C8-C31</f>
        <v>137862.03</v>
      </c>
    </row>
    <row r="41" spans="1:16" ht="13">
      <c r="A41" s="867" t="s">
        <v>1224</v>
      </c>
      <c r="B41" s="1872">
        <f>B39-B40</f>
        <v>126083.47385722309</v>
      </c>
      <c r="C41" s="1872">
        <f>C39-C40</f>
        <v>97732.940990261763</v>
      </c>
    </row>
    <row r="42" spans="1:16">
      <c r="B42" s="155"/>
      <c r="C42" s="7"/>
    </row>
    <row r="43" spans="1:16" ht="13">
      <c r="A43" s="1839"/>
      <c r="C43" s="7"/>
    </row>
    <row r="44" spans="1:16">
      <c r="B44" s="72"/>
    </row>
  </sheetData>
  <mergeCells count="3">
    <mergeCell ref="A2:C2"/>
    <mergeCell ref="B3:B4"/>
    <mergeCell ref="A3:A4"/>
  </mergeCells>
  <phoneticPr fontId="0" type="noConversion"/>
  <printOptions horizontalCentered="1"/>
  <pageMargins left="0.74803149606299213" right="0.51181102362204722" top="0.74803149606299213" bottom="0.51181102362204722" header="0.51181102362204722" footer="0.51181102362204722"/>
  <pageSetup paperSize="9" scale="110" orientation="portrait" r:id="rId1"/>
  <headerFooter alignWithMargins="0">
    <oddFooter>&amp;R&amp;"Arial,Bold"&amp;12&amp;A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13"/>
  <sheetViews>
    <sheetView showGridLines="0" view="pageBreakPreview" topLeftCell="A3" zoomScale="84" zoomScaleSheetLayoutView="84" workbookViewId="0">
      <selection activeCell="L17" sqref="L17"/>
    </sheetView>
  </sheetViews>
  <sheetFormatPr defaultColWidth="9.1796875" defaultRowHeight="15.5"/>
  <cols>
    <col min="1" max="1" width="5.1796875" style="291" customWidth="1"/>
    <col min="2" max="2" width="18.81640625" style="291" bestFit="1" customWidth="1"/>
    <col min="3" max="3" width="12.26953125" style="291" bestFit="1" customWidth="1"/>
    <col min="4" max="4" width="10.81640625" style="291" bestFit="1" customWidth="1"/>
    <col min="5" max="5" width="11" style="291" bestFit="1" customWidth="1"/>
    <col min="6" max="6" width="13.453125" style="291" bestFit="1" customWidth="1"/>
    <col min="7" max="7" width="12.453125" style="291" bestFit="1" customWidth="1"/>
    <col min="8" max="8" width="13.7265625" style="291" bestFit="1" customWidth="1"/>
    <col min="9" max="9" width="11.26953125" style="291" bestFit="1" customWidth="1"/>
    <col min="10" max="10" width="10.453125" style="291" customWidth="1"/>
    <col min="11" max="11" width="9.1796875" style="291"/>
    <col min="12" max="12" width="20.453125" style="291" customWidth="1"/>
    <col min="13" max="16384" width="9.1796875" style="291"/>
  </cols>
  <sheetData>
    <row r="1" spans="1:12">
      <c r="A1" s="20" t="s">
        <v>104</v>
      </c>
    </row>
    <row r="2" spans="1:12" ht="15.75" customHeight="1">
      <c r="A2" s="2124" t="s">
        <v>1225</v>
      </c>
      <c r="B2" s="2124"/>
      <c r="C2" s="2124"/>
      <c r="D2" s="2124"/>
      <c r="E2" s="2124"/>
      <c r="F2" s="2124"/>
      <c r="G2" s="2124"/>
      <c r="H2" s="2124"/>
      <c r="I2" s="2124"/>
      <c r="J2" s="2124"/>
    </row>
    <row r="3" spans="1:12" ht="17.5">
      <c r="A3" s="2125" t="s">
        <v>1226</v>
      </c>
      <c r="B3" s="2125"/>
      <c r="C3" s="2125"/>
      <c r="D3" s="2125"/>
      <c r="E3" s="2125"/>
      <c r="F3" s="2125"/>
      <c r="G3" s="2125"/>
      <c r="H3" s="2125"/>
      <c r="I3" s="2125"/>
      <c r="J3" s="2125"/>
    </row>
    <row r="4" spans="1:12" s="294" customFormat="1" ht="81.75" customHeight="1">
      <c r="A4" s="1324" t="s">
        <v>2035</v>
      </c>
      <c r="B4" s="1324" t="s">
        <v>735</v>
      </c>
      <c r="C4" s="1323" t="s">
        <v>2371</v>
      </c>
      <c r="D4" s="1323" t="s">
        <v>1227</v>
      </c>
      <c r="E4" s="1323" t="s">
        <v>1228</v>
      </c>
      <c r="F4" s="1323" t="s">
        <v>1229</v>
      </c>
      <c r="G4" s="1323" t="s">
        <v>2372</v>
      </c>
      <c r="H4" s="1323" t="s">
        <v>1230</v>
      </c>
      <c r="I4" s="1323" t="s">
        <v>1231</v>
      </c>
      <c r="J4" s="1323" t="s">
        <v>2373</v>
      </c>
      <c r="K4" s="293"/>
    </row>
    <row r="5" spans="1:12" ht="25" customHeight="1">
      <c r="A5" s="1325" t="s">
        <v>107</v>
      </c>
      <c r="B5" s="1326" t="s">
        <v>1232</v>
      </c>
      <c r="C5" s="1327"/>
      <c r="D5" s="1327"/>
      <c r="E5" s="1327"/>
      <c r="F5" s="1327"/>
      <c r="G5" s="1327"/>
      <c r="H5" s="1327"/>
      <c r="I5" s="1327"/>
      <c r="J5" s="1327"/>
      <c r="K5" s="292"/>
    </row>
    <row r="6" spans="1:12" ht="25" customHeight="1">
      <c r="A6" s="1325">
        <v>1</v>
      </c>
      <c r="B6" s="1325" t="s">
        <v>1233</v>
      </c>
      <c r="C6" s="1328">
        <f>10764946483.94/10^5</f>
        <v>107649.46483940001</v>
      </c>
      <c r="D6" s="1328">
        <f>C6*6.75%</f>
        <v>7266.3388766595008</v>
      </c>
      <c r="E6" s="1328">
        <f>'F-23 CASHFLOW'!B8</f>
        <v>17952.16</v>
      </c>
      <c r="F6" s="1328">
        <f>'F-23 CASHFLOW'!B31</f>
        <v>1603.13</v>
      </c>
      <c r="G6" s="1328">
        <f>C6+D6+E6-F6</f>
        <v>131264.83371605951</v>
      </c>
      <c r="H6" s="1328">
        <f>'F-23 CASHFLOW'!C8</f>
        <v>9000</v>
      </c>
      <c r="I6" s="1328">
        <f>'F-23 CASHFLOW'!C31</f>
        <v>2500</v>
      </c>
      <c r="J6" s="1328">
        <f>G6+H6-I6</f>
        <v>137764.83371605951</v>
      </c>
    </row>
    <row r="7" spans="1:12" ht="25" customHeight="1">
      <c r="A7" s="1325">
        <v>2</v>
      </c>
      <c r="B7" s="1325" t="s">
        <v>1234</v>
      </c>
      <c r="C7" s="1328">
        <f>1985065507.4344/10^5</f>
        <v>19850.655074344002</v>
      </c>
      <c r="D7" s="1328">
        <f>C7*7.87%</f>
        <v>1562.2465543508731</v>
      </c>
      <c r="E7" s="1328">
        <f>14200</f>
        <v>14200</v>
      </c>
      <c r="F7" s="1328">
        <f>'F-12'!W30</f>
        <v>13298.680799999998</v>
      </c>
      <c r="G7" s="1328">
        <f>C7+D7+E7-F7</f>
        <v>22314.220828694877</v>
      </c>
      <c r="H7" s="1328">
        <v>15000</v>
      </c>
      <c r="I7" s="1328">
        <f>'F-12'!AD30</f>
        <v>13697.641223999999</v>
      </c>
      <c r="J7" s="1328">
        <f>G7+H7-I7</f>
        <v>23616.579604694874</v>
      </c>
      <c r="L7" s="316"/>
    </row>
    <row r="8" spans="1:12" ht="25" customHeight="1">
      <c r="A8" s="1325">
        <v>3</v>
      </c>
      <c r="B8" s="1325" t="s">
        <v>1235</v>
      </c>
      <c r="C8" s="1328">
        <f>411250669.8494/10^5</f>
        <v>4112.5066984939995</v>
      </c>
      <c r="D8" s="1328">
        <f>C8*8.23%</f>
        <v>338.45930128605613</v>
      </c>
      <c r="E8" s="1328">
        <v>2000</v>
      </c>
      <c r="F8" s="1328">
        <f>'F-12'!W31</f>
        <v>2000.0162599999999</v>
      </c>
      <c r="G8" s="1328">
        <f>C8+D8+E8-F8</f>
        <v>4450.9497397800551</v>
      </c>
      <c r="H8" s="1328">
        <v>2000</v>
      </c>
      <c r="I8" s="1328">
        <f>'F-12'!AD31</f>
        <v>2060.0167477999998</v>
      </c>
      <c r="J8" s="1328">
        <f>G8+H8-I8</f>
        <v>4390.9329919800548</v>
      </c>
      <c r="L8" s="316"/>
    </row>
    <row r="9" spans="1:12" ht="32.25" customHeight="1">
      <c r="A9" s="1325" t="s">
        <v>135</v>
      </c>
      <c r="B9" s="1329" t="s">
        <v>2423</v>
      </c>
      <c r="C9" s="1330" t="s">
        <v>1236</v>
      </c>
      <c r="D9" s="1330" t="s">
        <v>1237</v>
      </c>
      <c r="E9" s="1331" t="s">
        <v>1238</v>
      </c>
      <c r="F9" s="1331" t="s">
        <v>1239</v>
      </c>
      <c r="G9" s="1330" t="s">
        <v>145</v>
      </c>
      <c r="H9" s="1325"/>
      <c r="I9" s="1325"/>
      <c r="J9" s="1325"/>
    </row>
    <row r="10" spans="1:12" ht="25" customHeight="1">
      <c r="A10" s="1325">
        <v>1</v>
      </c>
      <c r="B10" s="1325" t="s">
        <v>1240</v>
      </c>
      <c r="C10" s="2126">
        <f>G10</f>
        <v>107649.46483940001</v>
      </c>
      <c r="D10" s="2127"/>
      <c r="E10" s="1325"/>
      <c r="F10" s="1325"/>
      <c r="G10" s="1328">
        <f>C6</f>
        <v>107649.46483940001</v>
      </c>
      <c r="H10" s="1325"/>
      <c r="I10" s="1328"/>
      <c r="J10" s="1325"/>
    </row>
    <row r="11" spans="1:12" ht="25" customHeight="1">
      <c r="A11" s="1325">
        <v>2</v>
      </c>
      <c r="B11" s="1325" t="s">
        <v>1234</v>
      </c>
      <c r="C11" s="1328">
        <f>210000000/10^5</f>
        <v>2100</v>
      </c>
      <c r="D11" s="1328">
        <f>739500000/10^5</f>
        <v>7395</v>
      </c>
      <c r="E11" s="1328">
        <v>10000</v>
      </c>
      <c r="F11" s="1328">
        <f>G11-SUM(C11:E11)</f>
        <v>355.65507434400206</v>
      </c>
      <c r="G11" s="1328">
        <f>C7</f>
        <v>19850.655074344002</v>
      </c>
      <c r="H11" s="1325"/>
      <c r="I11" s="1325"/>
      <c r="J11" s="1325"/>
    </row>
    <row r="12" spans="1:12" ht="25" customHeight="1">
      <c r="A12" s="1325">
        <v>3</v>
      </c>
      <c r="B12" s="1325" t="s">
        <v>1235</v>
      </c>
      <c r="C12" s="1328">
        <f>4250669.8494/10^5</f>
        <v>42.506698493999998</v>
      </c>
      <c r="D12" s="1328">
        <f>178000000/10^5</f>
        <v>1780</v>
      </c>
      <c r="E12" s="1328">
        <f>227000000/10^5</f>
        <v>2270</v>
      </c>
      <c r="F12" s="1328">
        <f>G12-SUM(C12:E12)</f>
        <v>19.999999999999545</v>
      </c>
      <c r="G12" s="1328">
        <f>C8</f>
        <v>4112.5066984939995</v>
      </c>
      <c r="H12" s="1325"/>
      <c r="I12" s="1325"/>
      <c r="J12" s="1325"/>
    </row>
    <row r="13" spans="1:12">
      <c r="G13" s="316"/>
    </row>
  </sheetData>
  <mergeCells count="3">
    <mergeCell ref="A2:J2"/>
    <mergeCell ref="A3:J3"/>
    <mergeCell ref="C10:D10"/>
  </mergeCells>
  <phoneticPr fontId="87" type="noConversion"/>
  <printOptions horizontalCentered="1" gridLines="1"/>
  <pageMargins left="1.1811023622047245" right="0.70866141732283472" top="0.74803149606299213" bottom="0.74803149606299213" header="0.31496062992125984" footer="0.31496062992125984"/>
  <pageSetup scale="99" orientation="landscape" r:id="rId1"/>
  <headerFooter>
    <oddFooter>&amp;R&amp;"Arial,Bold"&amp;12OERC FORM &amp;A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37"/>
  <sheetViews>
    <sheetView showGridLines="0" view="pageBreakPreview" topLeftCell="A26" zoomScale="89" zoomScaleSheetLayoutView="89" workbookViewId="0">
      <selection activeCell="L17" sqref="L17"/>
    </sheetView>
  </sheetViews>
  <sheetFormatPr defaultRowHeight="12.5"/>
  <cols>
    <col min="1" max="1" width="6.1796875" customWidth="1"/>
    <col min="2" max="2" width="51.1796875" customWidth="1"/>
    <col min="3" max="3" width="13.54296875" bestFit="1" customWidth="1"/>
    <col min="4" max="4" width="13.54296875" hidden="1" customWidth="1"/>
    <col min="5" max="5" width="13.81640625" customWidth="1"/>
    <col min="6" max="6" width="13.26953125" bestFit="1" customWidth="1"/>
    <col min="8" max="9" width="10.54296875" bestFit="1" customWidth="1"/>
    <col min="10" max="10" width="21.1796875" customWidth="1"/>
  </cols>
  <sheetData>
    <row r="1" spans="1:9" ht="24" customHeight="1">
      <c r="A1" s="25" t="s">
        <v>104</v>
      </c>
      <c r="E1" s="2" t="s">
        <v>1241</v>
      </c>
    </row>
    <row r="2" spans="1:9" ht="17.5">
      <c r="A2" s="1020" t="s">
        <v>1242</v>
      </c>
      <c r="F2" t="s">
        <v>1243</v>
      </c>
    </row>
    <row r="3" spans="1:9" ht="26">
      <c r="A3" s="618" t="s">
        <v>518</v>
      </c>
      <c r="B3" s="1255" t="s">
        <v>735</v>
      </c>
      <c r="C3" s="618" t="s">
        <v>1244</v>
      </c>
      <c r="D3" s="618" t="s">
        <v>1245</v>
      </c>
      <c r="E3" s="618" t="s">
        <v>1246</v>
      </c>
      <c r="F3" s="618" t="s">
        <v>915</v>
      </c>
    </row>
    <row r="4" spans="1:9" ht="29.25" customHeight="1">
      <c r="A4" s="343"/>
      <c r="B4" s="1256" t="s">
        <v>2573</v>
      </c>
      <c r="C4" s="1219">
        <f>200212.054408699</f>
        <v>200212.05440869901</v>
      </c>
      <c r="D4" s="1219">
        <f>C34</f>
        <v>306042.63592240005</v>
      </c>
      <c r="E4" s="1219">
        <f>C34</f>
        <v>306042.63592240005</v>
      </c>
      <c r="F4" s="1219">
        <f>E34</f>
        <v>274675.6924845149</v>
      </c>
    </row>
    <row r="5" spans="1:9" ht="16.5" customHeight="1">
      <c r="A5" s="893" t="s">
        <v>107</v>
      </c>
      <c r="B5" s="1001" t="s">
        <v>1247</v>
      </c>
      <c r="C5" s="1198"/>
      <c r="D5" s="1198"/>
      <c r="E5" s="1198"/>
      <c r="F5" s="1198"/>
    </row>
    <row r="6" spans="1:9" ht="16.5" customHeight="1">
      <c r="A6" s="1198">
        <v>1</v>
      </c>
      <c r="B6" s="1198" t="s">
        <v>1248</v>
      </c>
      <c r="C6" s="1251">
        <f>summary!B31+20000</f>
        <v>645005.89958519267</v>
      </c>
      <c r="D6" s="1198"/>
      <c r="E6" s="1219">
        <f>('F-22'!C6+'F-22'!C7)*'T-1'!N75</f>
        <v>621986.40264270373</v>
      </c>
      <c r="F6" s="1219">
        <f>('F-22'!D6+'F-22'!D7)*'T-1'!S75</f>
        <v>569365.05262405472</v>
      </c>
    </row>
    <row r="7" spans="1:9" ht="16.5" customHeight="1">
      <c r="A7" s="1198">
        <v>2</v>
      </c>
      <c r="B7" s="1198" t="s">
        <v>1249</v>
      </c>
      <c r="C7" s="1097">
        <f>697923995/10^5</f>
        <v>6979.2399500000001</v>
      </c>
      <c r="D7" s="1198"/>
      <c r="E7" s="1219">
        <f>(E12*0.015)+(E13+E14)*0.02</f>
        <v>8946.5315067999982</v>
      </c>
      <c r="F7" s="1219">
        <f>(F12*0.015)+(F13+F14)*0.02</f>
        <v>7294.32348</v>
      </c>
    </row>
    <row r="8" spans="1:9">
      <c r="A8" s="1198">
        <v>3</v>
      </c>
      <c r="B8" s="1256" t="s">
        <v>1250</v>
      </c>
      <c r="C8" s="1251"/>
      <c r="D8" s="1198"/>
      <c r="E8" s="1198"/>
      <c r="F8" s="1198"/>
    </row>
    <row r="9" spans="1:9" ht="16.5" customHeight="1">
      <c r="A9" s="1198">
        <v>4</v>
      </c>
      <c r="B9" s="1198" t="s">
        <v>1251</v>
      </c>
      <c r="C9" s="1251">
        <f>54000+10400+228.789376008266</f>
        <v>64628.789376008266</v>
      </c>
      <c r="D9" s="1198"/>
      <c r="E9" s="1219">
        <f>('F-22'!C8+'F-22'!C9)*'T-1'!N75</f>
        <v>45560.578545900004</v>
      </c>
      <c r="F9" s="1219">
        <f>('F-22'!D8+'F-22'!D9)*'T-1'!S75</f>
        <v>38216.110160745004</v>
      </c>
    </row>
    <row r="10" spans="1:9" ht="16.5" customHeight="1">
      <c r="A10" s="343"/>
      <c r="B10" s="1257" t="s">
        <v>1252</v>
      </c>
      <c r="C10" s="869">
        <f>SUM(C6:C9)</f>
        <v>716613.92891120096</v>
      </c>
      <c r="D10" s="1252">
        <f>SUM(D6:D9)</f>
        <v>0</v>
      </c>
      <c r="E10" s="869">
        <f>SUM(E6:E9)</f>
        <v>676493.51269540377</v>
      </c>
      <c r="F10" s="869">
        <f>SUM(F6:F9)</f>
        <v>614875.48626479972</v>
      </c>
      <c r="H10" s="12"/>
    </row>
    <row r="11" spans="1:9" ht="16.5" customHeight="1">
      <c r="A11" s="893" t="s">
        <v>135</v>
      </c>
      <c r="B11" s="1001" t="s">
        <v>1253</v>
      </c>
      <c r="C11" s="1198"/>
      <c r="D11" s="1198"/>
      <c r="E11" s="1198"/>
      <c r="F11" s="1198"/>
    </row>
    <row r="12" spans="1:9" ht="16.5" customHeight="1">
      <c r="A12" s="1198">
        <v>1</v>
      </c>
      <c r="B12" s="1198" t="s">
        <v>1254</v>
      </c>
      <c r="C12" s="1219">
        <f>'F-6'!G6</f>
        <v>480625.72651999997</v>
      </c>
      <c r="D12" s="1198"/>
      <c r="E12" s="1219">
        <f>'F-6'!L10-E13-E14-E15</f>
        <v>554708.3604799998</v>
      </c>
      <c r="F12" s="1219">
        <f>'F-6'!P10-F13-F14-F15</f>
        <v>449159.88</v>
      </c>
      <c r="H12" s="7"/>
      <c r="I12" s="7"/>
    </row>
    <row r="13" spans="1:9" ht="16.5" customHeight="1">
      <c r="A13" s="1198">
        <v>2</v>
      </c>
      <c r="B13" s="1198" t="s">
        <v>1255</v>
      </c>
      <c r="C13" s="1219">
        <f>'F-6'!G8</f>
        <v>35665.991849999999</v>
      </c>
      <c r="D13" s="1198"/>
      <c r="E13" s="1219">
        <f>'F-6'!L8</f>
        <v>31089.648979999998</v>
      </c>
      <c r="F13" s="1219">
        <f>'F-6'!P8</f>
        <v>27640.608</v>
      </c>
      <c r="H13" s="7"/>
    </row>
    <row r="14" spans="1:9" ht="16.5" customHeight="1">
      <c r="A14" s="1198">
        <v>3</v>
      </c>
      <c r="B14" s="1198" t="s">
        <v>636</v>
      </c>
      <c r="C14" s="1219">
        <f>'F-6'!G9</f>
        <v>166.71600000000001</v>
      </c>
      <c r="D14" s="1198"/>
      <c r="E14" s="1219">
        <f>'F-6'!L9</f>
        <v>205.65600000000001</v>
      </c>
      <c r="F14" s="1219">
        <f>'F-6'!P9</f>
        <v>205.65600000000001</v>
      </c>
    </row>
    <row r="15" spans="1:9" ht="16.5" customHeight="1">
      <c r="A15" s="1198">
        <v>4</v>
      </c>
      <c r="B15" s="1198" t="s">
        <v>1256</v>
      </c>
      <c r="C15" s="1219">
        <v>0</v>
      </c>
      <c r="D15" s="1198"/>
      <c r="E15" s="1219">
        <f>'F-4'!O49</f>
        <v>60.76030999999999</v>
      </c>
      <c r="F15" s="1219">
        <f>'F-4'!M59</f>
        <v>63.012000000000008</v>
      </c>
    </row>
    <row r="16" spans="1:9" ht="16.5" customHeight="1">
      <c r="A16" s="1198">
        <v>5</v>
      </c>
      <c r="B16" s="1198" t="s">
        <v>587</v>
      </c>
      <c r="C16" s="869">
        <f>SUM(C12:C15)</f>
        <v>516458.43436999997</v>
      </c>
      <c r="D16" s="869">
        <f>SUM(D12:D15)</f>
        <v>0</v>
      </c>
      <c r="E16" s="869">
        <f>SUM(E12:E15)</f>
        <v>586064.42576999986</v>
      </c>
      <c r="F16" s="869">
        <f>SUM(F12:F15)</f>
        <v>477069.15600000002</v>
      </c>
      <c r="H16" s="12"/>
      <c r="I16" s="7"/>
    </row>
    <row r="17" spans="1:9" ht="16.5" customHeight="1">
      <c r="A17" s="1198"/>
      <c r="B17" s="1198" t="s">
        <v>929</v>
      </c>
      <c r="C17" s="1198"/>
      <c r="D17" s="1198"/>
      <c r="E17" s="1198"/>
      <c r="F17" s="1198"/>
    </row>
    <row r="18" spans="1:9" ht="16.5" customHeight="1">
      <c r="A18" s="1198">
        <v>1</v>
      </c>
      <c r="B18" s="1198" t="s">
        <v>803</v>
      </c>
      <c r="C18" s="2128">
        <f>11956.5994394+4000</f>
        <v>15956.599439400001</v>
      </c>
      <c r="D18" s="1198"/>
      <c r="E18" s="1198"/>
      <c r="F18" s="1198"/>
      <c r="H18" s="7"/>
      <c r="I18" s="7"/>
    </row>
    <row r="19" spans="1:9" ht="16.5" customHeight="1">
      <c r="A19" s="1198">
        <v>2</v>
      </c>
      <c r="B19" s="1198" t="s">
        <v>804</v>
      </c>
      <c r="C19" s="2130"/>
      <c r="D19" s="1198"/>
      <c r="E19" s="1219">
        <f>'F-12'!W7</f>
        <v>16098.563939266667</v>
      </c>
      <c r="F19" s="1219">
        <f>'F-12'!AD7</f>
        <v>18340.77213623</v>
      </c>
    </row>
    <row r="20" spans="1:9" ht="16.5" customHeight="1">
      <c r="A20" s="1198">
        <v>3</v>
      </c>
      <c r="B20" s="1198" t="s">
        <v>859</v>
      </c>
      <c r="C20" s="904">
        <f>'F-12'!I9</f>
        <v>3772.8614200000002</v>
      </c>
      <c r="D20" s="1198"/>
      <c r="E20" s="1219">
        <f>'F-12'!W9</f>
        <v>5600.6746252000003</v>
      </c>
      <c r="F20" s="1219">
        <f>'F-12'!AD9</f>
        <v>6648.398758530001</v>
      </c>
      <c r="H20" s="7"/>
    </row>
    <row r="21" spans="1:9" ht="16.5" customHeight="1">
      <c r="A21" s="1198">
        <v>4</v>
      </c>
      <c r="B21" s="1198" t="s">
        <v>1257</v>
      </c>
      <c r="C21" s="904">
        <f>'F-12'!I10</f>
        <v>2801.5517416000002</v>
      </c>
      <c r="D21" s="1198"/>
      <c r="E21" s="1219">
        <f>'F-12'!W10</f>
        <v>3385.9172915999998</v>
      </c>
      <c r="F21" s="1219">
        <f>'F-12'!AD10</f>
        <v>3488.1261769800003</v>
      </c>
      <c r="H21" s="7"/>
    </row>
    <row r="22" spans="1:9" ht="16.5" customHeight="1">
      <c r="A22" s="1198">
        <v>5</v>
      </c>
      <c r="B22" s="1198" t="s">
        <v>1258</v>
      </c>
      <c r="C22" s="904">
        <f>'F-12'!I20</f>
        <v>54.351543700000001</v>
      </c>
      <c r="D22" s="1198"/>
      <c r="E22" s="1219">
        <f>'F-12'!W20</f>
        <v>608.76898100000005</v>
      </c>
      <c r="F22" s="1219">
        <f>'F-12'!AD20</f>
        <v>627.20743005000008</v>
      </c>
      <c r="H22" s="7"/>
    </row>
    <row r="23" spans="1:9" ht="16.5" customHeight="1">
      <c r="A23" s="1198">
        <v>6</v>
      </c>
      <c r="B23" s="1198" t="s">
        <v>809</v>
      </c>
      <c r="C23" s="904">
        <f>'F-12'!I11</f>
        <v>3200.9743069000001</v>
      </c>
      <c r="D23" s="1198"/>
      <c r="E23" s="1219">
        <f>'F-12'!W11</f>
        <v>3608.3162430000002</v>
      </c>
      <c r="F23" s="1219">
        <f>'F-12'!AD11</f>
        <v>3716.718417436522</v>
      </c>
      <c r="H23" s="7"/>
      <c r="I23" s="7"/>
    </row>
    <row r="24" spans="1:9" ht="27.75" customHeight="1">
      <c r="A24" s="1198">
        <v>7</v>
      </c>
      <c r="B24" s="1256" t="s">
        <v>2102</v>
      </c>
      <c r="C24" s="1253"/>
      <c r="D24" s="1198"/>
      <c r="E24" s="1219"/>
      <c r="F24" s="1219"/>
    </row>
    <row r="25" spans="1:9">
      <c r="A25" s="1198">
        <v>8</v>
      </c>
      <c r="B25" s="1198" t="s">
        <v>1259</v>
      </c>
      <c r="C25" s="2128">
        <f>('F-12'!I30+'F-12'!I31+'F-12'!I23)</f>
        <v>13841.652984399998</v>
      </c>
      <c r="D25" s="2131"/>
      <c r="E25" s="2128">
        <f>'F-12'!W30+'F-12'!W31+'F-12'!W23</f>
        <v>15667.025874199999</v>
      </c>
      <c r="F25" s="2128">
        <f>'F-12'!AD30+'F-12'!AD31+'F-12'!AD23</f>
        <v>16137.036650426</v>
      </c>
      <c r="H25" s="7"/>
    </row>
    <row r="26" spans="1:9">
      <c r="A26" s="1198">
        <v>9</v>
      </c>
      <c r="B26" s="1198" t="s">
        <v>1260</v>
      </c>
      <c r="C26" s="2129"/>
      <c r="D26" s="2132"/>
      <c r="E26" s="2129"/>
      <c r="F26" s="2129"/>
    </row>
    <row r="27" spans="1:9">
      <c r="A27" s="1198">
        <v>10</v>
      </c>
      <c r="B27" s="1198" t="s">
        <v>823</v>
      </c>
      <c r="C27" s="2130"/>
      <c r="D27" s="2133"/>
      <c r="E27" s="2130"/>
      <c r="F27" s="2130"/>
    </row>
    <row r="28" spans="1:9" ht="16.5" customHeight="1">
      <c r="A28" s="1198">
        <v>11</v>
      </c>
      <c r="B28" s="1198" t="s">
        <v>1261</v>
      </c>
      <c r="C28" s="904">
        <f>'F-12'!I15+'F-12'!I16+'F-12'!I17+'F-12'!I21+'F-12'!I24+'F-12'!I25+'F-12'!I29+'F-12'!I27</f>
        <v>7786.0821511600006</v>
      </c>
      <c r="D28" s="1198"/>
      <c r="E28" s="904">
        <f>'F-12'!W15+'F-12'!W16+'F-12'!W17+'F-12'!W21+'F-12'!W24+'F-12'!W25+'F-12'!W26+'F-12'!W27+'F-12'!W29</f>
        <v>13301.5141136</v>
      </c>
      <c r="F28" s="904">
        <f>'F-12'!AD15+'F-12'!AD16+'F-12'!AD17+'F-12'!AD21+'F-12'!AD24+'F-12'!AD25+'F-12'!AD26+'F-12'!AD27+'F-12'!AD29+'F-12'!AD12</f>
        <v>13700.559537008001</v>
      </c>
      <c r="H28" s="7"/>
    </row>
    <row r="29" spans="1:9" ht="16.5" customHeight="1">
      <c r="A29" s="1198">
        <v>12</v>
      </c>
      <c r="B29" s="1198" t="s">
        <v>1262</v>
      </c>
      <c r="C29" s="869">
        <f>SUM(C18:C28)</f>
        <v>47414.073587159997</v>
      </c>
      <c r="D29" s="1198"/>
      <c r="E29" s="869">
        <f>SUM(E18:E28)</f>
        <v>58270.781067866672</v>
      </c>
      <c r="F29" s="869">
        <f>SUM(F18:F28)</f>
        <v>62658.819106660521</v>
      </c>
      <c r="H29" s="12"/>
    </row>
    <row r="30" spans="1:9" ht="16.5" customHeight="1">
      <c r="A30" s="1198">
        <v>13</v>
      </c>
      <c r="B30" s="1198" t="s">
        <v>1178</v>
      </c>
      <c r="C30" s="1219">
        <f>'F-13'!C15</f>
        <v>23755.997211889997</v>
      </c>
      <c r="D30" s="1198"/>
      <c r="E30" s="1219">
        <f>'F-13'!E15</f>
        <v>28199</v>
      </c>
      <c r="F30" s="1219">
        <f>'F-13'!F15</f>
        <v>33686.397853959905</v>
      </c>
    </row>
    <row r="31" spans="1:9" ht="16.5" customHeight="1">
      <c r="A31" s="1198">
        <v>14</v>
      </c>
      <c r="B31" s="1198" t="s">
        <v>958</v>
      </c>
      <c r="C31" s="1219">
        <f>'F-14'!D66</f>
        <v>14645.432944749999</v>
      </c>
      <c r="D31" s="1198"/>
      <c r="E31" s="1219">
        <f>'F-14'!F66</f>
        <v>19108.758718334575</v>
      </c>
      <c r="F31" s="1219">
        <f>'F-14'!G66</f>
        <v>24586.534678618002</v>
      </c>
    </row>
    <row r="32" spans="1:9" ht="16.5" customHeight="1">
      <c r="A32" s="1198">
        <v>15</v>
      </c>
      <c r="B32" s="1198" t="s">
        <v>1263</v>
      </c>
      <c r="C32" s="1219">
        <f>'loan&amp;int'!E56+'loan&amp;int'!E101+'loan&amp;int'!E109+'loan&amp;int'!E45</f>
        <v>8509.4092836999989</v>
      </c>
      <c r="D32" s="1198"/>
      <c r="E32" s="1219">
        <f>'loan&amp;int'!F110</f>
        <v>16217.490577087841</v>
      </c>
      <c r="F32" s="1219">
        <f>'loan&amp;int'!G110</f>
        <v>19811.059799626295</v>
      </c>
    </row>
    <row r="33" spans="1:10" ht="16.5" customHeight="1">
      <c r="A33" s="1198">
        <v>16</v>
      </c>
      <c r="B33" s="1257" t="s">
        <v>1264</v>
      </c>
      <c r="C33" s="869">
        <f>SUM(C29:C32)+C16</f>
        <v>610783.34739749995</v>
      </c>
      <c r="D33" s="869">
        <f>SUM(D29:D32)+D16</f>
        <v>0</v>
      </c>
      <c r="E33" s="869">
        <f>SUM(E29:E32)+E16</f>
        <v>707860.45613328891</v>
      </c>
      <c r="F33" s="869">
        <f>SUM(F29:F32)+F16</f>
        <v>617811.96743886475</v>
      </c>
      <c r="H33" s="12"/>
    </row>
    <row r="34" spans="1:10" ht="25">
      <c r="A34" s="1198">
        <v>17</v>
      </c>
      <c r="B34" s="1256" t="s">
        <v>2574</v>
      </c>
      <c r="C34" s="1219">
        <f>C4+C10-C33</f>
        <v>306042.63592240005</v>
      </c>
      <c r="D34" s="1219">
        <f>D4+D10-D33</f>
        <v>306042.63592240005</v>
      </c>
      <c r="E34" s="1219">
        <f>E4+E10-E33</f>
        <v>274675.6924845149</v>
      </c>
      <c r="F34" s="1219">
        <f>F4+F10-F33</f>
        <v>271739.21131044987</v>
      </c>
      <c r="J34" s="7"/>
    </row>
    <row r="35" spans="1:10">
      <c r="A35" s="1254"/>
      <c r="B35" s="1258" t="s">
        <v>1265</v>
      </c>
      <c r="C35" s="7"/>
    </row>
    <row r="36" spans="1:10">
      <c r="C36" s="7"/>
    </row>
    <row r="37" spans="1:10">
      <c r="E37" s="7"/>
    </row>
  </sheetData>
  <mergeCells count="5">
    <mergeCell ref="F25:F27"/>
    <mergeCell ref="C18:C19"/>
    <mergeCell ref="C25:C27"/>
    <mergeCell ref="D25:D27"/>
    <mergeCell ref="E25:E27"/>
  </mergeCells>
  <phoneticPr fontId="0" type="noConversion"/>
  <printOptions horizontalCentered="1"/>
  <pageMargins left="0.35433070866141736" right="0.35433070866141736" top="0.98425196850393704" bottom="0.59055118110236227" header="0.51181102362204722" footer="0.51181102362204722"/>
  <pageSetup paperSize="9" orientation="portrait" r:id="rId1"/>
  <headerFooter alignWithMargins="0">
    <oddFooter>&amp;R&amp;"Arial,Bold"&amp;12OERC FORM &amp;A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15"/>
  <sheetViews>
    <sheetView showGridLines="0" view="pageBreakPreview" zoomScale="85" zoomScaleSheetLayoutView="85" workbookViewId="0">
      <selection activeCell="L17" sqref="L17"/>
    </sheetView>
  </sheetViews>
  <sheetFormatPr defaultColWidth="9.1796875" defaultRowHeight="13"/>
  <cols>
    <col min="1" max="1" width="5.453125" style="603" customWidth="1"/>
    <col min="2" max="2" width="51.1796875" style="603" customWidth="1"/>
    <col min="3" max="3" width="11.7265625" style="603" bestFit="1" customWidth="1"/>
    <col min="4" max="4" width="12.453125" style="603" bestFit="1" customWidth="1"/>
    <col min="5" max="5" width="11.26953125" style="603" bestFit="1" customWidth="1"/>
    <col min="6" max="6" width="14" style="603" customWidth="1"/>
    <col min="7" max="16384" width="9.1796875" style="603"/>
  </cols>
  <sheetData>
    <row r="1" spans="1:9" ht="15.5">
      <c r="A1" s="25" t="s">
        <v>104</v>
      </c>
    </row>
    <row r="2" spans="1:9" ht="14.25" customHeight="1">
      <c r="A2" s="2134" t="s">
        <v>1266</v>
      </c>
      <c r="B2" s="2135"/>
      <c r="C2" s="2135"/>
      <c r="D2" s="2135"/>
      <c r="E2" s="2135"/>
      <c r="F2" s="2136"/>
      <c r="G2" s="604"/>
      <c r="H2" s="604"/>
      <c r="I2" s="604"/>
    </row>
    <row r="3" spans="1:9" ht="15">
      <c r="A3" s="605" t="s">
        <v>1267</v>
      </c>
      <c r="B3" s="606"/>
      <c r="C3" s="606"/>
      <c r="D3" s="606"/>
      <c r="E3" s="606"/>
      <c r="F3" s="607" t="s">
        <v>1194</v>
      </c>
    </row>
    <row r="4" spans="1:9" ht="39">
      <c r="A4" s="608" t="s">
        <v>1268</v>
      </c>
      <c r="B4" s="608"/>
      <c r="C4" s="609" t="s">
        <v>1269</v>
      </c>
      <c r="D4" s="609" t="s">
        <v>1270</v>
      </c>
      <c r="E4" s="609" t="s">
        <v>1271</v>
      </c>
      <c r="F4" s="609" t="s">
        <v>1272</v>
      </c>
    </row>
    <row r="5" spans="1:9" ht="31">
      <c r="A5" s="610" t="s">
        <v>1273</v>
      </c>
      <c r="B5" s="611" t="s">
        <v>1274</v>
      </c>
      <c r="C5" s="2137" t="s">
        <v>2101</v>
      </c>
      <c r="D5" s="2138"/>
      <c r="E5" s="2138"/>
      <c r="F5" s="2139"/>
      <c r="G5" s="612"/>
    </row>
    <row r="6" spans="1:9" ht="31">
      <c r="A6" s="610" t="s">
        <v>135</v>
      </c>
      <c r="B6" s="611" t="s">
        <v>1275</v>
      </c>
      <c r="C6" s="2140"/>
      <c r="D6" s="2141"/>
      <c r="E6" s="2141"/>
      <c r="F6" s="2142"/>
    </row>
    <row r="7" spans="1:9" ht="15.5">
      <c r="A7" s="608"/>
      <c r="B7" s="611" t="s">
        <v>1276</v>
      </c>
      <c r="C7" s="2140"/>
      <c r="D7" s="2141"/>
      <c r="E7" s="2141"/>
      <c r="F7" s="2142"/>
    </row>
    <row r="8" spans="1:9" ht="22.5" customHeight="1">
      <c r="A8" s="608"/>
      <c r="B8" s="611" t="s">
        <v>1277</v>
      </c>
      <c r="C8" s="2140"/>
      <c r="D8" s="2141"/>
      <c r="E8" s="2141"/>
      <c r="F8" s="2142"/>
    </row>
    <row r="9" spans="1:9" ht="19.5" customHeight="1">
      <c r="A9" s="608"/>
      <c r="B9" s="611" t="s">
        <v>1278</v>
      </c>
      <c r="C9" s="2140"/>
      <c r="D9" s="2141"/>
      <c r="E9" s="2141"/>
      <c r="F9" s="2142"/>
    </row>
    <row r="10" spans="1:9" ht="15.5">
      <c r="A10" s="608"/>
      <c r="B10" s="611" t="s">
        <v>1279</v>
      </c>
      <c r="C10" s="2140"/>
      <c r="D10" s="2141"/>
      <c r="E10" s="2141"/>
      <c r="F10" s="2142"/>
    </row>
    <row r="11" spans="1:9" ht="15.5">
      <c r="A11" s="608"/>
      <c r="B11" s="611" t="s">
        <v>1280</v>
      </c>
      <c r="C11" s="2140"/>
      <c r="D11" s="2141"/>
      <c r="E11" s="2141"/>
      <c r="F11" s="2142"/>
    </row>
    <row r="12" spans="1:9" ht="15.5">
      <c r="A12" s="608"/>
      <c r="B12" s="611" t="s">
        <v>1281</v>
      </c>
      <c r="C12" s="2140"/>
      <c r="D12" s="2141"/>
      <c r="E12" s="2141"/>
      <c r="F12" s="2142"/>
    </row>
    <row r="13" spans="1:9" ht="31">
      <c r="A13" s="608"/>
      <c r="B13" s="611" t="s">
        <v>1282</v>
      </c>
      <c r="C13" s="2140"/>
      <c r="D13" s="2141"/>
      <c r="E13" s="2141"/>
      <c r="F13" s="2142"/>
    </row>
    <row r="14" spans="1:9" ht="15.5">
      <c r="A14" s="608"/>
      <c r="B14" s="611" t="s">
        <v>1283</v>
      </c>
      <c r="C14" s="2140"/>
      <c r="D14" s="2141"/>
      <c r="E14" s="2141"/>
      <c r="F14" s="2142"/>
    </row>
    <row r="15" spans="1:9" ht="31">
      <c r="A15" s="608"/>
      <c r="B15" s="611" t="s">
        <v>1284</v>
      </c>
      <c r="C15" s="2143"/>
      <c r="D15" s="2144"/>
      <c r="E15" s="2144"/>
      <c r="F15" s="2145"/>
    </row>
  </sheetData>
  <mergeCells count="2">
    <mergeCell ref="A2:F2"/>
    <mergeCell ref="C5:F15"/>
  </mergeCells>
  <phoneticPr fontId="93" type="noConversion"/>
  <pageMargins left="0.70866141732283472" right="0.51181102362204722" top="0.74803149606299213" bottom="0.74803149606299213" header="0.31496062992125984" footer="0.51181102362204722"/>
  <pageSetup scale="89" orientation="portrait" r:id="rId1"/>
  <headerFooter>
    <oddFooter>&amp;R&amp;"Arial,Bold"&amp;12OERC FORM &amp;A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Q43"/>
  <sheetViews>
    <sheetView showGridLines="0" view="pageBreakPreview" topLeftCell="A11" zoomScale="80" zoomScaleSheetLayoutView="80" workbookViewId="0">
      <selection activeCell="L17" sqref="L17"/>
    </sheetView>
  </sheetViews>
  <sheetFormatPr defaultColWidth="9.1796875" defaultRowHeight="12.5"/>
  <cols>
    <col min="1" max="1" width="3.81640625" style="614" customWidth="1"/>
    <col min="2" max="2" width="33.1796875" style="614" customWidth="1"/>
    <col min="3" max="3" width="5.1796875" style="614" customWidth="1"/>
    <col min="4" max="4" width="14.54296875" style="614" customWidth="1"/>
    <col min="5" max="5" width="9.26953125" style="614" customWidth="1"/>
    <col min="6" max="6" width="9.54296875" style="614" customWidth="1"/>
    <col min="7" max="7" width="9.7265625" style="614" customWidth="1"/>
    <col min="8" max="8" width="8.54296875" style="614" customWidth="1"/>
    <col min="9" max="9" width="9.26953125" style="614" customWidth="1"/>
    <col min="10" max="10" width="9" style="614" customWidth="1"/>
    <col min="11" max="11" width="9.7265625" style="614" customWidth="1"/>
    <col min="12" max="16" width="8.54296875" style="614" customWidth="1"/>
    <col min="17" max="17" width="12" style="614" customWidth="1"/>
    <col min="18" max="19" width="9.1796875" style="614"/>
    <col min="20" max="20" width="9.81640625" style="614" bestFit="1" customWidth="1"/>
    <col min="21" max="16384" width="9.1796875" style="614"/>
  </cols>
  <sheetData>
    <row r="1" spans="1:17" ht="13">
      <c r="A1" s="613" t="s">
        <v>1285</v>
      </c>
    </row>
    <row r="2" spans="1:17" ht="13">
      <c r="A2" s="2146" t="s">
        <v>1286</v>
      </c>
      <c r="B2" s="2147"/>
      <c r="C2" s="2147"/>
      <c r="D2" s="2147"/>
      <c r="E2" s="2147"/>
      <c r="F2" s="2147"/>
      <c r="G2" s="2147"/>
      <c r="H2" s="2147"/>
      <c r="I2" s="2147"/>
      <c r="J2" s="2147"/>
      <c r="K2" s="2147"/>
      <c r="L2" s="2147"/>
      <c r="M2" s="2147"/>
      <c r="N2" s="2147"/>
      <c r="O2" s="2147"/>
      <c r="P2" s="2148"/>
    </row>
    <row r="3" spans="1:17" ht="18" customHeight="1">
      <c r="A3" s="2149" t="s">
        <v>2207</v>
      </c>
      <c r="B3" s="2150"/>
      <c r="C3" s="2150"/>
      <c r="D3" s="2150"/>
      <c r="E3" s="2150"/>
      <c r="F3" s="2150"/>
      <c r="G3" s="2150"/>
      <c r="H3" s="2150"/>
      <c r="I3" s="2150"/>
      <c r="J3" s="2150"/>
      <c r="K3" s="2150"/>
      <c r="L3" s="2150"/>
      <c r="M3" s="2150"/>
      <c r="N3" s="2150"/>
      <c r="O3" s="2150"/>
      <c r="P3" s="2151"/>
    </row>
    <row r="4" spans="1:17" ht="25" customHeight="1">
      <c r="A4" s="1239" t="s">
        <v>734</v>
      </c>
      <c r="B4" s="672" t="s">
        <v>1287</v>
      </c>
      <c r="C4" s="1240" t="s">
        <v>1288</v>
      </c>
      <c r="D4" s="1239" t="s">
        <v>1289</v>
      </c>
      <c r="E4" s="1242">
        <v>44652</v>
      </c>
      <c r="F4" s="1242">
        <v>44682</v>
      </c>
      <c r="G4" s="1242">
        <v>44713</v>
      </c>
      <c r="H4" s="1242">
        <v>44743</v>
      </c>
      <c r="I4" s="1242">
        <v>44774</v>
      </c>
      <c r="J4" s="1242">
        <v>44805</v>
      </c>
      <c r="K4" s="1242">
        <v>44835</v>
      </c>
      <c r="L4" s="1242">
        <v>44866</v>
      </c>
      <c r="M4" s="1242">
        <v>44896</v>
      </c>
      <c r="N4" s="1242">
        <v>44927</v>
      </c>
      <c r="O4" s="1242">
        <v>44958</v>
      </c>
      <c r="P4" s="1242">
        <v>44986</v>
      </c>
      <c r="Q4" s="1243" t="s">
        <v>145</v>
      </c>
    </row>
    <row r="5" spans="1:17" ht="25" customHeight="1">
      <c r="A5" s="1240">
        <v>1</v>
      </c>
      <c r="B5" s="672" t="s">
        <v>1290</v>
      </c>
      <c r="C5" s="1241" t="s">
        <v>268</v>
      </c>
      <c r="D5" s="1241"/>
      <c r="E5" s="1244">
        <v>696.9894161095167</v>
      </c>
      <c r="F5" s="1244">
        <v>668.28807829646439</v>
      </c>
      <c r="G5" s="1244">
        <v>608.31678822084939</v>
      </c>
      <c r="H5" s="1244">
        <v>617.50595962409602</v>
      </c>
      <c r="I5" s="1244">
        <v>601.44868286261044</v>
      </c>
      <c r="J5" s="1244">
        <v>645.18143009753351</v>
      </c>
      <c r="K5" s="1245">
        <v>588.43217031371535</v>
      </c>
      <c r="L5" s="1245">
        <v>507.04503917888928</v>
      </c>
      <c r="M5" s="1245">
        <v>520.41380411466378</v>
      </c>
      <c r="N5" s="1245">
        <v>547.84395451487921</v>
      </c>
      <c r="O5" s="1245">
        <v>534.24850641000012</v>
      </c>
      <c r="P5" s="1244">
        <v>603.9940001323946</v>
      </c>
      <c r="Q5" s="1246">
        <f>SUM(E5:P5)</f>
        <v>7139.7078298756123</v>
      </c>
    </row>
    <row r="6" spans="1:17" ht="25" customHeight="1">
      <c r="A6" s="1240">
        <v>2</v>
      </c>
      <c r="B6" s="672" t="s">
        <v>1291</v>
      </c>
      <c r="C6" s="1241" t="s">
        <v>268</v>
      </c>
      <c r="D6" s="1241"/>
      <c r="E6" s="1244"/>
      <c r="F6" s="1244"/>
      <c r="G6" s="1244"/>
      <c r="H6" s="1244"/>
      <c r="I6" s="1244"/>
      <c r="J6" s="1244"/>
      <c r="K6" s="1245"/>
      <c r="L6" s="1245"/>
      <c r="M6" s="1245"/>
      <c r="N6" s="1245"/>
      <c r="O6" s="1245"/>
      <c r="P6" s="1245"/>
      <c r="Q6" s="1246">
        <f>SUM(E6:P6)</f>
        <v>0</v>
      </c>
    </row>
    <row r="7" spans="1:17" ht="13">
      <c r="A7" s="1240">
        <v>3</v>
      </c>
      <c r="B7" s="672" t="s">
        <v>1292</v>
      </c>
      <c r="C7" s="1241" t="s">
        <v>268</v>
      </c>
      <c r="D7" s="1241"/>
      <c r="E7" s="1244">
        <v>133.06425572500001</v>
      </c>
      <c r="F7" s="1244">
        <v>140.06766107830879</v>
      </c>
      <c r="G7" s="1244">
        <v>130.92272532199999</v>
      </c>
      <c r="H7" s="1244">
        <v>152.17944350000002</v>
      </c>
      <c r="I7" s="1244">
        <v>147.39263812999999</v>
      </c>
      <c r="J7" s="1244">
        <v>148.10272601700001</v>
      </c>
      <c r="K7" s="1245">
        <v>157.12756119757998</v>
      </c>
      <c r="L7" s="1245">
        <v>145.25445456999998</v>
      </c>
      <c r="M7" s="1245">
        <v>146.38060895770002</v>
      </c>
      <c r="N7" s="1245">
        <v>148.33193614666999</v>
      </c>
      <c r="O7" s="1245">
        <v>142.46045884039998</v>
      </c>
      <c r="P7" s="1244">
        <v>158.41991026720001</v>
      </c>
      <c r="Q7" s="1246">
        <f>SUM(E7:P7)</f>
        <v>1749.7043797518588</v>
      </c>
    </row>
    <row r="8" spans="1:17" ht="25" customHeight="1">
      <c r="A8" s="1240">
        <v>4</v>
      </c>
      <c r="B8" s="672" t="s">
        <v>1293</v>
      </c>
      <c r="C8" s="1241" t="s">
        <v>268</v>
      </c>
      <c r="D8" s="1241"/>
      <c r="E8" s="1244">
        <f t="shared" ref="E8:P8" si="0">((E5+E6)*0.94)-(E7)</f>
        <v>522.10579541794573</v>
      </c>
      <c r="F8" s="1244">
        <f t="shared" si="0"/>
        <v>488.12313252036768</v>
      </c>
      <c r="G8" s="1244">
        <f t="shared" si="0"/>
        <v>440.89505560559837</v>
      </c>
      <c r="H8" s="1244">
        <f t="shared" si="0"/>
        <v>428.27615854665021</v>
      </c>
      <c r="I8" s="1244">
        <f t="shared" si="0"/>
        <v>417.96912376085379</v>
      </c>
      <c r="J8" s="1244">
        <f t="shared" si="0"/>
        <v>458.36781827468144</v>
      </c>
      <c r="K8" s="1244">
        <f t="shared" si="0"/>
        <v>395.9986788973124</v>
      </c>
      <c r="L8" s="1244">
        <f t="shared" si="0"/>
        <v>331.36788225815587</v>
      </c>
      <c r="M8" s="1244">
        <f t="shared" si="0"/>
        <v>342.80836691008392</v>
      </c>
      <c r="N8" s="1244">
        <f t="shared" si="0"/>
        <v>366.64138109731647</v>
      </c>
      <c r="O8" s="1244">
        <f t="shared" si="0"/>
        <v>359.73313718500015</v>
      </c>
      <c r="P8" s="1244">
        <f t="shared" si="0"/>
        <v>409.33444985725083</v>
      </c>
      <c r="Q8" s="1246">
        <f>SUM(E8:P8)</f>
        <v>4961.6209803312167</v>
      </c>
    </row>
    <row r="9" spans="1:17" ht="25" customHeight="1">
      <c r="A9" s="1240">
        <v>5</v>
      </c>
      <c r="B9" s="672" t="s">
        <v>1294</v>
      </c>
      <c r="C9" s="1241" t="s">
        <v>268</v>
      </c>
      <c r="D9" s="1240" t="s">
        <v>1295</v>
      </c>
      <c r="E9" s="1244">
        <f t="shared" ref="E9:P9" si="1">E5+E6-E7-E8</f>
        <v>41.819364966570902</v>
      </c>
      <c r="F9" s="1244">
        <f t="shared" si="1"/>
        <v>40.097284697787927</v>
      </c>
      <c r="G9" s="1244">
        <f t="shared" si="1"/>
        <v>36.499007293250997</v>
      </c>
      <c r="H9" s="1244">
        <f t="shared" si="1"/>
        <v>37.050357577445766</v>
      </c>
      <c r="I9" s="1244">
        <f t="shared" si="1"/>
        <v>36.086920971756626</v>
      </c>
      <c r="J9" s="1244">
        <f t="shared" si="1"/>
        <v>38.710885805852058</v>
      </c>
      <c r="K9" s="1244">
        <f t="shared" si="1"/>
        <v>35.305930218822937</v>
      </c>
      <c r="L9" s="1244">
        <f t="shared" si="1"/>
        <v>30.422702350733402</v>
      </c>
      <c r="M9" s="1244">
        <f t="shared" si="1"/>
        <v>31.224828246879838</v>
      </c>
      <c r="N9" s="1244">
        <f t="shared" si="1"/>
        <v>32.870637270892757</v>
      </c>
      <c r="O9" s="1244">
        <f t="shared" si="1"/>
        <v>32.054910384600021</v>
      </c>
      <c r="P9" s="1244">
        <f t="shared" si="1"/>
        <v>36.239640007943763</v>
      </c>
      <c r="Q9" s="1246">
        <f>Q5+Q6-Q7-Q8</f>
        <v>428.38246979253654</v>
      </c>
    </row>
    <row r="10" spans="1:17" ht="25" customHeight="1">
      <c r="A10" s="1240">
        <v>6</v>
      </c>
      <c r="B10" s="672" t="s">
        <v>1296</v>
      </c>
      <c r="C10" s="1241" t="s">
        <v>369</v>
      </c>
      <c r="D10" s="1250" t="s">
        <v>1297</v>
      </c>
      <c r="E10" s="1247">
        <f t="shared" ref="E10:P10" si="2">(E9/(E5+E6))</f>
        <v>5.9999999999999859E-2</v>
      </c>
      <c r="F10" s="1247">
        <f t="shared" si="2"/>
        <v>6.0000000000000095E-2</v>
      </c>
      <c r="G10" s="1247">
        <f t="shared" si="2"/>
        <v>6.0000000000000053E-2</v>
      </c>
      <c r="H10" s="1247">
        <f t="shared" si="2"/>
        <v>6.0000000000000005E-2</v>
      </c>
      <c r="I10" s="1247">
        <f t="shared" si="2"/>
        <v>0.06</v>
      </c>
      <c r="J10" s="1247">
        <f t="shared" si="2"/>
        <v>6.0000000000000074E-2</v>
      </c>
      <c r="K10" s="1247">
        <f t="shared" si="2"/>
        <v>6.0000000000000026E-2</v>
      </c>
      <c r="L10" s="1247">
        <f t="shared" si="2"/>
        <v>6.0000000000000088E-2</v>
      </c>
      <c r="M10" s="1247">
        <f t="shared" si="2"/>
        <v>6.0000000000000019E-2</v>
      </c>
      <c r="N10" s="1247">
        <f t="shared" si="2"/>
        <v>6.0000000000000012E-2</v>
      </c>
      <c r="O10" s="1247">
        <f t="shared" si="2"/>
        <v>6.0000000000000026E-2</v>
      </c>
      <c r="P10" s="1247">
        <f t="shared" si="2"/>
        <v>6.0000000000000143E-2</v>
      </c>
      <c r="Q10" s="1248">
        <f>(Q9/(Q5+Q6))</f>
        <v>5.999999999999997E-2</v>
      </c>
    </row>
    <row r="11" spans="1:17" ht="25" customHeight="1">
      <c r="A11" s="1240">
        <v>7</v>
      </c>
      <c r="B11" s="672" t="s">
        <v>1298</v>
      </c>
      <c r="C11" s="1241" t="s">
        <v>268</v>
      </c>
      <c r="D11" s="1241"/>
      <c r="E11" s="1244"/>
      <c r="F11" s="1244"/>
      <c r="G11" s="1244"/>
      <c r="H11" s="1244"/>
      <c r="I11" s="1244"/>
      <c r="J11" s="1244"/>
      <c r="K11" s="1245"/>
      <c r="L11" s="1245"/>
      <c r="M11" s="1245"/>
      <c r="N11" s="1245"/>
      <c r="O11" s="1245"/>
      <c r="P11" s="1245"/>
      <c r="Q11" s="1246">
        <f>SUM(E11:P11)</f>
        <v>0</v>
      </c>
    </row>
    <row r="12" spans="1:17" ht="25" customHeight="1">
      <c r="A12" s="1240">
        <v>8</v>
      </c>
      <c r="B12" s="672" t="s">
        <v>1299</v>
      </c>
      <c r="C12" s="1241" t="s">
        <v>268</v>
      </c>
      <c r="D12" s="1240" t="s">
        <v>1300</v>
      </c>
      <c r="E12" s="1244">
        <v>58.09923065309998</v>
      </c>
      <c r="F12" s="1244">
        <v>61.29855667120006</v>
      </c>
      <c r="G12" s="1244">
        <v>58.563595169419969</v>
      </c>
      <c r="H12" s="1244">
        <v>56.070205250900017</v>
      </c>
      <c r="I12" s="1244">
        <v>49.360219691200001</v>
      </c>
      <c r="J12" s="1244">
        <v>53.449837845219989</v>
      </c>
      <c r="K12" s="1245">
        <v>53.258748251369973</v>
      </c>
      <c r="L12" s="1245">
        <v>54.027474166499935</v>
      </c>
      <c r="M12" s="1245">
        <v>56.64631611311998</v>
      </c>
      <c r="N12" s="1245">
        <v>58.645261652600055</v>
      </c>
      <c r="O12" s="1245">
        <v>58.214055555500011</v>
      </c>
      <c r="P12" s="1244">
        <v>58.139522406270004</v>
      </c>
      <c r="Q12" s="1246">
        <f>Q13+Q14</f>
        <v>675.77302342640007</v>
      </c>
    </row>
    <row r="13" spans="1:17" ht="25" customHeight="1">
      <c r="A13" s="1023" t="s">
        <v>1301</v>
      </c>
      <c r="B13" s="672" t="s">
        <v>1302</v>
      </c>
      <c r="C13" s="1241"/>
      <c r="D13" s="1241"/>
      <c r="E13" s="1244">
        <f>E12</f>
        <v>58.09923065309998</v>
      </c>
      <c r="F13" s="1244">
        <f t="shared" ref="F13:P13" si="3">F12</f>
        <v>61.29855667120006</v>
      </c>
      <c r="G13" s="1244">
        <f t="shared" si="3"/>
        <v>58.563595169419969</v>
      </c>
      <c r="H13" s="1244">
        <f t="shared" si="3"/>
        <v>56.070205250900017</v>
      </c>
      <c r="I13" s="1244">
        <f t="shared" si="3"/>
        <v>49.360219691200001</v>
      </c>
      <c r="J13" s="1244">
        <f t="shared" si="3"/>
        <v>53.449837845219989</v>
      </c>
      <c r="K13" s="1244">
        <f t="shared" si="3"/>
        <v>53.258748251369973</v>
      </c>
      <c r="L13" s="1244">
        <f t="shared" si="3"/>
        <v>54.027474166499935</v>
      </c>
      <c r="M13" s="1244">
        <f t="shared" si="3"/>
        <v>56.64631611311998</v>
      </c>
      <c r="N13" s="1244">
        <f t="shared" si="3"/>
        <v>58.645261652600055</v>
      </c>
      <c r="O13" s="1244">
        <f t="shared" si="3"/>
        <v>58.214055555500011</v>
      </c>
      <c r="P13" s="1244">
        <f t="shared" si="3"/>
        <v>58.139522406270004</v>
      </c>
      <c r="Q13" s="1246">
        <f>SUM(E13:P13)</f>
        <v>675.77302342640007</v>
      </c>
    </row>
    <row r="14" spans="1:17" ht="25" customHeight="1">
      <c r="A14" s="1023" t="s">
        <v>1303</v>
      </c>
      <c r="B14" s="672" t="s">
        <v>1304</v>
      </c>
      <c r="C14" s="1241"/>
      <c r="D14" s="1241"/>
      <c r="E14" s="1244">
        <v>0</v>
      </c>
      <c r="F14" s="1244">
        <v>0</v>
      </c>
      <c r="G14" s="1244">
        <v>0</v>
      </c>
      <c r="H14" s="1244">
        <v>0</v>
      </c>
      <c r="I14" s="1244">
        <v>0</v>
      </c>
      <c r="J14" s="1244">
        <v>0</v>
      </c>
      <c r="K14" s="1244">
        <v>0</v>
      </c>
      <c r="L14" s="1244">
        <v>0</v>
      </c>
      <c r="M14" s="1244">
        <v>0</v>
      </c>
      <c r="N14" s="1244">
        <v>0</v>
      </c>
      <c r="O14" s="1244">
        <v>0</v>
      </c>
      <c r="P14" s="1244">
        <v>0</v>
      </c>
      <c r="Q14" s="1246">
        <f>SUM(E14:P14)</f>
        <v>0</v>
      </c>
    </row>
    <row r="15" spans="1:17" ht="25" customHeight="1">
      <c r="A15" s="1023"/>
      <c r="B15" s="672" t="s">
        <v>1305</v>
      </c>
      <c r="C15" s="1241"/>
      <c r="D15" s="1241"/>
      <c r="E15" s="1244">
        <v>0</v>
      </c>
      <c r="F15" s="1244">
        <v>0</v>
      </c>
      <c r="G15" s="1244">
        <v>0</v>
      </c>
      <c r="H15" s="1244">
        <v>0</v>
      </c>
      <c r="I15" s="1244">
        <v>0</v>
      </c>
      <c r="J15" s="1244">
        <v>0</v>
      </c>
      <c r="K15" s="1244">
        <v>0</v>
      </c>
      <c r="L15" s="1244">
        <v>0</v>
      </c>
      <c r="M15" s="1244">
        <v>0</v>
      </c>
      <c r="N15" s="1244">
        <v>0</v>
      </c>
      <c r="O15" s="1244">
        <v>0</v>
      </c>
      <c r="P15" s="1244">
        <v>0</v>
      </c>
      <c r="Q15" s="1246">
        <f>SUM(E15:P15)</f>
        <v>0</v>
      </c>
    </row>
    <row r="16" spans="1:17" ht="25" customHeight="1">
      <c r="A16" s="1240">
        <v>9</v>
      </c>
      <c r="B16" s="672" t="s">
        <v>1306</v>
      </c>
      <c r="C16" s="1241" t="s">
        <v>268</v>
      </c>
      <c r="D16" s="1240" t="s">
        <v>1307</v>
      </c>
      <c r="E16" s="1244">
        <f t="shared" ref="E16:P16" si="4">E8-E9+E11-E12</f>
        <v>422.18719979827483</v>
      </c>
      <c r="F16" s="1244">
        <f t="shared" si="4"/>
        <v>386.72729115137969</v>
      </c>
      <c r="G16" s="1244">
        <f t="shared" si="4"/>
        <v>345.83245314292742</v>
      </c>
      <c r="H16" s="1244">
        <f t="shared" si="4"/>
        <v>335.15559571830443</v>
      </c>
      <c r="I16" s="1244">
        <f t="shared" si="4"/>
        <v>332.52198309789719</v>
      </c>
      <c r="J16" s="1244">
        <f t="shared" si="4"/>
        <v>366.20709462360941</v>
      </c>
      <c r="K16" s="1244">
        <f t="shared" si="4"/>
        <v>307.43400042711949</v>
      </c>
      <c r="L16" s="1244">
        <f t="shared" si="4"/>
        <v>246.91770574092254</v>
      </c>
      <c r="M16" s="1244">
        <f t="shared" si="4"/>
        <v>254.9372225500841</v>
      </c>
      <c r="N16" s="1244">
        <f t="shared" si="4"/>
        <v>275.12548217382368</v>
      </c>
      <c r="O16" s="1244">
        <f t="shared" si="4"/>
        <v>269.46417124490011</v>
      </c>
      <c r="P16" s="1244">
        <f t="shared" si="4"/>
        <v>314.95528744303704</v>
      </c>
      <c r="Q16" s="1246">
        <f>SUM(E16:P16)</f>
        <v>3857.4654871122798</v>
      </c>
    </row>
    <row r="17" spans="1:17" ht="25" customHeight="1">
      <c r="A17" s="1240">
        <v>10</v>
      </c>
      <c r="B17" s="672" t="s">
        <v>1308</v>
      </c>
      <c r="C17" s="1241" t="s">
        <v>268</v>
      </c>
      <c r="D17" s="1240" t="s">
        <v>1309</v>
      </c>
      <c r="E17" s="1244">
        <f t="shared" ref="E17:P17" si="5">E8+E11-E12-E16</f>
        <v>41.819364966570902</v>
      </c>
      <c r="F17" s="1244">
        <f t="shared" si="5"/>
        <v>40.097284697787927</v>
      </c>
      <c r="G17" s="1244">
        <f t="shared" si="5"/>
        <v>36.499007293250997</v>
      </c>
      <c r="H17" s="1244">
        <f t="shared" si="5"/>
        <v>37.050357577445766</v>
      </c>
      <c r="I17" s="1244">
        <f t="shared" si="5"/>
        <v>36.086920971756626</v>
      </c>
      <c r="J17" s="1244">
        <f t="shared" si="5"/>
        <v>38.710885805852058</v>
      </c>
      <c r="K17" s="1244">
        <f t="shared" si="5"/>
        <v>35.305930218822937</v>
      </c>
      <c r="L17" s="1244">
        <f t="shared" si="5"/>
        <v>30.422702350733402</v>
      </c>
      <c r="M17" s="1244">
        <f t="shared" si="5"/>
        <v>31.224828246879866</v>
      </c>
      <c r="N17" s="1244">
        <f t="shared" si="5"/>
        <v>32.870637270892757</v>
      </c>
      <c r="O17" s="1244">
        <f t="shared" si="5"/>
        <v>32.054910384600021</v>
      </c>
      <c r="P17" s="1244">
        <f t="shared" si="5"/>
        <v>36.239640007943763</v>
      </c>
      <c r="Q17" s="1246">
        <f>Q8+Q11-Q12-Q16</f>
        <v>428.38246979253699</v>
      </c>
    </row>
    <row r="18" spans="1:17" ht="25" customHeight="1">
      <c r="A18" s="1240">
        <v>11</v>
      </c>
      <c r="B18" s="672" t="s">
        <v>1310</v>
      </c>
      <c r="C18" s="1241" t="s">
        <v>369</v>
      </c>
      <c r="D18" s="1250" t="s">
        <v>1311</v>
      </c>
      <c r="E18" s="1249">
        <f t="shared" ref="E18:P18" si="6">(E17/(E8+E11))</f>
        <v>8.0097492373350301E-2</v>
      </c>
      <c r="F18" s="1249">
        <f t="shared" si="6"/>
        <v>8.2145839904677762E-2</v>
      </c>
      <c r="G18" s="1249">
        <f t="shared" si="6"/>
        <v>8.278388888511623E-2</v>
      </c>
      <c r="H18" s="1249">
        <f t="shared" si="6"/>
        <v>8.6510436871330157E-2</v>
      </c>
      <c r="I18" s="1249">
        <f t="shared" si="6"/>
        <v>8.6338724370473366E-2</v>
      </c>
      <c r="J18" s="1249">
        <f t="shared" si="6"/>
        <v>8.4453760195385655E-2</v>
      </c>
      <c r="K18" s="1247">
        <f t="shared" si="6"/>
        <v>8.9156686878690883E-2</v>
      </c>
      <c r="L18" s="1247">
        <f t="shared" si="6"/>
        <v>9.1809447986972534E-2</v>
      </c>
      <c r="M18" s="1247">
        <f t="shared" si="6"/>
        <v>9.1085373814898479E-2</v>
      </c>
      <c r="N18" s="1247">
        <f t="shared" si="6"/>
        <v>8.9653375111436229E-2</v>
      </c>
      <c r="O18" s="1247">
        <f t="shared" si="6"/>
        <v>8.9107471820465411E-2</v>
      </c>
      <c r="P18" s="1247">
        <f t="shared" si="6"/>
        <v>8.8533081006452755E-2</v>
      </c>
      <c r="Q18" s="1248">
        <f>(Q17/(Q8+Q11))</f>
        <v>8.6339216858910495E-2</v>
      </c>
    </row>
    <row r="19" spans="1:17" ht="25" customHeight="1">
      <c r="A19" s="1240">
        <v>12</v>
      </c>
      <c r="B19" s="672" t="s">
        <v>1312</v>
      </c>
      <c r="C19" s="1241" t="s">
        <v>268</v>
      </c>
      <c r="D19" s="1241"/>
      <c r="E19" s="1244"/>
      <c r="F19" s="1244"/>
      <c r="G19" s="1244"/>
      <c r="H19" s="1244"/>
      <c r="I19" s="1244"/>
      <c r="J19" s="1244"/>
      <c r="K19" s="1245"/>
      <c r="L19" s="1245"/>
      <c r="M19" s="1245"/>
      <c r="N19" s="1245"/>
      <c r="O19" s="1245"/>
      <c r="P19" s="1245"/>
      <c r="Q19" s="1246">
        <f>SUM(E19:P19)</f>
        <v>0</v>
      </c>
    </row>
    <row r="20" spans="1:17" ht="13">
      <c r="A20" s="1240">
        <v>13</v>
      </c>
      <c r="B20" s="672" t="s">
        <v>1313</v>
      </c>
      <c r="C20" s="1241" t="s">
        <v>268</v>
      </c>
      <c r="D20" s="1240" t="s">
        <v>1314</v>
      </c>
      <c r="E20" s="1244">
        <v>168.04774228227515</v>
      </c>
      <c r="F20" s="1244">
        <v>298.47710600757779</v>
      </c>
      <c r="G20" s="1244">
        <v>244.49034276289672</v>
      </c>
      <c r="H20" s="1244">
        <v>231.40847056513238</v>
      </c>
      <c r="I20" s="1244">
        <v>206.99263554675545</v>
      </c>
      <c r="J20" s="1244">
        <v>253.33720408462395</v>
      </c>
      <c r="K20" s="1244">
        <v>191.85938825932564</v>
      </c>
      <c r="L20" s="1244">
        <v>183.85911893751941</v>
      </c>
      <c r="M20" s="1244">
        <v>157.56328044468538</v>
      </c>
      <c r="N20" s="1244">
        <v>170.95392157484136</v>
      </c>
      <c r="O20" s="1244">
        <v>35.080006637430991</v>
      </c>
      <c r="P20" s="1244">
        <v>153.49732251647515</v>
      </c>
      <c r="Q20" s="1246">
        <f>SUM(E20:P20)</f>
        <v>2295.5665396195391</v>
      </c>
    </row>
    <row r="21" spans="1:17" ht="21.75" customHeight="1">
      <c r="A21" s="1023" t="s">
        <v>1301</v>
      </c>
      <c r="B21" s="672" t="s">
        <v>1302</v>
      </c>
      <c r="C21" s="1241"/>
      <c r="D21" s="1241"/>
      <c r="E21" s="1244">
        <v>106.31557100706269</v>
      </c>
      <c r="F21" s="1244">
        <v>212.62565708343604</v>
      </c>
      <c r="G21" s="1244">
        <v>155.85644140890349</v>
      </c>
      <c r="H21" s="1244">
        <v>115.25967372659485</v>
      </c>
      <c r="I21" s="1244">
        <v>130.87577407904354</v>
      </c>
      <c r="J21" s="1244">
        <v>172.92897479218922</v>
      </c>
      <c r="K21" s="1245">
        <v>133.07910881433048</v>
      </c>
      <c r="L21" s="1245">
        <v>128.46374434488013</v>
      </c>
      <c r="M21" s="1245">
        <v>111.42208153087148</v>
      </c>
      <c r="N21" s="1245">
        <v>126.07787282033186</v>
      </c>
      <c r="O21" s="1245">
        <v>-2.1080768834400914</v>
      </c>
      <c r="P21" s="1245">
        <v>111.81345828788974</v>
      </c>
      <c r="Q21" s="1246">
        <f>SUM(E21:P21)</f>
        <v>1502.6102810120933</v>
      </c>
    </row>
    <row r="22" spans="1:17" ht="16.5" customHeight="1">
      <c r="A22" s="1023" t="s">
        <v>1303</v>
      </c>
      <c r="B22" s="672" t="s">
        <v>1304</v>
      </c>
      <c r="C22" s="1241"/>
      <c r="D22" s="1241"/>
      <c r="E22" s="1244">
        <f>E20-E21</f>
        <v>61.732171275212465</v>
      </c>
      <c r="F22" s="1244">
        <f t="shared" ref="F22:P22" si="7">F20-F21</f>
        <v>85.851448924141749</v>
      </c>
      <c r="G22" s="1244">
        <f t="shared" si="7"/>
        <v>88.633901353993224</v>
      </c>
      <c r="H22" s="1244">
        <f t="shared" si="7"/>
        <v>116.14879683853752</v>
      </c>
      <c r="I22" s="1244">
        <f t="shared" si="7"/>
        <v>76.116861467711914</v>
      </c>
      <c r="J22" s="1244">
        <f t="shared" si="7"/>
        <v>80.408229292434726</v>
      </c>
      <c r="K22" s="1244">
        <f t="shared" si="7"/>
        <v>58.780279444995159</v>
      </c>
      <c r="L22" s="1244">
        <f t="shared" si="7"/>
        <v>55.395374592639286</v>
      </c>
      <c r="M22" s="1244">
        <f t="shared" si="7"/>
        <v>46.141198913813895</v>
      </c>
      <c r="N22" s="1244">
        <f t="shared" si="7"/>
        <v>44.876048754509497</v>
      </c>
      <c r="O22" s="1244">
        <f t="shared" si="7"/>
        <v>37.188083520871082</v>
      </c>
      <c r="P22" s="1244">
        <f t="shared" si="7"/>
        <v>41.683864228585406</v>
      </c>
      <c r="Q22" s="1246">
        <f>SUM(E22:P22)</f>
        <v>792.95625860744599</v>
      </c>
    </row>
    <row r="23" spans="1:17" ht="21" customHeight="1">
      <c r="A23" s="1240">
        <v>14</v>
      </c>
      <c r="B23" s="672" t="s">
        <v>1315</v>
      </c>
      <c r="C23" s="1241" t="s">
        <v>268</v>
      </c>
      <c r="D23" s="1240" t="s">
        <v>1316</v>
      </c>
      <c r="E23" s="1244">
        <f t="shared" ref="E23:P23" si="8">E16+E19-E20</f>
        <v>254.13945751599968</v>
      </c>
      <c r="F23" s="1244">
        <f t="shared" si="8"/>
        <v>88.2501851438019</v>
      </c>
      <c r="G23" s="1244">
        <f t="shared" si="8"/>
        <v>101.3421103800307</v>
      </c>
      <c r="H23" s="1244">
        <f t="shared" si="8"/>
        <v>103.74712515317205</v>
      </c>
      <c r="I23" s="1244">
        <f t="shared" si="8"/>
        <v>125.52934755114174</v>
      </c>
      <c r="J23" s="1244">
        <f t="shared" si="8"/>
        <v>112.86989053898546</v>
      </c>
      <c r="K23" s="1244">
        <f t="shared" si="8"/>
        <v>115.57461216779384</v>
      </c>
      <c r="L23" s="1244">
        <f t="shared" si="8"/>
        <v>63.058586803403131</v>
      </c>
      <c r="M23" s="1244">
        <f t="shared" si="8"/>
        <v>97.373942105398726</v>
      </c>
      <c r="N23" s="1244">
        <f t="shared" si="8"/>
        <v>104.17156059898232</v>
      </c>
      <c r="O23" s="1244">
        <f t="shared" si="8"/>
        <v>234.38416460746913</v>
      </c>
      <c r="P23" s="1244">
        <f t="shared" si="8"/>
        <v>161.45796492656189</v>
      </c>
      <c r="Q23" s="1246">
        <f>Q16+Q19-Q20</f>
        <v>1561.8989474927407</v>
      </c>
    </row>
    <row r="24" spans="1:17" ht="25" customHeight="1">
      <c r="A24" s="1240">
        <v>15</v>
      </c>
      <c r="B24" s="672" t="s">
        <v>1317</v>
      </c>
      <c r="C24" s="1241" t="s">
        <v>369</v>
      </c>
      <c r="D24" s="1250" t="s">
        <v>1318</v>
      </c>
      <c r="E24" s="1247">
        <f t="shared" ref="E24:P24" si="9">(E23/(E16+E19))</f>
        <v>0.60195917270213306</v>
      </c>
      <c r="F24" s="1247">
        <f t="shared" si="9"/>
        <v>0.22819745894079516</v>
      </c>
      <c r="G24" s="1247">
        <f t="shared" si="9"/>
        <v>0.29303817342482752</v>
      </c>
      <c r="H24" s="1247">
        <f t="shared" si="9"/>
        <v>0.30954913621782604</v>
      </c>
      <c r="I24" s="1247">
        <f t="shared" si="9"/>
        <v>0.37750691362316602</v>
      </c>
      <c r="J24" s="1247">
        <f t="shared" si="9"/>
        <v>0.3082132820364773</v>
      </c>
      <c r="K24" s="1247">
        <f t="shared" si="9"/>
        <v>0.37593308484821297</v>
      </c>
      <c r="L24" s="1247">
        <f t="shared" si="9"/>
        <v>0.25538300955042531</v>
      </c>
      <c r="M24" s="1247">
        <f t="shared" si="9"/>
        <v>0.38195262791124579</v>
      </c>
      <c r="N24" s="1247">
        <f t="shared" si="9"/>
        <v>0.3786329051598607</v>
      </c>
      <c r="O24" s="1247">
        <f t="shared" si="9"/>
        <v>0.86981569209975296</v>
      </c>
      <c r="P24" s="1247">
        <f t="shared" si="9"/>
        <v>0.51263773419191527</v>
      </c>
      <c r="Q24" s="1248">
        <f>(Q23/(Q16+Q19))</f>
        <v>0.40490289614022884</v>
      </c>
    </row>
    <row r="25" spans="1:17" ht="20.149999999999999" customHeight="1">
      <c r="A25" s="613" t="s">
        <v>1319</v>
      </c>
    </row>
    <row r="26" spans="1:17" ht="20.149999999999999" customHeight="1">
      <c r="E26" s="616"/>
      <c r="F26" s="616"/>
      <c r="G26" s="616"/>
      <c r="H26" s="616"/>
      <c r="I26" s="616"/>
      <c r="J26" s="616"/>
    </row>
    <row r="27" spans="1:17" ht="20.149999999999999" customHeight="1">
      <c r="K27" s="613"/>
    </row>
    <row r="28" spans="1:17">
      <c r="E28" s="617"/>
      <c r="F28" s="617"/>
      <c r="G28" s="617"/>
      <c r="H28" s="617"/>
      <c r="I28" s="617"/>
      <c r="J28" s="617"/>
      <c r="K28" s="617"/>
      <c r="L28" s="617"/>
      <c r="M28" s="617"/>
      <c r="N28" s="617"/>
      <c r="O28" s="617"/>
      <c r="P28" s="617"/>
      <c r="Q28" s="617"/>
    </row>
    <row r="29" spans="1:17">
      <c r="E29" s="616"/>
      <c r="F29" s="616"/>
      <c r="G29" s="616"/>
      <c r="H29" s="616"/>
      <c r="I29" s="616"/>
      <c r="J29" s="616"/>
    </row>
    <row r="30" spans="1:17">
      <c r="E30" s="616"/>
      <c r="F30" s="616"/>
      <c r="G30" s="616"/>
      <c r="H30" s="616"/>
      <c r="I30" s="616"/>
      <c r="J30" s="616"/>
    </row>
    <row r="39" spans="5:10">
      <c r="E39" s="616"/>
      <c r="F39" s="616"/>
      <c r="G39" s="616"/>
      <c r="H39" s="616"/>
      <c r="I39" s="616"/>
      <c r="J39" s="616"/>
    </row>
    <row r="41" spans="5:10">
      <c r="E41" s="616"/>
      <c r="F41" s="616"/>
      <c r="G41" s="616"/>
      <c r="H41" s="616"/>
      <c r="I41" s="616"/>
      <c r="J41" s="616"/>
    </row>
    <row r="43" spans="5:10">
      <c r="E43" s="616"/>
      <c r="F43" s="616"/>
      <c r="G43" s="616"/>
      <c r="H43" s="616"/>
      <c r="I43" s="616"/>
      <c r="J43" s="616"/>
    </row>
  </sheetData>
  <mergeCells count="2">
    <mergeCell ref="A2:P2"/>
    <mergeCell ref="A3:P3"/>
  </mergeCells>
  <printOptions horizontalCentered="1" verticalCentered="1" gridLines="1"/>
  <pageMargins left="0.11811023622047245" right="0" top="0.19685039370078741" bottom="0.19685039370078741" header="0" footer="0.23622047244094491"/>
  <pageSetup paperSize="9" scale="80" orientation="landscape" blackAndWhite="1" r:id="rId1"/>
  <headerFooter>
    <oddFooter>&amp;R&amp;"Arial,Bold"&amp;12OERC FORM &amp;A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43"/>
  <sheetViews>
    <sheetView showGridLines="0" view="pageBreakPreview" zoomScale="90" zoomScaleSheetLayoutView="90" workbookViewId="0">
      <selection activeCell="L17" sqref="L17"/>
    </sheetView>
  </sheetViews>
  <sheetFormatPr defaultColWidth="9.1796875" defaultRowHeight="12.5"/>
  <cols>
    <col min="1" max="1" width="4" style="614" customWidth="1"/>
    <col min="2" max="2" width="32.81640625" style="614" customWidth="1"/>
    <col min="3" max="3" width="5.1796875" style="614" customWidth="1"/>
    <col min="4" max="4" width="14.26953125" style="614" customWidth="1"/>
    <col min="5" max="5" width="9.1796875" style="614" bestFit="1" customWidth="1"/>
    <col min="6" max="6" width="8.7265625" style="614" bestFit="1" customWidth="1"/>
    <col min="7" max="8" width="9.1796875" style="614" bestFit="1" customWidth="1"/>
    <col min="9" max="9" width="8.453125" style="614" bestFit="1" customWidth="1"/>
    <col min="10" max="10" width="9.1796875" style="614" bestFit="1" customWidth="1"/>
    <col min="11" max="15" width="9" style="614" bestFit="1" customWidth="1"/>
    <col min="16" max="16" width="8.7265625" style="614" customWidth="1"/>
    <col min="17" max="17" width="12.26953125" style="614" bestFit="1" customWidth="1"/>
    <col min="18" max="19" width="9.1796875" style="614"/>
    <col min="20" max="20" width="9.81640625" style="614" bestFit="1" customWidth="1"/>
    <col min="21" max="16384" width="9.1796875" style="614"/>
  </cols>
  <sheetData>
    <row r="1" spans="1:17" ht="13">
      <c r="A1" s="613" t="s">
        <v>1285</v>
      </c>
    </row>
    <row r="2" spans="1:17" ht="13">
      <c r="A2" s="2146" t="s">
        <v>1286</v>
      </c>
      <c r="B2" s="2147"/>
      <c r="C2" s="2147"/>
      <c r="D2" s="2147"/>
      <c r="E2" s="2147"/>
      <c r="F2" s="2147"/>
      <c r="G2" s="2147"/>
      <c r="H2" s="2147"/>
      <c r="I2" s="2147"/>
      <c r="J2" s="2147"/>
      <c r="K2" s="2147"/>
      <c r="L2" s="2147"/>
      <c r="M2" s="2147"/>
      <c r="N2" s="2147"/>
      <c r="O2" s="2147"/>
      <c r="P2" s="2148"/>
    </row>
    <row r="3" spans="1:17" ht="18" customHeight="1">
      <c r="A3" s="2149" t="s">
        <v>2479</v>
      </c>
      <c r="B3" s="2150"/>
      <c r="C3" s="2150"/>
      <c r="D3" s="2150"/>
      <c r="E3" s="2150"/>
      <c r="F3" s="2150"/>
      <c r="G3" s="2150"/>
      <c r="H3" s="2150"/>
      <c r="I3" s="2150"/>
      <c r="J3" s="2150"/>
      <c r="K3" s="2150"/>
      <c r="L3" s="2150"/>
      <c r="M3" s="2150"/>
      <c r="N3" s="2150"/>
      <c r="O3" s="2150"/>
      <c r="P3" s="2151"/>
    </row>
    <row r="4" spans="1:17" ht="25" customHeight="1">
      <c r="A4" s="1239" t="s">
        <v>734</v>
      </c>
      <c r="B4" s="672" t="s">
        <v>1287</v>
      </c>
      <c r="C4" s="1240" t="s">
        <v>1288</v>
      </c>
      <c r="D4" s="1239" t="s">
        <v>1289</v>
      </c>
      <c r="E4" s="1242">
        <v>45017</v>
      </c>
      <c r="F4" s="1242">
        <v>45047</v>
      </c>
      <c r="G4" s="1242">
        <v>45078</v>
      </c>
      <c r="H4" s="1242">
        <v>45108</v>
      </c>
      <c r="I4" s="1242">
        <v>45139</v>
      </c>
      <c r="J4" s="1242">
        <v>45170</v>
      </c>
      <c r="K4" s="1242">
        <v>45200</v>
      </c>
      <c r="L4" s="1242">
        <v>45231</v>
      </c>
      <c r="M4" s="1242">
        <v>45261</v>
      </c>
      <c r="N4" s="1242">
        <v>45292</v>
      </c>
      <c r="O4" s="1242">
        <v>45323</v>
      </c>
      <c r="P4" s="1242">
        <v>45352</v>
      </c>
      <c r="Q4" s="1243" t="s">
        <v>145</v>
      </c>
    </row>
    <row r="5" spans="1:17" ht="25" customHeight="1">
      <c r="A5" s="1240">
        <v>1</v>
      </c>
      <c r="B5" s="672" t="s">
        <v>1290</v>
      </c>
      <c r="C5" s="1241" t="s">
        <v>268</v>
      </c>
      <c r="D5" s="1024"/>
      <c r="E5" s="1244">
        <v>680.718478411874</v>
      </c>
      <c r="F5" s="1244">
        <v>669.4040613919999</v>
      </c>
      <c r="G5" s="1244">
        <v>663.80260509530012</v>
      </c>
      <c r="H5" s="1244">
        <v>663.2598900645545</v>
      </c>
      <c r="I5" s="1244">
        <v>649.52665791000004</v>
      </c>
      <c r="J5" s="1244">
        <v>621.61238380000009</v>
      </c>
      <c r="K5" s="1245"/>
      <c r="L5" s="1245"/>
      <c r="M5" s="1245"/>
      <c r="N5" s="1245"/>
      <c r="O5" s="1245"/>
      <c r="P5" s="1244"/>
      <c r="Q5" s="1246">
        <f>SUM(E5:P5)</f>
        <v>3948.324076673729</v>
      </c>
    </row>
    <row r="6" spans="1:17" ht="25" customHeight="1">
      <c r="A6" s="1240">
        <v>2</v>
      </c>
      <c r="B6" s="672" t="s">
        <v>1291</v>
      </c>
      <c r="C6" s="1241" t="s">
        <v>268</v>
      </c>
      <c r="D6" s="1024"/>
      <c r="E6" s="1244"/>
      <c r="F6" s="1244"/>
      <c r="G6" s="1244"/>
      <c r="H6" s="1244"/>
      <c r="I6" s="1244"/>
      <c r="J6" s="1244"/>
      <c r="K6" s="1245"/>
      <c r="L6" s="1245"/>
      <c r="M6" s="1245"/>
      <c r="N6" s="1245"/>
      <c r="O6" s="1245"/>
      <c r="P6" s="1245"/>
      <c r="Q6" s="1246">
        <f>SUM(E6:P6)</f>
        <v>0</v>
      </c>
    </row>
    <row r="7" spans="1:17" ht="25" customHeight="1">
      <c r="A7" s="1240">
        <v>3</v>
      </c>
      <c r="B7" s="672" t="s">
        <v>1292</v>
      </c>
      <c r="C7" s="1241" t="s">
        <v>268</v>
      </c>
      <c r="D7" s="1024"/>
      <c r="E7" s="1244">
        <v>152.54635761262068</v>
      </c>
      <c r="F7" s="1244">
        <v>160.25906313268101</v>
      </c>
      <c r="G7" s="1244">
        <v>158.22692735463207</v>
      </c>
      <c r="H7" s="1244">
        <v>164.24705010689877</v>
      </c>
      <c r="I7" s="1244">
        <v>160.81058352879191</v>
      </c>
      <c r="J7" s="1244">
        <v>167.2944143320257</v>
      </c>
      <c r="K7" s="1245"/>
      <c r="L7" s="1245"/>
      <c r="M7" s="1245"/>
      <c r="N7" s="1245"/>
      <c r="O7" s="1245"/>
      <c r="P7" s="1245"/>
      <c r="Q7" s="1246">
        <f>SUM(E7:P7)</f>
        <v>963.38439606765007</v>
      </c>
    </row>
    <row r="8" spans="1:17" ht="25" customHeight="1">
      <c r="A8" s="1240">
        <v>4</v>
      </c>
      <c r="B8" s="672" t="s">
        <v>1293</v>
      </c>
      <c r="C8" s="1241" t="s">
        <v>268</v>
      </c>
      <c r="D8" s="1024"/>
      <c r="E8" s="1244">
        <f t="shared" ref="E8:J8" si="0">((E5+E6)*0.94)-(E7)</f>
        <v>487.32901209454087</v>
      </c>
      <c r="F8" s="1244">
        <f t="shared" si="0"/>
        <v>468.98075457579887</v>
      </c>
      <c r="G8" s="1244">
        <f t="shared" si="0"/>
        <v>465.74752143495004</v>
      </c>
      <c r="H8" s="1244">
        <f t="shared" si="0"/>
        <v>459.21724655378239</v>
      </c>
      <c r="I8" s="1244">
        <f t="shared" si="0"/>
        <v>449.74447490660816</v>
      </c>
      <c r="J8" s="1244">
        <f t="shared" si="0"/>
        <v>417.02122643997438</v>
      </c>
      <c r="K8" s="1244"/>
      <c r="L8" s="1244"/>
      <c r="M8" s="1244"/>
      <c r="N8" s="1244"/>
      <c r="O8" s="1244"/>
      <c r="P8" s="1244"/>
      <c r="Q8" s="1246">
        <f>SUM(E8:P8)</f>
        <v>2748.0402360056546</v>
      </c>
    </row>
    <row r="9" spans="1:17" ht="25" customHeight="1">
      <c r="A9" s="1240">
        <v>5</v>
      </c>
      <c r="B9" s="672" t="s">
        <v>1294</v>
      </c>
      <c r="C9" s="1241" t="s">
        <v>268</v>
      </c>
      <c r="D9" s="1021" t="s">
        <v>1295</v>
      </c>
      <c r="E9" s="1244">
        <f t="shared" ref="E9:J9" si="1">E5+E6-E7-E8</f>
        <v>40.843108704712449</v>
      </c>
      <c r="F9" s="1244">
        <f t="shared" si="1"/>
        <v>40.164243683519999</v>
      </c>
      <c r="G9" s="1244">
        <f t="shared" si="1"/>
        <v>39.828156305718039</v>
      </c>
      <c r="H9" s="1244">
        <f t="shared" si="1"/>
        <v>39.79559340387334</v>
      </c>
      <c r="I9" s="1244">
        <f t="shared" si="1"/>
        <v>38.971599474599998</v>
      </c>
      <c r="J9" s="1244">
        <f t="shared" si="1"/>
        <v>37.296743028000037</v>
      </c>
      <c r="K9" s="1244"/>
      <c r="L9" s="1244"/>
      <c r="M9" s="1244"/>
      <c r="N9" s="1244"/>
      <c r="O9" s="1244"/>
      <c r="P9" s="1244"/>
      <c r="Q9" s="1246">
        <f>Q5+Q6-Q7-Q8</f>
        <v>236.89944460042443</v>
      </c>
    </row>
    <row r="10" spans="1:17" ht="25" customHeight="1">
      <c r="A10" s="1240">
        <v>6</v>
      </c>
      <c r="B10" s="672" t="s">
        <v>1296</v>
      </c>
      <c r="C10" s="1241" t="s">
        <v>369</v>
      </c>
      <c r="D10" s="1022" t="s">
        <v>1297</v>
      </c>
      <c r="E10" s="1247">
        <f t="shared" ref="E10:J10" si="2">(E9/(E5+E6))</f>
        <v>6.0000000000000012E-2</v>
      </c>
      <c r="F10" s="1247">
        <f t="shared" si="2"/>
        <v>6.0000000000000005E-2</v>
      </c>
      <c r="G10" s="1247">
        <f t="shared" si="2"/>
        <v>6.0000000000000046E-2</v>
      </c>
      <c r="H10" s="1247">
        <f t="shared" si="2"/>
        <v>6.0000000000000109E-2</v>
      </c>
      <c r="I10" s="1247">
        <f t="shared" si="2"/>
        <v>5.9999999999999991E-2</v>
      </c>
      <c r="J10" s="1247">
        <f t="shared" si="2"/>
        <v>6.0000000000000053E-2</v>
      </c>
      <c r="K10" s="1247"/>
      <c r="L10" s="1247"/>
      <c r="M10" s="1247"/>
      <c r="N10" s="1247"/>
      <c r="O10" s="1247"/>
      <c r="P10" s="1247"/>
      <c r="Q10" s="1248">
        <f>(Q9/(Q5+Q6))</f>
        <v>6.0000000000000178E-2</v>
      </c>
    </row>
    <row r="11" spans="1:17" ht="25" customHeight="1">
      <c r="A11" s="1240">
        <v>7</v>
      </c>
      <c r="B11" s="672" t="s">
        <v>1298</v>
      </c>
      <c r="C11" s="1241" t="s">
        <v>268</v>
      </c>
      <c r="D11" s="1024"/>
      <c r="E11" s="1244"/>
      <c r="F11" s="1244"/>
      <c r="G11" s="1244"/>
      <c r="H11" s="1244"/>
      <c r="I11" s="1244"/>
      <c r="J11" s="1244"/>
      <c r="K11" s="1245"/>
      <c r="L11" s="1245"/>
      <c r="M11" s="1245"/>
      <c r="N11" s="1245"/>
      <c r="O11" s="1245"/>
      <c r="P11" s="1245"/>
      <c r="Q11" s="1246">
        <f>SUM(E11:P11)</f>
        <v>0</v>
      </c>
    </row>
    <row r="12" spans="1:17" ht="25" customHeight="1">
      <c r="A12" s="1240">
        <v>8</v>
      </c>
      <c r="B12" s="672" t="s">
        <v>1299</v>
      </c>
      <c r="C12" s="1241" t="s">
        <v>268</v>
      </c>
      <c r="D12" s="1021" t="s">
        <v>1300</v>
      </c>
      <c r="E12" s="1244">
        <v>59.132421409670492</v>
      </c>
      <c r="F12" s="1244">
        <v>67.049163825099981</v>
      </c>
      <c r="G12" s="1244">
        <v>60.2447577305539</v>
      </c>
      <c r="H12" s="1244">
        <v>66.27207386730143</v>
      </c>
      <c r="I12" s="1244">
        <v>62.022684643135371</v>
      </c>
      <c r="J12" s="1244">
        <v>60.385540818973922</v>
      </c>
      <c r="K12" s="1245"/>
      <c r="L12" s="1245"/>
      <c r="M12" s="1245"/>
      <c r="N12" s="1245"/>
      <c r="O12" s="1245"/>
      <c r="P12" s="1245"/>
      <c r="Q12" s="1246">
        <f>Q13+Q14</f>
        <v>375.10664229473508</v>
      </c>
    </row>
    <row r="13" spans="1:17" ht="25" customHeight="1">
      <c r="A13" s="1023" t="s">
        <v>1301</v>
      </c>
      <c r="B13" s="672" t="s">
        <v>1302</v>
      </c>
      <c r="C13" s="1241"/>
      <c r="D13" s="1024"/>
      <c r="E13" s="1244">
        <f>E12</f>
        <v>59.132421409670492</v>
      </c>
      <c r="F13" s="1244">
        <f t="shared" ref="F13:J13" si="3">F12</f>
        <v>67.049163825099981</v>
      </c>
      <c r="G13" s="1244">
        <f t="shared" si="3"/>
        <v>60.2447577305539</v>
      </c>
      <c r="H13" s="1244">
        <f t="shared" si="3"/>
        <v>66.27207386730143</v>
      </c>
      <c r="I13" s="1244">
        <f t="shared" si="3"/>
        <v>62.022684643135371</v>
      </c>
      <c r="J13" s="1244">
        <f t="shared" si="3"/>
        <v>60.385540818973922</v>
      </c>
      <c r="K13" s="1245"/>
      <c r="L13" s="1245"/>
      <c r="M13" s="1245"/>
      <c r="N13" s="1245"/>
      <c r="O13" s="1245"/>
      <c r="P13" s="1245"/>
      <c r="Q13" s="1246">
        <f>SUM(E13:P13)</f>
        <v>375.10664229473508</v>
      </c>
    </row>
    <row r="14" spans="1:17" ht="25" customHeight="1">
      <c r="A14" s="1023" t="s">
        <v>1303</v>
      </c>
      <c r="B14" s="672" t="s">
        <v>1304</v>
      </c>
      <c r="C14" s="1241"/>
      <c r="D14" s="1024"/>
      <c r="E14" s="1244">
        <v>0</v>
      </c>
      <c r="F14" s="1244">
        <v>0</v>
      </c>
      <c r="G14" s="1244">
        <v>0</v>
      </c>
      <c r="H14" s="1244">
        <v>0</v>
      </c>
      <c r="I14" s="1244">
        <v>0</v>
      </c>
      <c r="J14" s="1244">
        <v>0</v>
      </c>
      <c r="K14" s="1245"/>
      <c r="L14" s="1245"/>
      <c r="M14" s="1245"/>
      <c r="N14" s="1245"/>
      <c r="O14" s="1245"/>
      <c r="P14" s="1245"/>
      <c r="Q14" s="1246">
        <f>SUM(E14:P14)</f>
        <v>0</v>
      </c>
    </row>
    <row r="15" spans="1:17" ht="25" customHeight="1">
      <c r="A15" s="1023"/>
      <c r="B15" s="672" t="s">
        <v>1305</v>
      </c>
      <c r="C15" s="1241"/>
      <c r="D15" s="1024"/>
      <c r="E15" s="1244">
        <v>0</v>
      </c>
      <c r="F15" s="1244">
        <v>0</v>
      </c>
      <c r="G15" s="1244">
        <v>0</v>
      </c>
      <c r="H15" s="1244">
        <v>0</v>
      </c>
      <c r="I15" s="1244">
        <v>0</v>
      </c>
      <c r="J15" s="1244">
        <v>0</v>
      </c>
      <c r="K15" s="1245"/>
      <c r="L15" s="1245"/>
      <c r="M15" s="1245"/>
      <c r="N15" s="1245"/>
      <c r="O15" s="1245"/>
      <c r="P15" s="1245"/>
      <c r="Q15" s="1246">
        <f>SUM(E15:P15)</f>
        <v>0</v>
      </c>
    </row>
    <row r="16" spans="1:17" ht="25" customHeight="1">
      <c r="A16" s="1240">
        <v>9</v>
      </c>
      <c r="B16" s="672" t="s">
        <v>1306</v>
      </c>
      <c r="C16" s="1241" t="s">
        <v>268</v>
      </c>
      <c r="D16" s="1021" t="s">
        <v>1307</v>
      </c>
      <c r="E16" s="1244">
        <f t="shared" ref="E16:J16" si="4">E8-E9+E11-E12</f>
        <v>387.35348198015794</v>
      </c>
      <c r="F16" s="1244">
        <f t="shared" si="4"/>
        <v>361.76734706717889</v>
      </c>
      <c r="G16" s="1244">
        <f t="shared" si="4"/>
        <v>365.67460739867812</v>
      </c>
      <c r="H16" s="1244">
        <f t="shared" si="4"/>
        <v>353.14957928260765</v>
      </c>
      <c r="I16" s="1244">
        <f t="shared" si="4"/>
        <v>348.75019078887277</v>
      </c>
      <c r="J16" s="1244">
        <f t="shared" si="4"/>
        <v>319.33894259300041</v>
      </c>
      <c r="K16" s="1244"/>
      <c r="L16" s="1244"/>
      <c r="M16" s="1244"/>
      <c r="N16" s="1244"/>
      <c r="O16" s="1244"/>
      <c r="P16" s="1244"/>
      <c r="Q16" s="1246">
        <f>SUM(E16:P16)</f>
        <v>2136.0341491104955</v>
      </c>
    </row>
    <row r="17" spans="1:20" ht="25" customHeight="1">
      <c r="A17" s="1240">
        <v>10</v>
      </c>
      <c r="B17" s="672" t="s">
        <v>1308</v>
      </c>
      <c r="C17" s="1241" t="s">
        <v>268</v>
      </c>
      <c r="D17" s="1021" t="s">
        <v>1309</v>
      </c>
      <c r="E17" s="1244">
        <f t="shared" ref="E17:J17" si="5">E8+E11-E12-E16</f>
        <v>40.843108704712449</v>
      </c>
      <c r="F17" s="1244">
        <f t="shared" si="5"/>
        <v>40.164243683519999</v>
      </c>
      <c r="G17" s="1244">
        <f t="shared" si="5"/>
        <v>39.828156305718039</v>
      </c>
      <c r="H17" s="1244">
        <f t="shared" si="5"/>
        <v>39.79559340387334</v>
      </c>
      <c r="I17" s="1244">
        <f t="shared" si="5"/>
        <v>38.971599474599998</v>
      </c>
      <c r="J17" s="1244">
        <f t="shared" si="5"/>
        <v>37.296743028000037</v>
      </c>
      <c r="K17" s="1244"/>
      <c r="L17" s="1244"/>
      <c r="M17" s="1244"/>
      <c r="N17" s="1244"/>
      <c r="O17" s="1244"/>
      <c r="P17" s="1244"/>
      <c r="Q17" s="1246">
        <f>Q8+Q11-Q12-Q16</f>
        <v>236.89944460042398</v>
      </c>
      <c r="T17" s="614">
        <v>1000000</v>
      </c>
    </row>
    <row r="18" spans="1:20" ht="25" customHeight="1">
      <c r="A18" s="1240">
        <v>11</v>
      </c>
      <c r="B18" s="672" t="s">
        <v>1310</v>
      </c>
      <c r="C18" s="1241" t="s">
        <v>369</v>
      </c>
      <c r="D18" s="1022" t="s">
        <v>1311</v>
      </c>
      <c r="E18" s="1249">
        <f t="shared" ref="E18:J18" si="6">(E17/(E8+E11))</f>
        <v>8.3810131740707783E-2</v>
      </c>
      <c r="F18" s="1249">
        <f t="shared" si="6"/>
        <v>8.5641560536634909E-2</v>
      </c>
      <c r="G18" s="1249">
        <f t="shared" si="6"/>
        <v>8.5514478280011103E-2</v>
      </c>
      <c r="H18" s="1249">
        <f t="shared" si="6"/>
        <v>8.6659622874622547E-2</v>
      </c>
      <c r="I18" s="1249">
        <f t="shared" si="6"/>
        <v>8.6652758730816334E-2</v>
      </c>
      <c r="J18" s="1249">
        <f t="shared" si="6"/>
        <v>8.9436078221712512E-2</v>
      </c>
      <c r="K18" s="1247"/>
      <c r="L18" s="1247"/>
      <c r="M18" s="1247"/>
      <c r="N18" s="1247"/>
      <c r="O18" s="1247"/>
      <c r="P18" s="1247"/>
      <c r="Q18" s="1248">
        <f>(Q17/(Q8+Q11))</f>
        <v>8.6206687040639288E-2</v>
      </c>
    </row>
    <row r="19" spans="1:20" ht="25" customHeight="1">
      <c r="A19" s="1240">
        <v>12</v>
      </c>
      <c r="B19" s="672" t="s">
        <v>1312</v>
      </c>
      <c r="C19" s="1241" t="s">
        <v>268</v>
      </c>
      <c r="D19" s="1024"/>
      <c r="E19" s="1244"/>
      <c r="F19" s="1244"/>
      <c r="G19" s="1244"/>
      <c r="H19" s="1244"/>
      <c r="I19" s="1244"/>
      <c r="J19" s="1244"/>
      <c r="K19" s="1245"/>
      <c r="L19" s="1245"/>
      <c r="M19" s="1245"/>
      <c r="N19" s="1245"/>
      <c r="O19" s="1245"/>
      <c r="P19" s="1245"/>
      <c r="Q19" s="1246">
        <f>SUM(E19:P19)</f>
        <v>0</v>
      </c>
    </row>
    <row r="20" spans="1:20" ht="25" customHeight="1">
      <c r="A20" s="1240">
        <v>13</v>
      </c>
      <c r="B20" s="672" t="s">
        <v>1313</v>
      </c>
      <c r="C20" s="1241" t="s">
        <v>268</v>
      </c>
      <c r="D20" s="1021" t="s">
        <v>1314</v>
      </c>
      <c r="E20" s="1244">
        <v>217.19211762065018</v>
      </c>
      <c r="F20" s="1244">
        <v>295.12181068840351</v>
      </c>
      <c r="G20" s="1244">
        <v>272.71570040922404</v>
      </c>
      <c r="H20" s="1244">
        <v>281.5168796964432</v>
      </c>
      <c r="I20" s="1244">
        <v>232.9615648120155</v>
      </c>
      <c r="J20" s="1244">
        <v>158.05719770600729</v>
      </c>
      <c r="K20" s="1244"/>
      <c r="L20" s="1244"/>
      <c r="M20" s="1244"/>
      <c r="N20" s="1244"/>
      <c r="O20" s="1244"/>
      <c r="P20" s="1244"/>
      <c r="Q20" s="1246">
        <f>SUM(E20:P20)</f>
        <v>1457.5652709327437</v>
      </c>
    </row>
    <row r="21" spans="1:20" ht="25" customHeight="1">
      <c r="A21" s="1023" t="s">
        <v>1301</v>
      </c>
      <c r="B21" s="672" t="s">
        <v>1302</v>
      </c>
      <c r="C21" s="1241"/>
      <c r="D21" s="1024"/>
      <c r="E21" s="1244">
        <v>173.7846342254056</v>
      </c>
      <c r="F21" s="1244">
        <v>241.73102513781944</v>
      </c>
      <c r="G21" s="1244">
        <v>228.26507173974014</v>
      </c>
      <c r="H21" s="1244">
        <v>232.95979092287175</v>
      </c>
      <c r="I21" s="1244">
        <v>206.88652629356315</v>
      </c>
      <c r="J21" s="1244">
        <v>153.40333076510507</v>
      </c>
      <c r="K21" s="1245"/>
      <c r="L21" s="1245"/>
      <c r="M21" s="1245"/>
      <c r="N21" s="1245"/>
      <c r="O21" s="1245"/>
      <c r="P21" s="1245"/>
      <c r="Q21" s="1246">
        <f>SUM(E21:P21)</f>
        <v>1237.0303790845051</v>
      </c>
    </row>
    <row r="22" spans="1:20" ht="25" customHeight="1">
      <c r="A22" s="1023" t="s">
        <v>1303</v>
      </c>
      <c r="B22" s="672" t="s">
        <v>1304</v>
      </c>
      <c r="C22" s="1241"/>
      <c r="D22" s="1024"/>
      <c r="E22" s="1244">
        <f>E20-E21</f>
        <v>43.407483395244583</v>
      </c>
      <c r="F22" s="1244">
        <f t="shared" ref="F22:J22" si="7">F20-F21</f>
        <v>53.39078555058407</v>
      </c>
      <c r="G22" s="1244">
        <f t="shared" si="7"/>
        <v>44.450628669483905</v>
      </c>
      <c r="H22" s="1244">
        <f t="shared" si="7"/>
        <v>48.557088773571451</v>
      </c>
      <c r="I22" s="1244">
        <f t="shared" si="7"/>
        <v>26.075038518452345</v>
      </c>
      <c r="J22" s="1244">
        <f t="shared" si="7"/>
        <v>4.6538669409022191</v>
      </c>
      <c r="K22" s="1245"/>
      <c r="L22" s="1245"/>
      <c r="M22" s="1245"/>
      <c r="N22" s="1245"/>
      <c r="O22" s="1245"/>
      <c r="P22" s="1245"/>
      <c r="Q22" s="1246">
        <f>SUM(E22:P22)</f>
        <v>220.53489184823857</v>
      </c>
    </row>
    <row r="23" spans="1:20" ht="25" customHeight="1">
      <c r="A23" s="1240">
        <v>14</v>
      </c>
      <c r="B23" s="672" t="s">
        <v>1315</v>
      </c>
      <c r="C23" s="1241" t="s">
        <v>268</v>
      </c>
      <c r="D23" s="1021" t="s">
        <v>1316</v>
      </c>
      <c r="E23" s="1244">
        <f t="shared" ref="E23:J23" si="8">E16+E19-E20</f>
        <v>170.16136435950776</v>
      </c>
      <c r="F23" s="1244">
        <f t="shared" si="8"/>
        <v>66.645536378775375</v>
      </c>
      <c r="G23" s="1244">
        <f t="shared" si="8"/>
        <v>92.958906989454078</v>
      </c>
      <c r="H23" s="1244">
        <f t="shared" si="8"/>
        <v>71.632699586164449</v>
      </c>
      <c r="I23" s="1244">
        <f t="shared" si="8"/>
        <v>115.78862597685728</v>
      </c>
      <c r="J23" s="1244">
        <f t="shared" si="8"/>
        <v>161.28174488699312</v>
      </c>
      <c r="K23" s="1245"/>
      <c r="L23" s="1245"/>
      <c r="M23" s="1245"/>
      <c r="N23" s="1245"/>
      <c r="O23" s="1245"/>
      <c r="P23" s="1245"/>
      <c r="Q23" s="1246">
        <f>Q16+Q19-Q20</f>
        <v>678.46887817775178</v>
      </c>
    </row>
    <row r="24" spans="1:20" ht="25" customHeight="1">
      <c r="A24" s="1240">
        <v>15</v>
      </c>
      <c r="B24" s="672" t="s">
        <v>1317</v>
      </c>
      <c r="C24" s="1241" t="s">
        <v>369</v>
      </c>
      <c r="D24" s="1022" t="s">
        <v>1318</v>
      </c>
      <c r="E24" s="1247">
        <f t="shared" ref="E24:J24" si="9">(E23/(E16+E19))</f>
        <v>0.43929220279533776</v>
      </c>
      <c r="F24" s="1247">
        <f t="shared" si="9"/>
        <v>0.18422208891727185</v>
      </c>
      <c r="G24" s="1247">
        <f t="shared" si="9"/>
        <v>0.25421209214044571</v>
      </c>
      <c r="H24" s="1247">
        <f t="shared" si="9"/>
        <v>0.20283954388868305</v>
      </c>
      <c r="I24" s="1247">
        <f t="shared" si="9"/>
        <v>0.33201021543513271</v>
      </c>
      <c r="J24" s="1247">
        <f t="shared" si="9"/>
        <v>0.50504878477207138</v>
      </c>
      <c r="K24" s="1247"/>
      <c r="L24" s="1247"/>
      <c r="M24" s="1247"/>
      <c r="N24" s="1247"/>
      <c r="O24" s="1247"/>
      <c r="P24" s="1247"/>
      <c r="Q24" s="1248">
        <f>(Q23/(Q16+Q19))</f>
        <v>0.31763016450850529</v>
      </c>
    </row>
    <row r="25" spans="1:20" ht="20.149999999999999" customHeight="1">
      <c r="A25" s="613" t="s">
        <v>1319</v>
      </c>
    </row>
    <row r="26" spans="1:20" ht="20.149999999999999" customHeight="1">
      <c r="E26" s="616"/>
      <c r="F26" s="616"/>
      <c r="G26" s="616"/>
      <c r="H26" s="616"/>
      <c r="I26" s="616"/>
      <c r="J26" s="616"/>
    </row>
    <row r="27" spans="1:20" ht="20.149999999999999" customHeight="1">
      <c r="K27" s="613"/>
    </row>
    <row r="28" spans="1:20">
      <c r="E28" s="616"/>
      <c r="F28" s="616"/>
      <c r="G28" s="616"/>
      <c r="H28" s="616"/>
      <c r="I28" s="616"/>
      <c r="J28" s="616"/>
    </row>
    <row r="29" spans="1:20">
      <c r="E29" s="616"/>
      <c r="F29" s="616"/>
      <c r="G29" s="616"/>
      <c r="H29" s="616"/>
      <c r="I29" s="616"/>
      <c r="J29" s="616"/>
    </row>
    <row r="30" spans="1:20">
      <c r="E30" s="616"/>
      <c r="F30" s="616"/>
      <c r="G30" s="616"/>
      <c r="H30" s="616"/>
      <c r="I30" s="616"/>
      <c r="J30" s="616"/>
    </row>
    <row r="39" spans="5:10">
      <c r="E39" s="616"/>
      <c r="F39" s="616"/>
      <c r="G39" s="616"/>
      <c r="H39" s="616"/>
      <c r="I39" s="616"/>
      <c r="J39" s="616"/>
    </row>
    <row r="41" spans="5:10">
      <c r="E41" s="616"/>
      <c r="F41" s="616"/>
      <c r="G41" s="616"/>
      <c r="H41" s="616"/>
      <c r="I41" s="616"/>
      <c r="J41" s="616"/>
    </row>
    <row r="43" spans="5:10">
      <c r="E43" s="616"/>
      <c r="F43" s="616"/>
      <c r="G43" s="616"/>
      <c r="H43" s="616"/>
      <c r="I43" s="616"/>
      <c r="J43" s="616"/>
    </row>
  </sheetData>
  <mergeCells count="2">
    <mergeCell ref="A2:P2"/>
    <mergeCell ref="A3:P3"/>
  </mergeCells>
  <printOptions horizontalCentered="1" verticalCentered="1" gridLines="1"/>
  <pageMargins left="0" right="0" top="0.19685039370078741" bottom="0.19685039370078741" header="0" footer="0.23622047244094491"/>
  <pageSetup paperSize="9" scale="80" orientation="landscape" blackAndWhite="1" r:id="rId1"/>
  <headerFooter>
    <oddFooter>&amp;R&amp;"Arial,Bold"&amp;14OERC FORM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9"/>
  <sheetViews>
    <sheetView showGridLines="0" view="pageBreakPreview" zoomScale="55" zoomScaleNormal="75" zoomScaleSheetLayoutView="55" workbookViewId="0">
      <selection activeCell="Q16" sqref="Q16"/>
    </sheetView>
  </sheetViews>
  <sheetFormatPr defaultColWidth="14.7265625" defaultRowHeight="15.5"/>
  <cols>
    <col min="1" max="1" width="6" style="354" customWidth="1"/>
    <col min="2" max="2" width="39.81640625" style="381" customWidth="1"/>
    <col min="3" max="3" width="15.26953125" style="359" customWidth="1"/>
    <col min="4" max="4" width="13.7265625" style="359" customWidth="1"/>
    <col min="5" max="6" width="12.54296875" style="359" customWidth="1"/>
    <col min="7" max="7" width="13.1796875" style="359" customWidth="1"/>
    <col min="8" max="8" width="12.54296875" style="359" customWidth="1"/>
    <col min="9" max="9" width="18.81640625" style="359" bestFit="1" customWidth="1"/>
    <col min="10" max="10" width="15.453125" style="359" bestFit="1" customWidth="1"/>
    <col min="11" max="11" width="12.81640625" style="359" customWidth="1"/>
    <col min="12" max="12" width="12.1796875" style="359" customWidth="1"/>
    <col min="13" max="13" width="12.54296875" style="359" customWidth="1"/>
    <col min="14" max="14" width="10.7265625" style="359" customWidth="1"/>
    <col min="15" max="15" width="16.26953125" style="359" customWidth="1"/>
    <col min="16" max="256" width="14.7265625" style="359"/>
    <col min="257" max="257" width="6" style="359" customWidth="1"/>
    <col min="258" max="258" width="39.81640625" style="359" customWidth="1"/>
    <col min="259" max="259" width="15.26953125" style="359" customWidth="1"/>
    <col min="260" max="260" width="13.7265625" style="359" customWidth="1"/>
    <col min="261" max="262" width="12.54296875" style="359" customWidth="1"/>
    <col min="263" max="263" width="13.1796875" style="359" customWidth="1"/>
    <col min="264" max="266" width="12.54296875" style="359" customWidth="1"/>
    <col min="267" max="267" width="12.81640625" style="359" customWidth="1"/>
    <col min="268" max="268" width="12.1796875" style="359" customWidth="1"/>
    <col min="269" max="269" width="12.54296875" style="359" customWidth="1"/>
    <col min="270" max="270" width="10.7265625" style="359" customWidth="1"/>
    <col min="271" max="271" width="16.26953125" style="359" customWidth="1"/>
    <col min="272" max="512" width="14.7265625" style="359"/>
    <col min="513" max="513" width="6" style="359" customWidth="1"/>
    <col min="514" max="514" width="39.81640625" style="359" customWidth="1"/>
    <col min="515" max="515" width="15.26953125" style="359" customWidth="1"/>
    <col min="516" max="516" width="13.7265625" style="359" customWidth="1"/>
    <col min="517" max="518" width="12.54296875" style="359" customWidth="1"/>
    <col min="519" max="519" width="13.1796875" style="359" customWidth="1"/>
    <col min="520" max="522" width="12.54296875" style="359" customWidth="1"/>
    <col min="523" max="523" width="12.81640625" style="359" customWidth="1"/>
    <col min="524" max="524" width="12.1796875" style="359" customWidth="1"/>
    <col min="525" max="525" width="12.54296875" style="359" customWidth="1"/>
    <col min="526" max="526" width="10.7265625" style="359" customWidth="1"/>
    <col min="527" max="527" width="16.26953125" style="359" customWidth="1"/>
    <col min="528" max="768" width="14.7265625" style="359"/>
    <col min="769" max="769" width="6" style="359" customWidth="1"/>
    <col min="770" max="770" width="39.81640625" style="359" customWidth="1"/>
    <col min="771" max="771" width="15.26953125" style="359" customWidth="1"/>
    <col min="772" max="772" width="13.7265625" style="359" customWidth="1"/>
    <col min="773" max="774" width="12.54296875" style="359" customWidth="1"/>
    <col min="775" max="775" width="13.1796875" style="359" customWidth="1"/>
    <col min="776" max="778" width="12.54296875" style="359" customWidth="1"/>
    <col min="779" max="779" width="12.81640625" style="359" customWidth="1"/>
    <col min="780" max="780" width="12.1796875" style="359" customWidth="1"/>
    <col min="781" max="781" width="12.54296875" style="359" customWidth="1"/>
    <col min="782" max="782" width="10.7265625" style="359" customWidth="1"/>
    <col min="783" max="783" width="16.26953125" style="359" customWidth="1"/>
    <col min="784" max="1024" width="14.7265625" style="359"/>
    <col min="1025" max="1025" width="6" style="359" customWidth="1"/>
    <col min="1026" max="1026" width="39.81640625" style="359" customWidth="1"/>
    <col min="1027" max="1027" width="15.26953125" style="359" customWidth="1"/>
    <col min="1028" max="1028" width="13.7265625" style="359" customWidth="1"/>
    <col min="1029" max="1030" width="12.54296875" style="359" customWidth="1"/>
    <col min="1031" max="1031" width="13.1796875" style="359" customWidth="1"/>
    <col min="1032" max="1034" width="12.54296875" style="359" customWidth="1"/>
    <col min="1035" max="1035" width="12.81640625" style="359" customWidth="1"/>
    <col min="1036" max="1036" width="12.1796875" style="359" customWidth="1"/>
    <col min="1037" max="1037" width="12.54296875" style="359" customWidth="1"/>
    <col min="1038" max="1038" width="10.7265625" style="359" customWidth="1"/>
    <col min="1039" max="1039" width="16.26953125" style="359" customWidth="1"/>
    <col min="1040" max="1280" width="14.7265625" style="359"/>
    <col min="1281" max="1281" width="6" style="359" customWidth="1"/>
    <col min="1282" max="1282" width="39.81640625" style="359" customWidth="1"/>
    <col min="1283" max="1283" width="15.26953125" style="359" customWidth="1"/>
    <col min="1284" max="1284" width="13.7265625" style="359" customWidth="1"/>
    <col min="1285" max="1286" width="12.54296875" style="359" customWidth="1"/>
    <col min="1287" max="1287" width="13.1796875" style="359" customWidth="1"/>
    <col min="1288" max="1290" width="12.54296875" style="359" customWidth="1"/>
    <col min="1291" max="1291" width="12.81640625" style="359" customWidth="1"/>
    <col min="1292" max="1292" width="12.1796875" style="359" customWidth="1"/>
    <col min="1293" max="1293" width="12.54296875" style="359" customWidth="1"/>
    <col min="1294" max="1294" width="10.7265625" style="359" customWidth="1"/>
    <col min="1295" max="1295" width="16.26953125" style="359" customWidth="1"/>
    <col min="1296" max="1536" width="14.7265625" style="359"/>
    <col min="1537" max="1537" width="6" style="359" customWidth="1"/>
    <col min="1538" max="1538" width="39.81640625" style="359" customWidth="1"/>
    <col min="1539" max="1539" width="15.26953125" style="359" customWidth="1"/>
    <col min="1540" max="1540" width="13.7265625" style="359" customWidth="1"/>
    <col min="1541" max="1542" width="12.54296875" style="359" customWidth="1"/>
    <col min="1543" max="1543" width="13.1796875" style="359" customWidth="1"/>
    <col min="1544" max="1546" width="12.54296875" style="359" customWidth="1"/>
    <col min="1547" max="1547" width="12.81640625" style="359" customWidth="1"/>
    <col min="1548" max="1548" width="12.1796875" style="359" customWidth="1"/>
    <col min="1549" max="1549" width="12.54296875" style="359" customWidth="1"/>
    <col min="1550" max="1550" width="10.7265625" style="359" customWidth="1"/>
    <col min="1551" max="1551" width="16.26953125" style="359" customWidth="1"/>
    <col min="1552" max="1792" width="14.7265625" style="359"/>
    <col min="1793" max="1793" width="6" style="359" customWidth="1"/>
    <col min="1794" max="1794" width="39.81640625" style="359" customWidth="1"/>
    <col min="1795" max="1795" width="15.26953125" style="359" customWidth="1"/>
    <col min="1796" max="1796" width="13.7265625" style="359" customWidth="1"/>
    <col min="1797" max="1798" width="12.54296875" style="359" customWidth="1"/>
    <col min="1799" max="1799" width="13.1796875" style="359" customWidth="1"/>
    <col min="1800" max="1802" width="12.54296875" style="359" customWidth="1"/>
    <col min="1803" max="1803" width="12.81640625" style="359" customWidth="1"/>
    <col min="1804" max="1804" width="12.1796875" style="359" customWidth="1"/>
    <col min="1805" max="1805" width="12.54296875" style="359" customWidth="1"/>
    <col min="1806" max="1806" width="10.7265625" style="359" customWidth="1"/>
    <col min="1807" max="1807" width="16.26953125" style="359" customWidth="1"/>
    <col min="1808" max="2048" width="14.7265625" style="359"/>
    <col min="2049" max="2049" width="6" style="359" customWidth="1"/>
    <col min="2050" max="2050" width="39.81640625" style="359" customWidth="1"/>
    <col min="2051" max="2051" width="15.26953125" style="359" customWidth="1"/>
    <col min="2052" max="2052" width="13.7265625" style="359" customWidth="1"/>
    <col min="2053" max="2054" width="12.54296875" style="359" customWidth="1"/>
    <col min="2055" max="2055" width="13.1796875" style="359" customWidth="1"/>
    <col min="2056" max="2058" width="12.54296875" style="359" customWidth="1"/>
    <col min="2059" max="2059" width="12.81640625" style="359" customWidth="1"/>
    <col min="2060" max="2060" width="12.1796875" style="359" customWidth="1"/>
    <col min="2061" max="2061" width="12.54296875" style="359" customWidth="1"/>
    <col min="2062" max="2062" width="10.7265625" style="359" customWidth="1"/>
    <col min="2063" max="2063" width="16.26953125" style="359" customWidth="1"/>
    <col min="2064" max="2304" width="14.7265625" style="359"/>
    <col min="2305" max="2305" width="6" style="359" customWidth="1"/>
    <col min="2306" max="2306" width="39.81640625" style="359" customWidth="1"/>
    <col min="2307" max="2307" width="15.26953125" style="359" customWidth="1"/>
    <col min="2308" max="2308" width="13.7265625" style="359" customWidth="1"/>
    <col min="2309" max="2310" width="12.54296875" style="359" customWidth="1"/>
    <col min="2311" max="2311" width="13.1796875" style="359" customWidth="1"/>
    <col min="2312" max="2314" width="12.54296875" style="359" customWidth="1"/>
    <col min="2315" max="2315" width="12.81640625" style="359" customWidth="1"/>
    <col min="2316" max="2316" width="12.1796875" style="359" customWidth="1"/>
    <col min="2317" max="2317" width="12.54296875" style="359" customWidth="1"/>
    <col min="2318" max="2318" width="10.7265625" style="359" customWidth="1"/>
    <col min="2319" max="2319" width="16.26953125" style="359" customWidth="1"/>
    <col min="2320" max="2560" width="14.7265625" style="359"/>
    <col min="2561" max="2561" width="6" style="359" customWidth="1"/>
    <col min="2562" max="2562" width="39.81640625" style="359" customWidth="1"/>
    <col min="2563" max="2563" width="15.26953125" style="359" customWidth="1"/>
    <col min="2564" max="2564" width="13.7265625" style="359" customWidth="1"/>
    <col min="2565" max="2566" width="12.54296875" style="359" customWidth="1"/>
    <col min="2567" max="2567" width="13.1796875" style="359" customWidth="1"/>
    <col min="2568" max="2570" width="12.54296875" style="359" customWidth="1"/>
    <col min="2571" max="2571" width="12.81640625" style="359" customWidth="1"/>
    <col min="2572" max="2572" width="12.1796875" style="359" customWidth="1"/>
    <col min="2573" max="2573" width="12.54296875" style="359" customWidth="1"/>
    <col min="2574" max="2574" width="10.7265625" style="359" customWidth="1"/>
    <col min="2575" max="2575" width="16.26953125" style="359" customWidth="1"/>
    <col min="2576" max="2816" width="14.7265625" style="359"/>
    <col min="2817" max="2817" width="6" style="359" customWidth="1"/>
    <col min="2818" max="2818" width="39.81640625" style="359" customWidth="1"/>
    <col min="2819" max="2819" width="15.26953125" style="359" customWidth="1"/>
    <col min="2820" max="2820" width="13.7265625" style="359" customWidth="1"/>
    <col min="2821" max="2822" width="12.54296875" style="359" customWidth="1"/>
    <col min="2823" max="2823" width="13.1796875" style="359" customWidth="1"/>
    <col min="2824" max="2826" width="12.54296875" style="359" customWidth="1"/>
    <col min="2827" max="2827" width="12.81640625" style="359" customWidth="1"/>
    <col min="2828" max="2828" width="12.1796875" style="359" customWidth="1"/>
    <col min="2829" max="2829" width="12.54296875" style="359" customWidth="1"/>
    <col min="2830" max="2830" width="10.7265625" style="359" customWidth="1"/>
    <col min="2831" max="2831" width="16.26953125" style="359" customWidth="1"/>
    <col min="2832" max="3072" width="14.7265625" style="359"/>
    <col min="3073" max="3073" width="6" style="359" customWidth="1"/>
    <col min="3074" max="3074" width="39.81640625" style="359" customWidth="1"/>
    <col min="3075" max="3075" width="15.26953125" style="359" customWidth="1"/>
    <col min="3076" max="3076" width="13.7265625" style="359" customWidth="1"/>
    <col min="3077" max="3078" width="12.54296875" style="359" customWidth="1"/>
    <col min="3079" max="3079" width="13.1796875" style="359" customWidth="1"/>
    <col min="3080" max="3082" width="12.54296875" style="359" customWidth="1"/>
    <col min="3083" max="3083" width="12.81640625" style="359" customWidth="1"/>
    <col min="3084" max="3084" width="12.1796875" style="359" customWidth="1"/>
    <col min="3085" max="3085" width="12.54296875" style="359" customWidth="1"/>
    <col min="3086" max="3086" width="10.7265625" style="359" customWidth="1"/>
    <col min="3087" max="3087" width="16.26953125" style="359" customWidth="1"/>
    <col min="3088" max="3328" width="14.7265625" style="359"/>
    <col min="3329" max="3329" width="6" style="359" customWidth="1"/>
    <col min="3330" max="3330" width="39.81640625" style="359" customWidth="1"/>
    <col min="3331" max="3331" width="15.26953125" style="359" customWidth="1"/>
    <col min="3332" max="3332" width="13.7265625" style="359" customWidth="1"/>
    <col min="3333" max="3334" width="12.54296875" style="359" customWidth="1"/>
    <col min="3335" max="3335" width="13.1796875" style="359" customWidth="1"/>
    <col min="3336" max="3338" width="12.54296875" style="359" customWidth="1"/>
    <col min="3339" max="3339" width="12.81640625" style="359" customWidth="1"/>
    <col min="3340" max="3340" width="12.1796875" style="359" customWidth="1"/>
    <col min="3341" max="3341" width="12.54296875" style="359" customWidth="1"/>
    <col min="3342" max="3342" width="10.7265625" style="359" customWidth="1"/>
    <col min="3343" max="3343" width="16.26953125" style="359" customWidth="1"/>
    <col min="3344" max="3584" width="14.7265625" style="359"/>
    <col min="3585" max="3585" width="6" style="359" customWidth="1"/>
    <col min="3586" max="3586" width="39.81640625" style="359" customWidth="1"/>
    <col min="3587" max="3587" width="15.26953125" style="359" customWidth="1"/>
    <col min="3588" max="3588" width="13.7265625" style="359" customWidth="1"/>
    <col min="3589" max="3590" width="12.54296875" style="359" customWidth="1"/>
    <col min="3591" max="3591" width="13.1796875" style="359" customWidth="1"/>
    <col min="3592" max="3594" width="12.54296875" style="359" customWidth="1"/>
    <col min="3595" max="3595" width="12.81640625" style="359" customWidth="1"/>
    <col min="3596" max="3596" width="12.1796875" style="359" customWidth="1"/>
    <col min="3597" max="3597" width="12.54296875" style="359" customWidth="1"/>
    <col min="3598" max="3598" width="10.7265625" style="359" customWidth="1"/>
    <col min="3599" max="3599" width="16.26953125" style="359" customWidth="1"/>
    <col min="3600" max="3840" width="14.7265625" style="359"/>
    <col min="3841" max="3841" width="6" style="359" customWidth="1"/>
    <col min="3842" max="3842" width="39.81640625" style="359" customWidth="1"/>
    <col min="3843" max="3843" width="15.26953125" style="359" customWidth="1"/>
    <col min="3844" max="3844" width="13.7265625" style="359" customWidth="1"/>
    <col min="3845" max="3846" width="12.54296875" style="359" customWidth="1"/>
    <col min="3847" max="3847" width="13.1796875" style="359" customWidth="1"/>
    <col min="3848" max="3850" width="12.54296875" style="359" customWidth="1"/>
    <col min="3851" max="3851" width="12.81640625" style="359" customWidth="1"/>
    <col min="3852" max="3852" width="12.1796875" style="359" customWidth="1"/>
    <col min="3853" max="3853" width="12.54296875" style="359" customWidth="1"/>
    <col min="3854" max="3854" width="10.7265625" style="359" customWidth="1"/>
    <col min="3855" max="3855" width="16.26953125" style="359" customWidth="1"/>
    <col min="3856" max="4096" width="14.7265625" style="359"/>
    <col min="4097" max="4097" width="6" style="359" customWidth="1"/>
    <col min="4098" max="4098" width="39.81640625" style="359" customWidth="1"/>
    <col min="4099" max="4099" width="15.26953125" style="359" customWidth="1"/>
    <col min="4100" max="4100" width="13.7265625" style="359" customWidth="1"/>
    <col min="4101" max="4102" width="12.54296875" style="359" customWidth="1"/>
    <col min="4103" max="4103" width="13.1796875" style="359" customWidth="1"/>
    <col min="4104" max="4106" width="12.54296875" style="359" customWidth="1"/>
    <col min="4107" max="4107" width="12.81640625" style="359" customWidth="1"/>
    <col min="4108" max="4108" width="12.1796875" style="359" customWidth="1"/>
    <col min="4109" max="4109" width="12.54296875" style="359" customWidth="1"/>
    <col min="4110" max="4110" width="10.7265625" style="359" customWidth="1"/>
    <col min="4111" max="4111" width="16.26953125" style="359" customWidth="1"/>
    <col min="4112" max="4352" width="14.7265625" style="359"/>
    <col min="4353" max="4353" width="6" style="359" customWidth="1"/>
    <col min="4354" max="4354" width="39.81640625" style="359" customWidth="1"/>
    <col min="4355" max="4355" width="15.26953125" style="359" customWidth="1"/>
    <col min="4356" max="4356" width="13.7265625" style="359" customWidth="1"/>
    <col min="4357" max="4358" width="12.54296875" style="359" customWidth="1"/>
    <col min="4359" max="4359" width="13.1796875" style="359" customWidth="1"/>
    <col min="4360" max="4362" width="12.54296875" style="359" customWidth="1"/>
    <col min="4363" max="4363" width="12.81640625" style="359" customWidth="1"/>
    <col min="4364" max="4364" width="12.1796875" style="359" customWidth="1"/>
    <col min="4365" max="4365" width="12.54296875" style="359" customWidth="1"/>
    <col min="4366" max="4366" width="10.7265625" style="359" customWidth="1"/>
    <col min="4367" max="4367" width="16.26953125" style="359" customWidth="1"/>
    <col min="4368" max="4608" width="14.7265625" style="359"/>
    <col min="4609" max="4609" width="6" style="359" customWidth="1"/>
    <col min="4610" max="4610" width="39.81640625" style="359" customWidth="1"/>
    <col min="4611" max="4611" width="15.26953125" style="359" customWidth="1"/>
    <col min="4612" max="4612" width="13.7265625" style="359" customWidth="1"/>
    <col min="4613" max="4614" width="12.54296875" style="359" customWidth="1"/>
    <col min="4615" max="4615" width="13.1796875" style="359" customWidth="1"/>
    <col min="4616" max="4618" width="12.54296875" style="359" customWidth="1"/>
    <col min="4619" max="4619" width="12.81640625" style="359" customWidth="1"/>
    <col min="4620" max="4620" width="12.1796875" style="359" customWidth="1"/>
    <col min="4621" max="4621" width="12.54296875" style="359" customWidth="1"/>
    <col min="4622" max="4622" width="10.7265625" style="359" customWidth="1"/>
    <col min="4623" max="4623" width="16.26953125" style="359" customWidth="1"/>
    <col min="4624" max="4864" width="14.7265625" style="359"/>
    <col min="4865" max="4865" width="6" style="359" customWidth="1"/>
    <col min="4866" max="4866" width="39.81640625" style="359" customWidth="1"/>
    <col min="4867" max="4867" width="15.26953125" style="359" customWidth="1"/>
    <col min="4868" max="4868" width="13.7265625" style="359" customWidth="1"/>
    <col min="4869" max="4870" width="12.54296875" style="359" customWidth="1"/>
    <col min="4871" max="4871" width="13.1796875" style="359" customWidth="1"/>
    <col min="4872" max="4874" width="12.54296875" style="359" customWidth="1"/>
    <col min="4875" max="4875" width="12.81640625" style="359" customWidth="1"/>
    <col min="4876" max="4876" width="12.1796875" style="359" customWidth="1"/>
    <col min="4877" max="4877" width="12.54296875" style="359" customWidth="1"/>
    <col min="4878" max="4878" width="10.7265625" style="359" customWidth="1"/>
    <col min="4879" max="4879" width="16.26953125" style="359" customWidth="1"/>
    <col min="4880" max="5120" width="14.7265625" style="359"/>
    <col min="5121" max="5121" width="6" style="359" customWidth="1"/>
    <col min="5122" max="5122" width="39.81640625" style="359" customWidth="1"/>
    <col min="5123" max="5123" width="15.26953125" style="359" customWidth="1"/>
    <col min="5124" max="5124" width="13.7265625" style="359" customWidth="1"/>
    <col min="5125" max="5126" width="12.54296875" style="359" customWidth="1"/>
    <col min="5127" max="5127" width="13.1796875" style="359" customWidth="1"/>
    <col min="5128" max="5130" width="12.54296875" style="359" customWidth="1"/>
    <col min="5131" max="5131" width="12.81640625" style="359" customWidth="1"/>
    <col min="5132" max="5132" width="12.1796875" style="359" customWidth="1"/>
    <col min="5133" max="5133" width="12.54296875" style="359" customWidth="1"/>
    <col min="5134" max="5134" width="10.7265625" style="359" customWidth="1"/>
    <col min="5135" max="5135" width="16.26953125" style="359" customWidth="1"/>
    <col min="5136" max="5376" width="14.7265625" style="359"/>
    <col min="5377" max="5377" width="6" style="359" customWidth="1"/>
    <col min="5378" max="5378" width="39.81640625" style="359" customWidth="1"/>
    <col min="5379" max="5379" width="15.26953125" style="359" customWidth="1"/>
    <col min="5380" max="5380" width="13.7265625" style="359" customWidth="1"/>
    <col min="5381" max="5382" width="12.54296875" style="359" customWidth="1"/>
    <col min="5383" max="5383" width="13.1796875" style="359" customWidth="1"/>
    <col min="5384" max="5386" width="12.54296875" style="359" customWidth="1"/>
    <col min="5387" max="5387" width="12.81640625" style="359" customWidth="1"/>
    <col min="5388" max="5388" width="12.1796875" style="359" customWidth="1"/>
    <col min="5389" max="5389" width="12.54296875" style="359" customWidth="1"/>
    <col min="5390" max="5390" width="10.7265625" style="359" customWidth="1"/>
    <col min="5391" max="5391" width="16.26953125" style="359" customWidth="1"/>
    <col min="5392" max="5632" width="14.7265625" style="359"/>
    <col min="5633" max="5633" width="6" style="359" customWidth="1"/>
    <col min="5634" max="5634" width="39.81640625" style="359" customWidth="1"/>
    <col min="5635" max="5635" width="15.26953125" style="359" customWidth="1"/>
    <col min="5636" max="5636" width="13.7265625" style="359" customWidth="1"/>
    <col min="5637" max="5638" width="12.54296875" style="359" customWidth="1"/>
    <col min="5639" max="5639" width="13.1796875" style="359" customWidth="1"/>
    <col min="5640" max="5642" width="12.54296875" style="359" customWidth="1"/>
    <col min="5643" max="5643" width="12.81640625" style="359" customWidth="1"/>
    <col min="5644" max="5644" width="12.1796875" style="359" customWidth="1"/>
    <col min="5645" max="5645" width="12.54296875" style="359" customWidth="1"/>
    <col min="5646" max="5646" width="10.7265625" style="359" customWidth="1"/>
    <col min="5647" max="5647" width="16.26953125" style="359" customWidth="1"/>
    <col min="5648" max="5888" width="14.7265625" style="359"/>
    <col min="5889" max="5889" width="6" style="359" customWidth="1"/>
    <col min="5890" max="5890" width="39.81640625" style="359" customWidth="1"/>
    <col min="5891" max="5891" width="15.26953125" style="359" customWidth="1"/>
    <col min="5892" max="5892" width="13.7265625" style="359" customWidth="1"/>
    <col min="5893" max="5894" width="12.54296875" style="359" customWidth="1"/>
    <col min="5895" max="5895" width="13.1796875" style="359" customWidth="1"/>
    <col min="5896" max="5898" width="12.54296875" style="359" customWidth="1"/>
    <col min="5899" max="5899" width="12.81640625" style="359" customWidth="1"/>
    <col min="5900" max="5900" width="12.1796875" style="359" customWidth="1"/>
    <col min="5901" max="5901" width="12.54296875" style="359" customWidth="1"/>
    <col min="5902" max="5902" width="10.7265625" style="359" customWidth="1"/>
    <col min="5903" max="5903" width="16.26953125" style="359" customWidth="1"/>
    <col min="5904" max="6144" width="14.7265625" style="359"/>
    <col min="6145" max="6145" width="6" style="359" customWidth="1"/>
    <col min="6146" max="6146" width="39.81640625" style="359" customWidth="1"/>
    <col min="6147" max="6147" width="15.26953125" style="359" customWidth="1"/>
    <col min="6148" max="6148" width="13.7265625" style="359" customWidth="1"/>
    <col min="6149" max="6150" width="12.54296875" style="359" customWidth="1"/>
    <col min="6151" max="6151" width="13.1796875" style="359" customWidth="1"/>
    <col min="6152" max="6154" width="12.54296875" style="359" customWidth="1"/>
    <col min="6155" max="6155" width="12.81640625" style="359" customWidth="1"/>
    <col min="6156" max="6156" width="12.1796875" style="359" customWidth="1"/>
    <col min="6157" max="6157" width="12.54296875" style="359" customWidth="1"/>
    <col min="6158" max="6158" width="10.7265625" style="359" customWidth="1"/>
    <col min="6159" max="6159" width="16.26953125" style="359" customWidth="1"/>
    <col min="6160" max="6400" width="14.7265625" style="359"/>
    <col min="6401" max="6401" width="6" style="359" customWidth="1"/>
    <col min="6402" max="6402" width="39.81640625" style="359" customWidth="1"/>
    <col min="6403" max="6403" width="15.26953125" style="359" customWidth="1"/>
    <col min="6404" max="6404" width="13.7265625" style="359" customWidth="1"/>
    <col min="6405" max="6406" width="12.54296875" style="359" customWidth="1"/>
    <col min="6407" max="6407" width="13.1796875" style="359" customWidth="1"/>
    <col min="6408" max="6410" width="12.54296875" style="359" customWidth="1"/>
    <col min="6411" max="6411" width="12.81640625" style="359" customWidth="1"/>
    <col min="6412" max="6412" width="12.1796875" style="359" customWidth="1"/>
    <col min="6413" max="6413" width="12.54296875" style="359" customWidth="1"/>
    <col min="6414" max="6414" width="10.7265625" style="359" customWidth="1"/>
    <col min="6415" max="6415" width="16.26953125" style="359" customWidth="1"/>
    <col min="6416" max="6656" width="14.7265625" style="359"/>
    <col min="6657" max="6657" width="6" style="359" customWidth="1"/>
    <col min="6658" max="6658" width="39.81640625" style="359" customWidth="1"/>
    <col min="6659" max="6659" width="15.26953125" style="359" customWidth="1"/>
    <col min="6660" max="6660" width="13.7265625" style="359" customWidth="1"/>
    <col min="6661" max="6662" width="12.54296875" style="359" customWidth="1"/>
    <col min="6663" max="6663" width="13.1796875" style="359" customWidth="1"/>
    <col min="6664" max="6666" width="12.54296875" style="359" customWidth="1"/>
    <col min="6667" max="6667" width="12.81640625" style="359" customWidth="1"/>
    <col min="6668" max="6668" width="12.1796875" style="359" customWidth="1"/>
    <col min="6669" max="6669" width="12.54296875" style="359" customWidth="1"/>
    <col min="6670" max="6670" width="10.7265625" style="359" customWidth="1"/>
    <col min="6671" max="6671" width="16.26953125" style="359" customWidth="1"/>
    <col min="6672" max="6912" width="14.7265625" style="359"/>
    <col min="6913" max="6913" width="6" style="359" customWidth="1"/>
    <col min="6914" max="6914" width="39.81640625" style="359" customWidth="1"/>
    <col min="6915" max="6915" width="15.26953125" style="359" customWidth="1"/>
    <col min="6916" max="6916" width="13.7265625" style="359" customWidth="1"/>
    <col min="6917" max="6918" width="12.54296875" style="359" customWidth="1"/>
    <col min="6919" max="6919" width="13.1796875" style="359" customWidth="1"/>
    <col min="6920" max="6922" width="12.54296875" style="359" customWidth="1"/>
    <col min="6923" max="6923" width="12.81640625" style="359" customWidth="1"/>
    <col min="6924" max="6924" width="12.1796875" style="359" customWidth="1"/>
    <col min="6925" max="6925" width="12.54296875" style="359" customWidth="1"/>
    <col min="6926" max="6926" width="10.7265625" style="359" customWidth="1"/>
    <col min="6927" max="6927" width="16.26953125" style="359" customWidth="1"/>
    <col min="6928" max="7168" width="14.7265625" style="359"/>
    <col min="7169" max="7169" width="6" style="359" customWidth="1"/>
    <col min="7170" max="7170" width="39.81640625" style="359" customWidth="1"/>
    <col min="7171" max="7171" width="15.26953125" style="359" customWidth="1"/>
    <col min="7172" max="7172" width="13.7265625" style="359" customWidth="1"/>
    <col min="7173" max="7174" width="12.54296875" style="359" customWidth="1"/>
    <col min="7175" max="7175" width="13.1796875" style="359" customWidth="1"/>
    <col min="7176" max="7178" width="12.54296875" style="359" customWidth="1"/>
    <col min="7179" max="7179" width="12.81640625" style="359" customWidth="1"/>
    <col min="7180" max="7180" width="12.1796875" style="359" customWidth="1"/>
    <col min="7181" max="7181" width="12.54296875" style="359" customWidth="1"/>
    <col min="7182" max="7182" width="10.7265625" style="359" customWidth="1"/>
    <col min="7183" max="7183" width="16.26953125" style="359" customWidth="1"/>
    <col min="7184" max="7424" width="14.7265625" style="359"/>
    <col min="7425" max="7425" width="6" style="359" customWidth="1"/>
    <col min="7426" max="7426" width="39.81640625" style="359" customWidth="1"/>
    <col min="7427" max="7427" width="15.26953125" style="359" customWidth="1"/>
    <col min="7428" max="7428" width="13.7265625" style="359" customWidth="1"/>
    <col min="7429" max="7430" width="12.54296875" style="359" customWidth="1"/>
    <col min="7431" max="7431" width="13.1796875" style="359" customWidth="1"/>
    <col min="7432" max="7434" width="12.54296875" style="359" customWidth="1"/>
    <col min="7435" max="7435" width="12.81640625" style="359" customWidth="1"/>
    <col min="7436" max="7436" width="12.1796875" style="359" customWidth="1"/>
    <col min="7437" max="7437" width="12.54296875" style="359" customWidth="1"/>
    <col min="7438" max="7438" width="10.7265625" style="359" customWidth="1"/>
    <col min="7439" max="7439" width="16.26953125" style="359" customWidth="1"/>
    <col min="7440" max="7680" width="14.7265625" style="359"/>
    <col min="7681" max="7681" width="6" style="359" customWidth="1"/>
    <col min="7682" max="7682" width="39.81640625" style="359" customWidth="1"/>
    <col min="7683" max="7683" width="15.26953125" style="359" customWidth="1"/>
    <col min="7684" max="7684" width="13.7265625" style="359" customWidth="1"/>
    <col min="7685" max="7686" width="12.54296875" style="359" customWidth="1"/>
    <col min="7687" max="7687" width="13.1796875" style="359" customWidth="1"/>
    <col min="7688" max="7690" width="12.54296875" style="359" customWidth="1"/>
    <col min="7691" max="7691" width="12.81640625" style="359" customWidth="1"/>
    <col min="7692" max="7692" width="12.1796875" style="359" customWidth="1"/>
    <col min="7693" max="7693" width="12.54296875" style="359" customWidth="1"/>
    <col min="7694" max="7694" width="10.7265625" style="359" customWidth="1"/>
    <col min="7695" max="7695" width="16.26953125" style="359" customWidth="1"/>
    <col min="7696" max="7936" width="14.7265625" style="359"/>
    <col min="7937" max="7937" width="6" style="359" customWidth="1"/>
    <col min="7938" max="7938" width="39.81640625" style="359" customWidth="1"/>
    <col min="7939" max="7939" width="15.26953125" style="359" customWidth="1"/>
    <col min="7940" max="7940" width="13.7265625" style="359" customWidth="1"/>
    <col min="7941" max="7942" width="12.54296875" style="359" customWidth="1"/>
    <col min="7943" max="7943" width="13.1796875" style="359" customWidth="1"/>
    <col min="7944" max="7946" width="12.54296875" style="359" customWidth="1"/>
    <col min="7947" max="7947" width="12.81640625" style="359" customWidth="1"/>
    <col min="7948" max="7948" width="12.1796875" style="359" customWidth="1"/>
    <col min="7949" max="7949" width="12.54296875" style="359" customWidth="1"/>
    <col min="7950" max="7950" width="10.7265625" style="359" customWidth="1"/>
    <col min="7951" max="7951" width="16.26953125" style="359" customWidth="1"/>
    <col min="7952" max="8192" width="14.7265625" style="359"/>
    <col min="8193" max="8193" width="6" style="359" customWidth="1"/>
    <col min="8194" max="8194" width="39.81640625" style="359" customWidth="1"/>
    <col min="8195" max="8195" width="15.26953125" style="359" customWidth="1"/>
    <col min="8196" max="8196" width="13.7265625" style="359" customWidth="1"/>
    <col min="8197" max="8198" width="12.54296875" style="359" customWidth="1"/>
    <col min="8199" max="8199" width="13.1796875" style="359" customWidth="1"/>
    <col min="8200" max="8202" width="12.54296875" style="359" customWidth="1"/>
    <col min="8203" max="8203" width="12.81640625" style="359" customWidth="1"/>
    <col min="8204" max="8204" width="12.1796875" style="359" customWidth="1"/>
    <col min="8205" max="8205" width="12.54296875" style="359" customWidth="1"/>
    <col min="8206" max="8206" width="10.7265625" style="359" customWidth="1"/>
    <col min="8207" max="8207" width="16.26953125" style="359" customWidth="1"/>
    <col min="8208" max="8448" width="14.7265625" style="359"/>
    <col min="8449" max="8449" width="6" style="359" customWidth="1"/>
    <col min="8450" max="8450" width="39.81640625" style="359" customWidth="1"/>
    <col min="8451" max="8451" width="15.26953125" style="359" customWidth="1"/>
    <col min="8452" max="8452" width="13.7265625" style="359" customWidth="1"/>
    <col min="8453" max="8454" width="12.54296875" style="359" customWidth="1"/>
    <col min="8455" max="8455" width="13.1796875" style="359" customWidth="1"/>
    <col min="8456" max="8458" width="12.54296875" style="359" customWidth="1"/>
    <col min="8459" max="8459" width="12.81640625" style="359" customWidth="1"/>
    <col min="8460" max="8460" width="12.1796875" style="359" customWidth="1"/>
    <col min="8461" max="8461" width="12.54296875" style="359" customWidth="1"/>
    <col min="8462" max="8462" width="10.7265625" style="359" customWidth="1"/>
    <col min="8463" max="8463" width="16.26953125" style="359" customWidth="1"/>
    <col min="8464" max="8704" width="14.7265625" style="359"/>
    <col min="8705" max="8705" width="6" style="359" customWidth="1"/>
    <col min="8706" max="8706" width="39.81640625" style="359" customWidth="1"/>
    <col min="8707" max="8707" width="15.26953125" style="359" customWidth="1"/>
    <col min="8708" max="8708" width="13.7265625" style="359" customWidth="1"/>
    <col min="8709" max="8710" width="12.54296875" style="359" customWidth="1"/>
    <col min="8711" max="8711" width="13.1796875" style="359" customWidth="1"/>
    <col min="8712" max="8714" width="12.54296875" style="359" customWidth="1"/>
    <col min="8715" max="8715" width="12.81640625" style="359" customWidth="1"/>
    <col min="8716" max="8716" width="12.1796875" style="359" customWidth="1"/>
    <col min="8717" max="8717" width="12.54296875" style="359" customWidth="1"/>
    <col min="8718" max="8718" width="10.7265625" style="359" customWidth="1"/>
    <col min="8719" max="8719" width="16.26953125" style="359" customWidth="1"/>
    <col min="8720" max="8960" width="14.7265625" style="359"/>
    <col min="8961" max="8961" width="6" style="359" customWidth="1"/>
    <col min="8962" max="8962" width="39.81640625" style="359" customWidth="1"/>
    <col min="8963" max="8963" width="15.26953125" style="359" customWidth="1"/>
    <col min="8964" max="8964" width="13.7265625" style="359" customWidth="1"/>
    <col min="8965" max="8966" width="12.54296875" style="359" customWidth="1"/>
    <col min="8967" max="8967" width="13.1796875" style="359" customWidth="1"/>
    <col min="8968" max="8970" width="12.54296875" style="359" customWidth="1"/>
    <col min="8971" max="8971" width="12.81640625" style="359" customWidth="1"/>
    <col min="8972" max="8972" width="12.1796875" style="359" customWidth="1"/>
    <col min="8973" max="8973" width="12.54296875" style="359" customWidth="1"/>
    <col min="8974" max="8974" width="10.7265625" style="359" customWidth="1"/>
    <col min="8975" max="8975" width="16.26953125" style="359" customWidth="1"/>
    <col min="8976" max="9216" width="14.7265625" style="359"/>
    <col min="9217" max="9217" width="6" style="359" customWidth="1"/>
    <col min="9218" max="9218" width="39.81640625" style="359" customWidth="1"/>
    <col min="9219" max="9219" width="15.26953125" style="359" customWidth="1"/>
    <col min="9220" max="9220" width="13.7265625" style="359" customWidth="1"/>
    <col min="9221" max="9222" width="12.54296875" style="359" customWidth="1"/>
    <col min="9223" max="9223" width="13.1796875" style="359" customWidth="1"/>
    <col min="9224" max="9226" width="12.54296875" style="359" customWidth="1"/>
    <col min="9227" max="9227" width="12.81640625" style="359" customWidth="1"/>
    <col min="9228" max="9228" width="12.1796875" style="359" customWidth="1"/>
    <col min="9229" max="9229" width="12.54296875" style="359" customWidth="1"/>
    <col min="9230" max="9230" width="10.7265625" style="359" customWidth="1"/>
    <col min="9231" max="9231" width="16.26953125" style="359" customWidth="1"/>
    <col min="9232" max="9472" width="14.7265625" style="359"/>
    <col min="9473" max="9473" width="6" style="359" customWidth="1"/>
    <col min="9474" max="9474" width="39.81640625" style="359" customWidth="1"/>
    <col min="9475" max="9475" width="15.26953125" style="359" customWidth="1"/>
    <col min="9476" max="9476" width="13.7265625" style="359" customWidth="1"/>
    <col min="9477" max="9478" width="12.54296875" style="359" customWidth="1"/>
    <col min="9479" max="9479" width="13.1796875" style="359" customWidth="1"/>
    <col min="9480" max="9482" width="12.54296875" style="359" customWidth="1"/>
    <col min="9483" max="9483" width="12.81640625" style="359" customWidth="1"/>
    <col min="9484" max="9484" width="12.1796875" style="359" customWidth="1"/>
    <col min="9485" max="9485" width="12.54296875" style="359" customWidth="1"/>
    <col min="9486" max="9486" width="10.7265625" style="359" customWidth="1"/>
    <col min="9487" max="9487" width="16.26953125" style="359" customWidth="1"/>
    <col min="9488" max="9728" width="14.7265625" style="359"/>
    <col min="9729" max="9729" width="6" style="359" customWidth="1"/>
    <col min="9730" max="9730" width="39.81640625" style="359" customWidth="1"/>
    <col min="9731" max="9731" width="15.26953125" style="359" customWidth="1"/>
    <col min="9732" max="9732" width="13.7265625" style="359" customWidth="1"/>
    <col min="9733" max="9734" width="12.54296875" style="359" customWidth="1"/>
    <col min="9735" max="9735" width="13.1796875" style="359" customWidth="1"/>
    <col min="9736" max="9738" width="12.54296875" style="359" customWidth="1"/>
    <col min="9739" max="9739" width="12.81640625" style="359" customWidth="1"/>
    <col min="9740" max="9740" width="12.1796875" style="359" customWidth="1"/>
    <col min="9741" max="9741" width="12.54296875" style="359" customWidth="1"/>
    <col min="9742" max="9742" width="10.7265625" style="359" customWidth="1"/>
    <col min="9743" max="9743" width="16.26953125" style="359" customWidth="1"/>
    <col min="9744" max="9984" width="14.7265625" style="359"/>
    <col min="9985" max="9985" width="6" style="359" customWidth="1"/>
    <col min="9986" max="9986" width="39.81640625" style="359" customWidth="1"/>
    <col min="9987" max="9987" width="15.26953125" style="359" customWidth="1"/>
    <col min="9988" max="9988" width="13.7265625" style="359" customWidth="1"/>
    <col min="9989" max="9990" width="12.54296875" style="359" customWidth="1"/>
    <col min="9991" max="9991" width="13.1796875" style="359" customWidth="1"/>
    <col min="9992" max="9994" width="12.54296875" style="359" customWidth="1"/>
    <col min="9995" max="9995" width="12.81640625" style="359" customWidth="1"/>
    <col min="9996" max="9996" width="12.1796875" style="359" customWidth="1"/>
    <col min="9997" max="9997" width="12.54296875" style="359" customWidth="1"/>
    <col min="9998" max="9998" width="10.7265625" style="359" customWidth="1"/>
    <col min="9999" max="9999" width="16.26953125" style="359" customWidth="1"/>
    <col min="10000" max="10240" width="14.7265625" style="359"/>
    <col min="10241" max="10241" width="6" style="359" customWidth="1"/>
    <col min="10242" max="10242" width="39.81640625" style="359" customWidth="1"/>
    <col min="10243" max="10243" width="15.26953125" style="359" customWidth="1"/>
    <col min="10244" max="10244" width="13.7265625" style="359" customWidth="1"/>
    <col min="10245" max="10246" width="12.54296875" style="359" customWidth="1"/>
    <col min="10247" max="10247" width="13.1796875" style="359" customWidth="1"/>
    <col min="10248" max="10250" width="12.54296875" style="359" customWidth="1"/>
    <col min="10251" max="10251" width="12.81640625" style="359" customWidth="1"/>
    <col min="10252" max="10252" width="12.1796875" style="359" customWidth="1"/>
    <col min="10253" max="10253" width="12.54296875" style="359" customWidth="1"/>
    <col min="10254" max="10254" width="10.7265625" style="359" customWidth="1"/>
    <col min="10255" max="10255" width="16.26953125" style="359" customWidth="1"/>
    <col min="10256" max="10496" width="14.7265625" style="359"/>
    <col min="10497" max="10497" width="6" style="359" customWidth="1"/>
    <col min="10498" max="10498" width="39.81640625" style="359" customWidth="1"/>
    <col min="10499" max="10499" width="15.26953125" style="359" customWidth="1"/>
    <col min="10500" max="10500" width="13.7265625" style="359" customWidth="1"/>
    <col min="10501" max="10502" width="12.54296875" style="359" customWidth="1"/>
    <col min="10503" max="10503" width="13.1796875" style="359" customWidth="1"/>
    <col min="10504" max="10506" width="12.54296875" style="359" customWidth="1"/>
    <col min="10507" max="10507" width="12.81640625" style="359" customWidth="1"/>
    <col min="10508" max="10508" width="12.1796875" style="359" customWidth="1"/>
    <col min="10509" max="10509" width="12.54296875" style="359" customWidth="1"/>
    <col min="10510" max="10510" width="10.7265625" style="359" customWidth="1"/>
    <col min="10511" max="10511" width="16.26953125" style="359" customWidth="1"/>
    <col min="10512" max="10752" width="14.7265625" style="359"/>
    <col min="10753" max="10753" width="6" style="359" customWidth="1"/>
    <col min="10754" max="10754" width="39.81640625" style="359" customWidth="1"/>
    <col min="10755" max="10755" width="15.26953125" style="359" customWidth="1"/>
    <col min="10756" max="10756" width="13.7265625" style="359" customWidth="1"/>
    <col min="10757" max="10758" width="12.54296875" style="359" customWidth="1"/>
    <col min="10759" max="10759" width="13.1796875" style="359" customWidth="1"/>
    <col min="10760" max="10762" width="12.54296875" style="359" customWidth="1"/>
    <col min="10763" max="10763" width="12.81640625" style="359" customWidth="1"/>
    <col min="10764" max="10764" width="12.1796875" style="359" customWidth="1"/>
    <col min="10765" max="10765" width="12.54296875" style="359" customWidth="1"/>
    <col min="10766" max="10766" width="10.7265625" style="359" customWidth="1"/>
    <col min="10767" max="10767" width="16.26953125" style="359" customWidth="1"/>
    <col min="10768" max="11008" width="14.7265625" style="359"/>
    <col min="11009" max="11009" width="6" style="359" customWidth="1"/>
    <col min="11010" max="11010" width="39.81640625" style="359" customWidth="1"/>
    <col min="11011" max="11011" width="15.26953125" style="359" customWidth="1"/>
    <col min="11012" max="11012" width="13.7265625" style="359" customWidth="1"/>
    <col min="11013" max="11014" width="12.54296875" style="359" customWidth="1"/>
    <col min="11015" max="11015" width="13.1796875" style="359" customWidth="1"/>
    <col min="11016" max="11018" width="12.54296875" style="359" customWidth="1"/>
    <col min="11019" max="11019" width="12.81640625" style="359" customWidth="1"/>
    <col min="11020" max="11020" width="12.1796875" style="359" customWidth="1"/>
    <col min="11021" max="11021" width="12.54296875" style="359" customWidth="1"/>
    <col min="11022" max="11022" width="10.7265625" style="359" customWidth="1"/>
    <col min="11023" max="11023" width="16.26953125" style="359" customWidth="1"/>
    <col min="11024" max="11264" width="14.7265625" style="359"/>
    <col min="11265" max="11265" width="6" style="359" customWidth="1"/>
    <col min="11266" max="11266" width="39.81640625" style="359" customWidth="1"/>
    <col min="11267" max="11267" width="15.26953125" style="359" customWidth="1"/>
    <col min="11268" max="11268" width="13.7265625" style="359" customWidth="1"/>
    <col min="11269" max="11270" width="12.54296875" style="359" customWidth="1"/>
    <col min="11271" max="11271" width="13.1796875" style="359" customWidth="1"/>
    <col min="11272" max="11274" width="12.54296875" style="359" customWidth="1"/>
    <col min="11275" max="11275" width="12.81640625" style="359" customWidth="1"/>
    <col min="11276" max="11276" width="12.1796875" style="359" customWidth="1"/>
    <col min="11277" max="11277" width="12.54296875" style="359" customWidth="1"/>
    <col min="11278" max="11278" width="10.7265625" style="359" customWidth="1"/>
    <col min="11279" max="11279" width="16.26953125" style="359" customWidth="1"/>
    <col min="11280" max="11520" width="14.7265625" style="359"/>
    <col min="11521" max="11521" width="6" style="359" customWidth="1"/>
    <col min="11522" max="11522" width="39.81640625" style="359" customWidth="1"/>
    <col min="11523" max="11523" width="15.26953125" style="359" customWidth="1"/>
    <col min="11524" max="11524" width="13.7265625" style="359" customWidth="1"/>
    <col min="11525" max="11526" width="12.54296875" style="359" customWidth="1"/>
    <col min="11527" max="11527" width="13.1796875" style="359" customWidth="1"/>
    <col min="11528" max="11530" width="12.54296875" style="359" customWidth="1"/>
    <col min="11531" max="11531" width="12.81640625" style="359" customWidth="1"/>
    <col min="11532" max="11532" width="12.1796875" style="359" customWidth="1"/>
    <col min="11533" max="11533" width="12.54296875" style="359" customWidth="1"/>
    <col min="11534" max="11534" width="10.7265625" style="359" customWidth="1"/>
    <col min="11535" max="11535" width="16.26953125" style="359" customWidth="1"/>
    <col min="11536" max="11776" width="14.7265625" style="359"/>
    <col min="11777" max="11777" width="6" style="359" customWidth="1"/>
    <col min="11778" max="11778" width="39.81640625" style="359" customWidth="1"/>
    <col min="11779" max="11779" width="15.26953125" style="359" customWidth="1"/>
    <col min="11780" max="11780" width="13.7265625" style="359" customWidth="1"/>
    <col min="11781" max="11782" width="12.54296875" style="359" customWidth="1"/>
    <col min="11783" max="11783" width="13.1796875" style="359" customWidth="1"/>
    <col min="11784" max="11786" width="12.54296875" style="359" customWidth="1"/>
    <col min="11787" max="11787" width="12.81640625" style="359" customWidth="1"/>
    <col min="11788" max="11788" width="12.1796875" style="359" customWidth="1"/>
    <col min="11789" max="11789" width="12.54296875" style="359" customWidth="1"/>
    <col min="11790" max="11790" width="10.7265625" style="359" customWidth="1"/>
    <col min="11791" max="11791" width="16.26953125" style="359" customWidth="1"/>
    <col min="11792" max="12032" width="14.7265625" style="359"/>
    <col min="12033" max="12033" width="6" style="359" customWidth="1"/>
    <col min="12034" max="12034" width="39.81640625" style="359" customWidth="1"/>
    <col min="12035" max="12035" width="15.26953125" style="359" customWidth="1"/>
    <col min="12036" max="12036" width="13.7265625" style="359" customWidth="1"/>
    <col min="12037" max="12038" width="12.54296875" style="359" customWidth="1"/>
    <col min="12039" max="12039" width="13.1796875" style="359" customWidth="1"/>
    <col min="12040" max="12042" width="12.54296875" style="359" customWidth="1"/>
    <col min="12043" max="12043" width="12.81640625" style="359" customWidth="1"/>
    <col min="12044" max="12044" width="12.1796875" style="359" customWidth="1"/>
    <col min="12045" max="12045" width="12.54296875" style="359" customWidth="1"/>
    <col min="12046" max="12046" width="10.7265625" style="359" customWidth="1"/>
    <col min="12047" max="12047" width="16.26953125" style="359" customWidth="1"/>
    <col min="12048" max="12288" width="14.7265625" style="359"/>
    <col min="12289" max="12289" width="6" style="359" customWidth="1"/>
    <col min="12290" max="12290" width="39.81640625" style="359" customWidth="1"/>
    <col min="12291" max="12291" width="15.26953125" style="359" customWidth="1"/>
    <col min="12292" max="12292" width="13.7265625" style="359" customWidth="1"/>
    <col min="12293" max="12294" width="12.54296875" style="359" customWidth="1"/>
    <col min="12295" max="12295" width="13.1796875" style="359" customWidth="1"/>
    <col min="12296" max="12298" width="12.54296875" style="359" customWidth="1"/>
    <col min="12299" max="12299" width="12.81640625" style="359" customWidth="1"/>
    <col min="12300" max="12300" width="12.1796875" style="359" customWidth="1"/>
    <col min="12301" max="12301" width="12.54296875" style="359" customWidth="1"/>
    <col min="12302" max="12302" width="10.7265625" style="359" customWidth="1"/>
    <col min="12303" max="12303" width="16.26953125" style="359" customWidth="1"/>
    <col min="12304" max="12544" width="14.7265625" style="359"/>
    <col min="12545" max="12545" width="6" style="359" customWidth="1"/>
    <col min="12546" max="12546" width="39.81640625" style="359" customWidth="1"/>
    <col min="12547" max="12547" width="15.26953125" style="359" customWidth="1"/>
    <col min="12548" max="12548" width="13.7265625" style="359" customWidth="1"/>
    <col min="12549" max="12550" width="12.54296875" style="359" customWidth="1"/>
    <col min="12551" max="12551" width="13.1796875" style="359" customWidth="1"/>
    <col min="12552" max="12554" width="12.54296875" style="359" customWidth="1"/>
    <col min="12555" max="12555" width="12.81640625" style="359" customWidth="1"/>
    <col min="12556" max="12556" width="12.1796875" style="359" customWidth="1"/>
    <col min="12557" max="12557" width="12.54296875" style="359" customWidth="1"/>
    <col min="12558" max="12558" width="10.7265625" style="359" customWidth="1"/>
    <col min="12559" max="12559" width="16.26953125" style="359" customWidth="1"/>
    <col min="12560" max="12800" width="14.7265625" style="359"/>
    <col min="12801" max="12801" width="6" style="359" customWidth="1"/>
    <col min="12802" max="12802" width="39.81640625" style="359" customWidth="1"/>
    <col min="12803" max="12803" width="15.26953125" style="359" customWidth="1"/>
    <col min="12804" max="12804" width="13.7265625" style="359" customWidth="1"/>
    <col min="12805" max="12806" width="12.54296875" style="359" customWidth="1"/>
    <col min="12807" max="12807" width="13.1796875" style="359" customWidth="1"/>
    <col min="12808" max="12810" width="12.54296875" style="359" customWidth="1"/>
    <col min="12811" max="12811" width="12.81640625" style="359" customWidth="1"/>
    <col min="12812" max="12812" width="12.1796875" style="359" customWidth="1"/>
    <col min="12813" max="12813" width="12.54296875" style="359" customWidth="1"/>
    <col min="12814" max="12814" width="10.7265625" style="359" customWidth="1"/>
    <col min="12815" max="12815" width="16.26953125" style="359" customWidth="1"/>
    <col min="12816" max="13056" width="14.7265625" style="359"/>
    <col min="13057" max="13057" width="6" style="359" customWidth="1"/>
    <col min="13058" max="13058" width="39.81640625" style="359" customWidth="1"/>
    <col min="13059" max="13059" width="15.26953125" style="359" customWidth="1"/>
    <col min="13060" max="13060" width="13.7265625" style="359" customWidth="1"/>
    <col min="13061" max="13062" width="12.54296875" style="359" customWidth="1"/>
    <col min="13063" max="13063" width="13.1796875" style="359" customWidth="1"/>
    <col min="13064" max="13066" width="12.54296875" style="359" customWidth="1"/>
    <col min="13067" max="13067" width="12.81640625" style="359" customWidth="1"/>
    <col min="13068" max="13068" width="12.1796875" style="359" customWidth="1"/>
    <col min="13069" max="13069" width="12.54296875" style="359" customWidth="1"/>
    <col min="13070" max="13070" width="10.7265625" style="359" customWidth="1"/>
    <col min="13071" max="13071" width="16.26953125" style="359" customWidth="1"/>
    <col min="13072" max="13312" width="14.7265625" style="359"/>
    <col min="13313" max="13313" width="6" style="359" customWidth="1"/>
    <col min="13314" max="13314" width="39.81640625" style="359" customWidth="1"/>
    <col min="13315" max="13315" width="15.26953125" style="359" customWidth="1"/>
    <col min="13316" max="13316" width="13.7265625" style="359" customWidth="1"/>
    <col min="13317" max="13318" width="12.54296875" style="359" customWidth="1"/>
    <col min="13319" max="13319" width="13.1796875" style="359" customWidth="1"/>
    <col min="13320" max="13322" width="12.54296875" style="359" customWidth="1"/>
    <col min="13323" max="13323" width="12.81640625" style="359" customWidth="1"/>
    <col min="13324" max="13324" width="12.1796875" style="359" customWidth="1"/>
    <col min="13325" max="13325" width="12.54296875" style="359" customWidth="1"/>
    <col min="13326" max="13326" width="10.7265625" style="359" customWidth="1"/>
    <col min="13327" max="13327" width="16.26953125" style="359" customWidth="1"/>
    <col min="13328" max="13568" width="14.7265625" style="359"/>
    <col min="13569" max="13569" width="6" style="359" customWidth="1"/>
    <col min="13570" max="13570" width="39.81640625" style="359" customWidth="1"/>
    <col min="13571" max="13571" width="15.26953125" style="359" customWidth="1"/>
    <col min="13572" max="13572" width="13.7265625" style="359" customWidth="1"/>
    <col min="13573" max="13574" width="12.54296875" style="359" customWidth="1"/>
    <col min="13575" max="13575" width="13.1796875" style="359" customWidth="1"/>
    <col min="13576" max="13578" width="12.54296875" style="359" customWidth="1"/>
    <col min="13579" max="13579" width="12.81640625" style="359" customWidth="1"/>
    <col min="13580" max="13580" width="12.1796875" style="359" customWidth="1"/>
    <col min="13581" max="13581" width="12.54296875" style="359" customWidth="1"/>
    <col min="13582" max="13582" width="10.7265625" style="359" customWidth="1"/>
    <col min="13583" max="13583" width="16.26953125" style="359" customWidth="1"/>
    <col min="13584" max="13824" width="14.7265625" style="359"/>
    <col min="13825" max="13825" width="6" style="359" customWidth="1"/>
    <col min="13826" max="13826" width="39.81640625" style="359" customWidth="1"/>
    <col min="13827" max="13827" width="15.26953125" style="359" customWidth="1"/>
    <col min="13828" max="13828" width="13.7265625" style="359" customWidth="1"/>
    <col min="13829" max="13830" width="12.54296875" style="359" customWidth="1"/>
    <col min="13831" max="13831" width="13.1796875" style="359" customWidth="1"/>
    <col min="13832" max="13834" width="12.54296875" style="359" customWidth="1"/>
    <col min="13835" max="13835" width="12.81640625" style="359" customWidth="1"/>
    <col min="13836" max="13836" width="12.1796875" style="359" customWidth="1"/>
    <col min="13837" max="13837" width="12.54296875" style="359" customWidth="1"/>
    <col min="13838" max="13838" width="10.7265625" style="359" customWidth="1"/>
    <col min="13839" max="13839" width="16.26953125" style="359" customWidth="1"/>
    <col min="13840" max="14080" width="14.7265625" style="359"/>
    <col min="14081" max="14081" width="6" style="359" customWidth="1"/>
    <col min="14082" max="14082" width="39.81640625" style="359" customWidth="1"/>
    <col min="14083" max="14083" width="15.26953125" style="359" customWidth="1"/>
    <col min="14084" max="14084" width="13.7265625" style="359" customWidth="1"/>
    <col min="14085" max="14086" width="12.54296875" style="359" customWidth="1"/>
    <col min="14087" max="14087" width="13.1796875" style="359" customWidth="1"/>
    <col min="14088" max="14090" width="12.54296875" style="359" customWidth="1"/>
    <col min="14091" max="14091" width="12.81640625" style="359" customWidth="1"/>
    <col min="14092" max="14092" width="12.1796875" style="359" customWidth="1"/>
    <col min="14093" max="14093" width="12.54296875" style="359" customWidth="1"/>
    <col min="14094" max="14094" width="10.7265625" style="359" customWidth="1"/>
    <col min="14095" max="14095" width="16.26953125" style="359" customWidth="1"/>
    <col min="14096" max="14336" width="14.7265625" style="359"/>
    <col min="14337" max="14337" width="6" style="359" customWidth="1"/>
    <col min="14338" max="14338" width="39.81640625" style="359" customWidth="1"/>
    <col min="14339" max="14339" width="15.26953125" style="359" customWidth="1"/>
    <col min="14340" max="14340" width="13.7265625" style="359" customWidth="1"/>
    <col min="14341" max="14342" width="12.54296875" style="359" customWidth="1"/>
    <col min="14343" max="14343" width="13.1796875" style="359" customWidth="1"/>
    <col min="14344" max="14346" width="12.54296875" style="359" customWidth="1"/>
    <col min="14347" max="14347" width="12.81640625" style="359" customWidth="1"/>
    <col min="14348" max="14348" width="12.1796875" style="359" customWidth="1"/>
    <col min="14349" max="14349" width="12.54296875" style="359" customWidth="1"/>
    <col min="14350" max="14350" width="10.7265625" style="359" customWidth="1"/>
    <col min="14351" max="14351" width="16.26953125" style="359" customWidth="1"/>
    <col min="14352" max="14592" width="14.7265625" style="359"/>
    <col min="14593" max="14593" width="6" style="359" customWidth="1"/>
    <col min="14594" max="14594" width="39.81640625" style="359" customWidth="1"/>
    <col min="14595" max="14595" width="15.26953125" style="359" customWidth="1"/>
    <col min="14596" max="14596" width="13.7265625" style="359" customWidth="1"/>
    <col min="14597" max="14598" width="12.54296875" style="359" customWidth="1"/>
    <col min="14599" max="14599" width="13.1796875" style="359" customWidth="1"/>
    <col min="14600" max="14602" width="12.54296875" style="359" customWidth="1"/>
    <col min="14603" max="14603" width="12.81640625" style="359" customWidth="1"/>
    <col min="14604" max="14604" width="12.1796875" style="359" customWidth="1"/>
    <col min="14605" max="14605" width="12.54296875" style="359" customWidth="1"/>
    <col min="14606" max="14606" width="10.7265625" style="359" customWidth="1"/>
    <col min="14607" max="14607" width="16.26953125" style="359" customWidth="1"/>
    <col min="14608" max="14848" width="14.7265625" style="359"/>
    <col min="14849" max="14849" width="6" style="359" customWidth="1"/>
    <col min="14850" max="14850" width="39.81640625" style="359" customWidth="1"/>
    <col min="14851" max="14851" width="15.26953125" style="359" customWidth="1"/>
    <col min="14852" max="14852" width="13.7265625" style="359" customWidth="1"/>
    <col min="14853" max="14854" width="12.54296875" style="359" customWidth="1"/>
    <col min="14855" max="14855" width="13.1796875" style="359" customWidth="1"/>
    <col min="14856" max="14858" width="12.54296875" style="359" customWidth="1"/>
    <col min="14859" max="14859" width="12.81640625" style="359" customWidth="1"/>
    <col min="14860" max="14860" width="12.1796875" style="359" customWidth="1"/>
    <col min="14861" max="14861" width="12.54296875" style="359" customWidth="1"/>
    <col min="14862" max="14862" width="10.7265625" style="359" customWidth="1"/>
    <col min="14863" max="14863" width="16.26953125" style="359" customWidth="1"/>
    <col min="14864" max="15104" width="14.7265625" style="359"/>
    <col min="15105" max="15105" width="6" style="359" customWidth="1"/>
    <col min="15106" max="15106" width="39.81640625" style="359" customWidth="1"/>
    <col min="15107" max="15107" width="15.26953125" style="359" customWidth="1"/>
    <col min="15108" max="15108" width="13.7265625" style="359" customWidth="1"/>
    <col min="15109" max="15110" width="12.54296875" style="359" customWidth="1"/>
    <col min="15111" max="15111" width="13.1796875" style="359" customWidth="1"/>
    <col min="15112" max="15114" width="12.54296875" style="359" customWidth="1"/>
    <col min="15115" max="15115" width="12.81640625" style="359" customWidth="1"/>
    <col min="15116" max="15116" width="12.1796875" style="359" customWidth="1"/>
    <col min="15117" max="15117" width="12.54296875" style="359" customWidth="1"/>
    <col min="15118" max="15118" width="10.7265625" style="359" customWidth="1"/>
    <col min="15119" max="15119" width="16.26953125" style="359" customWidth="1"/>
    <col min="15120" max="15360" width="14.7265625" style="359"/>
    <col min="15361" max="15361" width="6" style="359" customWidth="1"/>
    <col min="15362" max="15362" width="39.81640625" style="359" customWidth="1"/>
    <col min="15363" max="15363" width="15.26953125" style="359" customWidth="1"/>
    <col min="15364" max="15364" width="13.7265625" style="359" customWidth="1"/>
    <col min="15365" max="15366" width="12.54296875" style="359" customWidth="1"/>
    <col min="15367" max="15367" width="13.1796875" style="359" customWidth="1"/>
    <col min="15368" max="15370" width="12.54296875" style="359" customWidth="1"/>
    <col min="15371" max="15371" width="12.81640625" style="359" customWidth="1"/>
    <col min="15372" max="15372" width="12.1796875" style="359" customWidth="1"/>
    <col min="15373" max="15373" width="12.54296875" style="359" customWidth="1"/>
    <col min="15374" max="15374" width="10.7265625" style="359" customWidth="1"/>
    <col min="15375" max="15375" width="16.26953125" style="359" customWidth="1"/>
    <col min="15376" max="15616" width="14.7265625" style="359"/>
    <col min="15617" max="15617" width="6" style="359" customWidth="1"/>
    <col min="15618" max="15618" width="39.81640625" style="359" customWidth="1"/>
    <col min="15619" max="15619" width="15.26953125" style="359" customWidth="1"/>
    <col min="15620" max="15620" width="13.7265625" style="359" customWidth="1"/>
    <col min="15621" max="15622" width="12.54296875" style="359" customWidth="1"/>
    <col min="15623" max="15623" width="13.1796875" style="359" customWidth="1"/>
    <col min="15624" max="15626" width="12.54296875" style="359" customWidth="1"/>
    <col min="15627" max="15627" width="12.81640625" style="359" customWidth="1"/>
    <col min="15628" max="15628" width="12.1796875" style="359" customWidth="1"/>
    <col min="15629" max="15629" width="12.54296875" style="359" customWidth="1"/>
    <col min="15630" max="15630" width="10.7265625" style="359" customWidth="1"/>
    <col min="15631" max="15631" width="16.26953125" style="359" customWidth="1"/>
    <col min="15632" max="15872" width="14.7265625" style="359"/>
    <col min="15873" max="15873" width="6" style="359" customWidth="1"/>
    <col min="15874" max="15874" width="39.81640625" style="359" customWidth="1"/>
    <col min="15875" max="15875" width="15.26953125" style="359" customWidth="1"/>
    <col min="15876" max="15876" width="13.7265625" style="359" customWidth="1"/>
    <col min="15877" max="15878" width="12.54296875" style="359" customWidth="1"/>
    <col min="15879" max="15879" width="13.1796875" style="359" customWidth="1"/>
    <col min="15880" max="15882" width="12.54296875" style="359" customWidth="1"/>
    <col min="15883" max="15883" width="12.81640625" style="359" customWidth="1"/>
    <col min="15884" max="15884" width="12.1796875" style="359" customWidth="1"/>
    <col min="15885" max="15885" width="12.54296875" style="359" customWidth="1"/>
    <col min="15886" max="15886" width="10.7265625" style="359" customWidth="1"/>
    <col min="15887" max="15887" width="16.26953125" style="359" customWidth="1"/>
    <col min="15888" max="16128" width="14.7265625" style="359"/>
    <col min="16129" max="16129" width="6" style="359" customWidth="1"/>
    <col min="16130" max="16130" width="39.81640625" style="359" customWidth="1"/>
    <col min="16131" max="16131" width="15.26953125" style="359" customWidth="1"/>
    <col min="16132" max="16132" width="13.7265625" style="359" customWidth="1"/>
    <col min="16133" max="16134" width="12.54296875" style="359" customWidth="1"/>
    <col min="16135" max="16135" width="13.1796875" style="359" customWidth="1"/>
    <col min="16136" max="16138" width="12.54296875" style="359" customWidth="1"/>
    <col min="16139" max="16139" width="12.81640625" style="359" customWidth="1"/>
    <col min="16140" max="16140" width="12.1796875" style="359" customWidth="1"/>
    <col min="16141" max="16141" width="12.54296875" style="359" customWidth="1"/>
    <col min="16142" max="16142" width="10.7265625" style="359" customWidth="1"/>
    <col min="16143" max="16143" width="16.26953125" style="359" customWidth="1"/>
    <col min="16144" max="16384" width="14.7265625" style="359"/>
  </cols>
  <sheetData>
    <row r="1" spans="1:21" ht="18">
      <c r="B1" s="355" t="s">
        <v>104</v>
      </c>
      <c r="C1" s="356"/>
      <c r="D1" s="356"/>
      <c r="E1" s="356"/>
      <c r="F1" s="356"/>
      <c r="G1" s="356"/>
      <c r="H1" s="356"/>
      <c r="I1" s="357" t="s">
        <v>0</v>
      </c>
      <c r="J1" s="358" t="s">
        <v>147</v>
      </c>
    </row>
    <row r="2" spans="1:21" ht="17.5">
      <c r="B2" s="359"/>
      <c r="C2" s="356"/>
      <c r="D2" s="356"/>
      <c r="E2" s="356"/>
      <c r="F2" s="356"/>
      <c r="G2" s="356"/>
      <c r="H2" s="356"/>
      <c r="I2" s="356"/>
      <c r="J2" s="356"/>
    </row>
    <row r="3" spans="1:21" s="382" customFormat="1" ht="31.5" customHeight="1">
      <c r="B3" s="1928" t="s">
        <v>154</v>
      </c>
      <c r="C3" s="1928"/>
      <c r="D3" s="1928"/>
      <c r="E3" s="1928"/>
      <c r="F3" s="1928"/>
      <c r="G3" s="1928"/>
      <c r="H3" s="1928"/>
      <c r="I3" s="1928"/>
      <c r="J3" s="1928"/>
    </row>
    <row r="4" spans="1:21" ht="18">
      <c r="B4" s="361"/>
      <c r="C4" s="356"/>
      <c r="D4" s="356"/>
      <c r="E4" s="356"/>
      <c r="F4" s="356"/>
      <c r="G4" s="356"/>
      <c r="H4" s="356"/>
      <c r="I4" s="356"/>
      <c r="J4" s="356"/>
    </row>
    <row r="5" spans="1:21" ht="18">
      <c r="A5" s="374" t="s">
        <v>107</v>
      </c>
      <c r="B5" s="384" t="s">
        <v>149</v>
      </c>
      <c r="C5" s="360" t="s">
        <v>109</v>
      </c>
      <c r="D5" s="356"/>
      <c r="F5" s="356"/>
      <c r="G5" s="356"/>
      <c r="H5" s="356"/>
      <c r="I5" s="356"/>
      <c r="J5" s="356"/>
    </row>
    <row r="6" spans="1:21" ht="18.5" thickBot="1">
      <c r="B6" s="356"/>
      <c r="C6" s="361"/>
      <c r="D6" s="356"/>
      <c r="E6" s="1930" t="s">
        <v>110</v>
      </c>
      <c r="F6" s="1930"/>
      <c r="G6" s="1930"/>
      <c r="H6" s="356"/>
      <c r="I6" s="356"/>
      <c r="J6" s="356"/>
    </row>
    <row r="7" spans="1:21" ht="18">
      <c r="A7" s="1909" t="s">
        <v>2035</v>
      </c>
      <c r="B7" s="1911" t="s">
        <v>112</v>
      </c>
      <c r="C7" s="1911" t="s">
        <v>113</v>
      </c>
      <c r="D7" s="1913" t="s">
        <v>114</v>
      </c>
      <c r="E7" s="769" t="s">
        <v>115</v>
      </c>
      <c r="F7" s="741"/>
      <c r="G7" s="741"/>
      <c r="H7" s="742"/>
      <c r="I7" s="763"/>
      <c r="J7" s="742"/>
    </row>
    <row r="8" spans="1:21" s="367" customFormat="1" ht="72" customHeight="1" thickBot="1">
      <c r="A8" s="1910"/>
      <c r="B8" s="1912"/>
      <c r="C8" s="1912"/>
      <c r="D8" s="1914"/>
      <c r="E8" s="770" t="s">
        <v>58</v>
      </c>
      <c r="F8" s="757" t="s">
        <v>150</v>
      </c>
      <c r="G8" s="757" t="s">
        <v>151</v>
      </c>
      <c r="H8" s="758" t="s">
        <v>121</v>
      </c>
      <c r="I8" s="764" t="s">
        <v>122</v>
      </c>
      <c r="J8" s="758" t="s">
        <v>123</v>
      </c>
    </row>
    <row r="9" spans="1:21" ht="17.5">
      <c r="A9" s="752"/>
      <c r="B9" s="753" t="s">
        <v>124</v>
      </c>
      <c r="C9" s="754"/>
      <c r="D9" s="759"/>
      <c r="E9" s="771"/>
      <c r="F9" s="754"/>
      <c r="G9" s="754"/>
      <c r="H9" s="772"/>
      <c r="I9" s="806"/>
      <c r="J9" s="756"/>
    </row>
    <row r="10" spans="1:21" ht="17.5">
      <c r="A10" s="743">
        <v>1</v>
      </c>
      <c r="B10" s="369" t="s">
        <v>125</v>
      </c>
      <c r="C10" s="365">
        <v>30363</v>
      </c>
      <c r="D10" s="760">
        <v>22374.576799999973</v>
      </c>
      <c r="E10" s="809">
        <v>6.5356016645276078</v>
      </c>
      <c r="F10" s="370">
        <v>4.2002070335248032</v>
      </c>
      <c r="G10" s="370">
        <v>2.8035312594175239</v>
      </c>
      <c r="H10" s="774">
        <f>E10+F10+G10</f>
        <v>13.539339957469934</v>
      </c>
      <c r="I10" s="1139">
        <v>955.27327106018652</v>
      </c>
      <c r="J10" s="744"/>
      <c r="K10" s="386"/>
      <c r="L10" s="376"/>
      <c r="M10" s="386"/>
      <c r="N10" s="386"/>
      <c r="P10" s="386"/>
      <c r="Q10" s="386"/>
      <c r="R10" s="386"/>
      <c r="S10" s="386"/>
      <c r="T10" s="386"/>
      <c r="U10" s="386"/>
    </row>
    <row r="11" spans="1:21" ht="17.5">
      <c r="A11" s="743">
        <v>2</v>
      </c>
      <c r="B11" s="369" t="s">
        <v>126</v>
      </c>
      <c r="C11" s="365">
        <v>10199</v>
      </c>
      <c r="D11" s="760">
        <v>18637.392599999977</v>
      </c>
      <c r="E11" s="809">
        <v>2.5440051363325087</v>
      </c>
      <c r="F11" s="370">
        <v>2.5636345732473025</v>
      </c>
      <c r="G11" s="370">
        <v>2.5676083905896987</v>
      </c>
      <c r="H11" s="774">
        <f>E11+F11+G11</f>
        <v>7.6752481001695099</v>
      </c>
      <c r="I11" s="1139">
        <v>552.73349191887996</v>
      </c>
      <c r="J11" s="744"/>
      <c r="K11" s="386"/>
      <c r="L11" s="376"/>
      <c r="M11" s="386"/>
      <c r="N11" s="386"/>
      <c r="P11" s="386"/>
      <c r="Q11" s="386"/>
      <c r="R11" s="386"/>
      <c r="S11" s="386"/>
      <c r="T11" s="386"/>
      <c r="U11" s="386"/>
    </row>
    <row r="12" spans="1:21" ht="17.5">
      <c r="A12" s="743">
        <v>3</v>
      </c>
      <c r="B12" s="369" t="s">
        <v>127</v>
      </c>
      <c r="C12" s="365">
        <v>5281</v>
      </c>
      <c r="D12" s="760">
        <v>15051.748000000003</v>
      </c>
      <c r="E12" s="809">
        <v>1.5177557324879298</v>
      </c>
      <c r="F12" s="370">
        <v>1.8877399855415944</v>
      </c>
      <c r="G12" s="370">
        <v>2.5790157970745446</v>
      </c>
      <c r="H12" s="774">
        <f>E12+F12+G12</f>
        <v>5.9845115151040691</v>
      </c>
      <c r="I12" s="1139">
        <v>440.41217675590661</v>
      </c>
      <c r="J12" s="744"/>
      <c r="K12" s="386"/>
      <c r="L12" s="376"/>
      <c r="M12" s="386"/>
      <c r="N12" s="386"/>
      <c r="P12" s="386"/>
      <c r="Q12" s="386"/>
      <c r="R12" s="386"/>
      <c r="S12" s="386"/>
      <c r="T12" s="386"/>
      <c r="U12" s="386"/>
    </row>
    <row r="13" spans="1:21" ht="17.5">
      <c r="A13" s="743">
        <v>4</v>
      </c>
      <c r="B13" s="369">
        <v>4</v>
      </c>
      <c r="C13" s="365">
        <v>2046</v>
      </c>
      <c r="D13" s="760">
        <v>7902.6949600000025</v>
      </c>
      <c r="E13" s="809">
        <v>0.59371871165483003</v>
      </c>
      <c r="F13" s="370">
        <v>0.88124337527598828</v>
      </c>
      <c r="G13" s="370">
        <v>1.596419702455494</v>
      </c>
      <c r="H13" s="774">
        <f>E13+F13+G13</f>
        <v>3.0713817893863125</v>
      </c>
      <c r="I13" s="1139">
        <v>228.7731390896424</v>
      </c>
      <c r="J13" s="744"/>
      <c r="K13" s="386"/>
      <c r="L13" s="376"/>
      <c r="M13" s="386"/>
      <c r="N13" s="386"/>
      <c r="P13" s="386"/>
      <c r="Q13" s="386"/>
      <c r="R13" s="386"/>
      <c r="S13" s="386"/>
      <c r="T13" s="386"/>
      <c r="U13" s="386"/>
    </row>
    <row r="14" spans="1:21" ht="17.5">
      <c r="A14" s="743">
        <v>5</v>
      </c>
      <c r="B14" s="372" t="s">
        <v>128</v>
      </c>
      <c r="C14" s="365">
        <v>8231</v>
      </c>
      <c r="D14" s="760">
        <v>112130.2169999999</v>
      </c>
      <c r="E14" s="809">
        <v>2.5068381410178451</v>
      </c>
      <c r="F14" s="370">
        <v>5.4642861590662228</v>
      </c>
      <c r="G14" s="370">
        <v>99.480146708497372</v>
      </c>
      <c r="H14" s="774">
        <f>E14+F14+G14</f>
        <v>107.45127100858144</v>
      </c>
      <c r="I14" s="1139">
        <v>8147.6015931204465</v>
      </c>
      <c r="J14" s="744">
        <v>9282.0369152631847</v>
      </c>
      <c r="K14" s="386"/>
      <c r="L14" s="376"/>
      <c r="M14" s="386"/>
      <c r="N14" s="386"/>
      <c r="P14" s="386"/>
      <c r="Q14" s="386"/>
      <c r="R14" s="386"/>
      <c r="S14" s="386"/>
      <c r="T14" s="386"/>
      <c r="U14" s="386"/>
    </row>
    <row r="15" spans="1:21" ht="18">
      <c r="A15" s="801">
        <v>6</v>
      </c>
      <c r="B15" s="375" t="s">
        <v>129</v>
      </c>
      <c r="C15" s="366">
        <f>SUM(C10:C14)</f>
        <v>56120</v>
      </c>
      <c r="D15" s="761">
        <f t="shared" ref="D15:J15" si="0">SUM(D10:D14)</f>
        <v>176096.62935999985</v>
      </c>
      <c r="E15" s="781">
        <f t="shared" si="0"/>
        <v>13.69791938602072</v>
      </c>
      <c r="F15" s="669">
        <f t="shared" si="0"/>
        <v>14.997111126655911</v>
      </c>
      <c r="G15" s="669">
        <f t="shared" si="0"/>
        <v>109.02672185803463</v>
      </c>
      <c r="H15" s="775">
        <f t="shared" si="0"/>
        <v>137.72175237071127</v>
      </c>
      <c r="I15" s="807">
        <f t="shared" si="0"/>
        <v>10324.793671945063</v>
      </c>
      <c r="J15" s="745">
        <f t="shared" si="0"/>
        <v>9282.0369152631847</v>
      </c>
      <c r="L15" s="376"/>
      <c r="M15" s="386"/>
      <c r="N15" s="386"/>
    </row>
    <row r="16" spans="1:21" ht="35">
      <c r="A16" s="743">
        <v>7</v>
      </c>
      <c r="B16" s="385" t="s">
        <v>152</v>
      </c>
      <c r="C16" s="365">
        <v>204</v>
      </c>
      <c r="D16" s="760">
        <v>59053.442000000003</v>
      </c>
      <c r="E16" s="809"/>
      <c r="F16" s="370"/>
      <c r="G16" s="370"/>
      <c r="H16" s="774">
        <v>70.339985120232015</v>
      </c>
      <c r="I16" s="1139">
        <v>5160.8489202319352</v>
      </c>
      <c r="J16" s="744">
        <v>4969.6217120360006</v>
      </c>
      <c r="L16" s="386"/>
      <c r="M16" s="386"/>
      <c r="N16" s="386"/>
    </row>
    <row r="17" spans="1:21" ht="18.5" thickBot="1">
      <c r="A17" s="786">
        <v>8</v>
      </c>
      <c r="B17" s="747" t="s">
        <v>129</v>
      </c>
      <c r="C17" s="748">
        <f>C16</f>
        <v>204</v>
      </c>
      <c r="D17" s="762">
        <f t="shared" ref="D17:J17" si="1">D16</f>
        <v>59053.442000000003</v>
      </c>
      <c r="E17" s="784">
        <f t="shared" si="1"/>
        <v>0</v>
      </c>
      <c r="F17" s="749">
        <f t="shared" si="1"/>
        <v>0</v>
      </c>
      <c r="G17" s="749">
        <f t="shared" si="1"/>
        <v>0</v>
      </c>
      <c r="H17" s="777">
        <f t="shared" si="1"/>
        <v>70.339985120232015</v>
      </c>
      <c r="I17" s="808">
        <f t="shared" si="1"/>
        <v>5160.8489202319352</v>
      </c>
      <c r="J17" s="751">
        <f t="shared" si="1"/>
        <v>4969.6217120360006</v>
      </c>
    </row>
    <row r="18" spans="1:21" ht="18.5" thickBot="1">
      <c r="A18" s="820">
        <v>9</v>
      </c>
      <c r="B18" s="821" t="s">
        <v>134</v>
      </c>
      <c r="C18" s="822">
        <f>C15+C17</f>
        <v>56324</v>
      </c>
      <c r="D18" s="824">
        <f>D15</f>
        <v>176096.62935999985</v>
      </c>
      <c r="E18" s="826">
        <f t="shared" ref="E18:J18" si="2">E15+E17</f>
        <v>13.69791938602072</v>
      </c>
      <c r="F18" s="827">
        <f t="shared" si="2"/>
        <v>14.997111126655911</v>
      </c>
      <c r="G18" s="827">
        <f t="shared" si="2"/>
        <v>109.02672185803463</v>
      </c>
      <c r="H18" s="828">
        <f>H15</f>
        <v>137.72175237071127</v>
      </c>
      <c r="I18" s="825">
        <f>I15</f>
        <v>10324.793671945063</v>
      </c>
      <c r="J18" s="823">
        <f t="shared" si="2"/>
        <v>14251.658627299184</v>
      </c>
      <c r="P18" s="386"/>
      <c r="Q18" s="386"/>
      <c r="R18" s="386"/>
    </row>
    <row r="19" spans="1:21" ht="17.5">
      <c r="B19" s="373"/>
      <c r="C19" s="673"/>
      <c r="D19" s="673"/>
      <c r="E19" s="673"/>
      <c r="F19" s="673"/>
      <c r="G19" s="673"/>
      <c r="H19" s="673"/>
      <c r="I19" s="673"/>
      <c r="J19" s="673"/>
    </row>
    <row r="20" spans="1:21" ht="18">
      <c r="A20" s="374" t="s">
        <v>135</v>
      </c>
      <c r="B20" s="384" t="s">
        <v>149</v>
      </c>
      <c r="C20" s="360" t="s">
        <v>136</v>
      </c>
      <c r="D20" s="356"/>
      <c r="F20" s="356"/>
      <c r="G20" s="356"/>
      <c r="H20" s="356"/>
      <c r="I20" s="356"/>
      <c r="J20" s="356"/>
    </row>
    <row r="21" spans="1:21" ht="18.5" thickBot="1">
      <c r="B21" s="373"/>
      <c r="C21" s="361"/>
      <c r="D21" s="356"/>
      <c r="E21" s="1930" t="s">
        <v>110</v>
      </c>
      <c r="F21" s="1930"/>
      <c r="G21" s="1930"/>
      <c r="H21" s="356"/>
      <c r="I21" s="356"/>
      <c r="J21" s="356"/>
    </row>
    <row r="22" spans="1:21" ht="18">
      <c r="A22" s="1909" t="s">
        <v>2035</v>
      </c>
      <c r="B22" s="1911" t="s">
        <v>112</v>
      </c>
      <c r="C22" s="1911" t="s">
        <v>113</v>
      </c>
      <c r="D22" s="1913" t="s">
        <v>114</v>
      </c>
      <c r="E22" s="769" t="s">
        <v>115</v>
      </c>
      <c r="F22" s="741"/>
      <c r="G22" s="741"/>
      <c r="H22" s="742"/>
      <c r="I22" s="763"/>
      <c r="J22" s="742"/>
    </row>
    <row r="23" spans="1:21" s="367" customFormat="1" ht="71.25" customHeight="1" thickBot="1">
      <c r="A23" s="1910"/>
      <c r="B23" s="1912"/>
      <c r="C23" s="1912"/>
      <c r="D23" s="1914"/>
      <c r="E23" s="770" t="s">
        <v>58</v>
      </c>
      <c r="F23" s="757" t="s">
        <v>150</v>
      </c>
      <c r="G23" s="757" t="s">
        <v>151</v>
      </c>
      <c r="H23" s="758" t="s">
        <v>121</v>
      </c>
      <c r="I23" s="764" t="s">
        <v>122</v>
      </c>
      <c r="J23" s="758" t="s">
        <v>123</v>
      </c>
    </row>
    <row r="24" spans="1:21" ht="17.5">
      <c r="A24" s="752"/>
      <c r="B24" s="753" t="s">
        <v>124</v>
      </c>
      <c r="C24" s="754"/>
      <c r="D24" s="759"/>
      <c r="E24" s="771"/>
      <c r="F24" s="754"/>
      <c r="G24" s="754"/>
      <c r="H24" s="772"/>
      <c r="I24" s="806"/>
      <c r="J24" s="756"/>
    </row>
    <row r="25" spans="1:21" ht="17.5">
      <c r="A25" s="743">
        <v>1</v>
      </c>
      <c r="B25" s="369" t="s">
        <v>125</v>
      </c>
      <c r="C25" s="365">
        <v>23963</v>
      </c>
      <c r="D25" s="760">
        <v>19688.807999999954</v>
      </c>
      <c r="E25" s="809">
        <v>5.7719278334512287</v>
      </c>
      <c r="F25" s="370">
        <v>4.0624123079103489</v>
      </c>
      <c r="G25" s="370">
        <v>2.9567799059627826</v>
      </c>
      <c r="H25" s="774">
        <f>E25+F25+G25</f>
        <v>12.791120047324361</v>
      </c>
      <c r="I25" s="1139">
        <v>956.64864212399698</v>
      </c>
      <c r="J25" s="744"/>
      <c r="K25" s="386"/>
      <c r="L25" s="376"/>
      <c r="M25" s="386"/>
      <c r="N25" s="386"/>
      <c r="P25" s="386"/>
      <c r="Q25" s="386"/>
      <c r="R25" s="386"/>
      <c r="S25" s="386"/>
      <c r="T25" s="386"/>
      <c r="U25" s="386"/>
    </row>
    <row r="26" spans="1:21" ht="17.5">
      <c r="A26" s="743">
        <v>2</v>
      </c>
      <c r="B26" s="369" t="s">
        <v>126</v>
      </c>
      <c r="C26" s="365">
        <v>8966</v>
      </c>
      <c r="D26" s="760">
        <v>16493.805</v>
      </c>
      <c r="E26" s="809">
        <v>2.3131916511265049</v>
      </c>
      <c r="F26" s="370">
        <v>2.4371991641208148</v>
      </c>
      <c r="G26" s="370">
        <v>2.8461994612132755</v>
      </c>
      <c r="H26" s="774">
        <f>E26+F26+G26</f>
        <v>7.5965902764605957</v>
      </c>
      <c r="I26" s="1139">
        <v>558.89503651968232</v>
      </c>
      <c r="J26" s="744"/>
      <c r="K26" s="386"/>
      <c r="L26" s="376"/>
      <c r="M26" s="386"/>
      <c r="N26" s="386"/>
      <c r="P26" s="386"/>
      <c r="Q26" s="386"/>
      <c r="R26" s="386"/>
      <c r="S26" s="386"/>
      <c r="T26" s="386"/>
      <c r="U26" s="386"/>
    </row>
    <row r="27" spans="1:21" ht="17.5">
      <c r="A27" s="743">
        <v>3</v>
      </c>
      <c r="B27" s="369" t="s">
        <v>127</v>
      </c>
      <c r="C27" s="365">
        <v>3712</v>
      </c>
      <c r="D27" s="760">
        <v>10591.132000000011</v>
      </c>
      <c r="E27" s="809">
        <v>0.94628754209997412</v>
      </c>
      <c r="F27" s="370">
        <v>1.3563030716955076</v>
      </c>
      <c r="G27" s="370">
        <v>2.266904696045609</v>
      </c>
      <c r="H27" s="774">
        <f>E27+F27+G27</f>
        <v>4.5694953098410904</v>
      </c>
      <c r="I27" s="1139">
        <v>344.15578007450347</v>
      </c>
      <c r="J27" s="744"/>
      <c r="K27" s="386"/>
      <c r="L27" s="376"/>
      <c r="M27" s="386"/>
      <c r="N27" s="386"/>
      <c r="P27" s="386"/>
      <c r="Q27" s="386"/>
      <c r="R27" s="386"/>
      <c r="S27" s="386"/>
      <c r="T27" s="386"/>
      <c r="U27" s="386"/>
    </row>
    <row r="28" spans="1:21" ht="17.5">
      <c r="A28" s="743">
        <v>4</v>
      </c>
      <c r="B28" s="369">
        <v>4</v>
      </c>
      <c r="C28" s="365">
        <v>1308</v>
      </c>
      <c r="D28" s="760">
        <v>5059.6699999999992</v>
      </c>
      <c r="E28" s="809">
        <v>0.38990822830690847</v>
      </c>
      <c r="F28" s="370">
        <v>0.55120594302292714</v>
      </c>
      <c r="G28" s="370">
        <v>1.3705257412742309</v>
      </c>
      <c r="H28" s="774">
        <f>E28+F28+G28</f>
        <v>2.3116399126040665</v>
      </c>
      <c r="I28" s="1139">
        <v>176.63440827778359</v>
      </c>
      <c r="J28" s="744"/>
      <c r="K28" s="386"/>
      <c r="L28" s="376"/>
      <c r="M28" s="386"/>
      <c r="N28" s="386"/>
      <c r="P28" s="386"/>
      <c r="Q28" s="386"/>
      <c r="R28" s="386"/>
      <c r="S28" s="386"/>
      <c r="T28" s="386"/>
      <c r="U28" s="386"/>
    </row>
    <row r="29" spans="1:21" ht="17.5">
      <c r="A29" s="743">
        <v>5</v>
      </c>
      <c r="B29" s="372" t="s">
        <v>128</v>
      </c>
      <c r="C29" s="365">
        <v>9417</v>
      </c>
      <c r="D29" s="760">
        <v>119968.75200000004</v>
      </c>
      <c r="E29" s="809">
        <v>2.4779160309971329</v>
      </c>
      <c r="F29" s="370">
        <v>6.6224981467615711</v>
      </c>
      <c r="G29" s="370">
        <v>76.354834179479738</v>
      </c>
      <c r="H29" s="774">
        <f>E29+F29+G29</f>
        <v>85.455248357238446</v>
      </c>
      <c r="I29" s="1139">
        <v>6405.5517327965872</v>
      </c>
      <c r="J29" s="744">
        <v>8290.5945610211966</v>
      </c>
      <c r="K29" s="386"/>
      <c r="L29" s="376"/>
      <c r="M29" s="386"/>
      <c r="N29" s="386"/>
      <c r="P29" s="386"/>
      <c r="Q29" s="386"/>
      <c r="R29" s="386"/>
      <c r="S29" s="386"/>
      <c r="T29" s="386"/>
      <c r="U29" s="386"/>
    </row>
    <row r="30" spans="1:21" ht="18">
      <c r="A30" s="801">
        <v>6</v>
      </c>
      <c r="B30" s="375" t="s">
        <v>129</v>
      </c>
      <c r="C30" s="366">
        <f>SUM(C25:C29)</f>
        <v>47366</v>
      </c>
      <c r="D30" s="761">
        <f t="shared" ref="D30:J30" si="3">SUM(D25:D29)</f>
        <v>171802.16700000002</v>
      </c>
      <c r="E30" s="781">
        <f t="shared" si="3"/>
        <v>11.899231285981747</v>
      </c>
      <c r="F30" s="669">
        <f t="shared" si="3"/>
        <v>15.02961863351117</v>
      </c>
      <c r="G30" s="669">
        <f t="shared" si="3"/>
        <v>85.795243983975638</v>
      </c>
      <c r="H30" s="775">
        <f t="shared" si="3"/>
        <v>112.72409390346857</v>
      </c>
      <c r="I30" s="807">
        <f t="shared" si="3"/>
        <v>8441.885599792553</v>
      </c>
      <c r="J30" s="745">
        <f t="shared" si="3"/>
        <v>8290.5945610211966</v>
      </c>
      <c r="L30" s="376"/>
      <c r="M30" s="386"/>
      <c r="N30" s="386"/>
    </row>
    <row r="31" spans="1:21" ht="39" customHeight="1">
      <c r="A31" s="743">
        <v>7</v>
      </c>
      <c r="B31" s="385" t="s">
        <v>152</v>
      </c>
      <c r="C31" s="365">
        <v>30</v>
      </c>
      <c r="D31" s="760">
        <v>12603.6</v>
      </c>
      <c r="E31" s="809"/>
      <c r="F31" s="370"/>
      <c r="G31" s="370"/>
      <c r="H31" s="774">
        <v>26.684186421077701</v>
      </c>
      <c r="I31" s="1139">
        <v>1713.7744098458543</v>
      </c>
      <c r="J31" s="744">
        <v>1876.9795239439991</v>
      </c>
    </row>
    <row r="32" spans="1:21" ht="18">
      <c r="A32" s="801">
        <v>8</v>
      </c>
      <c r="B32" s="375" t="s">
        <v>129</v>
      </c>
      <c r="C32" s="366">
        <f>C31</f>
        <v>30</v>
      </c>
      <c r="D32" s="761">
        <f t="shared" ref="D32:J32" si="4">D31</f>
        <v>12603.6</v>
      </c>
      <c r="E32" s="781">
        <f>E31</f>
        <v>0</v>
      </c>
      <c r="F32" s="669">
        <f t="shared" si="4"/>
        <v>0</v>
      </c>
      <c r="G32" s="669">
        <f t="shared" si="4"/>
        <v>0</v>
      </c>
      <c r="H32" s="775">
        <f t="shared" si="4"/>
        <v>26.684186421077701</v>
      </c>
      <c r="I32" s="807">
        <f t="shared" si="4"/>
        <v>1713.7744098458543</v>
      </c>
      <c r="J32" s="745">
        <f t="shared" si="4"/>
        <v>1876.9795239439991</v>
      </c>
      <c r="P32" s="386"/>
      <c r="Q32" s="386"/>
      <c r="R32" s="386"/>
    </row>
    <row r="33" spans="1:21" ht="17.5">
      <c r="A33" s="743"/>
      <c r="B33" s="372"/>
      <c r="C33" s="365"/>
      <c r="D33" s="760"/>
      <c r="E33" s="809"/>
      <c r="F33" s="370"/>
      <c r="G33" s="370"/>
      <c r="H33" s="774"/>
      <c r="I33" s="1139"/>
      <c r="J33" s="744"/>
    </row>
    <row r="34" spans="1:21" ht="18">
      <c r="A34" s="801">
        <v>9</v>
      </c>
      <c r="B34" s="375" t="s">
        <v>137</v>
      </c>
      <c r="C34" s="366">
        <f>C30+C32</f>
        <v>47396</v>
      </c>
      <c r="D34" s="761">
        <f>D30</f>
        <v>171802.16700000002</v>
      </c>
      <c r="E34" s="781">
        <f t="shared" ref="E34:J34" si="5">E30+E32</f>
        <v>11.899231285981747</v>
      </c>
      <c r="F34" s="669">
        <f t="shared" si="5"/>
        <v>15.02961863351117</v>
      </c>
      <c r="G34" s="669">
        <f t="shared" si="5"/>
        <v>85.795243983975638</v>
      </c>
      <c r="H34" s="775">
        <f>H30</f>
        <v>112.72409390346857</v>
      </c>
      <c r="I34" s="807">
        <f>I30</f>
        <v>8441.885599792553</v>
      </c>
      <c r="J34" s="745">
        <f t="shared" si="5"/>
        <v>10167.574084965196</v>
      </c>
    </row>
    <row r="35" spans="1:21" ht="18.5" thickBot="1">
      <c r="A35" s="746"/>
      <c r="B35" s="747" t="s">
        <v>138</v>
      </c>
      <c r="C35" s="1153">
        <f>C18+C34</f>
        <v>103720</v>
      </c>
      <c r="D35" s="1147">
        <f t="shared" ref="D35:J35" si="6">D18+D34</f>
        <v>347898.79635999986</v>
      </c>
      <c r="E35" s="1152">
        <f t="shared" si="6"/>
        <v>25.597150672002467</v>
      </c>
      <c r="F35" s="749">
        <f t="shared" si="6"/>
        <v>30.026729760167079</v>
      </c>
      <c r="G35" s="749">
        <f t="shared" si="6"/>
        <v>194.82196584201029</v>
      </c>
      <c r="H35" s="777">
        <f t="shared" si="6"/>
        <v>250.44584627417984</v>
      </c>
      <c r="I35" s="808">
        <f t="shared" si="6"/>
        <v>18766.679271737616</v>
      </c>
      <c r="J35" s="751">
        <f t="shared" si="6"/>
        <v>24419.23271226438</v>
      </c>
      <c r="M35" s="386"/>
    </row>
    <row r="36" spans="1:21" ht="18" customHeight="1">
      <c r="B36" s="373"/>
      <c r="C36" s="1151"/>
      <c r="D36" s="1148"/>
      <c r="E36" s="1148"/>
      <c r="F36" s="673"/>
      <c r="G36" s="673"/>
      <c r="H36" s="673"/>
      <c r="I36" s="673"/>
      <c r="J36" s="673"/>
    </row>
    <row r="37" spans="1:21" ht="18" customHeight="1">
      <c r="B37" s="360" t="s">
        <v>153</v>
      </c>
      <c r="C37" s="361"/>
      <c r="D37" s="361"/>
      <c r="E37" s="356"/>
      <c r="F37" s="356"/>
      <c r="G37" s="356"/>
      <c r="H37" s="356"/>
      <c r="I37" s="356"/>
      <c r="J37" s="356"/>
    </row>
    <row r="38" spans="1:21" ht="54" customHeight="1">
      <c r="A38" s="413"/>
      <c r="B38" s="377"/>
      <c r="C38" s="1932" t="s">
        <v>140</v>
      </c>
      <c r="D38" s="1933"/>
      <c r="E38" s="1933"/>
      <c r="F38" s="1934"/>
      <c r="G38" s="1931" t="s">
        <v>141</v>
      </c>
      <c r="H38" s="1931"/>
      <c r="I38" s="1931"/>
      <c r="J38" s="1931"/>
      <c r="K38" s="1931" t="s">
        <v>142</v>
      </c>
      <c r="L38" s="1931"/>
      <c r="M38" s="1931"/>
      <c r="N38" s="1931"/>
    </row>
    <row r="39" spans="1:21" ht="18">
      <c r="A39" s="413"/>
      <c r="B39" s="372"/>
      <c r="C39" s="1925" t="s">
        <v>109</v>
      </c>
      <c r="D39" s="1924"/>
      <c r="E39" s="1925" t="s">
        <v>136</v>
      </c>
      <c r="F39" s="1924"/>
      <c r="G39" s="1925" t="s">
        <v>109</v>
      </c>
      <c r="H39" s="1924"/>
      <c r="I39" s="1925" t="s">
        <v>136</v>
      </c>
      <c r="J39" s="1924"/>
      <c r="K39" s="1925" t="s">
        <v>109</v>
      </c>
      <c r="L39" s="1924"/>
      <c r="M39" s="1925" t="s">
        <v>136</v>
      </c>
      <c r="N39" s="1924"/>
    </row>
    <row r="40" spans="1:21" ht="54">
      <c r="A40" s="413"/>
      <c r="B40" s="414" t="s">
        <v>124</v>
      </c>
      <c r="C40" s="415" t="s">
        <v>143</v>
      </c>
      <c r="D40" s="415" t="s">
        <v>26</v>
      </c>
      <c r="E40" s="415" t="s">
        <v>143</v>
      </c>
      <c r="F40" s="415" t="s">
        <v>26</v>
      </c>
      <c r="G40" s="415" t="s">
        <v>143</v>
      </c>
      <c r="H40" s="415" t="s">
        <v>26</v>
      </c>
      <c r="I40" s="415" t="s">
        <v>143</v>
      </c>
      <c r="J40" s="415" t="s">
        <v>26</v>
      </c>
      <c r="K40" s="415" t="s">
        <v>143</v>
      </c>
      <c r="L40" s="415" t="s">
        <v>26</v>
      </c>
      <c r="M40" s="415" t="s">
        <v>143</v>
      </c>
      <c r="N40" s="415" t="s">
        <v>26</v>
      </c>
    </row>
    <row r="41" spans="1:21" ht="17.5">
      <c r="A41" s="413">
        <v>1</v>
      </c>
      <c r="B41" s="369" t="s">
        <v>125</v>
      </c>
      <c r="C41" s="1150">
        <v>25808.55</v>
      </c>
      <c r="D41" s="370">
        <v>11.508438963849445</v>
      </c>
      <c r="E41" s="1150">
        <v>19170.400000000001</v>
      </c>
      <c r="F41" s="370">
        <v>10.23289603785949</v>
      </c>
      <c r="G41" s="365"/>
      <c r="H41" s="365"/>
      <c r="I41" s="365"/>
      <c r="J41" s="365"/>
      <c r="K41" s="1150">
        <v>1518.15</v>
      </c>
      <c r="L41" s="370">
        <v>0.67696699787349679</v>
      </c>
      <c r="M41" s="1150">
        <v>1677.41</v>
      </c>
      <c r="N41" s="370">
        <v>0.89537840331270535</v>
      </c>
      <c r="O41" s="682"/>
      <c r="P41" s="682"/>
      <c r="Q41" s="386"/>
      <c r="R41" s="386"/>
      <c r="T41" s="687"/>
      <c r="U41" s="687"/>
    </row>
    <row r="42" spans="1:21" ht="17.5">
      <c r="A42" s="413">
        <v>2</v>
      </c>
      <c r="B42" s="369" t="s">
        <v>126</v>
      </c>
      <c r="C42" s="1150">
        <v>8669.15</v>
      </c>
      <c r="D42" s="370">
        <v>6.5239608851440831</v>
      </c>
      <c r="E42" s="1150">
        <v>7172.8</v>
      </c>
      <c r="F42" s="370">
        <v>6.0772722211684771</v>
      </c>
      <c r="G42" s="365"/>
      <c r="H42" s="365"/>
      <c r="I42" s="365"/>
      <c r="J42" s="365"/>
      <c r="K42" s="1150">
        <v>509.95000000000005</v>
      </c>
      <c r="L42" s="370">
        <v>0.38376240500847553</v>
      </c>
      <c r="M42" s="1150">
        <v>627.62</v>
      </c>
      <c r="N42" s="370">
        <v>0.5317613193522418</v>
      </c>
      <c r="O42" s="682"/>
      <c r="P42" s="682"/>
      <c r="Q42" s="386"/>
      <c r="R42" s="386"/>
      <c r="T42" s="687"/>
      <c r="U42" s="687"/>
    </row>
    <row r="43" spans="1:21" ht="17.5">
      <c r="A43" s="413">
        <v>3</v>
      </c>
      <c r="B43" s="369" t="s">
        <v>127</v>
      </c>
      <c r="C43" s="1150">
        <v>4488.8499999999995</v>
      </c>
      <c r="D43" s="370">
        <v>5.086834787838459</v>
      </c>
      <c r="E43" s="1150">
        <v>2969.6000000000004</v>
      </c>
      <c r="F43" s="370">
        <v>3.6555962478728725</v>
      </c>
      <c r="G43" s="365"/>
      <c r="H43" s="365"/>
      <c r="I43" s="368"/>
      <c r="J43" s="368"/>
      <c r="K43" s="1150">
        <v>264.05</v>
      </c>
      <c r="L43" s="370">
        <v>0.29922557575520348</v>
      </c>
      <c r="M43" s="1150">
        <v>259.84000000000003</v>
      </c>
      <c r="N43" s="370">
        <v>0.31986467168887633</v>
      </c>
      <c r="O43" s="682"/>
      <c r="P43" s="682"/>
      <c r="Q43" s="386"/>
      <c r="R43" s="386"/>
      <c r="T43" s="687"/>
      <c r="U43" s="687"/>
    </row>
    <row r="44" spans="1:21" ht="17.5">
      <c r="A44" s="413">
        <v>4</v>
      </c>
      <c r="B44" s="369">
        <v>4</v>
      </c>
      <c r="C44" s="1150">
        <v>1739.1</v>
      </c>
      <c r="D44" s="370">
        <v>2.6106745209783657</v>
      </c>
      <c r="E44" s="1150">
        <v>1046.4000000000001</v>
      </c>
      <c r="F44" s="370">
        <v>1.8493119300832532</v>
      </c>
      <c r="G44" s="365"/>
      <c r="H44" s="365"/>
      <c r="I44" s="368"/>
      <c r="J44" s="368"/>
      <c r="K44" s="1150">
        <v>102.30000000000001</v>
      </c>
      <c r="L44" s="370">
        <v>0.15356908946931563</v>
      </c>
      <c r="M44" s="1150">
        <v>91.56</v>
      </c>
      <c r="N44" s="370">
        <v>0.16181479388228467</v>
      </c>
      <c r="O44" s="682"/>
      <c r="P44" s="682"/>
      <c r="Q44" s="386"/>
      <c r="R44" s="386"/>
      <c r="T44" s="687"/>
      <c r="U44" s="687"/>
    </row>
    <row r="45" spans="1:21" ht="17.5">
      <c r="A45" s="413">
        <v>5</v>
      </c>
      <c r="B45" s="372" t="s">
        <v>128</v>
      </c>
      <c r="C45" s="1150">
        <v>6996.3499999999995</v>
      </c>
      <c r="D45" s="370">
        <v>91.333580357294224</v>
      </c>
      <c r="E45" s="1150">
        <v>7533.6</v>
      </c>
      <c r="F45" s="370">
        <v>68.364198685790754</v>
      </c>
      <c r="G45" s="365"/>
      <c r="H45" s="365"/>
      <c r="I45" s="365"/>
      <c r="J45" s="365"/>
      <c r="K45" s="1150">
        <v>411.55</v>
      </c>
      <c r="L45" s="370">
        <v>5.3725635504290725</v>
      </c>
      <c r="M45" s="1150">
        <v>659.19</v>
      </c>
      <c r="N45" s="370">
        <v>5.9818673850066917</v>
      </c>
      <c r="O45" s="682"/>
      <c r="P45" s="682"/>
      <c r="Q45" s="386"/>
      <c r="R45" s="386"/>
      <c r="T45" s="687"/>
      <c r="U45" s="687"/>
    </row>
    <row r="46" spans="1:21" ht="18">
      <c r="A46" s="671">
        <v>6</v>
      </c>
      <c r="B46" s="379" t="s">
        <v>145</v>
      </c>
      <c r="C46" s="1142">
        <f>SUM(C41:C45)</f>
        <v>47701.999999999993</v>
      </c>
      <c r="D46" s="669">
        <f t="shared" ref="D46:N46" si="7">SUM(D41:D45)</f>
        <v>117.06348951510458</v>
      </c>
      <c r="E46" s="1142">
        <f t="shared" si="7"/>
        <v>37892.800000000003</v>
      </c>
      <c r="F46" s="669">
        <f t="shared" si="7"/>
        <v>90.17927512277484</v>
      </c>
      <c r="G46" s="366"/>
      <c r="H46" s="366"/>
      <c r="I46" s="366"/>
      <c r="J46" s="366"/>
      <c r="K46" s="1142">
        <f t="shared" si="7"/>
        <v>2806.0000000000005</v>
      </c>
      <c r="L46" s="669">
        <f t="shared" si="7"/>
        <v>6.8860876185355639</v>
      </c>
      <c r="M46" s="1142">
        <f t="shared" si="7"/>
        <v>3315.6200000000003</v>
      </c>
      <c r="N46" s="669">
        <f t="shared" si="7"/>
        <v>7.8906865732427995</v>
      </c>
      <c r="O46" s="686"/>
      <c r="P46" s="686"/>
      <c r="Q46" s="386"/>
      <c r="R46" s="686"/>
      <c r="T46" s="691"/>
      <c r="U46" s="691"/>
    </row>
    <row r="47" spans="1:21" ht="17.5">
      <c r="A47" s="380"/>
      <c r="B47" s="373"/>
      <c r="C47" s="356"/>
      <c r="D47" s="356"/>
      <c r="F47" s="356"/>
      <c r="G47" s="356"/>
      <c r="H47" s="356"/>
      <c r="I47" s="356"/>
      <c r="J47" s="356"/>
    </row>
    <row r="48" spans="1:21" ht="17.5">
      <c r="D48" s="386"/>
      <c r="E48" s="386"/>
      <c r="F48" s="386"/>
      <c r="M48" s="386"/>
      <c r="N48" s="417"/>
    </row>
    <row r="49" spans="4:15" ht="17.5">
      <c r="D49" s="386"/>
      <c r="E49" s="386"/>
      <c r="F49" s="386"/>
      <c r="M49" s="386"/>
      <c r="N49" s="417"/>
    </row>
    <row r="50" spans="4:15" ht="17.5">
      <c r="D50" s="386"/>
      <c r="E50" s="386"/>
      <c r="F50" s="386"/>
      <c r="M50" s="386"/>
      <c r="N50" s="417"/>
      <c r="O50" s="386"/>
    </row>
    <row r="51" spans="4:15" ht="17.5">
      <c r="D51" s="386"/>
      <c r="E51" s="386"/>
      <c r="F51" s="386"/>
      <c r="L51" s="676"/>
      <c r="M51" s="678"/>
      <c r="N51" s="417"/>
      <c r="O51" s="679"/>
    </row>
    <row r="52" spans="4:15" ht="17.5">
      <c r="D52" s="386"/>
      <c r="E52" s="386"/>
      <c r="F52" s="386"/>
      <c r="L52" s="676"/>
      <c r="M52" s="678"/>
      <c r="N52" s="417"/>
    </row>
    <row r="53" spans="4:15" ht="17.5">
      <c r="E53" s="386"/>
      <c r="L53" s="676"/>
      <c r="M53" s="676"/>
      <c r="N53" s="356"/>
    </row>
    <row r="59" spans="4:15">
      <c r="D59" s="386"/>
    </row>
  </sheetData>
  <mergeCells count="20">
    <mergeCell ref="B3:J3"/>
    <mergeCell ref="E21:G21"/>
    <mergeCell ref="E6:G6"/>
    <mergeCell ref="A7:A8"/>
    <mergeCell ref="B7:B8"/>
    <mergeCell ref="C7:C8"/>
    <mergeCell ref="D7:D8"/>
    <mergeCell ref="A22:A23"/>
    <mergeCell ref="B22:B23"/>
    <mergeCell ref="C22:C23"/>
    <mergeCell ref="D22:D23"/>
    <mergeCell ref="C38:F38"/>
    <mergeCell ref="K38:N38"/>
    <mergeCell ref="C39:D39"/>
    <mergeCell ref="E39:F39"/>
    <mergeCell ref="G39:H39"/>
    <mergeCell ref="I39:J39"/>
    <mergeCell ref="K39:L39"/>
    <mergeCell ref="M39:N39"/>
    <mergeCell ref="G38:J38"/>
  </mergeCells>
  <printOptions horizontalCentered="1"/>
  <pageMargins left="0.19685039370078741" right="0.15748031496062992" top="0.23622047244094491" bottom="0.27559055118110237" header="0.51181102362204722" footer="0.59055118110236227"/>
  <pageSetup paperSize="9" scale="70" orientation="landscape" errors="blank" r:id="rId1"/>
  <headerFooter alignWithMargins="0">
    <oddFooter>&amp;R&amp;"Arial,Bold"&amp;12&amp;A</oddFooter>
  </headerFooter>
  <rowBreaks count="1" manualBreakCount="1">
    <brk id="35" max="1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J28"/>
  <sheetViews>
    <sheetView view="pageBreakPreview" topLeftCell="A12" zoomScale="93" zoomScaleNormal="100" zoomScaleSheetLayoutView="93" workbookViewId="0">
      <selection activeCell="F27" sqref="F27:G27"/>
    </sheetView>
  </sheetViews>
  <sheetFormatPr defaultRowHeight="12.5"/>
  <cols>
    <col min="1" max="1" width="6.1796875" customWidth="1"/>
    <col min="2" max="2" width="32.453125" customWidth="1"/>
    <col min="3" max="3" width="11.1796875" customWidth="1"/>
    <col min="4" max="4" width="15.453125" customWidth="1"/>
    <col min="5" max="5" width="15.7265625" customWidth="1"/>
    <col min="6" max="6" width="12" bestFit="1" customWidth="1"/>
    <col min="7" max="7" width="11.54296875" customWidth="1"/>
  </cols>
  <sheetData>
    <row r="1" spans="1:7" ht="14.5">
      <c r="A1" s="304" t="s">
        <v>370</v>
      </c>
    </row>
    <row r="2" spans="1:7" ht="15.5">
      <c r="A2" s="5" t="s">
        <v>1728</v>
      </c>
      <c r="F2" s="2" t="s">
        <v>1729</v>
      </c>
    </row>
    <row r="3" spans="1:7" ht="72.5">
      <c r="A3" s="1548" t="s">
        <v>518</v>
      </c>
      <c r="B3" s="1547" t="s">
        <v>1730</v>
      </c>
      <c r="C3" s="1548" t="s">
        <v>2534</v>
      </c>
      <c r="D3" s="1548" t="s">
        <v>1731</v>
      </c>
      <c r="E3" s="1548" t="s">
        <v>1732</v>
      </c>
      <c r="F3" s="1548" t="s">
        <v>2535</v>
      </c>
      <c r="G3" s="1548" t="s">
        <v>2536</v>
      </c>
    </row>
    <row r="4" spans="1:7">
      <c r="A4" s="29">
        <v>1</v>
      </c>
      <c r="B4" s="867" t="s">
        <v>634</v>
      </c>
      <c r="C4" s="934">
        <f>'F-6'!P6</f>
        <v>449222.89199999999</v>
      </c>
      <c r="D4" s="1550">
        <v>0</v>
      </c>
      <c r="E4" s="1550">
        <v>1</v>
      </c>
      <c r="F4" s="934">
        <f>('T-1'!S72-'T-1'!S69)*8%*360/10</f>
        <v>23166.719999999998</v>
      </c>
      <c r="G4" s="934">
        <f>C4-F4</f>
        <v>426056.17200000002</v>
      </c>
    </row>
    <row r="5" spans="1:7">
      <c r="A5" s="29">
        <v>2</v>
      </c>
      <c r="B5" s="867" t="s">
        <v>1733</v>
      </c>
      <c r="C5" s="934">
        <f>'F-6'!P8</f>
        <v>27640.608</v>
      </c>
      <c r="D5" s="1550">
        <v>0</v>
      </c>
      <c r="E5" s="1550">
        <v>1</v>
      </c>
      <c r="F5" s="934">
        <f>('T-1'!S72-'T-1'!S69)*8%*28/10</f>
        <v>1801.8559999999998</v>
      </c>
      <c r="G5" s="934">
        <f>C5-F5</f>
        <v>25838.752</v>
      </c>
    </row>
    <row r="6" spans="1:7">
      <c r="A6" s="29">
        <v>3</v>
      </c>
      <c r="B6" s="867" t="s">
        <v>636</v>
      </c>
      <c r="C6" s="934">
        <f>'F-6'!P9</f>
        <v>205.65600000000001</v>
      </c>
      <c r="D6" s="1550">
        <v>0</v>
      </c>
      <c r="E6" s="1550">
        <v>1</v>
      </c>
      <c r="F6" s="934">
        <f>C6</f>
        <v>205.65600000000001</v>
      </c>
      <c r="G6" s="934">
        <f>C6-F6</f>
        <v>0</v>
      </c>
    </row>
    <row r="7" spans="1:7" ht="13">
      <c r="A7" s="29"/>
      <c r="B7" s="1322" t="s">
        <v>1734</v>
      </c>
      <c r="C7" s="723">
        <f>SUM(C4:C6)</f>
        <v>477069.15600000002</v>
      </c>
      <c r="D7" s="1550"/>
      <c r="E7" s="1550"/>
      <c r="F7" s="723">
        <f>SUM(F4:F6)</f>
        <v>25174.231999999996</v>
      </c>
      <c r="G7" s="723">
        <f>SUM(G4:G6)</f>
        <v>451894.924</v>
      </c>
    </row>
    <row r="8" spans="1:7" ht="14.5">
      <c r="A8" s="29"/>
      <c r="B8" s="1549" t="s">
        <v>1735</v>
      </c>
      <c r="C8" s="1551"/>
      <c r="D8" s="483"/>
      <c r="E8" s="483"/>
      <c r="F8" s="934"/>
      <c r="G8" s="934"/>
    </row>
    <row r="9" spans="1:7">
      <c r="A9" s="29">
        <v>4</v>
      </c>
      <c r="B9" s="867" t="s">
        <v>1714</v>
      </c>
      <c r="C9" s="934">
        <f>'F-6'!P13-'F-6'!P24</f>
        <v>60649.920594372517</v>
      </c>
      <c r="D9" s="1550">
        <v>0.6</v>
      </c>
      <c r="E9" s="1550">
        <v>0.4</v>
      </c>
      <c r="F9" s="934">
        <f>C9*D9</f>
        <v>36389.952356623508</v>
      </c>
      <c r="G9" s="934">
        <f>C9-F9</f>
        <v>24259.96823774901</v>
      </c>
    </row>
    <row r="10" spans="1:7">
      <c r="A10" s="29">
        <v>5</v>
      </c>
      <c r="B10" s="867" t="s">
        <v>1736</v>
      </c>
      <c r="C10" s="934">
        <f>'F-6'!P14</f>
        <v>33686.397853959905</v>
      </c>
      <c r="D10" s="1550">
        <v>0.9</v>
      </c>
      <c r="E10" s="1550">
        <v>0.1</v>
      </c>
      <c r="F10" s="934">
        <f t="shared" ref="F10:F24" si="0">C10*D10</f>
        <v>30317.758068563915</v>
      </c>
      <c r="G10" s="934">
        <f t="shared" ref="G10:G24" si="1">C10-F10</f>
        <v>3368.6397853959897</v>
      </c>
    </row>
    <row r="11" spans="1:7">
      <c r="A11" s="29">
        <v>6</v>
      </c>
      <c r="B11" s="867" t="s">
        <v>1737</v>
      </c>
      <c r="C11" s="934">
        <f>'F-6'!P15</f>
        <v>24586.534678618002</v>
      </c>
      <c r="D11" s="1550">
        <v>0.5</v>
      </c>
      <c r="E11" s="1550">
        <v>0.5</v>
      </c>
      <c r="F11" s="934">
        <f t="shared" si="0"/>
        <v>12293.267339309001</v>
      </c>
      <c r="G11" s="934">
        <f t="shared" si="1"/>
        <v>12293.267339309001</v>
      </c>
    </row>
    <row r="12" spans="1:7">
      <c r="A12" s="29">
        <v>7</v>
      </c>
      <c r="B12" s="867" t="s">
        <v>1738</v>
      </c>
      <c r="C12" s="934">
        <f>'F-6'!P16</f>
        <v>5751.162147717725</v>
      </c>
      <c r="D12" s="1550">
        <v>0</v>
      </c>
      <c r="E12" s="1550">
        <v>1</v>
      </c>
      <c r="F12" s="934">
        <f t="shared" si="0"/>
        <v>0</v>
      </c>
      <c r="G12" s="934">
        <f t="shared" si="1"/>
        <v>5751.162147717725</v>
      </c>
    </row>
    <row r="13" spans="1:7">
      <c r="A13" s="29">
        <v>8</v>
      </c>
      <c r="B13" s="867" t="s">
        <v>685</v>
      </c>
      <c r="C13" s="934">
        <f>'F-6'!P17</f>
        <v>12598.395848869874</v>
      </c>
      <c r="D13" s="1550">
        <v>0.9</v>
      </c>
      <c r="E13" s="1550">
        <v>0.1</v>
      </c>
      <c r="F13" s="934">
        <f>C13*D13</f>
        <v>11338.556263982886</v>
      </c>
      <c r="G13" s="934">
        <f t="shared" si="1"/>
        <v>1259.8395848869877</v>
      </c>
    </row>
    <row r="14" spans="1:7" ht="14.5">
      <c r="A14" s="29"/>
      <c r="B14" s="1549" t="s">
        <v>1739</v>
      </c>
      <c r="C14" s="1551"/>
      <c r="D14" s="483"/>
      <c r="E14" s="483"/>
      <c r="F14" s="934"/>
      <c r="G14" s="934"/>
    </row>
    <row r="15" spans="1:7">
      <c r="A15" s="29">
        <v>9</v>
      </c>
      <c r="B15" s="867" t="s">
        <v>2188</v>
      </c>
      <c r="C15" s="934">
        <f>'F-6'!P18-'F-6'!P25</f>
        <v>3156.4015062555</v>
      </c>
      <c r="D15" s="1550">
        <v>0.9</v>
      </c>
      <c r="E15" s="1550">
        <v>0.1</v>
      </c>
      <c r="F15" s="934">
        <f t="shared" si="0"/>
        <v>2840.7613556299502</v>
      </c>
      <c r="G15" s="934">
        <f t="shared" si="1"/>
        <v>315.64015062554972</v>
      </c>
    </row>
    <row r="16" spans="1:7">
      <c r="A16" s="29">
        <v>10</v>
      </c>
      <c r="B16" s="867" t="s">
        <v>1740</v>
      </c>
      <c r="C16" s="934">
        <f>'F-6'!P19</f>
        <v>6712.0515583779588</v>
      </c>
      <c r="D16" s="1550">
        <v>0.1</v>
      </c>
      <c r="E16" s="1550">
        <v>0.9</v>
      </c>
      <c r="F16" s="934">
        <f t="shared" si="0"/>
        <v>671.20515583779593</v>
      </c>
      <c r="G16" s="934">
        <f t="shared" si="1"/>
        <v>6040.8464025401627</v>
      </c>
    </row>
    <row r="17" spans="1:10">
      <c r="A17" s="29">
        <v>11</v>
      </c>
      <c r="B17" s="867" t="s">
        <v>1741</v>
      </c>
      <c r="C17" s="934">
        <f>'F-6'!P20</f>
        <v>8589.2734016595005</v>
      </c>
      <c r="D17" s="1550">
        <v>0</v>
      </c>
      <c r="E17" s="1550">
        <v>1</v>
      </c>
      <c r="F17" s="934">
        <f t="shared" si="0"/>
        <v>0</v>
      </c>
      <c r="G17" s="934">
        <f t="shared" si="1"/>
        <v>8589.2734016595005</v>
      </c>
    </row>
    <row r="18" spans="1:10">
      <c r="A18" s="29">
        <v>12</v>
      </c>
      <c r="B18" s="867" t="s">
        <v>1719</v>
      </c>
      <c r="C18" s="934">
        <f>'F-6'!P21</f>
        <v>13542.966942611198</v>
      </c>
      <c r="D18" s="1550">
        <v>0.9</v>
      </c>
      <c r="E18" s="1550">
        <v>0.1</v>
      </c>
      <c r="F18" s="934">
        <f t="shared" si="0"/>
        <v>12188.670248350078</v>
      </c>
      <c r="G18" s="934">
        <f t="shared" si="1"/>
        <v>1354.2966942611201</v>
      </c>
    </row>
    <row r="19" spans="1:10">
      <c r="A19" s="29">
        <v>13</v>
      </c>
      <c r="B19" s="867" t="s">
        <v>1742</v>
      </c>
      <c r="C19" s="934">
        <f>'F-6'!P22</f>
        <v>4555.3451549582242</v>
      </c>
      <c r="D19" s="1550">
        <v>0.9</v>
      </c>
      <c r="E19" s="1550">
        <v>0.1</v>
      </c>
      <c r="F19" s="934">
        <f>C19*D19</f>
        <v>4099.8106394624019</v>
      </c>
      <c r="G19" s="934">
        <f>C19-F19</f>
        <v>455.53451549582223</v>
      </c>
    </row>
    <row r="20" spans="1:10" ht="25">
      <c r="A20" s="29">
        <v>14</v>
      </c>
      <c r="B20" s="1015" t="s">
        <v>1743</v>
      </c>
      <c r="C20" s="934">
        <f>'F-6'!P23</f>
        <v>58.846251390890444</v>
      </c>
      <c r="D20" s="1550">
        <v>0.1</v>
      </c>
      <c r="E20" s="1550">
        <v>0.9</v>
      </c>
      <c r="F20" s="934">
        <f>C20*D20</f>
        <v>5.8846251390890449</v>
      </c>
      <c r="G20" s="934">
        <f>C20-F20</f>
        <v>52.961626251801398</v>
      </c>
    </row>
    <row r="21" spans="1:10" ht="14.5">
      <c r="A21" s="29"/>
      <c r="B21" s="1549" t="s">
        <v>1744</v>
      </c>
      <c r="C21" s="1551"/>
      <c r="D21" s="483"/>
      <c r="E21" s="483"/>
      <c r="F21" s="934"/>
      <c r="G21" s="934"/>
    </row>
    <row r="22" spans="1:10">
      <c r="A22" s="29">
        <v>15</v>
      </c>
      <c r="B22" s="867" t="s">
        <v>1745</v>
      </c>
      <c r="C22" s="934">
        <f>'F-6'!P28</f>
        <v>0</v>
      </c>
      <c r="D22" s="1550">
        <v>0.25</v>
      </c>
      <c r="E22" s="1550">
        <v>0.75</v>
      </c>
      <c r="F22" s="934">
        <f t="shared" si="0"/>
        <v>0</v>
      </c>
      <c r="G22" s="934">
        <f t="shared" si="1"/>
        <v>0</v>
      </c>
    </row>
    <row r="23" spans="1:10">
      <c r="A23" s="29">
        <v>16</v>
      </c>
      <c r="B23" s="867" t="s">
        <v>1746</v>
      </c>
      <c r="C23" s="934">
        <f>'F-6'!P29</f>
        <v>-37111.911928829271</v>
      </c>
      <c r="D23" s="1550">
        <v>0.25</v>
      </c>
      <c r="E23" s="1550">
        <v>0.75</v>
      </c>
      <c r="F23" s="934">
        <f t="shared" si="0"/>
        <v>-9277.9779822073178</v>
      </c>
      <c r="G23" s="934">
        <f t="shared" si="1"/>
        <v>-27833.933946621954</v>
      </c>
    </row>
    <row r="24" spans="1:10">
      <c r="A24" s="29">
        <v>17</v>
      </c>
      <c r="B24" s="867" t="s">
        <v>1747</v>
      </c>
      <c r="C24" s="934">
        <f>'F-6'!P30</f>
        <v>0</v>
      </c>
      <c r="D24" s="1550">
        <v>1</v>
      </c>
      <c r="E24" s="1550">
        <v>0</v>
      </c>
      <c r="F24" s="934">
        <f t="shared" si="0"/>
        <v>0</v>
      </c>
      <c r="G24" s="934">
        <f t="shared" si="1"/>
        <v>0</v>
      </c>
    </row>
    <row r="25" spans="1:10" ht="13">
      <c r="A25" s="29"/>
      <c r="B25" s="1257" t="s">
        <v>1054</v>
      </c>
      <c r="C25" s="723">
        <f>SUM(C7:C24)</f>
        <v>613844.54000996181</v>
      </c>
      <c r="D25" s="1550"/>
      <c r="E25" s="1550"/>
      <c r="F25" s="723">
        <f>SUM(F7:F24)</f>
        <v>126042.12007069131</v>
      </c>
      <c r="G25" s="723">
        <f>SUM(G7:G24)</f>
        <v>487802.41993927071</v>
      </c>
      <c r="J25" s="7"/>
    </row>
    <row r="26" spans="1:10" ht="14.5">
      <c r="A26" s="29"/>
      <c r="B26" s="1549" t="s">
        <v>1748</v>
      </c>
      <c r="C26" s="1551"/>
      <c r="D26" s="483"/>
      <c r="E26" s="483"/>
      <c r="F26" s="483"/>
      <c r="G26" s="483"/>
    </row>
    <row r="27" spans="1:10" ht="14.5">
      <c r="A27" s="29">
        <v>18</v>
      </c>
      <c r="B27" s="1198" t="s">
        <v>2600</v>
      </c>
      <c r="C27" s="934">
        <f>'F-6'!P34</f>
        <v>38602.131475500006</v>
      </c>
      <c r="D27" s="1891">
        <v>0.1</v>
      </c>
      <c r="E27" s="1891">
        <v>0.9</v>
      </c>
      <c r="F27" s="934">
        <f>C27*D27</f>
        <v>3860.2131475500009</v>
      </c>
      <c r="G27" s="934">
        <f>C27*E27</f>
        <v>34741.918327950007</v>
      </c>
    </row>
    <row r="28" spans="1:10">
      <c r="A28" s="231" t="s">
        <v>1749</v>
      </c>
    </row>
  </sheetData>
  <printOptions horizontalCentered="1"/>
  <pageMargins left="0.19685039370078741" right="0" top="0.19685039370078741" bottom="0" header="0" footer="0"/>
  <pageSetup paperSize="9" scale="9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85"/>
  <dimension ref="A1:C41"/>
  <sheetViews>
    <sheetView view="pageBreakPreview" zoomScale="90" zoomScaleSheetLayoutView="90" workbookViewId="0">
      <selection activeCell="F10" sqref="F10"/>
    </sheetView>
  </sheetViews>
  <sheetFormatPr defaultRowHeight="12.5"/>
  <cols>
    <col min="1" max="1" width="21.81640625" customWidth="1"/>
    <col min="2" max="2" width="4" bestFit="1" customWidth="1"/>
    <col min="3" max="3" width="79.26953125" customWidth="1"/>
  </cols>
  <sheetData>
    <row r="1" spans="1:3" ht="18">
      <c r="A1" s="2152" t="s">
        <v>1399</v>
      </c>
      <c r="B1" s="2152"/>
      <c r="C1" s="2152"/>
    </row>
    <row r="2" spans="1:3" ht="15.5">
      <c r="A2" s="301"/>
      <c r="B2" s="347"/>
      <c r="C2" s="347"/>
    </row>
    <row r="3" spans="1:3" ht="15.5">
      <c r="A3" s="5" t="s">
        <v>1400</v>
      </c>
      <c r="B3" s="5" t="s">
        <v>1401</v>
      </c>
      <c r="C3" s="301" t="s">
        <v>370</v>
      </c>
    </row>
    <row r="4" spans="1:3" ht="15.5">
      <c r="A4" s="5"/>
      <c r="B4" s="5"/>
      <c r="C4" s="301"/>
    </row>
    <row r="5" spans="1:3" ht="15.5">
      <c r="A5" s="5" t="s">
        <v>1402</v>
      </c>
      <c r="B5" s="5" t="s">
        <v>1401</v>
      </c>
      <c r="C5" s="301" t="s">
        <v>1403</v>
      </c>
    </row>
    <row r="6" spans="1:3" ht="15.5">
      <c r="A6" s="5"/>
      <c r="B6" s="5"/>
      <c r="C6" s="301"/>
    </row>
    <row r="7" spans="1:3" ht="15.5">
      <c r="A7" s="5" t="s">
        <v>1404</v>
      </c>
      <c r="B7" s="5" t="s">
        <v>1401</v>
      </c>
      <c r="C7" s="301" t="s">
        <v>1405</v>
      </c>
    </row>
    <row r="8" spans="1:3" ht="15.5">
      <c r="A8" s="5" t="s">
        <v>1406</v>
      </c>
      <c r="B8" s="5" t="s">
        <v>1401</v>
      </c>
      <c r="C8" s="301" t="s">
        <v>2601</v>
      </c>
    </row>
    <row r="9" spans="1:3" ht="15.5">
      <c r="A9" s="301"/>
      <c r="B9" s="301"/>
      <c r="C9" s="301"/>
    </row>
    <row r="10" spans="1:3" ht="15.5">
      <c r="A10" s="1002" t="s">
        <v>1407</v>
      </c>
      <c r="B10" s="301"/>
      <c r="C10" s="301"/>
    </row>
    <row r="11" spans="1:3" ht="15.5">
      <c r="A11" s="5"/>
      <c r="B11" s="301"/>
      <c r="C11" s="301"/>
    </row>
    <row r="12" spans="1:3" ht="15.5">
      <c r="A12" s="301"/>
      <c r="B12" s="953">
        <v>1</v>
      </c>
      <c r="C12" s="1044" t="s">
        <v>1408</v>
      </c>
    </row>
    <row r="13" spans="1:3" ht="15.5">
      <c r="A13" s="301"/>
      <c r="B13" s="953">
        <v>2</v>
      </c>
      <c r="C13" s="301" t="s">
        <v>1409</v>
      </c>
    </row>
    <row r="14" spans="1:3" ht="15.5">
      <c r="A14" s="301"/>
      <c r="B14" s="953">
        <v>3</v>
      </c>
      <c r="C14" s="301" t="s">
        <v>1410</v>
      </c>
    </row>
    <row r="15" spans="1:3" ht="15.5">
      <c r="A15" s="301"/>
      <c r="B15" s="953">
        <v>4</v>
      </c>
      <c r="C15" s="301" t="s">
        <v>1411</v>
      </c>
    </row>
    <row r="16" spans="1:3" ht="15.5">
      <c r="A16" s="301"/>
      <c r="B16" s="953">
        <v>5</v>
      </c>
      <c r="C16" s="301" t="s">
        <v>1412</v>
      </c>
    </row>
    <row r="17" spans="1:3" ht="15.5">
      <c r="A17" s="5"/>
      <c r="B17" s="953"/>
      <c r="C17" s="301"/>
    </row>
    <row r="18" spans="1:3" ht="15.5">
      <c r="A18" s="1002" t="s">
        <v>1413</v>
      </c>
      <c r="B18" s="953"/>
      <c r="C18" s="301"/>
    </row>
    <row r="19" spans="1:3" ht="15.5">
      <c r="A19" s="301"/>
      <c r="B19" s="953">
        <v>1</v>
      </c>
      <c r="C19" s="301" t="s">
        <v>1414</v>
      </c>
    </row>
    <row r="20" spans="1:3" ht="15.5">
      <c r="A20" s="301"/>
      <c r="B20" s="953">
        <v>2</v>
      </c>
      <c r="C20" s="301" t="s">
        <v>1415</v>
      </c>
    </row>
    <row r="21" spans="1:3" ht="15.5">
      <c r="A21" s="301"/>
      <c r="B21" s="953">
        <v>3</v>
      </c>
      <c r="C21" s="301" t="s">
        <v>1416</v>
      </c>
    </row>
    <row r="22" spans="1:3" ht="15.5">
      <c r="A22" s="301"/>
      <c r="B22" s="953">
        <v>4</v>
      </c>
      <c r="C22" s="301" t="s">
        <v>1417</v>
      </c>
    </row>
    <row r="23" spans="1:3" ht="15.5">
      <c r="A23" s="301"/>
      <c r="B23" s="953">
        <v>5</v>
      </c>
      <c r="C23" s="301" t="s">
        <v>1418</v>
      </c>
    </row>
    <row r="24" spans="1:3" ht="15.5">
      <c r="A24" s="301"/>
      <c r="B24" s="953">
        <v>6</v>
      </c>
      <c r="C24" s="301" t="s">
        <v>1419</v>
      </c>
    </row>
    <row r="25" spans="1:3" ht="15.5">
      <c r="A25" s="301"/>
      <c r="B25" s="953">
        <v>7</v>
      </c>
      <c r="C25" s="301" t="s">
        <v>1420</v>
      </c>
    </row>
    <row r="26" spans="1:3" ht="15.5">
      <c r="A26" s="301"/>
      <c r="B26" s="953">
        <v>8</v>
      </c>
      <c r="C26" s="301" t="s">
        <v>1421</v>
      </c>
    </row>
    <row r="27" spans="1:3" ht="15.5">
      <c r="A27" s="301"/>
      <c r="B27" s="953">
        <v>9</v>
      </c>
      <c r="C27" s="301" t="s">
        <v>2192</v>
      </c>
    </row>
    <row r="28" spans="1:3" ht="15.5">
      <c r="A28" s="301"/>
      <c r="B28" s="953">
        <v>10</v>
      </c>
      <c r="C28" s="301" t="s">
        <v>1422</v>
      </c>
    </row>
    <row r="29" spans="1:3" ht="15.5">
      <c r="A29" s="301"/>
      <c r="B29" s="953">
        <v>11</v>
      </c>
      <c r="C29" s="301" t="s">
        <v>1423</v>
      </c>
    </row>
    <row r="30" spans="1:3" ht="15.5">
      <c r="A30" s="301"/>
      <c r="B30" s="953">
        <v>12</v>
      </c>
      <c r="C30" s="301" t="s">
        <v>1424</v>
      </c>
    </row>
    <row r="31" spans="1:3" ht="15.5">
      <c r="A31" s="301"/>
      <c r="B31" s="953">
        <v>13</v>
      </c>
      <c r="C31" s="301" t="s">
        <v>1425</v>
      </c>
    </row>
    <row r="32" spans="1:3" ht="15.5">
      <c r="A32" s="301"/>
      <c r="B32" s="953">
        <v>14</v>
      </c>
      <c r="C32" s="301" t="s">
        <v>1426</v>
      </c>
    </row>
    <row r="33" spans="1:3" ht="15.5">
      <c r="A33" s="301"/>
      <c r="B33" s="953">
        <v>15</v>
      </c>
      <c r="C33" s="301" t="s">
        <v>1427</v>
      </c>
    </row>
    <row r="34" spans="1:3" ht="15.5">
      <c r="A34" s="301"/>
      <c r="B34" s="953">
        <v>16</v>
      </c>
      <c r="C34" s="301" t="s">
        <v>1428</v>
      </c>
    </row>
    <row r="35" spans="1:3" ht="15.5">
      <c r="A35" s="5"/>
      <c r="B35" s="953">
        <v>17</v>
      </c>
      <c r="C35" s="301" t="s">
        <v>1429</v>
      </c>
    </row>
    <row r="36" spans="1:3" ht="15.5">
      <c r="A36" s="1002" t="s">
        <v>1430</v>
      </c>
      <c r="B36" s="953"/>
      <c r="C36" s="301"/>
    </row>
    <row r="37" spans="1:3" ht="15.5">
      <c r="A37" s="301"/>
      <c r="B37" s="953">
        <v>1</v>
      </c>
      <c r="C37" s="301" t="s">
        <v>1431</v>
      </c>
    </row>
    <row r="38" spans="1:3" ht="15.5">
      <c r="A38" s="301"/>
      <c r="B38" s="953">
        <v>2</v>
      </c>
      <c r="C38" s="301" t="s">
        <v>1432</v>
      </c>
    </row>
    <row r="39" spans="1:3" ht="15.5">
      <c r="A39" s="301"/>
      <c r="B39" s="953">
        <v>3</v>
      </c>
      <c r="C39" s="301" t="s">
        <v>1433</v>
      </c>
    </row>
    <row r="40" spans="1:3" ht="15.5">
      <c r="A40" s="301"/>
      <c r="B40" s="953">
        <v>4</v>
      </c>
      <c r="C40" s="301" t="s">
        <v>1434</v>
      </c>
    </row>
    <row r="41" spans="1:3" ht="15.5">
      <c r="A41" s="301"/>
      <c r="B41" s="953">
        <v>5</v>
      </c>
      <c r="C41" s="301" t="s">
        <v>1435</v>
      </c>
    </row>
  </sheetData>
  <mergeCells count="1">
    <mergeCell ref="A1:C1"/>
  </mergeCells>
  <phoneticPr fontId="83" type="noConversion"/>
  <printOptions horizontalCentered="1"/>
  <pageMargins left="0.39370078740157483" right="0.39370078740157483" top="0.98425196850393704" bottom="0.78740157480314965" header="0.51181102362204722" footer="0.51181102362204722"/>
  <pageSetup paperSize="9" scale="90"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87"/>
  <sheetViews>
    <sheetView showGridLines="0" view="pageBreakPreview" zoomScale="80" zoomScaleSheetLayoutView="80" workbookViewId="0">
      <pane ySplit="2" topLeftCell="A84" activePane="bottomLeft" state="frozen"/>
      <selection activeCell="L17" sqref="L17"/>
      <selection pane="bottomLeft" activeCell="L87" sqref="L87"/>
    </sheetView>
  </sheetViews>
  <sheetFormatPr defaultColWidth="9.1796875" defaultRowHeight="12.5"/>
  <cols>
    <col min="1" max="1" width="6.1796875" style="420" customWidth="1"/>
    <col min="2" max="2" width="44" style="420" customWidth="1"/>
    <col min="3" max="5" width="9.1796875" style="420"/>
    <col min="6" max="6" width="9.81640625" style="420" customWidth="1"/>
    <col min="7" max="7" width="9.1796875" style="420"/>
    <col min="8" max="8" width="9.7265625" style="420" customWidth="1"/>
    <col min="9" max="9" width="12.26953125" style="420" customWidth="1"/>
    <col min="10" max="16384" width="9.1796875" style="420"/>
  </cols>
  <sheetData>
    <row r="1" spans="1:9" ht="18">
      <c r="A1" s="2158" t="s">
        <v>2575</v>
      </c>
      <c r="B1" s="2158"/>
      <c r="C1" s="2158"/>
      <c r="D1" s="2158"/>
      <c r="E1" s="2158"/>
      <c r="F1" s="2158"/>
      <c r="G1" s="2158"/>
      <c r="H1" s="2158"/>
      <c r="I1" s="2158"/>
    </row>
    <row r="2" spans="1:9" ht="91">
      <c r="A2" s="1045" t="s">
        <v>734</v>
      </c>
      <c r="B2" s="1045" t="s">
        <v>1320</v>
      </c>
      <c r="C2" s="1045" t="s">
        <v>1321</v>
      </c>
      <c r="D2" s="1045" t="s">
        <v>1322</v>
      </c>
      <c r="E2" s="1045" t="s">
        <v>308</v>
      </c>
      <c r="F2" s="1045" t="s">
        <v>1323</v>
      </c>
      <c r="G2" s="1045" t="s">
        <v>1324</v>
      </c>
      <c r="H2" s="1045" t="s">
        <v>1325</v>
      </c>
      <c r="I2" s="1045" t="s">
        <v>1326</v>
      </c>
    </row>
    <row r="3" spans="1:9" ht="13">
      <c r="A3" s="1046"/>
      <c r="B3" s="1047" t="s">
        <v>1327</v>
      </c>
      <c r="C3" s="1047"/>
      <c r="D3" s="1047"/>
      <c r="E3" s="1045" t="s">
        <v>1937</v>
      </c>
      <c r="F3" s="1047"/>
      <c r="G3" s="1047"/>
      <c r="H3" s="1047"/>
      <c r="I3" s="1047"/>
    </row>
    <row r="4" spans="1:9" ht="13">
      <c r="A4" s="1046">
        <v>1</v>
      </c>
      <c r="B4" s="1048" t="s">
        <v>166</v>
      </c>
      <c r="C4" s="1049"/>
      <c r="D4" s="1046"/>
      <c r="E4" s="1046"/>
      <c r="F4" s="1046"/>
      <c r="G4" s="1046"/>
      <c r="H4" s="1046"/>
      <c r="I4" s="1046"/>
    </row>
    <row r="5" spans="1:9">
      <c r="A5" s="1046" t="s">
        <v>1328</v>
      </c>
      <c r="B5" s="1048" t="s">
        <v>1329</v>
      </c>
      <c r="C5" s="1046" t="s">
        <v>44</v>
      </c>
      <c r="D5" s="2159" t="s">
        <v>1330</v>
      </c>
      <c r="E5" s="2159"/>
      <c r="F5" s="2159"/>
      <c r="G5" s="1046">
        <v>80</v>
      </c>
      <c r="H5" s="1046"/>
      <c r="I5" s="1046"/>
    </row>
    <row r="6" spans="1:9">
      <c r="A6" s="1046" t="s">
        <v>1331</v>
      </c>
      <c r="B6" s="1048" t="s">
        <v>49</v>
      </c>
      <c r="C6" s="1046"/>
      <c r="D6" s="1046"/>
      <c r="E6" s="1046"/>
      <c r="F6" s="1046"/>
      <c r="G6" s="1046"/>
      <c r="H6" s="1046"/>
      <c r="I6" s="1046">
        <v>10</v>
      </c>
    </row>
    <row r="7" spans="1:9">
      <c r="A7" s="1046"/>
      <c r="B7" s="1048" t="s">
        <v>1332</v>
      </c>
      <c r="C7" s="1046" t="s">
        <v>44</v>
      </c>
      <c r="D7" s="1046"/>
      <c r="E7" s="1046">
        <v>300</v>
      </c>
      <c r="F7" s="1046"/>
      <c r="G7" s="1046">
        <v>20</v>
      </c>
      <c r="H7" s="1046">
        <v>20</v>
      </c>
      <c r="I7" s="1046"/>
    </row>
    <row r="8" spans="1:9">
      <c r="A8" s="1046"/>
      <c r="B8" s="1048" t="s">
        <v>1333</v>
      </c>
      <c r="C8" s="1046" t="s">
        <v>44</v>
      </c>
      <c r="D8" s="1046"/>
      <c r="E8" s="1046">
        <v>480</v>
      </c>
      <c r="F8" s="1046"/>
      <c r="G8" s="1046">
        <v>20</v>
      </c>
      <c r="H8" s="1046">
        <v>20</v>
      </c>
      <c r="I8" s="1046"/>
    </row>
    <row r="9" spans="1:9">
      <c r="A9" s="1046"/>
      <c r="B9" s="1048" t="s">
        <v>1334</v>
      </c>
      <c r="C9" s="1046" t="s">
        <v>44</v>
      </c>
      <c r="D9" s="1046"/>
      <c r="E9" s="1046">
        <v>580</v>
      </c>
      <c r="F9" s="1046"/>
      <c r="G9" s="1046">
        <v>20</v>
      </c>
      <c r="H9" s="1046">
        <v>20</v>
      </c>
      <c r="I9" s="1046"/>
    </row>
    <row r="10" spans="1:9">
      <c r="A10" s="1046"/>
      <c r="B10" s="1048" t="s">
        <v>1335</v>
      </c>
      <c r="C10" s="1046" t="s">
        <v>44</v>
      </c>
      <c r="D10" s="1046"/>
      <c r="E10" s="1046">
        <v>620</v>
      </c>
      <c r="F10" s="1046"/>
      <c r="G10" s="1046">
        <v>20</v>
      </c>
      <c r="H10" s="1046">
        <v>20</v>
      </c>
      <c r="I10" s="1046"/>
    </row>
    <row r="11" spans="1:9">
      <c r="A11" s="1046">
        <v>2</v>
      </c>
      <c r="B11" s="1048" t="s">
        <v>181</v>
      </c>
      <c r="C11" s="1046"/>
      <c r="D11" s="1046"/>
      <c r="E11" s="1046"/>
      <c r="F11" s="1046"/>
      <c r="G11" s="1046"/>
      <c r="H11" s="1046"/>
      <c r="I11" s="1046">
        <v>10</v>
      </c>
    </row>
    <row r="12" spans="1:9">
      <c r="A12" s="1046"/>
      <c r="B12" s="1048" t="s">
        <v>1336</v>
      </c>
      <c r="C12" s="1046" t="s">
        <v>44</v>
      </c>
      <c r="D12" s="1046"/>
      <c r="E12" s="1046">
        <v>590</v>
      </c>
      <c r="F12" s="1046"/>
      <c r="G12" s="1046">
        <v>30</v>
      </c>
      <c r="H12" s="1046">
        <v>30</v>
      </c>
      <c r="I12" s="1046"/>
    </row>
    <row r="13" spans="1:9">
      <c r="A13" s="1046"/>
      <c r="B13" s="1048" t="s">
        <v>1337</v>
      </c>
      <c r="C13" s="1046" t="s">
        <v>44</v>
      </c>
      <c r="D13" s="1046"/>
      <c r="E13" s="1046">
        <v>700</v>
      </c>
      <c r="F13" s="1046"/>
      <c r="G13" s="1046">
        <v>30</v>
      </c>
      <c r="H13" s="1046">
        <v>30</v>
      </c>
      <c r="I13" s="1046"/>
    </row>
    <row r="14" spans="1:9">
      <c r="A14" s="1046"/>
      <c r="B14" s="1048" t="s">
        <v>1338</v>
      </c>
      <c r="C14" s="1046" t="s">
        <v>44</v>
      </c>
      <c r="D14" s="1046"/>
      <c r="E14" s="1046">
        <v>760</v>
      </c>
      <c r="F14" s="1046"/>
      <c r="G14" s="1046">
        <v>30</v>
      </c>
      <c r="H14" s="1046">
        <v>30</v>
      </c>
      <c r="I14" s="1046"/>
    </row>
    <row r="15" spans="1:9">
      <c r="A15" s="1046">
        <v>3</v>
      </c>
      <c r="B15" s="1048" t="s">
        <v>62</v>
      </c>
      <c r="C15" s="1046" t="s">
        <v>44</v>
      </c>
      <c r="D15" s="1046"/>
      <c r="E15" s="1046">
        <v>150</v>
      </c>
      <c r="F15" s="1046"/>
      <c r="G15" s="1046">
        <v>20</v>
      </c>
      <c r="H15" s="1046">
        <v>10</v>
      </c>
      <c r="I15" s="1046">
        <v>10</v>
      </c>
    </row>
    <row r="16" spans="1:9" ht="13">
      <c r="A16" s="1046">
        <v>4</v>
      </c>
      <c r="B16" s="1048" t="s">
        <v>1339</v>
      </c>
      <c r="C16" s="1046" t="s">
        <v>44</v>
      </c>
      <c r="D16" s="1050"/>
      <c r="E16" s="1046">
        <v>160</v>
      </c>
      <c r="F16" s="1046"/>
      <c r="G16" s="1046">
        <v>20</v>
      </c>
      <c r="H16" s="1046">
        <v>10</v>
      </c>
      <c r="I16" s="1046" t="s">
        <v>1340</v>
      </c>
    </row>
    <row r="17" spans="1:9" ht="13">
      <c r="A17" s="1046">
        <v>5</v>
      </c>
      <c r="B17" s="1048" t="s">
        <v>1341</v>
      </c>
      <c r="C17" s="1046" t="s">
        <v>44</v>
      </c>
      <c r="D17" s="1049"/>
      <c r="E17" s="1046">
        <v>310</v>
      </c>
      <c r="F17" s="1046"/>
      <c r="G17" s="1046">
        <v>80</v>
      </c>
      <c r="H17" s="1046">
        <v>50</v>
      </c>
      <c r="I17" s="1046" t="s">
        <v>1342</v>
      </c>
    </row>
    <row r="18" spans="1:9">
      <c r="A18" s="1046">
        <v>6</v>
      </c>
      <c r="B18" s="1048" t="s">
        <v>1343</v>
      </c>
      <c r="C18" s="1046" t="s">
        <v>44</v>
      </c>
      <c r="D18" s="1046"/>
      <c r="E18" s="1046">
        <v>620</v>
      </c>
      <c r="F18" s="1046"/>
      <c r="G18" s="1046">
        <v>20</v>
      </c>
      <c r="H18" s="1046">
        <v>15</v>
      </c>
      <c r="I18" s="1046" t="s">
        <v>1342</v>
      </c>
    </row>
    <row r="19" spans="1:9">
      <c r="A19" s="1046">
        <v>7</v>
      </c>
      <c r="B19" s="1048" t="s">
        <v>66</v>
      </c>
      <c r="C19" s="1046" t="s">
        <v>44</v>
      </c>
      <c r="D19" s="1046"/>
      <c r="E19" s="1046">
        <v>620</v>
      </c>
      <c r="F19" s="1046"/>
      <c r="G19" s="1046">
        <v>80</v>
      </c>
      <c r="H19" s="1046">
        <v>35</v>
      </c>
      <c r="I19" s="1046">
        <v>10</v>
      </c>
    </row>
    <row r="20" spans="1:9">
      <c r="A20" s="1046">
        <v>8</v>
      </c>
      <c r="B20" s="1048" t="s">
        <v>67</v>
      </c>
      <c r="C20" s="1046" t="s">
        <v>44</v>
      </c>
      <c r="D20" s="1046"/>
      <c r="E20" s="1046">
        <v>620</v>
      </c>
      <c r="F20" s="1046"/>
      <c r="G20" s="1046">
        <v>100</v>
      </c>
      <c r="H20" s="1046">
        <v>80</v>
      </c>
      <c r="I20" s="1046" t="s">
        <v>1342</v>
      </c>
    </row>
    <row r="21" spans="1:9">
      <c r="A21" s="1046">
        <v>9</v>
      </c>
      <c r="B21" s="1048" t="s">
        <v>276</v>
      </c>
      <c r="C21" s="1046" t="s">
        <v>44</v>
      </c>
      <c r="D21" s="1046"/>
      <c r="E21" s="1046">
        <v>620</v>
      </c>
      <c r="F21" s="1046"/>
      <c r="G21" s="1046">
        <v>50</v>
      </c>
      <c r="H21" s="1046">
        <v>50</v>
      </c>
      <c r="I21" s="1046" t="s">
        <v>1342</v>
      </c>
    </row>
    <row r="22" spans="1:9" ht="25">
      <c r="A22" s="1046">
        <v>10</v>
      </c>
      <c r="B22" s="1048" t="s">
        <v>1344</v>
      </c>
      <c r="C22" s="1046" t="s">
        <v>44</v>
      </c>
      <c r="D22" s="1046"/>
      <c r="E22" s="1046">
        <v>620</v>
      </c>
      <c r="F22" s="1046"/>
      <c r="G22" s="1046">
        <v>50</v>
      </c>
      <c r="H22" s="1046">
        <v>50</v>
      </c>
      <c r="I22" s="1046">
        <v>10</v>
      </c>
    </row>
    <row r="23" spans="1:9" ht="15.75" customHeight="1">
      <c r="A23" s="1046">
        <v>11</v>
      </c>
      <c r="B23" s="1048" t="s">
        <v>1345</v>
      </c>
      <c r="C23" s="1046" t="s">
        <v>44</v>
      </c>
      <c r="D23" s="1046">
        <v>200</v>
      </c>
      <c r="E23" s="1046">
        <v>620</v>
      </c>
      <c r="F23" s="1046">
        <v>30</v>
      </c>
      <c r="G23" s="1046"/>
      <c r="H23" s="1046"/>
      <c r="I23" s="1046">
        <v>10</v>
      </c>
    </row>
    <row r="24" spans="1:9">
      <c r="A24" s="1046">
        <v>12</v>
      </c>
      <c r="B24" s="1048" t="s">
        <v>1346</v>
      </c>
      <c r="C24" s="1046" t="s">
        <v>44</v>
      </c>
      <c r="D24" s="1046">
        <v>200</v>
      </c>
      <c r="E24" s="1046">
        <v>620</v>
      </c>
      <c r="F24" s="1046">
        <v>30</v>
      </c>
      <c r="G24" s="1046"/>
      <c r="H24" s="1046"/>
      <c r="I24" s="1046" t="s">
        <v>1342</v>
      </c>
    </row>
    <row r="25" spans="1:9">
      <c r="A25" s="1046">
        <v>13</v>
      </c>
      <c r="B25" s="1048" t="s">
        <v>72</v>
      </c>
      <c r="C25" s="1046" t="s">
        <v>44</v>
      </c>
      <c r="D25" s="1046">
        <v>200</v>
      </c>
      <c r="E25" s="1046">
        <v>620</v>
      </c>
      <c r="F25" s="1046">
        <v>30</v>
      </c>
      <c r="G25" s="1046"/>
      <c r="H25" s="1046"/>
      <c r="I25" s="1046" t="s">
        <v>1342</v>
      </c>
    </row>
    <row r="26" spans="1:9" ht="39">
      <c r="A26" s="1046"/>
      <c r="B26" s="1051" t="s">
        <v>1347</v>
      </c>
      <c r="C26" s="1047"/>
      <c r="D26" s="1047"/>
      <c r="E26" s="1045" t="s">
        <v>1936</v>
      </c>
      <c r="F26" s="1047"/>
      <c r="G26" s="1047"/>
      <c r="H26" s="1047"/>
      <c r="I26" s="1052"/>
    </row>
    <row r="27" spans="1:9">
      <c r="A27" s="1046">
        <v>14</v>
      </c>
      <c r="B27" s="1048" t="s">
        <v>75</v>
      </c>
      <c r="C27" s="1053" t="s">
        <v>76</v>
      </c>
      <c r="D27" s="1046">
        <v>20</v>
      </c>
      <c r="E27" s="1046">
        <v>490</v>
      </c>
      <c r="F27" s="1046">
        <v>250</v>
      </c>
      <c r="G27" s="1046"/>
      <c r="H27" s="1046"/>
      <c r="I27" s="1046">
        <v>10</v>
      </c>
    </row>
    <row r="28" spans="1:9">
      <c r="A28" s="1046">
        <v>15</v>
      </c>
      <c r="B28" s="1048" t="s">
        <v>62</v>
      </c>
      <c r="C28" s="1053" t="s">
        <v>76</v>
      </c>
      <c r="D28" s="1046">
        <v>30</v>
      </c>
      <c r="E28" s="1046">
        <v>140</v>
      </c>
      <c r="F28" s="1046">
        <v>250</v>
      </c>
      <c r="G28" s="1046"/>
      <c r="H28" s="1046"/>
      <c r="I28" s="1046">
        <v>10</v>
      </c>
    </row>
    <row r="29" spans="1:9" ht="13">
      <c r="A29" s="1046">
        <v>16</v>
      </c>
      <c r="B29" s="1048" t="s">
        <v>1339</v>
      </c>
      <c r="C29" s="1053" t="s">
        <v>76</v>
      </c>
      <c r="D29" s="1046">
        <v>30</v>
      </c>
      <c r="E29" s="1046">
        <v>150</v>
      </c>
      <c r="F29" s="1046">
        <v>250</v>
      </c>
      <c r="G29" s="1049"/>
      <c r="H29" s="1049"/>
      <c r="I29" s="1046">
        <v>10</v>
      </c>
    </row>
    <row r="30" spans="1:9" ht="12.75" customHeight="1">
      <c r="A30" s="1046">
        <v>17</v>
      </c>
      <c r="B30" s="1048" t="s">
        <v>1341</v>
      </c>
      <c r="C30" s="1053" t="s">
        <v>76</v>
      </c>
      <c r="D30" s="1046">
        <v>50</v>
      </c>
      <c r="E30" s="1054">
        <v>300</v>
      </c>
      <c r="F30" s="1046">
        <v>250</v>
      </c>
      <c r="G30" s="1049"/>
      <c r="H30" s="1049"/>
      <c r="I30" s="1046" t="s">
        <v>1342</v>
      </c>
    </row>
    <row r="31" spans="1:9" ht="12.75" customHeight="1">
      <c r="A31" s="1046">
        <v>18</v>
      </c>
      <c r="B31" s="1048" t="s">
        <v>276</v>
      </c>
      <c r="C31" s="1053" t="s">
        <v>76</v>
      </c>
      <c r="D31" s="1046">
        <v>250</v>
      </c>
      <c r="E31" s="2160" t="s">
        <v>1348</v>
      </c>
      <c r="F31" s="1046">
        <v>250</v>
      </c>
      <c r="G31" s="1046"/>
      <c r="H31" s="1046"/>
      <c r="I31" s="1046" t="s">
        <v>1342</v>
      </c>
    </row>
    <row r="32" spans="1:9">
      <c r="A32" s="1046">
        <v>19</v>
      </c>
      <c r="B32" s="1048" t="s">
        <v>1349</v>
      </c>
      <c r="C32" s="1053" t="s">
        <v>76</v>
      </c>
      <c r="D32" s="1046">
        <v>250</v>
      </c>
      <c r="E32" s="2160"/>
      <c r="F32" s="1046">
        <v>250</v>
      </c>
      <c r="G32" s="1046"/>
      <c r="H32" s="1046"/>
      <c r="I32" s="1046">
        <v>10</v>
      </c>
    </row>
    <row r="33" spans="1:9">
      <c r="A33" s="1046">
        <v>20</v>
      </c>
      <c r="B33" s="1048" t="s">
        <v>1350</v>
      </c>
      <c r="C33" s="1053" t="s">
        <v>76</v>
      </c>
      <c r="D33" s="1046">
        <v>150</v>
      </c>
      <c r="E33" s="2160"/>
      <c r="F33" s="1046">
        <v>250</v>
      </c>
      <c r="G33" s="1046"/>
      <c r="H33" s="1046"/>
      <c r="I33" s="1046" t="s">
        <v>1342</v>
      </c>
    </row>
    <row r="34" spans="1:9">
      <c r="A34" s="1046">
        <v>21</v>
      </c>
      <c r="B34" s="1048" t="s">
        <v>1346</v>
      </c>
      <c r="C34" s="1053" t="s">
        <v>76</v>
      </c>
      <c r="D34" s="1046">
        <v>250</v>
      </c>
      <c r="E34" s="2160"/>
      <c r="F34" s="1046">
        <v>250</v>
      </c>
      <c r="G34" s="1046"/>
      <c r="H34" s="1046"/>
      <c r="I34" s="1046" t="s">
        <v>1342</v>
      </c>
    </row>
    <row r="35" spans="1:9">
      <c r="A35" s="1046">
        <v>22</v>
      </c>
      <c r="B35" s="1048" t="s">
        <v>1351</v>
      </c>
      <c r="C35" s="1053" t="s">
        <v>76</v>
      </c>
      <c r="D35" s="1046">
        <v>250</v>
      </c>
      <c r="E35" s="2160"/>
      <c r="F35" s="1046">
        <v>250</v>
      </c>
      <c r="G35" s="1046"/>
      <c r="H35" s="1046"/>
      <c r="I35" s="1046">
        <v>10</v>
      </c>
    </row>
    <row r="36" spans="1:9">
      <c r="A36" s="1046">
        <v>23</v>
      </c>
      <c r="B36" s="1048" t="s">
        <v>72</v>
      </c>
      <c r="C36" s="1053" t="s">
        <v>76</v>
      </c>
      <c r="D36" s="1046">
        <v>250</v>
      </c>
      <c r="E36" s="2160"/>
      <c r="F36" s="1046">
        <v>250</v>
      </c>
      <c r="G36" s="1046"/>
      <c r="H36" s="1046"/>
      <c r="I36" s="1046" t="s">
        <v>1342</v>
      </c>
    </row>
    <row r="37" spans="1:9">
      <c r="A37" s="1046">
        <v>24</v>
      </c>
      <c r="B37" s="1048" t="s">
        <v>82</v>
      </c>
      <c r="C37" s="1053" t="s">
        <v>76</v>
      </c>
      <c r="D37" s="1046">
        <v>250</v>
      </c>
      <c r="E37" s="2160"/>
      <c r="F37" s="1046">
        <v>250</v>
      </c>
      <c r="G37" s="1046"/>
      <c r="H37" s="1046"/>
      <c r="I37" s="1046" t="s">
        <v>1342</v>
      </c>
    </row>
    <row r="38" spans="1:9">
      <c r="A38" s="1046">
        <v>25</v>
      </c>
      <c r="B38" s="1048" t="s">
        <v>700</v>
      </c>
      <c r="C38" s="1053" t="s">
        <v>76</v>
      </c>
      <c r="D38" s="1046">
        <v>250</v>
      </c>
      <c r="E38" s="2160"/>
      <c r="F38" s="1046">
        <v>250</v>
      </c>
      <c r="G38" s="1046"/>
      <c r="H38" s="1046"/>
      <c r="I38" s="1046" t="s">
        <v>1342</v>
      </c>
    </row>
    <row r="39" spans="1:9">
      <c r="A39" s="1046">
        <v>26</v>
      </c>
      <c r="B39" s="1048" t="s">
        <v>84</v>
      </c>
      <c r="C39" s="1053" t="s">
        <v>76</v>
      </c>
      <c r="D39" s="1046">
        <v>250</v>
      </c>
      <c r="E39" s="2160"/>
      <c r="F39" s="1046">
        <v>250</v>
      </c>
      <c r="G39" s="1046"/>
      <c r="H39" s="1046"/>
      <c r="I39" s="1046" t="s">
        <v>1342</v>
      </c>
    </row>
    <row r="40" spans="1:9">
      <c r="A40" s="1046">
        <v>27</v>
      </c>
      <c r="B40" s="1048" t="s">
        <v>1352</v>
      </c>
      <c r="C40" s="1053" t="s">
        <v>76</v>
      </c>
      <c r="D40" s="1046">
        <v>0</v>
      </c>
      <c r="E40" s="1054">
        <v>780</v>
      </c>
      <c r="F40" s="1046">
        <v>250</v>
      </c>
      <c r="G40" s="1046"/>
      <c r="H40" s="1046"/>
      <c r="I40" s="1046" t="s">
        <v>1342</v>
      </c>
    </row>
    <row r="41" spans="1:9">
      <c r="A41" s="1046">
        <v>28</v>
      </c>
      <c r="B41" s="1048" t="s">
        <v>1353</v>
      </c>
      <c r="C41" s="1053" t="s">
        <v>76</v>
      </c>
      <c r="D41" s="1046">
        <v>0</v>
      </c>
      <c r="E41" s="1046">
        <v>490</v>
      </c>
      <c r="F41" s="1046">
        <v>0</v>
      </c>
      <c r="G41" s="1046"/>
      <c r="H41" s="1046"/>
      <c r="I41" s="1046" t="s">
        <v>1342</v>
      </c>
    </row>
    <row r="42" spans="1:9" ht="39">
      <c r="A42" s="1046"/>
      <c r="B42" s="1055" t="s">
        <v>1354</v>
      </c>
      <c r="C42" s="1056"/>
      <c r="D42" s="1056"/>
      <c r="E42" s="1045" t="s">
        <v>1936</v>
      </c>
      <c r="F42" s="1056"/>
      <c r="G42" s="1056"/>
      <c r="H42" s="1056"/>
      <c r="I42" s="1057"/>
    </row>
    <row r="43" spans="1:9" ht="12.75" customHeight="1">
      <c r="A43" s="1046">
        <v>29</v>
      </c>
      <c r="B43" s="1048" t="s">
        <v>89</v>
      </c>
      <c r="C43" s="1053" t="s">
        <v>90</v>
      </c>
      <c r="D43" s="1046">
        <v>250</v>
      </c>
      <c r="E43" s="2160" t="s">
        <v>1348</v>
      </c>
      <c r="F43" s="1046">
        <v>700</v>
      </c>
      <c r="G43" s="1046"/>
      <c r="H43" s="1046"/>
      <c r="I43" s="1046" t="s">
        <v>1342</v>
      </c>
    </row>
    <row r="44" spans="1:9">
      <c r="A44" s="1046">
        <v>30</v>
      </c>
      <c r="B44" s="1048" t="s">
        <v>72</v>
      </c>
      <c r="C44" s="1053" t="s">
        <v>90</v>
      </c>
      <c r="D44" s="1046">
        <v>250</v>
      </c>
      <c r="E44" s="2160"/>
      <c r="F44" s="1046">
        <v>700</v>
      </c>
      <c r="G44" s="1046"/>
      <c r="H44" s="1046"/>
      <c r="I44" s="1046" t="s">
        <v>1342</v>
      </c>
    </row>
    <row r="45" spans="1:9">
      <c r="A45" s="1046">
        <v>31</v>
      </c>
      <c r="B45" s="1048" t="s">
        <v>84</v>
      </c>
      <c r="C45" s="1053" t="s">
        <v>90</v>
      </c>
      <c r="D45" s="1046">
        <v>250</v>
      </c>
      <c r="E45" s="2160"/>
      <c r="F45" s="1046">
        <v>700</v>
      </c>
      <c r="G45" s="1046"/>
      <c r="H45" s="1046"/>
      <c r="I45" s="1046" t="s">
        <v>1342</v>
      </c>
    </row>
    <row r="46" spans="1:9">
      <c r="A46" s="1046">
        <v>32</v>
      </c>
      <c r="B46" s="1048" t="s">
        <v>91</v>
      </c>
      <c r="C46" s="1053" t="s">
        <v>90</v>
      </c>
      <c r="D46" s="1046">
        <v>250</v>
      </c>
      <c r="E46" s="2160"/>
      <c r="F46" s="1046">
        <v>700</v>
      </c>
      <c r="G46" s="1046"/>
      <c r="H46" s="1046"/>
      <c r="I46" s="1046" t="s">
        <v>1342</v>
      </c>
    </row>
    <row r="47" spans="1:9">
      <c r="A47" s="1046">
        <v>33</v>
      </c>
      <c r="B47" s="1048" t="s">
        <v>82</v>
      </c>
      <c r="C47" s="1053" t="s">
        <v>90</v>
      </c>
      <c r="D47" s="1046">
        <v>250</v>
      </c>
      <c r="E47" s="2160"/>
      <c r="F47" s="1046">
        <v>700</v>
      </c>
      <c r="G47" s="1046"/>
      <c r="H47" s="1046"/>
      <c r="I47" s="1046" t="s">
        <v>1342</v>
      </c>
    </row>
    <row r="48" spans="1:9">
      <c r="A48" s="1046">
        <v>34</v>
      </c>
      <c r="B48" s="1048" t="s">
        <v>700</v>
      </c>
      <c r="C48" s="1053" t="s">
        <v>90</v>
      </c>
      <c r="D48" s="1046">
        <v>250</v>
      </c>
      <c r="E48" s="2160"/>
      <c r="F48" s="1046">
        <v>700</v>
      </c>
      <c r="G48" s="1046"/>
      <c r="H48" s="1046"/>
      <c r="I48" s="1046" t="s">
        <v>1342</v>
      </c>
    </row>
    <row r="49" spans="1:9">
      <c r="A49" s="1046">
        <v>35</v>
      </c>
      <c r="B49" s="1048" t="s">
        <v>1352</v>
      </c>
      <c r="C49" s="1053" t="s">
        <v>90</v>
      </c>
      <c r="D49" s="1058">
        <v>0</v>
      </c>
      <c r="E49" s="1054">
        <v>770</v>
      </c>
      <c r="F49" s="1046">
        <v>700</v>
      </c>
      <c r="G49" s="1046"/>
      <c r="H49" s="1046"/>
      <c r="I49" s="1046" t="s">
        <v>1342</v>
      </c>
    </row>
    <row r="50" spans="1:9">
      <c r="A50" s="1046">
        <v>36</v>
      </c>
      <c r="B50" s="1048" t="s">
        <v>86</v>
      </c>
      <c r="C50" s="1053" t="s">
        <v>90</v>
      </c>
      <c r="D50" s="1046">
        <v>0</v>
      </c>
      <c r="E50" s="1046">
        <v>485</v>
      </c>
      <c r="F50" s="1046">
        <v>0</v>
      </c>
      <c r="G50" s="1046"/>
      <c r="H50" s="1046"/>
      <c r="I50" s="1046" t="s">
        <v>1342</v>
      </c>
    </row>
    <row r="51" spans="1:9" ht="13">
      <c r="A51" s="1050" t="s">
        <v>1355</v>
      </c>
      <c r="B51" s="1050" t="s">
        <v>1356</v>
      </c>
      <c r="C51" s="1059"/>
      <c r="D51" s="1059"/>
      <c r="E51" s="1059"/>
      <c r="F51" s="1059"/>
      <c r="G51" s="1059"/>
      <c r="H51" s="1059"/>
      <c r="I51" s="1059"/>
    </row>
    <row r="52" spans="1:9" ht="13">
      <c r="A52" s="1059"/>
      <c r="B52" s="1060" t="s">
        <v>1357</v>
      </c>
      <c r="C52" s="1061" t="s">
        <v>76</v>
      </c>
      <c r="D52" s="1061" t="s">
        <v>90</v>
      </c>
      <c r="E52" s="1059"/>
      <c r="F52" s="1059"/>
      <c r="G52" s="1059"/>
      <c r="H52" s="1059"/>
      <c r="I52" s="1059"/>
    </row>
    <row r="53" spans="1:9">
      <c r="A53" s="1059"/>
      <c r="B53" s="1060" t="s">
        <v>1358</v>
      </c>
      <c r="C53" s="1062" t="s">
        <v>1359</v>
      </c>
      <c r="D53" s="1062" t="s">
        <v>1360</v>
      </c>
      <c r="E53" s="1059"/>
      <c r="F53" s="1059"/>
      <c r="G53" s="1059"/>
      <c r="H53" s="1059"/>
      <c r="I53" s="1059"/>
    </row>
    <row r="54" spans="1:9">
      <c r="A54" s="1059"/>
      <c r="B54" s="1060" t="s">
        <v>1361</v>
      </c>
      <c r="C54" s="1062" t="s">
        <v>1362</v>
      </c>
      <c r="D54" s="1062" t="s">
        <v>1363</v>
      </c>
      <c r="E54" s="1059"/>
      <c r="F54" s="1059"/>
      <c r="G54" s="1059"/>
      <c r="H54" s="1059"/>
      <c r="I54" s="1059"/>
    </row>
    <row r="55" spans="1:9">
      <c r="A55" s="1059"/>
      <c r="B55" s="1059"/>
      <c r="C55" s="1062"/>
      <c r="D55" s="1062"/>
      <c r="E55" s="1059"/>
      <c r="F55" s="1059"/>
      <c r="G55" s="1059"/>
      <c r="H55" s="1059"/>
      <c r="I55" s="1059"/>
    </row>
    <row r="56" spans="1:9" ht="68.25" customHeight="1">
      <c r="A56" s="1063" t="s">
        <v>1364</v>
      </c>
      <c r="B56" s="2154" t="s">
        <v>2576</v>
      </c>
      <c r="C56" s="2154"/>
      <c r="D56" s="2154"/>
      <c r="E56" s="2154"/>
      <c r="F56" s="2154"/>
      <c r="G56" s="2154"/>
      <c r="H56" s="2154"/>
      <c r="I56" s="2154"/>
    </row>
    <row r="57" spans="1:9" ht="18.75" customHeight="1">
      <c r="A57" s="1063" t="s">
        <v>1365</v>
      </c>
      <c r="B57" s="2154" t="s">
        <v>2577</v>
      </c>
      <c r="C57" s="2154"/>
      <c r="D57" s="2154"/>
      <c r="E57" s="2154"/>
      <c r="F57" s="2154"/>
      <c r="G57" s="2154"/>
      <c r="H57" s="2154"/>
      <c r="I57" s="2154"/>
    </row>
    <row r="58" spans="1:9" ht="18.75" customHeight="1">
      <c r="A58" s="1063" t="s">
        <v>1366</v>
      </c>
      <c r="B58" s="2153" t="s">
        <v>1368</v>
      </c>
      <c r="C58" s="2153"/>
      <c r="D58" s="2153"/>
      <c r="E58" s="2153"/>
      <c r="F58" s="2153"/>
      <c r="G58" s="2153"/>
      <c r="H58" s="2153"/>
      <c r="I58" s="2153"/>
    </row>
    <row r="59" spans="1:9" ht="24.75" customHeight="1">
      <c r="A59" s="1063" t="s">
        <v>1367</v>
      </c>
      <c r="B59" s="2154" t="s">
        <v>2578</v>
      </c>
      <c r="C59" s="2154"/>
      <c r="D59" s="2154"/>
      <c r="E59" s="2154"/>
      <c r="F59" s="2154"/>
      <c r="G59" s="2154"/>
      <c r="H59" s="2154"/>
      <c r="I59" s="2154"/>
    </row>
    <row r="60" spans="1:9" ht="111" customHeight="1">
      <c r="A60" s="1063" t="s">
        <v>1369</v>
      </c>
      <c r="B60" s="2154" t="s">
        <v>2579</v>
      </c>
      <c r="C60" s="2154"/>
      <c r="D60" s="2154"/>
      <c r="E60" s="2154"/>
      <c r="F60" s="2154"/>
      <c r="G60" s="2154"/>
      <c r="H60" s="2154"/>
      <c r="I60" s="2154"/>
    </row>
    <row r="61" spans="1:9" ht="66" customHeight="1">
      <c r="A61" s="1063" t="s">
        <v>1370</v>
      </c>
      <c r="B61" s="2154" t="s">
        <v>2580</v>
      </c>
      <c r="C61" s="2154"/>
      <c r="D61" s="2154"/>
      <c r="E61" s="2154"/>
      <c r="F61" s="2154"/>
      <c r="G61" s="2154"/>
      <c r="H61" s="2154"/>
      <c r="I61" s="2154"/>
    </row>
    <row r="62" spans="1:9" ht="46.5" customHeight="1">
      <c r="A62" s="1063" t="s">
        <v>1926</v>
      </c>
      <c r="B62" s="2154" t="s">
        <v>2581</v>
      </c>
      <c r="C62" s="2154"/>
      <c r="D62" s="2154"/>
      <c r="E62" s="2154"/>
      <c r="F62" s="2154"/>
      <c r="G62" s="2154"/>
      <c r="H62" s="2154"/>
      <c r="I62" s="2154"/>
    </row>
    <row r="63" spans="1:9" ht="31" customHeight="1">
      <c r="A63" s="1063" t="s">
        <v>1927</v>
      </c>
      <c r="B63" s="2153" t="s">
        <v>1921</v>
      </c>
      <c r="C63" s="2153"/>
      <c r="D63" s="2153"/>
      <c r="E63" s="2153"/>
      <c r="F63" s="2153"/>
      <c r="G63" s="2153"/>
      <c r="H63" s="2153"/>
      <c r="I63" s="2153"/>
    </row>
    <row r="64" spans="1:9" ht="81.650000000000006" customHeight="1">
      <c r="A64" s="1063" t="s">
        <v>1372</v>
      </c>
      <c r="B64" s="2153" t="s">
        <v>1922</v>
      </c>
      <c r="C64" s="2153"/>
      <c r="D64" s="2153"/>
      <c r="E64" s="2153"/>
      <c r="F64" s="2153"/>
      <c r="G64" s="2153"/>
      <c r="H64" s="2153"/>
      <c r="I64" s="2153"/>
    </row>
    <row r="65" spans="1:9" ht="22" customHeight="1">
      <c r="A65" s="1063" t="s">
        <v>1373</v>
      </c>
      <c r="B65" s="2154" t="s">
        <v>1371</v>
      </c>
      <c r="C65" s="2154"/>
      <c r="D65" s="2154"/>
      <c r="E65" s="2154"/>
      <c r="F65" s="2154"/>
      <c r="G65" s="2154"/>
      <c r="H65" s="2154"/>
      <c r="I65" s="2154"/>
    </row>
    <row r="66" spans="1:9" ht="43" customHeight="1">
      <c r="A66" s="1063" t="s">
        <v>1374</v>
      </c>
      <c r="B66" s="2154" t="s">
        <v>2582</v>
      </c>
      <c r="C66" s="2154"/>
      <c r="D66" s="2154"/>
      <c r="E66" s="2154"/>
      <c r="F66" s="2154"/>
      <c r="G66" s="2154"/>
      <c r="H66" s="2154"/>
      <c r="I66" s="2154"/>
    </row>
    <row r="67" spans="1:9" ht="35" customHeight="1">
      <c r="A67" s="1063" t="s">
        <v>1928</v>
      </c>
      <c r="B67" s="2153" t="s">
        <v>1375</v>
      </c>
      <c r="C67" s="2155"/>
      <c r="D67" s="2155"/>
      <c r="E67" s="2155"/>
      <c r="F67" s="2155"/>
      <c r="G67" s="2155"/>
      <c r="H67" s="2155"/>
      <c r="I67" s="2155"/>
    </row>
    <row r="68" spans="1:9" ht="33" customHeight="1">
      <c r="A68" s="1063" t="s">
        <v>1929</v>
      </c>
      <c r="B68" s="2153" t="s">
        <v>2583</v>
      </c>
      <c r="C68" s="2155"/>
      <c r="D68" s="2155"/>
      <c r="E68" s="2155"/>
      <c r="F68" s="2155"/>
      <c r="G68" s="2155"/>
      <c r="H68" s="2155"/>
      <c r="I68" s="2155"/>
    </row>
    <row r="69" spans="1:9" ht="44" customHeight="1">
      <c r="A69" s="1063" t="s">
        <v>1377</v>
      </c>
      <c r="B69" s="2156" t="s">
        <v>2584</v>
      </c>
      <c r="C69" s="2061"/>
      <c r="D69" s="2061"/>
      <c r="E69" s="2061"/>
      <c r="F69" s="2061"/>
      <c r="G69" s="2061"/>
      <c r="H69" s="2061"/>
      <c r="I69" s="2061"/>
    </row>
    <row r="70" spans="1:9" ht="43.5" customHeight="1">
      <c r="A70" s="1063" t="s">
        <v>1378</v>
      </c>
      <c r="B70" s="2154" t="s">
        <v>1376</v>
      </c>
      <c r="C70" s="2154"/>
      <c r="D70" s="2154"/>
      <c r="E70" s="2154"/>
      <c r="F70" s="2154"/>
      <c r="G70" s="2154"/>
      <c r="H70" s="2154"/>
      <c r="I70" s="2154"/>
    </row>
    <row r="71" spans="1:9" ht="38.5" customHeight="1">
      <c r="A71" s="1063" t="s">
        <v>1380</v>
      </c>
      <c r="B71" s="2153" t="s">
        <v>2585</v>
      </c>
      <c r="C71" s="2153"/>
      <c r="D71" s="2153"/>
      <c r="E71" s="2153"/>
      <c r="F71" s="2153"/>
      <c r="G71" s="2153"/>
      <c r="H71" s="2153"/>
      <c r="I71" s="2153"/>
    </row>
    <row r="72" spans="1:9" ht="43.5" customHeight="1">
      <c r="A72" s="1063" t="s">
        <v>1382</v>
      </c>
      <c r="B72" s="2154" t="s">
        <v>1379</v>
      </c>
      <c r="C72" s="2154"/>
      <c r="D72" s="2154"/>
      <c r="E72" s="2154"/>
      <c r="F72" s="2154"/>
      <c r="G72" s="2154"/>
      <c r="H72" s="2154"/>
      <c r="I72" s="2154"/>
    </row>
    <row r="73" spans="1:9" ht="61" customHeight="1">
      <c r="A73" s="1063" t="s">
        <v>1384</v>
      </c>
      <c r="B73" s="2154" t="s">
        <v>1381</v>
      </c>
      <c r="C73" s="2154"/>
      <c r="D73" s="2154"/>
      <c r="E73" s="2154"/>
      <c r="F73" s="2154"/>
      <c r="G73" s="2154"/>
      <c r="H73" s="2154"/>
      <c r="I73" s="2154"/>
    </row>
    <row r="74" spans="1:9" ht="56.5" customHeight="1">
      <c r="A74" s="1063" t="s">
        <v>1385</v>
      </c>
      <c r="B74" s="2154" t="s">
        <v>1383</v>
      </c>
      <c r="C74" s="2154"/>
      <c r="D74" s="2154"/>
      <c r="E74" s="2154"/>
      <c r="F74" s="2154"/>
      <c r="G74" s="2154"/>
      <c r="H74" s="2154"/>
      <c r="I74" s="2154"/>
    </row>
    <row r="75" spans="1:9" ht="72" customHeight="1">
      <c r="A75" s="1063" t="s">
        <v>1930</v>
      </c>
      <c r="B75" s="2154" t="s">
        <v>2586</v>
      </c>
      <c r="C75" s="2154"/>
      <c r="D75" s="2154"/>
      <c r="E75" s="2154"/>
      <c r="F75" s="2154"/>
      <c r="G75" s="2154"/>
      <c r="H75" s="2154"/>
      <c r="I75" s="2154"/>
    </row>
    <row r="76" spans="1:9" ht="50.5" customHeight="1">
      <c r="A76" s="1063" t="s">
        <v>1931</v>
      </c>
      <c r="B76" s="2154" t="s">
        <v>1386</v>
      </c>
      <c r="C76" s="2154"/>
      <c r="D76" s="2154"/>
      <c r="E76" s="2154"/>
      <c r="F76" s="2154"/>
      <c r="G76" s="2154"/>
      <c r="H76" s="2154"/>
      <c r="I76" s="2154"/>
    </row>
    <row r="77" spans="1:9" ht="84" customHeight="1">
      <c r="A77" s="1063" t="s">
        <v>1388</v>
      </c>
      <c r="B77" s="2154" t="s">
        <v>1387</v>
      </c>
      <c r="C77" s="2154"/>
      <c r="D77" s="2154"/>
      <c r="E77" s="2154"/>
      <c r="F77" s="2154"/>
      <c r="G77" s="2154"/>
      <c r="H77" s="2154"/>
      <c r="I77" s="2154"/>
    </row>
    <row r="78" spans="1:9" ht="45.5" customHeight="1">
      <c r="A78" s="1063" t="s">
        <v>1389</v>
      </c>
      <c r="B78" s="2154" t="s">
        <v>1923</v>
      </c>
      <c r="C78" s="2154"/>
      <c r="D78" s="2154"/>
      <c r="E78" s="2154"/>
      <c r="F78" s="2154"/>
      <c r="G78" s="2154"/>
      <c r="H78" s="2154"/>
      <c r="I78" s="2154"/>
    </row>
    <row r="79" spans="1:9" ht="34.5" customHeight="1">
      <c r="A79" s="1063" t="s">
        <v>1391</v>
      </c>
      <c r="B79" s="2154" t="s">
        <v>2587</v>
      </c>
      <c r="C79" s="2154"/>
      <c r="D79" s="2154"/>
      <c r="E79" s="2154"/>
      <c r="F79" s="2154"/>
      <c r="G79" s="2154"/>
      <c r="H79" s="2154"/>
      <c r="I79" s="2154"/>
    </row>
    <row r="80" spans="1:9" ht="23.5" customHeight="1">
      <c r="A80" s="1063" t="s">
        <v>1392</v>
      </c>
      <c r="B80" s="2154" t="s">
        <v>1390</v>
      </c>
      <c r="C80" s="2154"/>
      <c r="D80" s="2154"/>
      <c r="E80" s="2154"/>
      <c r="F80" s="2154"/>
      <c r="G80" s="2154"/>
      <c r="H80" s="2154"/>
      <c r="I80" s="2154"/>
    </row>
    <row r="81" spans="1:9" ht="46" customHeight="1">
      <c r="A81" s="1063" t="s">
        <v>1394</v>
      </c>
      <c r="B81" s="2154" t="s">
        <v>1393</v>
      </c>
      <c r="C81" s="2154"/>
      <c r="D81" s="2154"/>
      <c r="E81" s="2154"/>
      <c r="F81" s="2154"/>
      <c r="G81" s="2154"/>
      <c r="H81" s="2154"/>
      <c r="I81" s="2154"/>
    </row>
    <row r="82" spans="1:9" ht="42" customHeight="1">
      <c r="A82" s="1063" t="s">
        <v>1396</v>
      </c>
      <c r="B82" s="2154" t="s">
        <v>1395</v>
      </c>
      <c r="C82" s="2154"/>
      <c r="D82" s="2154"/>
      <c r="E82" s="2154"/>
      <c r="F82" s="2154"/>
      <c r="G82" s="2154"/>
      <c r="H82" s="2154"/>
      <c r="I82" s="2154"/>
    </row>
    <row r="83" spans="1:9" ht="56" customHeight="1">
      <c r="A83" s="1063" t="s">
        <v>1398</v>
      </c>
      <c r="B83" s="2154" t="s">
        <v>2588</v>
      </c>
      <c r="C83" s="2154"/>
      <c r="D83" s="2154"/>
      <c r="E83" s="2154"/>
      <c r="F83" s="2154"/>
      <c r="G83" s="2154"/>
      <c r="H83" s="2154"/>
      <c r="I83" s="2154"/>
    </row>
    <row r="84" spans="1:9" ht="36.5" customHeight="1">
      <c r="A84" s="1063" t="s">
        <v>1932</v>
      </c>
      <c r="B84" s="2154" t="s">
        <v>1397</v>
      </c>
      <c r="C84" s="2154"/>
      <c r="D84" s="2154"/>
      <c r="E84" s="2154"/>
      <c r="F84" s="2154"/>
      <c r="G84" s="2154"/>
      <c r="H84" s="2154"/>
      <c r="I84" s="2154"/>
    </row>
    <row r="85" spans="1:9" ht="41" customHeight="1">
      <c r="A85" s="1063" t="s">
        <v>1933</v>
      </c>
      <c r="B85" s="2154" t="s">
        <v>2589</v>
      </c>
      <c r="C85" s="2154"/>
      <c r="D85" s="2154"/>
      <c r="E85" s="2154"/>
      <c r="F85" s="2154"/>
      <c r="G85" s="2154"/>
      <c r="H85" s="2154"/>
      <c r="I85" s="2154"/>
    </row>
    <row r="86" spans="1:9" ht="42.65" customHeight="1">
      <c r="A86" s="1063" t="s">
        <v>1934</v>
      </c>
      <c r="B86" s="2154" t="s">
        <v>1924</v>
      </c>
      <c r="C86" s="2154"/>
      <c r="D86" s="2154"/>
      <c r="E86" s="2154"/>
      <c r="F86" s="2154"/>
      <c r="G86" s="2154"/>
      <c r="H86" s="2154"/>
      <c r="I86" s="2154"/>
    </row>
    <row r="87" spans="1:9" ht="49.5" customHeight="1">
      <c r="A87" s="1063" t="s">
        <v>1935</v>
      </c>
      <c r="B87" s="2154" t="s">
        <v>1925</v>
      </c>
      <c r="C87" s="2157"/>
      <c r="D87" s="2157"/>
      <c r="E87" s="2157"/>
      <c r="F87" s="2157"/>
      <c r="G87" s="2157"/>
      <c r="H87" s="2157"/>
      <c r="I87" s="2157"/>
    </row>
  </sheetData>
  <mergeCells count="36">
    <mergeCell ref="B87:I87"/>
    <mergeCell ref="A1:I1"/>
    <mergeCell ref="D5:F5"/>
    <mergeCell ref="E31:E39"/>
    <mergeCell ref="B66:I66"/>
    <mergeCell ref="E43:E48"/>
    <mergeCell ref="B56:I56"/>
    <mergeCell ref="B57:I57"/>
    <mergeCell ref="B58:I58"/>
    <mergeCell ref="B59:I59"/>
    <mergeCell ref="B60:I60"/>
    <mergeCell ref="B61:I61"/>
    <mergeCell ref="B62:I62"/>
    <mergeCell ref="B63:I63"/>
    <mergeCell ref="B85:I85"/>
    <mergeCell ref="B78:I78"/>
    <mergeCell ref="B86:I86"/>
    <mergeCell ref="B81:I81"/>
    <mergeCell ref="B82:I82"/>
    <mergeCell ref="B83:I83"/>
    <mergeCell ref="B84:I84"/>
    <mergeCell ref="B64:I64"/>
    <mergeCell ref="B65:I65"/>
    <mergeCell ref="B80:I80"/>
    <mergeCell ref="B67:I67"/>
    <mergeCell ref="B70:I70"/>
    <mergeCell ref="B71:I71"/>
    <mergeCell ref="B72:I72"/>
    <mergeCell ref="B73:I73"/>
    <mergeCell ref="B74:I74"/>
    <mergeCell ref="B75:I75"/>
    <mergeCell ref="B76:I76"/>
    <mergeCell ref="B77:I77"/>
    <mergeCell ref="B79:I79"/>
    <mergeCell ref="B68:I68"/>
    <mergeCell ref="B69:I69"/>
  </mergeCells>
  <printOptions horizontalCentered="1"/>
  <pageMargins left="0" right="0" top="0.78740157480314965" bottom="0" header="0.31496062992125984" footer="0.51181102362204722"/>
  <pageSetup paperSize="9" scale="86" orientation="portrait" r:id="rId1"/>
  <headerFooter alignWithMargins="0"/>
  <rowBreaks count="2" manualBreakCount="2">
    <brk id="55" max="8" man="1"/>
    <brk id="72" max="8"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73">
    <tabColor theme="6" tint="-0.499984740745262"/>
    <pageSetUpPr fitToPage="1"/>
  </sheetPr>
  <dimension ref="A1:P286"/>
  <sheetViews>
    <sheetView topLeftCell="A4" workbookViewId="0">
      <pane xSplit="1" ySplit="6" topLeftCell="B41" activePane="bottomRight" state="frozen"/>
      <selection activeCell="G8" sqref="G8"/>
      <selection pane="topRight" activeCell="G8" sqref="G8"/>
      <selection pane="bottomLeft" activeCell="G8" sqref="G8"/>
      <selection pane="bottomRight" activeCell="G48" sqref="G48"/>
    </sheetView>
  </sheetViews>
  <sheetFormatPr defaultRowHeight="12.5"/>
  <cols>
    <col min="1" max="1" width="22.81640625" customWidth="1"/>
    <col min="2" max="2" width="10.26953125" customWidth="1"/>
    <col min="3" max="3" width="12.1796875" customWidth="1"/>
    <col min="4" max="4" width="9.54296875" customWidth="1"/>
    <col min="5" max="5" width="29.54296875" customWidth="1"/>
    <col min="6" max="6" width="15.7265625" customWidth="1"/>
    <col min="7" max="7" width="12.81640625" customWidth="1"/>
    <col min="8" max="8" width="17" customWidth="1"/>
    <col min="9" max="9" width="13.453125" customWidth="1"/>
    <col min="10" max="10" width="11.81640625" customWidth="1"/>
    <col min="11" max="11" width="8.453125" bestFit="1" customWidth="1"/>
    <col min="12" max="12" width="30.26953125" bestFit="1" customWidth="1"/>
    <col min="18" max="18" width="13.26953125" customWidth="1"/>
  </cols>
  <sheetData>
    <row r="1" spans="1:7" ht="13">
      <c r="A1" s="2" t="s">
        <v>1492</v>
      </c>
    </row>
    <row r="2" spans="1:7" ht="13">
      <c r="A2" s="2" t="s">
        <v>1493</v>
      </c>
    </row>
    <row r="3" spans="1:7" ht="13">
      <c r="A3" s="2" t="s">
        <v>1494</v>
      </c>
    </row>
    <row r="4" spans="1:7" ht="13">
      <c r="D4" s="620" t="s">
        <v>1850</v>
      </c>
    </row>
    <row r="5" spans="1:7" ht="13">
      <c r="A5" s="347" t="s">
        <v>1495</v>
      </c>
      <c r="B5" s="181">
        <v>0</v>
      </c>
    </row>
    <row r="6" spans="1:7" ht="12.75" customHeight="1">
      <c r="A6" s="2" t="s">
        <v>1496</v>
      </c>
      <c r="B6" s="636" t="s">
        <v>1497</v>
      </c>
      <c r="C6" s="3" t="s">
        <v>1498</v>
      </c>
      <c r="D6" s="3" t="s">
        <v>1848</v>
      </c>
      <c r="E6" s="1123" t="s">
        <v>1498</v>
      </c>
      <c r="F6" s="1123" t="s">
        <v>1848</v>
      </c>
      <c r="G6" s="1123" t="s">
        <v>2219</v>
      </c>
    </row>
    <row r="7" spans="1:7">
      <c r="A7" t="s">
        <v>1499</v>
      </c>
      <c r="B7" s="7">
        <f>28570.41041*0</f>
        <v>0</v>
      </c>
      <c r="C7" s="7">
        <f>B10*0</f>
        <v>0</v>
      </c>
      <c r="D7" s="7">
        <f>C10</f>
        <v>0</v>
      </c>
      <c r="E7" s="1119">
        <v>0</v>
      </c>
      <c r="F7" s="1119">
        <f>E10</f>
        <v>0</v>
      </c>
      <c r="G7" s="1119">
        <f>F10</f>
        <v>0</v>
      </c>
    </row>
    <row r="8" spans="1:7">
      <c r="A8" s="347"/>
      <c r="C8" s="7"/>
      <c r="D8" s="7"/>
      <c r="E8" s="1119"/>
      <c r="F8" s="1119"/>
      <c r="G8" s="1119"/>
    </row>
    <row r="9" spans="1:7">
      <c r="A9" s="347" t="s">
        <v>1500</v>
      </c>
      <c r="B9">
        <v>0</v>
      </c>
      <c r="C9" s="7">
        <f>'F-23 CASHFLOW'!B32</f>
        <v>0</v>
      </c>
      <c r="D9" s="7">
        <f>'F-23 CASHFLOW'!C32</f>
        <v>0</v>
      </c>
      <c r="E9" s="1119">
        <v>0</v>
      </c>
      <c r="F9" s="1119">
        <v>0</v>
      </c>
      <c r="G9" s="1119">
        <v>0</v>
      </c>
    </row>
    <row r="10" spans="1:7">
      <c r="A10" s="347" t="s">
        <v>1501</v>
      </c>
      <c r="B10" s="7">
        <f>(B7+B8-B9)*0</f>
        <v>0</v>
      </c>
      <c r="C10" s="7">
        <f>C7+C8-C9</f>
        <v>0</v>
      </c>
      <c r="D10" s="7">
        <f>D7+D8-D9</f>
        <v>0</v>
      </c>
      <c r="E10" s="1119">
        <f>E7+E8-E9</f>
        <v>0</v>
      </c>
      <c r="F10" s="1119">
        <f t="shared" ref="F10:G10" si="0">F7+F8-F9</f>
        <v>0</v>
      </c>
      <c r="G10" s="1119">
        <f t="shared" si="0"/>
        <v>0</v>
      </c>
    </row>
    <row r="11" spans="1:7">
      <c r="E11" s="1119"/>
      <c r="F11" s="1119"/>
      <c r="G11" s="1119"/>
    </row>
    <row r="12" spans="1:7">
      <c r="A12" s="347" t="s">
        <v>1502</v>
      </c>
      <c r="B12" s="7">
        <v>0</v>
      </c>
      <c r="C12" s="7">
        <v>0</v>
      </c>
      <c r="D12" s="7">
        <v>0</v>
      </c>
      <c r="E12" s="1119">
        <v>0</v>
      </c>
      <c r="F12" s="1119">
        <v>0</v>
      </c>
      <c r="G12" s="1119">
        <v>0</v>
      </c>
    </row>
    <row r="13" spans="1:7">
      <c r="A13" s="347" t="s">
        <v>1503</v>
      </c>
      <c r="B13" s="7">
        <v>0</v>
      </c>
      <c r="C13" s="7">
        <v>0</v>
      </c>
      <c r="D13" s="7">
        <v>0</v>
      </c>
      <c r="E13" s="1119">
        <v>0</v>
      </c>
      <c r="F13" s="1119">
        <v>0</v>
      </c>
      <c r="G13" s="1119">
        <v>0</v>
      </c>
    </row>
    <row r="14" spans="1:7" ht="13">
      <c r="A14" s="3" t="s">
        <v>1504</v>
      </c>
      <c r="B14" s="12">
        <f>SUM(B12:B13)</f>
        <v>0</v>
      </c>
      <c r="C14" s="12">
        <f>SUM(C12:C13)</f>
        <v>0</v>
      </c>
      <c r="D14" s="12">
        <f>SUM(D12:D13)</f>
        <v>0</v>
      </c>
      <c r="E14" s="1120">
        <f>E12+E13</f>
        <v>0</v>
      </c>
      <c r="F14" s="1120">
        <f t="shared" ref="F14:G14" si="1">F12+F13</f>
        <v>0</v>
      </c>
      <c r="G14" s="1120">
        <f t="shared" si="1"/>
        <v>0</v>
      </c>
    </row>
    <row r="15" spans="1:7" ht="13">
      <c r="A15" s="2" t="s">
        <v>1505</v>
      </c>
      <c r="B15" s="12"/>
      <c r="C15" s="12"/>
      <c r="D15" s="12"/>
      <c r="E15" s="1121"/>
      <c r="F15" s="1121"/>
      <c r="G15" s="1121"/>
    </row>
    <row r="16" spans="1:7" ht="13">
      <c r="A16" s="347" t="s">
        <v>1506</v>
      </c>
      <c r="B16" s="181">
        <v>0</v>
      </c>
      <c r="C16" s="12"/>
      <c r="D16" s="12"/>
      <c r="E16" s="1121"/>
      <c r="F16" s="1121"/>
      <c r="G16" s="1121"/>
    </row>
    <row r="17" spans="1:8" ht="13">
      <c r="A17" s="347" t="s">
        <v>1499</v>
      </c>
      <c r="B17" s="216">
        <f>5782.32542*0</f>
        <v>0</v>
      </c>
      <c r="C17" s="12">
        <f>B20*0</f>
        <v>0</v>
      </c>
      <c r="D17" s="12">
        <f>C20*0</f>
        <v>0</v>
      </c>
      <c r="E17" s="1119">
        <f>91788/10^5</f>
        <v>0.91788000000000003</v>
      </c>
      <c r="F17" s="1119">
        <f>E20</f>
        <v>0.91788000000000003</v>
      </c>
      <c r="G17" s="1119">
        <f>F20</f>
        <v>0.91788000000000003</v>
      </c>
      <c r="H17" s="7"/>
    </row>
    <row r="18" spans="1:8">
      <c r="A18" s="347" t="s">
        <v>1507</v>
      </c>
      <c r="B18" s="631">
        <f>(15680.09982-13729.55033)*0+91788/10^5</f>
        <v>0.91788000000000003</v>
      </c>
      <c r="C18" s="216">
        <v>0</v>
      </c>
      <c r="D18" s="216">
        <v>0</v>
      </c>
      <c r="E18" s="1119">
        <v>0</v>
      </c>
      <c r="F18" s="1119">
        <v>0</v>
      </c>
      <c r="G18" s="1119">
        <v>0</v>
      </c>
    </row>
    <row r="19" spans="1:8">
      <c r="A19" s="347" t="s">
        <v>1508</v>
      </c>
      <c r="B19" s="216">
        <v>0</v>
      </c>
      <c r="C19" s="216">
        <v>0</v>
      </c>
      <c r="D19" s="216">
        <v>0</v>
      </c>
      <c r="E19" s="1119">
        <v>0</v>
      </c>
      <c r="F19" s="1119">
        <v>0</v>
      </c>
      <c r="G19" s="1119">
        <v>0</v>
      </c>
    </row>
    <row r="20" spans="1:8" ht="13">
      <c r="A20" s="347" t="s">
        <v>1501</v>
      </c>
      <c r="B20" s="634">
        <f>B17+B18-B19</f>
        <v>0.91788000000000003</v>
      </c>
      <c r="C20" s="12">
        <f>C17+C18-C19</f>
        <v>0</v>
      </c>
      <c r="D20" s="12">
        <f>D17+D18-D19</f>
        <v>0</v>
      </c>
      <c r="E20" s="1119">
        <f>E17+E18-E19</f>
        <v>0.91788000000000003</v>
      </c>
      <c r="F20" s="1119">
        <f t="shared" ref="F20:G20" si="2">F17+F18-F19</f>
        <v>0.91788000000000003</v>
      </c>
      <c r="G20" s="1119">
        <f t="shared" si="2"/>
        <v>0.91788000000000003</v>
      </c>
    </row>
    <row r="21" spans="1:8" ht="13">
      <c r="A21" s="347"/>
      <c r="B21" s="12"/>
      <c r="C21" s="12"/>
      <c r="D21" s="12"/>
      <c r="E21" s="1119"/>
      <c r="F21" s="1119"/>
      <c r="G21" s="1119"/>
    </row>
    <row r="22" spans="1:8" ht="13">
      <c r="A22" s="347" t="s">
        <v>1509</v>
      </c>
      <c r="B22" s="12">
        <f>(223.38-B23)*0</f>
        <v>0</v>
      </c>
      <c r="C22" s="12">
        <f>C17*$B$16</f>
        <v>0</v>
      </c>
      <c r="D22" s="12">
        <f>D17*$B$16</f>
        <v>0</v>
      </c>
      <c r="E22" s="1119">
        <v>0</v>
      </c>
      <c r="F22" s="1119">
        <v>0</v>
      </c>
      <c r="G22" s="1119">
        <v>0</v>
      </c>
    </row>
    <row r="23" spans="1:8" ht="13">
      <c r="A23" s="347" t="s">
        <v>1503</v>
      </c>
      <c r="B23" s="12">
        <f>115.21*0</f>
        <v>0</v>
      </c>
      <c r="C23" s="12">
        <f>C18*$B$16/2</f>
        <v>0</v>
      </c>
      <c r="D23" s="12">
        <f>D18*$B$16/2</f>
        <v>0</v>
      </c>
      <c r="E23" s="1119">
        <v>0</v>
      </c>
      <c r="F23" s="1119">
        <v>0</v>
      </c>
      <c r="G23" s="1119">
        <v>0</v>
      </c>
    </row>
    <row r="24" spans="1:8" ht="13">
      <c r="A24" s="3" t="s">
        <v>1510</v>
      </c>
      <c r="B24" s="12">
        <f>B23+B22</f>
        <v>0</v>
      </c>
      <c r="C24" s="12">
        <f>C23+C22</f>
        <v>0</v>
      </c>
      <c r="D24" s="12">
        <f>D23+D22</f>
        <v>0</v>
      </c>
      <c r="E24" s="1120">
        <f>E22+E23</f>
        <v>0</v>
      </c>
      <c r="F24" s="1120">
        <f t="shared" ref="F24:G24" si="3">F22+F23</f>
        <v>0</v>
      </c>
      <c r="G24" s="1120">
        <f t="shared" si="3"/>
        <v>0</v>
      </c>
    </row>
    <row r="25" spans="1:8" ht="13">
      <c r="A25" s="3"/>
      <c r="B25" s="12"/>
      <c r="C25" s="12"/>
      <c r="D25" s="12"/>
      <c r="E25" s="1121"/>
      <c r="F25" s="1121"/>
      <c r="G25" s="1121"/>
    </row>
    <row r="26" spans="1:8" ht="13">
      <c r="A26" s="2" t="s">
        <v>1505</v>
      </c>
      <c r="B26" s="12"/>
      <c r="C26" s="12"/>
      <c r="D26" s="12"/>
      <c r="E26" s="1121"/>
      <c r="F26" s="1121"/>
      <c r="G26" s="1121"/>
    </row>
    <row r="27" spans="1:8" ht="13">
      <c r="A27" s="347" t="s">
        <v>1506</v>
      </c>
      <c r="B27" s="181">
        <v>0</v>
      </c>
      <c r="C27" s="12"/>
      <c r="D27" s="12"/>
      <c r="E27" s="1121"/>
      <c r="F27" s="1121"/>
      <c r="G27" s="1121"/>
    </row>
    <row r="28" spans="1:8" ht="13">
      <c r="A28" s="347" t="s">
        <v>1499</v>
      </c>
      <c r="B28" s="216">
        <f>10413.40289*0</f>
        <v>0</v>
      </c>
      <c r="C28" s="12">
        <f>B31*0</f>
        <v>0</v>
      </c>
      <c r="D28" s="12">
        <f>C31</f>
        <v>0</v>
      </c>
      <c r="E28" s="1119">
        <v>0</v>
      </c>
      <c r="F28" s="1122">
        <f>E31</f>
        <v>0</v>
      </c>
      <c r="G28" s="1122">
        <f>F31</f>
        <v>0</v>
      </c>
    </row>
    <row r="29" spans="1:8">
      <c r="A29" s="347" t="s">
        <v>1507</v>
      </c>
      <c r="B29" s="216">
        <f>19.47*0</f>
        <v>0</v>
      </c>
      <c r="C29" s="216">
        <v>0</v>
      </c>
      <c r="D29" s="216">
        <v>0</v>
      </c>
      <c r="E29" s="1119">
        <v>0</v>
      </c>
      <c r="F29" s="1119">
        <v>0</v>
      </c>
      <c r="G29" s="1119">
        <v>0</v>
      </c>
    </row>
    <row r="30" spans="1:8">
      <c r="A30" s="347" t="s">
        <v>1508</v>
      </c>
      <c r="B30" s="216">
        <v>0</v>
      </c>
      <c r="C30" s="216">
        <v>0</v>
      </c>
      <c r="D30" s="216">
        <v>0</v>
      </c>
      <c r="E30" s="1119">
        <v>0</v>
      </c>
      <c r="F30" s="1119">
        <v>0</v>
      </c>
      <c r="G30" s="1119">
        <v>0</v>
      </c>
    </row>
    <row r="31" spans="1:8" ht="13">
      <c r="A31" s="347" t="s">
        <v>1501</v>
      </c>
      <c r="B31" s="12">
        <f>(B28+B29-B30)*0</f>
        <v>0</v>
      </c>
      <c r="C31" s="12">
        <f>C28+C29-C30</f>
        <v>0</v>
      </c>
      <c r="D31" s="12">
        <f>D28+D29-D30</f>
        <v>0</v>
      </c>
      <c r="E31" s="1119">
        <f>E28+E29-E30</f>
        <v>0</v>
      </c>
      <c r="F31" s="1119">
        <f t="shared" ref="F31:G31" si="4">F28+F29-F30</f>
        <v>0</v>
      </c>
      <c r="G31" s="1119">
        <f t="shared" si="4"/>
        <v>0</v>
      </c>
    </row>
    <row r="32" spans="1:8" ht="13">
      <c r="A32" s="347"/>
      <c r="B32" s="12"/>
      <c r="C32" s="12"/>
      <c r="D32" s="12"/>
      <c r="E32" s="1119"/>
      <c r="F32" s="1121"/>
      <c r="G32" s="1121"/>
    </row>
    <row r="33" spans="1:8" ht="13">
      <c r="A33" s="347" t="s">
        <v>1509</v>
      </c>
      <c r="B33" s="12">
        <v>0</v>
      </c>
      <c r="C33" s="12">
        <v>0</v>
      </c>
      <c r="D33" s="12">
        <f>D28*$B$27</f>
        <v>0</v>
      </c>
      <c r="E33" s="1119">
        <v>0</v>
      </c>
      <c r="F33" s="1119">
        <v>0</v>
      </c>
      <c r="G33" s="1119">
        <v>0</v>
      </c>
    </row>
    <row r="34" spans="1:8" ht="13">
      <c r="A34" s="347" t="s">
        <v>1503</v>
      </c>
      <c r="B34" s="12">
        <v>0</v>
      </c>
      <c r="C34" s="7">
        <f>C29*$B$27/4</f>
        <v>0</v>
      </c>
      <c r="D34" s="7">
        <f>D29*$B$27/2</f>
        <v>0</v>
      </c>
      <c r="E34" s="1119">
        <v>0</v>
      </c>
      <c r="F34" s="1119">
        <v>0</v>
      </c>
      <c r="G34" s="1119">
        <v>0</v>
      </c>
    </row>
    <row r="35" spans="1:8" ht="13">
      <c r="A35" s="3" t="s">
        <v>1511</v>
      </c>
      <c r="B35" s="12">
        <f>B34+B33</f>
        <v>0</v>
      </c>
      <c r="C35" s="12">
        <f>C34+C33</f>
        <v>0</v>
      </c>
      <c r="D35" s="12">
        <f>D34+D33</f>
        <v>0</v>
      </c>
      <c r="E35" s="1120">
        <f>E33+E34</f>
        <v>0</v>
      </c>
      <c r="F35" s="1120">
        <f t="shared" ref="F35:G35" si="5">F33+F34</f>
        <v>0</v>
      </c>
      <c r="G35" s="1120">
        <f t="shared" si="5"/>
        <v>0</v>
      </c>
    </row>
    <row r="36" spans="1:8" ht="13">
      <c r="A36" s="2" t="s">
        <v>2435</v>
      </c>
      <c r="B36" s="7"/>
      <c r="E36" s="1121"/>
      <c r="F36" s="1121"/>
      <c r="G36" s="1121"/>
    </row>
    <row r="37" spans="1:8" ht="13">
      <c r="A37" s="347" t="s">
        <v>1506</v>
      </c>
      <c r="B37" s="182">
        <v>0</v>
      </c>
      <c r="E37" s="1121"/>
      <c r="F37" s="1121"/>
      <c r="G37" s="1121"/>
    </row>
    <row r="38" spans="1:8">
      <c r="A38" s="347" t="s">
        <v>1499</v>
      </c>
      <c r="B38" s="7">
        <f>9095.91571*0</f>
        <v>0</v>
      </c>
      <c r="C38" s="7">
        <f>B41*0</f>
        <v>0</v>
      </c>
      <c r="D38" s="7">
        <f>C41</f>
        <v>0</v>
      </c>
      <c r="E38" s="1119">
        <v>0</v>
      </c>
      <c r="F38" s="1119">
        <f>E41</f>
        <v>0</v>
      </c>
      <c r="G38" s="1119">
        <f>F41</f>
        <v>0</v>
      </c>
    </row>
    <row r="39" spans="1:8">
      <c r="A39" s="347" t="s">
        <v>1507</v>
      </c>
      <c r="B39" s="7">
        <v>0</v>
      </c>
      <c r="C39" s="7">
        <v>0</v>
      </c>
      <c r="D39" s="7">
        <v>0</v>
      </c>
      <c r="E39" s="1119">
        <v>0</v>
      </c>
      <c r="F39" s="1119">
        <v>0</v>
      </c>
      <c r="G39" s="1119">
        <v>0</v>
      </c>
    </row>
    <row r="40" spans="1:8">
      <c r="A40" s="347" t="s">
        <v>1508</v>
      </c>
      <c r="C40" s="7">
        <v>0</v>
      </c>
      <c r="D40" s="7">
        <f>C38/20*2</f>
        <v>0</v>
      </c>
      <c r="E40" s="1119">
        <v>0</v>
      </c>
      <c r="F40" s="1119">
        <v>0</v>
      </c>
      <c r="G40" s="1119">
        <v>0</v>
      </c>
    </row>
    <row r="41" spans="1:8" ht="13">
      <c r="A41" s="347" t="s">
        <v>1501</v>
      </c>
      <c r="B41" s="7">
        <f>(B38+B39-B40)*0</f>
        <v>0</v>
      </c>
      <c r="C41" s="7">
        <f>C38+C39-C40</f>
        <v>0</v>
      </c>
      <c r="D41" s="7">
        <f>D38+D39-D40</f>
        <v>0</v>
      </c>
      <c r="E41" s="1120">
        <f>E38+E39-E40</f>
        <v>0</v>
      </c>
      <c r="F41" s="1120">
        <f t="shared" ref="F41:G41" si="6">F38+F39-F40</f>
        <v>0</v>
      </c>
      <c r="G41" s="1120">
        <f t="shared" si="6"/>
        <v>0</v>
      </c>
    </row>
    <row r="42" spans="1:8">
      <c r="A42" s="347"/>
      <c r="E42" s="1121"/>
      <c r="F42" s="1121"/>
      <c r="G42" s="1121"/>
    </row>
    <row r="43" spans="1:8">
      <c r="A43" s="347" t="s">
        <v>1509</v>
      </c>
      <c r="B43" s="478">
        <f>(B38*B37*0+886.85)*0</f>
        <v>0</v>
      </c>
      <c r="C43" s="7">
        <f>C38*B37</f>
        <v>0</v>
      </c>
      <c r="D43" s="7">
        <f>D38*B37</f>
        <v>0</v>
      </c>
      <c r="E43" s="1119">
        <f>51224853.53/10^5</f>
        <v>512.24853529999996</v>
      </c>
      <c r="F43" s="1119">
        <v>500</v>
      </c>
      <c r="G43" s="1119">
        <v>500</v>
      </c>
    </row>
    <row r="44" spans="1:8">
      <c r="A44" s="347" t="s">
        <v>1503</v>
      </c>
      <c r="B44" s="7">
        <v>0</v>
      </c>
      <c r="C44" s="7">
        <v>0</v>
      </c>
      <c r="D44" s="7">
        <v>0</v>
      </c>
      <c r="E44" s="1119">
        <v>0</v>
      </c>
      <c r="F44" s="1119">
        <v>0</v>
      </c>
      <c r="G44" s="1119">
        <v>0</v>
      </c>
    </row>
    <row r="45" spans="1:8" ht="13">
      <c r="A45" s="3" t="s">
        <v>1512</v>
      </c>
      <c r="B45" s="12">
        <f>B44+B43</f>
        <v>0</v>
      </c>
      <c r="C45" s="12">
        <f>C44+C43</f>
        <v>0</v>
      </c>
      <c r="D45" s="12">
        <f>D44+D43</f>
        <v>0</v>
      </c>
      <c r="E45" s="1120">
        <f>E43+E44</f>
        <v>512.24853529999996</v>
      </c>
      <c r="F45" s="1120">
        <f t="shared" ref="F45:G45" si="7">F43+F44</f>
        <v>500</v>
      </c>
      <c r="G45" s="1120">
        <f t="shared" si="7"/>
        <v>500</v>
      </c>
    </row>
    <row r="46" spans="1:8" ht="10.5" customHeight="1">
      <c r="E46" s="1109"/>
      <c r="F46" s="1109"/>
      <c r="G46" s="1223">
        <v>9.1999999999999998E-2</v>
      </c>
      <c r="H46" s="2" t="s">
        <v>2442</v>
      </c>
    </row>
    <row r="47" spans="1:8" ht="13">
      <c r="A47" s="2" t="s">
        <v>2069</v>
      </c>
      <c r="E47" s="872"/>
      <c r="F47" s="1222">
        <v>9.1999999999999998E-2</v>
      </c>
      <c r="G47" s="1222">
        <v>8.5000000000000006E-2</v>
      </c>
      <c r="H47" s="2" t="s">
        <v>2443</v>
      </c>
    </row>
    <row r="48" spans="1:8" ht="13">
      <c r="A48" s="347" t="s">
        <v>1506</v>
      </c>
      <c r="B48" s="181">
        <v>0.08</v>
      </c>
      <c r="C48" s="870">
        <f>7.55%+3%</f>
        <v>0.1055</v>
      </c>
      <c r="D48" s="870">
        <f>8.7%+3%</f>
        <v>0.11699999999999999</v>
      </c>
      <c r="E48" s="1093">
        <v>9.1999999999999998E-2</v>
      </c>
      <c r="F48" s="1093">
        <v>8.5000000000000006E-2</v>
      </c>
      <c r="G48" s="1093">
        <f>10.1%+1.5%</f>
        <v>0.11599999999999999</v>
      </c>
      <c r="H48" s="347" t="s">
        <v>2444</v>
      </c>
    </row>
    <row r="49" spans="1:12" ht="13">
      <c r="A49" s="347" t="s">
        <v>1499</v>
      </c>
      <c r="B49" s="7">
        <v>0</v>
      </c>
      <c r="C49" s="7">
        <f>(SUM(CWIP!K30:K34)+CWIP!K27)*0.7</f>
        <v>34917.44862529001</v>
      </c>
      <c r="D49" s="7">
        <f>C52</f>
        <v>47645.598120390176</v>
      </c>
      <c r="E49" s="873">
        <v>5000</v>
      </c>
      <c r="F49" s="873">
        <f>E52</f>
        <v>22379.36249</v>
      </c>
      <c r="G49" s="873">
        <f>F52</f>
        <v>35665.553742999997</v>
      </c>
      <c r="H49" s="2"/>
      <c r="I49" s="206"/>
    </row>
    <row r="50" spans="1:12">
      <c r="A50" s="347" t="s">
        <v>1507</v>
      </c>
      <c r="B50" s="637">
        <v>5000</v>
      </c>
      <c r="C50" s="202">
        <v>19711.639220158169</v>
      </c>
      <c r="D50">
        <v>24619.563128491627</v>
      </c>
      <c r="E50" s="873">
        <f>15681.36249+1698</f>
        <v>17379.36249</v>
      </c>
      <c r="F50" s="1110">
        <f>5000+15000</f>
        <v>20000</v>
      </c>
      <c r="G50" s="873">
        <f>25000+10000</f>
        <v>35000</v>
      </c>
      <c r="H50" s="8"/>
      <c r="I50" s="202"/>
      <c r="J50" s="7"/>
      <c r="L50" s="212"/>
    </row>
    <row r="51" spans="1:12">
      <c r="A51" s="347" t="s">
        <v>1508</v>
      </c>
      <c r="B51" s="7">
        <v>0</v>
      </c>
      <c r="C51" s="7">
        <f>C49*0.2</f>
        <v>6983.4897250580025</v>
      </c>
      <c r="D51">
        <f>D49*0.15</f>
        <v>7146.8397180585262</v>
      </c>
      <c r="E51" s="874">
        <v>0</v>
      </c>
      <c r="F51" s="1225">
        <f>F49*0.3</f>
        <v>6713.808747</v>
      </c>
      <c r="G51" s="1225">
        <f>G49*0.3</f>
        <v>10699.666122899998</v>
      </c>
      <c r="H51" s="97"/>
      <c r="J51" s="97"/>
      <c r="L51" s="7"/>
    </row>
    <row r="52" spans="1:12">
      <c r="A52" s="347" t="s">
        <v>1501</v>
      </c>
      <c r="B52" s="638">
        <f t="shared" ref="B52:G52" si="8">B49+B50-B51</f>
        <v>5000</v>
      </c>
      <c r="C52" s="202">
        <f t="shared" si="8"/>
        <v>47645.598120390176</v>
      </c>
      <c r="D52" s="7">
        <f t="shared" si="8"/>
        <v>65118.321530823283</v>
      </c>
      <c r="E52" s="873">
        <f t="shared" si="8"/>
        <v>22379.36249</v>
      </c>
      <c r="F52" s="873">
        <f t="shared" si="8"/>
        <v>35665.553742999997</v>
      </c>
      <c r="G52" s="873">
        <f t="shared" si="8"/>
        <v>59965.887620099995</v>
      </c>
      <c r="H52" s="97"/>
      <c r="I52" s="9"/>
      <c r="J52" s="97"/>
      <c r="L52" s="7"/>
    </row>
    <row r="53" spans="1:12">
      <c r="A53" s="347"/>
      <c r="E53" s="874"/>
      <c r="F53" s="874"/>
      <c r="G53" s="874"/>
      <c r="H53" s="97"/>
      <c r="J53" s="97"/>
      <c r="L53" s="7"/>
    </row>
    <row r="54" spans="1:12">
      <c r="A54" s="347" t="s">
        <v>1509</v>
      </c>
      <c r="B54" s="7">
        <v>0</v>
      </c>
      <c r="C54" s="7">
        <f>C49*$C48</f>
        <v>3683.7908299680957</v>
      </c>
      <c r="D54" s="7">
        <f>D49*$D48</f>
        <v>5574.5349800856502</v>
      </c>
      <c r="E54" s="2161">
        <f>115772438.89/10^5</f>
        <v>1157.7243888999999</v>
      </c>
      <c r="F54" s="873">
        <f>F49*F47</f>
        <v>2058.9013490799998</v>
      </c>
      <c r="G54" s="873">
        <f>G49*AVERAGE(G46:G47)</f>
        <v>3156.4015062554995</v>
      </c>
      <c r="H54" s="97"/>
      <c r="J54" s="97"/>
      <c r="L54" s="7"/>
    </row>
    <row r="55" spans="1:12">
      <c r="A55" s="347" t="s">
        <v>1503</v>
      </c>
      <c r="B55" s="630">
        <f>0.473219178*100</f>
        <v>47.321917800000001</v>
      </c>
      <c r="C55" s="7">
        <f>C50*$C48*2/12</f>
        <v>346.59632295444777</v>
      </c>
      <c r="D55" s="7">
        <f>D50*$D48*4/12</f>
        <v>960.16296201117336</v>
      </c>
      <c r="E55" s="2162"/>
      <c r="F55" s="873">
        <f>F48*F50*2/12</f>
        <v>283.33333333333337</v>
      </c>
      <c r="G55" s="873">
        <f>G48*G50*4/12</f>
        <v>1353.3333333333333</v>
      </c>
      <c r="H55" s="97"/>
      <c r="I55" s="9"/>
      <c r="J55" s="97"/>
      <c r="L55" s="7"/>
    </row>
    <row r="56" spans="1:12" ht="13">
      <c r="A56" s="3" t="s">
        <v>1514</v>
      </c>
      <c r="B56" s="12">
        <f>B55+B54</f>
        <v>47.321917800000001</v>
      </c>
      <c r="C56" s="12">
        <f>C55+C54</f>
        <v>4030.3871529225435</v>
      </c>
      <c r="D56" s="12">
        <f>D54+D55</f>
        <v>6534.6979420968237</v>
      </c>
      <c r="E56" s="875">
        <f>E54+E55</f>
        <v>1157.7243888999999</v>
      </c>
      <c r="F56" s="875">
        <f>F54+F55</f>
        <v>2342.2346824133333</v>
      </c>
      <c r="G56" s="875">
        <f>G54+G55</f>
        <v>4509.734839588833</v>
      </c>
      <c r="H56" s="97"/>
      <c r="J56" s="97"/>
      <c r="L56" s="7"/>
    </row>
    <row r="57" spans="1:12" ht="13">
      <c r="A57" s="347"/>
      <c r="C57" s="146"/>
      <c r="D57" s="146"/>
      <c r="E57" s="1109"/>
      <c r="F57" s="1109"/>
      <c r="G57" s="1111"/>
      <c r="H57" s="97"/>
      <c r="J57" s="97"/>
      <c r="L57" s="7"/>
    </row>
    <row r="58" spans="1:12" ht="13">
      <c r="E58" s="1109"/>
      <c r="F58" s="1109"/>
      <c r="G58" s="1109"/>
      <c r="I58" s="2"/>
      <c r="K58" s="12"/>
      <c r="L58" s="12"/>
    </row>
    <row r="59" spans="1:12" ht="13">
      <c r="A59" s="2" t="s">
        <v>1515</v>
      </c>
      <c r="E59" s="1109"/>
      <c r="F59" s="1109"/>
      <c r="G59" s="1109"/>
    </row>
    <row r="60" spans="1:12" ht="13">
      <c r="A60" s="347" t="s">
        <v>1506</v>
      </c>
      <c r="B60" s="183">
        <v>0</v>
      </c>
      <c r="E60" s="1109"/>
      <c r="F60" s="1109"/>
      <c r="G60" s="1109"/>
      <c r="I60" s="7"/>
      <c r="L60" s="7"/>
    </row>
    <row r="61" spans="1:12">
      <c r="A61" s="347" t="s">
        <v>1499</v>
      </c>
      <c r="B61" s="7">
        <v>0</v>
      </c>
      <c r="C61" s="7">
        <f>B64*0</f>
        <v>0</v>
      </c>
      <c r="D61" s="7">
        <f>C64</f>
        <v>0</v>
      </c>
      <c r="E61" s="1119">
        <v>0</v>
      </c>
      <c r="F61" s="1119">
        <f>E64</f>
        <v>0</v>
      </c>
      <c r="G61" s="1119">
        <f>F64</f>
        <v>0</v>
      </c>
    </row>
    <row r="62" spans="1:12">
      <c r="A62" s="347" t="s">
        <v>1507</v>
      </c>
      <c r="B62" s="7">
        <v>0</v>
      </c>
      <c r="C62" s="7">
        <f>'F-23 CASHFLOW'!B16</f>
        <v>0</v>
      </c>
      <c r="D62" s="7">
        <f>'F-23 CASHFLOW'!C16</f>
        <v>0</v>
      </c>
      <c r="E62" s="1119">
        <v>0</v>
      </c>
      <c r="F62" s="1119">
        <v>0</v>
      </c>
      <c r="G62" s="1119">
        <v>0</v>
      </c>
      <c r="H62" s="211"/>
    </row>
    <row r="63" spans="1:12">
      <c r="A63" s="347" t="s">
        <v>1508</v>
      </c>
      <c r="E63" s="1119">
        <v>0</v>
      </c>
      <c r="F63" s="1119">
        <v>0</v>
      </c>
      <c r="G63" s="1119">
        <v>0</v>
      </c>
      <c r="H63" s="213"/>
      <c r="L63" s="7"/>
    </row>
    <row r="64" spans="1:12">
      <c r="A64" s="347" t="s">
        <v>1501</v>
      </c>
      <c r="B64" s="7">
        <f>(B61+B62-B63)*0</f>
        <v>0</v>
      </c>
      <c r="C64" s="7">
        <f>C61+C62-C63</f>
        <v>0</v>
      </c>
      <c r="D64" s="7">
        <f>D61+D62-D63</f>
        <v>0</v>
      </c>
      <c r="E64" s="1119">
        <f>E61+E62-E63</f>
        <v>0</v>
      </c>
      <c r="F64" s="1119">
        <f t="shared" ref="F64:G64" si="9">F61+F62-F63</f>
        <v>0</v>
      </c>
      <c r="G64" s="1119">
        <f t="shared" si="9"/>
        <v>0</v>
      </c>
      <c r="H64" s="213"/>
    </row>
    <row r="65" spans="1:9">
      <c r="A65" s="347"/>
      <c r="E65" s="1119"/>
      <c r="F65" s="1119"/>
      <c r="G65" s="1119"/>
    </row>
    <row r="66" spans="1:9">
      <c r="A66" s="347" t="s">
        <v>1509</v>
      </c>
      <c r="B66" s="7">
        <v>0</v>
      </c>
      <c r="C66" s="7">
        <f>B61*$B$60*0</f>
        <v>0</v>
      </c>
      <c r="D66" s="7">
        <f>B61*$B$60*0</f>
        <v>0</v>
      </c>
      <c r="E66" s="1119">
        <v>0</v>
      </c>
      <c r="F66" s="1119">
        <v>0</v>
      </c>
      <c r="G66" s="1119">
        <v>0</v>
      </c>
    </row>
    <row r="67" spans="1:9">
      <c r="A67" s="347" t="s">
        <v>1503</v>
      </c>
      <c r="B67" s="7">
        <v>0</v>
      </c>
      <c r="C67" s="7">
        <f>C62*$B$60/2</f>
        <v>0</v>
      </c>
      <c r="D67" s="7">
        <f>D62*$B$60/2</f>
        <v>0</v>
      </c>
      <c r="E67" s="1119">
        <v>0</v>
      </c>
      <c r="F67" s="1119">
        <v>0</v>
      </c>
      <c r="G67" s="1119">
        <v>0</v>
      </c>
    </row>
    <row r="68" spans="1:9" ht="13">
      <c r="A68" s="3" t="s">
        <v>1034</v>
      </c>
      <c r="B68" s="12">
        <f>B67+B66</f>
        <v>0</v>
      </c>
      <c r="C68" s="12">
        <f>C67+C66</f>
        <v>0</v>
      </c>
      <c r="D68" s="12">
        <f>D67+D66</f>
        <v>0</v>
      </c>
      <c r="E68" s="1120">
        <f>E66+E67</f>
        <v>0</v>
      </c>
      <c r="F68" s="1120">
        <f t="shared" ref="F68:G68" si="10">F66+F67</f>
        <v>0</v>
      </c>
      <c r="G68" s="1120">
        <f t="shared" si="10"/>
        <v>0</v>
      </c>
    </row>
    <row r="69" spans="1:9">
      <c r="E69" s="1109"/>
      <c r="F69" s="1109"/>
      <c r="G69" s="1109"/>
    </row>
    <row r="70" spans="1:9" ht="13">
      <c r="A70" s="2" t="s">
        <v>1516</v>
      </c>
      <c r="E70" s="1109"/>
      <c r="F70" s="1109"/>
      <c r="G70" s="1109"/>
    </row>
    <row r="71" spans="1:9" ht="13">
      <c r="A71" s="347" t="s">
        <v>1506</v>
      </c>
      <c r="B71" s="152">
        <v>0</v>
      </c>
      <c r="E71" s="1109"/>
      <c r="F71" s="1112"/>
      <c r="G71" s="1109"/>
    </row>
    <row r="72" spans="1:9">
      <c r="A72" s="347" t="s">
        <v>1499</v>
      </c>
      <c r="B72">
        <v>0</v>
      </c>
      <c r="C72" s="7">
        <f>B75</f>
        <v>0</v>
      </c>
      <c r="D72" s="7">
        <f>C75</f>
        <v>0</v>
      </c>
      <c r="E72" s="1121">
        <v>0</v>
      </c>
      <c r="F72" s="1121">
        <f>E75</f>
        <v>0</v>
      </c>
      <c r="G72" s="1121">
        <f>F75</f>
        <v>0</v>
      </c>
      <c r="I72" s="223"/>
    </row>
    <row r="73" spans="1:9">
      <c r="A73" s="347" t="s">
        <v>1507</v>
      </c>
      <c r="B73" s="7">
        <v>0</v>
      </c>
      <c r="C73" s="7">
        <f>'F-23 CASHFLOW'!B17</f>
        <v>0</v>
      </c>
      <c r="D73" s="7">
        <f>'F-23 CASHFLOW'!C17</f>
        <v>0</v>
      </c>
      <c r="E73" s="1121">
        <v>0</v>
      </c>
      <c r="F73" s="1121">
        <v>0</v>
      </c>
      <c r="G73" s="1121">
        <v>0</v>
      </c>
      <c r="I73" s="97"/>
    </row>
    <row r="74" spans="1:9">
      <c r="A74" s="347" t="s">
        <v>1508</v>
      </c>
      <c r="B74" s="7">
        <v>0</v>
      </c>
      <c r="C74" s="7">
        <v>0</v>
      </c>
      <c r="D74" s="7">
        <v>0</v>
      </c>
      <c r="E74" s="1121">
        <v>0</v>
      </c>
      <c r="F74" s="1121">
        <v>0</v>
      </c>
      <c r="G74" s="1121">
        <v>0</v>
      </c>
    </row>
    <row r="75" spans="1:9">
      <c r="A75" s="347" t="s">
        <v>1501</v>
      </c>
      <c r="B75" s="7">
        <f>B72+B73-B74</f>
        <v>0</v>
      </c>
      <c r="C75" s="7">
        <f>C72+C73-C74</f>
        <v>0</v>
      </c>
      <c r="D75" s="7">
        <f>D72+D73-D74</f>
        <v>0</v>
      </c>
      <c r="E75" s="1121">
        <f>E72+E73-E74</f>
        <v>0</v>
      </c>
      <c r="F75" s="1121">
        <f t="shared" ref="F75:G75" si="11">F72+F73-F74</f>
        <v>0</v>
      </c>
      <c r="G75" s="1121">
        <f t="shared" si="11"/>
        <v>0</v>
      </c>
    </row>
    <row r="76" spans="1:9">
      <c r="A76" s="347"/>
      <c r="E76" s="1121"/>
      <c r="F76" s="1121"/>
      <c r="G76" s="1121"/>
    </row>
    <row r="77" spans="1:9">
      <c r="A77" s="347" t="s">
        <v>1509</v>
      </c>
      <c r="B77" s="7">
        <v>0</v>
      </c>
      <c r="C77" s="7">
        <f>C72*B71</f>
        <v>0</v>
      </c>
      <c r="D77" s="7">
        <f>D72*B71</f>
        <v>0</v>
      </c>
      <c r="E77" s="1121">
        <v>0</v>
      </c>
      <c r="F77" s="1121">
        <v>0</v>
      </c>
      <c r="G77" s="1121">
        <v>0</v>
      </c>
    </row>
    <row r="78" spans="1:9">
      <c r="A78" s="347" t="s">
        <v>1503</v>
      </c>
      <c r="B78" s="216">
        <v>0</v>
      </c>
      <c r="C78" s="7">
        <f>C73*$B$71/12*6</f>
        <v>0</v>
      </c>
      <c r="D78" s="7">
        <f>D73*$B$71/12*6</f>
        <v>0</v>
      </c>
      <c r="E78" s="1121">
        <v>0</v>
      </c>
      <c r="F78" s="1121">
        <v>0</v>
      </c>
      <c r="G78" s="1121">
        <v>0</v>
      </c>
    </row>
    <row r="79" spans="1:9" ht="13">
      <c r="A79" s="3" t="s">
        <v>1034</v>
      </c>
      <c r="B79" s="12">
        <f>B78+B77</f>
        <v>0</v>
      </c>
      <c r="C79" s="12">
        <f>C78+C77</f>
        <v>0</v>
      </c>
      <c r="D79" s="12">
        <f>D78+D77</f>
        <v>0</v>
      </c>
      <c r="E79" s="1124">
        <f>E77+E78</f>
        <v>0</v>
      </c>
      <c r="F79" s="1124">
        <f t="shared" ref="F79:G79" si="12">F77+F78</f>
        <v>0</v>
      </c>
      <c r="G79" s="1124">
        <f t="shared" si="12"/>
        <v>0</v>
      </c>
    </row>
    <row r="80" spans="1:9" ht="13">
      <c r="A80" s="3"/>
      <c r="B80" s="12"/>
      <c r="C80" s="12"/>
      <c r="D80" s="12"/>
      <c r="E80" s="1109"/>
      <c r="F80" s="1109"/>
      <c r="G80" s="1109"/>
    </row>
    <row r="81" spans="1:16" ht="13">
      <c r="A81" s="2" t="s">
        <v>1517</v>
      </c>
      <c r="E81" s="1109"/>
      <c r="F81" s="1109"/>
      <c r="G81" s="1109"/>
    </row>
    <row r="82" spans="1:16" ht="13">
      <c r="A82" s="347" t="s">
        <v>1506</v>
      </c>
      <c r="B82" s="152">
        <v>0</v>
      </c>
      <c r="E82" s="1109"/>
      <c r="F82" s="1109"/>
      <c r="G82" s="1109"/>
    </row>
    <row r="83" spans="1:16">
      <c r="A83" s="347" t="s">
        <v>1499</v>
      </c>
      <c r="B83">
        <v>0</v>
      </c>
      <c r="C83" s="7">
        <f>B86</f>
        <v>0</v>
      </c>
      <c r="D83" s="7">
        <f>C86</f>
        <v>0</v>
      </c>
      <c r="E83" s="1121">
        <v>0</v>
      </c>
      <c r="F83" s="1121">
        <f>E86</f>
        <v>0</v>
      </c>
      <c r="G83" s="1121">
        <f>F86</f>
        <v>0</v>
      </c>
    </row>
    <row r="84" spans="1:16">
      <c r="A84" s="347" t="s">
        <v>1507</v>
      </c>
      <c r="B84" s="7">
        <v>0</v>
      </c>
      <c r="C84" s="7">
        <f>'F-23 CASHFLOW'!B18</f>
        <v>0</v>
      </c>
      <c r="D84" s="7">
        <f>'F-23 CASHFLOW'!C18</f>
        <v>0</v>
      </c>
      <c r="E84" s="1121">
        <v>0</v>
      </c>
      <c r="F84" s="1121">
        <v>0</v>
      </c>
      <c r="G84" s="1121">
        <v>0</v>
      </c>
    </row>
    <row r="85" spans="1:16">
      <c r="A85" s="347" t="s">
        <v>1508</v>
      </c>
      <c r="B85" s="7">
        <v>0</v>
      </c>
      <c r="C85" s="7">
        <v>0</v>
      </c>
      <c r="D85" s="7">
        <v>0</v>
      </c>
      <c r="E85" s="1121">
        <v>0</v>
      </c>
      <c r="F85" s="1121">
        <v>0</v>
      </c>
      <c r="G85" s="1121">
        <v>0</v>
      </c>
    </row>
    <row r="86" spans="1:16">
      <c r="A86" s="347" t="s">
        <v>1501</v>
      </c>
      <c r="B86" s="7">
        <f>B83+B84-B85</f>
        <v>0</v>
      </c>
      <c r="C86" s="7">
        <f>C83+C84-C85</f>
        <v>0</v>
      </c>
      <c r="D86" s="7">
        <f>D83+D84-D85</f>
        <v>0</v>
      </c>
      <c r="E86" s="1121">
        <f>E83+E84-E85</f>
        <v>0</v>
      </c>
      <c r="F86" s="1121">
        <f t="shared" ref="F86:G86" si="13">F83+F84-F85</f>
        <v>0</v>
      </c>
      <c r="G86" s="1121">
        <f t="shared" si="13"/>
        <v>0</v>
      </c>
    </row>
    <row r="87" spans="1:16">
      <c r="A87" s="347"/>
      <c r="E87" s="1121"/>
      <c r="F87" s="1121"/>
      <c r="G87" s="1121"/>
    </row>
    <row r="88" spans="1:16">
      <c r="A88" s="347" t="s">
        <v>1509</v>
      </c>
      <c r="B88" s="7">
        <v>0</v>
      </c>
      <c r="C88" s="7">
        <f>C83*B82</f>
        <v>0</v>
      </c>
      <c r="D88" s="7">
        <f>D83*B82</f>
        <v>0</v>
      </c>
      <c r="E88" s="1121">
        <v>0</v>
      </c>
      <c r="F88" s="1121">
        <v>0</v>
      </c>
      <c r="G88" s="1121">
        <v>0</v>
      </c>
    </row>
    <row r="89" spans="1:16">
      <c r="A89" s="347" t="s">
        <v>1503</v>
      </c>
      <c r="B89" s="216">
        <v>0</v>
      </c>
      <c r="C89" s="7">
        <f>C84*$B$82/12*6</f>
        <v>0</v>
      </c>
      <c r="D89" s="7">
        <f>D84*$B$82/12*1</f>
        <v>0</v>
      </c>
      <c r="E89" s="1121">
        <v>0</v>
      </c>
      <c r="F89" s="1121">
        <v>0</v>
      </c>
      <c r="G89" s="1121">
        <v>0</v>
      </c>
    </row>
    <row r="90" spans="1:16" ht="13">
      <c r="A90" s="3" t="s">
        <v>1034</v>
      </c>
      <c r="B90" s="12">
        <f>B89+B88</f>
        <v>0</v>
      </c>
      <c r="C90" s="12">
        <f>C89+C88</f>
        <v>0</v>
      </c>
      <c r="D90" s="12">
        <f>D89+D88</f>
        <v>0</v>
      </c>
      <c r="E90" s="1124">
        <f>E88+E89</f>
        <v>0</v>
      </c>
      <c r="F90" s="1124">
        <f t="shared" ref="F90:G90" si="14">F88+F89</f>
        <v>0</v>
      </c>
      <c r="G90" s="1124">
        <f t="shared" si="14"/>
        <v>0</v>
      </c>
    </row>
    <row r="91" spans="1:16" ht="13">
      <c r="A91" s="3"/>
      <c r="B91" s="12"/>
      <c r="C91" s="12"/>
      <c r="D91" s="12"/>
      <c r="E91" s="1109"/>
      <c r="F91" s="1109"/>
      <c r="G91" s="1109"/>
    </row>
    <row r="92" spans="1:16" ht="13">
      <c r="A92" s="2" t="s">
        <v>2070</v>
      </c>
      <c r="B92" s="12"/>
      <c r="C92" s="12"/>
      <c r="D92" s="12"/>
      <c r="E92" s="1109"/>
      <c r="F92" s="1109"/>
      <c r="G92" s="1112"/>
      <c r="H92" s="2"/>
    </row>
    <row r="93" spans="1:16" ht="13">
      <c r="A93" s="347" t="s">
        <v>1506</v>
      </c>
      <c r="B93" s="152">
        <f>7%*0</f>
        <v>0</v>
      </c>
      <c r="C93" s="870">
        <f>7.55%+3%</f>
        <v>0.1055</v>
      </c>
      <c r="D93" s="870">
        <f>8.7%+3%</f>
        <v>0.11699999999999999</v>
      </c>
      <c r="E93" s="1093">
        <f>7.55%+3%</f>
        <v>0.1055</v>
      </c>
      <c r="F93" s="1093">
        <v>0.1</v>
      </c>
      <c r="G93" s="1093">
        <f>10.1%+3%</f>
        <v>0.13100000000000001</v>
      </c>
      <c r="H93" s="259"/>
      <c r="I93" s="259"/>
      <c r="J93" s="259"/>
      <c r="K93" s="259"/>
      <c r="L93" s="259"/>
      <c r="M93" s="260"/>
      <c r="N93" s="260"/>
      <c r="O93" s="260"/>
      <c r="P93" s="260"/>
    </row>
    <row r="94" spans="1:16">
      <c r="A94" s="347" t="s">
        <v>2071</v>
      </c>
      <c r="B94" s="630">
        <f>1412600007.71/10^5</f>
        <v>14126.0000771</v>
      </c>
      <c r="C94" s="216">
        <f>I137</f>
        <v>55571.372555150083</v>
      </c>
      <c r="D94" s="216">
        <f>J137</f>
        <v>47420.240903648541</v>
      </c>
      <c r="E94" s="1115">
        <v>13023.5691747</v>
      </c>
      <c r="F94" s="1115">
        <f>I137</f>
        <v>55571.372555150083</v>
      </c>
      <c r="G94" s="1115">
        <f>J137</f>
        <v>47420.240903648541</v>
      </c>
      <c r="H94" s="258"/>
      <c r="I94" s="306"/>
      <c r="J94" s="258"/>
      <c r="K94" s="347"/>
      <c r="L94" s="347"/>
      <c r="M94" s="7"/>
      <c r="N94" s="7"/>
      <c r="O94" s="216"/>
    </row>
    <row r="95" spans="1:16" ht="13">
      <c r="A95" s="347"/>
      <c r="B95" s="7"/>
      <c r="C95" s="7"/>
      <c r="D95" s="12"/>
      <c r="E95" s="1108"/>
      <c r="F95" s="1109"/>
      <c r="G95" s="873"/>
      <c r="H95" s="258"/>
      <c r="I95" s="306"/>
      <c r="J95" s="258"/>
      <c r="K95" s="347"/>
      <c r="L95" s="347"/>
      <c r="M95" s="7"/>
      <c r="N95" s="7"/>
      <c r="O95" s="216"/>
    </row>
    <row r="96" spans="1:16" ht="13">
      <c r="A96" s="347" t="s">
        <v>1508</v>
      </c>
      <c r="B96" s="630">
        <v>1102.4309023999995</v>
      </c>
      <c r="C96" s="7"/>
      <c r="D96" s="12"/>
      <c r="E96" s="873">
        <v>13023.5691747</v>
      </c>
      <c r="F96" s="1224">
        <f>40000</f>
        <v>40000</v>
      </c>
      <c r="G96" s="873">
        <f>40000</f>
        <v>40000</v>
      </c>
      <c r="H96" s="258"/>
      <c r="I96" s="306"/>
      <c r="J96" s="8"/>
      <c r="K96" s="347"/>
      <c r="L96" s="347"/>
      <c r="M96" s="7"/>
      <c r="N96" s="7"/>
      <c r="O96" s="216"/>
    </row>
    <row r="97" spans="1:16">
      <c r="A97" s="347" t="s">
        <v>1501</v>
      </c>
      <c r="B97" s="630">
        <f>B94+B95-B96</f>
        <v>13023.5691747</v>
      </c>
      <c r="C97" s="630">
        <f>C94+C95-C96</f>
        <v>55571.372555150083</v>
      </c>
      <c r="D97" s="630">
        <f>D94+D95-D96</f>
        <v>47420.240903648541</v>
      </c>
      <c r="E97" s="1122">
        <f>E94-E96</f>
        <v>0</v>
      </c>
      <c r="F97" s="873">
        <f t="shared" ref="F97" si="15">F94-F96</f>
        <v>15571.372555150083</v>
      </c>
      <c r="G97" s="873">
        <f>F97+G94-G96</f>
        <v>22991.613458798623</v>
      </c>
      <c r="H97" s="258"/>
      <c r="I97" s="306"/>
      <c r="J97" s="8"/>
      <c r="K97" s="347"/>
      <c r="L97" s="347"/>
      <c r="M97" s="7"/>
      <c r="N97" s="7"/>
      <c r="O97" s="216"/>
    </row>
    <row r="98" spans="1:16" ht="13">
      <c r="A98" s="347"/>
      <c r="D98" s="12"/>
      <c r="E98" s="1113"/>
      <c r="F98" s="1109"/>
      <c r="G98" s="873"/>
      <c r="H98" s="258"/>
      <c r="I98" s="306"/>
      <c r="J98" s="8"/>
      <c r="K98" s="347"/>
      <c r="L98" s="347"/>
      <c r="M98" s="7"/>
      <c r="N98" s="7"/>
      <c r="O98" s="216"/>
    </row>
    <row r="99" spans="1:16">
      <c r="A99" s="347" t="s">
        <v>683</v>
      </c>
      <c r="B99" s="630">
        <f>9.511805882*100</f>
        <v>951.1805882000001</v>
      </c>
      <c r="C99" s="7">
        <f>C94*C93</f>
        <v>5862.7798045683339</v>
      </c>
      <c r="D99" s="7">
        <f>D94*D93</f>
        <v>5548.1681857268786</v>
      </c>
      <c r="E99" s="873">
        <f>(44504576.93)/10^5</f>
        <v>445.04576930000002</v>
      </c>
      <c r="F99" s="873">
        <f>F94*F93</f>
        <v>5557.1372555150083</v>
      </c>
      <c r="G99" s="873">
        <f>G94*G93</f>
        <v>6212.0515583779588</v>
      </c>
      <c r="H99" s="258"/>
      <c r="I99" s="306"/>
      <c r="J99" s="8"/>
      <c r="K99" s="347"/>
      <c r="L99" s="347"/>
      <c r="M99" s="7"/>
      <c r="N99" s="7"/>
      <c r="O99" s="216"/>
    </row>
    <row r="100" spans="1:16">
      <c r="A100" s="347" t="s">
        <v>1503</v>
      </c>
      <c r="B100" s="7">
        <v>0</v>
      </c>
      <c r="C100" s="7">
        <f>C95*B93/2</f>
        <v>0</v>
      </c>
      <c r="D100" s="216">
        <f>D95*B93/2</f>
        <v>0</v>
      </c>
      <c r="E100" s="1119">
        <v>0</v>
      </c>
      <c r="F100" s="1115">
        <v>0</v>
      </c>
      <c r="G100" s="1115">
        <v>0</v>
      </c>
      <c r="H100" s="258"/>
      <c r="I100" s="306"/>
      <c r="J100" s="8"/>
      <c r="K100" s="347"/>
      <c r="L100" s="347"/>
      <c r="M100" s="7"/>
      <c r="N100" s="7"/>
      <c r="O100" s="216"/>
    </row>
    <row r="101" spans="1:16" ht="13">
      <c r="A101" s="3" t="s">
        <v>1034</v>
      </c>
      <c r="B101" s="12">
        <f>B100+B99</f>
        <v>951.1805882000001</v>
      </c>
      <c r="C101" s="12">
        <f>C100+C99</f>
        <v>5862.7798045683339</v>
      </c>
      <c r="D101" s="12">
        <f>D100+D99</f>
        <v>5548.1681857268786</v>
      </c>
      <c r="E101" s="875">
        <f>E99+E100</f>
        <v>445.04576930000002</v>
      </c>
      <c r="F101" s="875">
        <f t="shared" ref="F101:G101" si="16">F99+F100</f>
        <v>5557.1372555150083</v>
      </c>
      <c r="G101" s="875">
        <f t="shared" si="16"/>
        <v>6212.0515583779588</v>
      </c>
      <c r="H101" s="258"/>
      <c r="I101" s="306"/>
      <c r="J101" s="8"/>
      <c r="K101" s="347"/>
      <c r="L101" s="347"/>
      <c r="M101" s="7"/>
      <c r="N101" s="7"/>
      <c r="O101" s="216"/>
    </row>
    <row r="102" spans="1:16" ht="13">
      <c r="A102" s="3" t="s">
        <v>1518</v>
      </c>
      <c r="B102" s="152">
        <v>4.2500000000000003E-2</v>
      </c>
      <c r="C102" s="12"/>
      <c r="D102" s="12"/>
      <c r="E102" s="1126">
        <v>4.2500000000000003E-2</v>
      </c>
      <c r="F102" s="1126">
        <v>6.7500000000000004E-2</v>
      </c>
      <c r="G102" s="1126">
        <v>6.7500000000000004E-2</v>
      </c>
      <c r="H102" s="258"/>
      <c r="I102" s="306"/>
      <c r="J102" s="8"/>
      <c r="K102" s="347"/>
      <c r="L102" s="347"/>
      <c r="M102" s="7"/>
      <c r="N102" s="7"/>
      <c r="O102" s="216"/>
    </row>
    <row r="103" spans="1:16">
      <c r="A103" s="434" t="s">
        <v>1519</v>
      </c>
      <c r="B103" s="631">
        <v>76465.563298199995</v>
      </c>
      <c r="C103" s="1098">
        <f>B106</f>
        <v>90402.466758899987</v>
      </c>
      <c r="D103" s="216">
        <f>C106</f>
        <v>107649.46675889999</v>
      </c>
      <c r="E103" s="1115">
        <f>90402.4667589</f>
        <v>90402.466758900002</v>
      </c>
      <c r="F103" s="1115">
        <f>E106</f>
        <v>107649.4648394</v>
      </c>
      <c r="G103" s="1115">
        <f>F106</f>
        <v>123998.49483939999</v>
      </c>
      <c r="H103" s="258"/>
      <c r="I103" s="306"/>
      <c r="J103" s="8"/>
      <c r="K103" s="347"/>
      <c r="L103" s="347"/>
      <c r="M103" s="7"/>
      <c r="N103" s="7"/>
      <c r="O103" s="216"/>
    </row>
    <row r="104" spans="1:16">
      <c r="A104" s="402" t="s">
        <v>1520</v>
      </c>
      <c r="B104" s="631">
        <v>13936.903460699992</v>
      </c>
      <c r="C104" s="1098">
        <f>172.47*100</f>
        <v>17247</v>
      </c>
      <c r="D104" s="216">
        <f>'F-23 CASHFLOW'!C8</f>
        <v>9000</v>
      </c>
      <c r="E104" s="1115">
        <v>17246.998080500001</v>
      </c>
      <c r="F104" s="1115">
        <f>'F-23 CASHFLOW'!B8</f>
        <v>17952.16</v>
      </c>
      <c r="G104" s="1115">
        <f>'F-23 CASHFLOW'!C8</f>
        <v>9000</v>
      </c>
      <c r="H104" s="258"/>
      <c r="I104" s="306"/>
      <c r="J104" s="8"/>
      <c r="K104" s="347"/>
      <c r="L104" s="347"/>
      <c r="M104" s="7"/>
      <c r="N104" s="7"/>
      <c r="O104" s="216"/>
    </row>
    <row r="105" spans="1:16">
      <c r="A105" s="434" t="s">
        <v>1521</v>
      </c>
      <c r="B105" s="216"/>
      <c r="C105" s="1098"/>
      <c r="D105" s="216">
        <f>'F-23 CASHFLOW'!C31</f>
        <v>2500</v>
      </c>
      <c r="E105" s="1116"/>
      <c r="F105" s="1115">
        <f>'F-23 CASHFLOW'!B31</f>
        <v>1603.13</v>
      </c>
      <c r="G105" s="1115">
        <f>'F-23 CASHFLOW'!C31</f>
        <v>2500</v>
      </c>
      <c r="H105" s="258"/>
      <c r="I105" s="306"/>
      <c r="J105" s="8"/>
      <c r="K105" s="347"/>
      <c r="L105" s="347"/>
      <c r="M105" s="7"/>
      <c r="N105" s="7"/>
      <c r="O105" s="216"/>
    </row>
    <row r="106" spans="1:16">
      <c r="A106" s="434" t="s">
        <v>1522</v>
      </c>
      <c r="B106" s="631">
        <f>B103+B104-B105</f>
        <v>90402.466758899987</v>
      </c>
      <c r="C106" s="1098">
        <f>C103+C104-C105</f>
        <v>107649.46675889999</v>
      </c>
      <c r="D106" s="216">
        <f>D103+D104-D105</f>
        <v>114149.46675889999</v>
      </c>
      <c r="E106" s="1115">
        <f>E103+E104-E105</f>
        <v>107649.4648394</v>
      </c>
      <c r="F106" s="1115">
        <f t="shared" ref="F106:G106" si="17">F103+F104-F105</f>
        <v>123998.49483939999</v>
      </c>
      <c r="G106" s="1115">
        <f t="shared" si="17"/>
        <v>130498.49483939999</v>
      </c>
      <c r="H106" s="258"/>
      <c r="I106" s="306"/>
      <c r="J106" s="8"/>
      <c r="K106" s="347"/>
      <c r="L106" s="347"/>
      <c r="M106" s="7"/>
      <c r="N106" s="7"/>
      <c r="O106" s="216"/>
    </row>
    <row r="107" spans="1:16" ht="13">
      <c r="A107" s="347" t="s">
        <v>1509</v>
      </c>
      <c r="B107" s="631">
        <f>32.9506924*100</f>
        <v>3295.0692400000003</v>
      </c>
      <c r="C107" s="1098">
        <f>63.94*100</f>
        <v>6394</v>
      </c>
      <c r="D107" s="216">
        <f>D103*B102</f>
        <v>4575.10233725325</v>
      </c>
      <c r="E107" s="1115">
        <f>639439059.02/10^5</f>
        <v>6394.3905901999997</v>
      </c>
      <c r="F107" s="1118">
        <f>F103*F102</f>
        <v>7266.3388766594999</v>
      </c>
      <c r="G107" s="1118">
        <f>G103*G102</f>
        <v>8369.8984016595005</v>
      </c>
      <c r="H107" s="295"/>
      <c r="M107" s="7"/>
      <c r="N107" s="12"/>
      <c r="O107" s="12"/>
      <c r="P107" s="12"/>
    </row>
    <row r="108" spans="1:16" ht="13">
      <c r="A108" s="347" t="s">
        <v>1503</v>
      </c>
      <c r="B108" s="12"/>
      <c r="C108" s="216"/>
      <c r="D108" s="216">
        <f>(D104-D105)/2*B102</f>
        <v>138.125</v>
      </c>
      <c r="E108" s="1125"/>
      <c r="F108" s="1118">
        <f>(F104-F105)/2*F102</f>
        <v>551.77976249999995</v>
      </c>
      <c r="G108" s="1118">
        <f>(G104-G105)/2*G102</f>
        <v>219.37500000000003</v>
      </c>
      <c r="M108" s="7"/>
    </row>
    <row r="109" spans="1:16" ht="13">
      <c r="A109" s="3" t="s">
        <v>1034</v>
      </c>
      <c r="B109" s="634">
        <f t="shared" ref="B109:G109" si="18">B107+B108</f>
        <v>3295.0692400000003</v>
      </c>
      <c r="C109" s="12">
        <f t="shared" si="18"/>
        <v>6394</v>
      </c>
      <c r="D109" s="12">
        <f t="shared" si="18"/>
        <v>4713.22733725325</v>
      </c>
      <c r="E109" s="1117">
        <f t="shared" si="18"/>
        <v>6394.3905901999997</v>
      </c>
      <c r="F109" s="1117">
        <f t="shared" si="18"/>
        <v>7818.1186391595002</v>
      </c>
      <c r="G109" s="1117">
        <f t="shared" si="18"/>
        <v>8589.2734016595005</v>
      </c>
      <c r="H109" s="2"/>
      <c r="M109" s="7"/>
      <c r="O109" s="260"/>
      <c r="P109" s="260"/>
    </row>
    <row r="110" spans="1:16" ht="13">
      <c r="A110" s="2" t="s">
        <v>1523</v>
      </c>
      <c r="B110" s="634">
        <f>B45+B14+B24+B35+B56+B68+B79+B90+B101+B109</f>
        <v>4293.5717460000005</v>
      </c>
      <c r="C110" s="12">
        <f>C45+C14+C24+C35+C56+C68+C79+C90+C101+C109</f>
        <v>16287.166957490877</v>
      </c>
      <c r="D110" s="12">
        <f>D45+D14+D24+D35+D56+D68+D79+D90+D101+D109</f>
        <v>16796.093465076952</v>
      </c>
      <c r="E110" s="875">
        <f>E45+E14+E24+E35+E56+E68+E79+E90+E101+E109</f>
        <v>8509.4092836999989</v>
      </c>
      <c r="F110" s="875">
        <f t="shared" ref="F110:G110" si="19">F45+F14+F24+F35+F56+F68+F79+F90+F101+F109</f>
        <v>16217.490577087841</v>
      </c>
      <c r="G110" s="875">
        <f t="shared" si="19"/>
        <v>19811.059799626295</v>
      </c>
      <c r="H110" s="347"/>
      <c r="I110" s="445"/>
      <c r="J110" s="8"/>
      <c r="K110" s="347"/>
      <c r="M110" s="7"/>
      <c r="N110" s="7"/>
      <c r="O110" s="7"/>
    </row>
    <row r="111" spans="1:16">
      <c r="A111" t="s">
        <v>1524</v>
      </c>
      <c r="B111" s="7"/>
      <c r="E111" s="1114"/>
      <c r="F111" s="1109"/>
      <c r="G111" s="1109"/>
      <c r="M111" s="7"/>
      <c r="O111" s="7"/>
    </row>
    <row r="112" spans="1:16">
      <c r="A112" s="1" t="s">
        <v>581</v>
      </c>
      <c r="B112" s="7">
        <f>B13</f>
        <v>0</v>
      </c>
      <c r="C112" s="7">
        <f>C13</f>
        <v>0</v>
      </c>
      <c r="D112" s="7">
        <f>D13</f>
        <v>0</v>
      </c>
      <c r="E112" s="1119">
        <v>0</v>
      </c>
      <c r="F112" s="1119">
        <v>0</v>
      </c>
      <c r="G112" s="1119">
        <v>0</v>
      </c>
      <c r="H112" s="258"/>
      <c r="I112" s="225"/>
      <c r="J112" s="97"/>
      <c r="L112" s="347"/>
      <c r="N112" s="7"/>
      <c r="O112" s="7"/>
      <c r="P112" s="7"/>
    </row>
    <row r="113" spans="1:16">
      <c r="A113" s="1" t="s">
        <v>1525</v>
      </c>
      <c r="B113" s="7">
        <v>0</v>
      </c>
      <c r="C113" s="7">
        <f>C44</f>
        <v>0</v>
      </c>
      <c r="D113" s="7">
        <f>D44</f>
        <v>0</v>
      </c>
      <c r="E113" s="1119">
        <v>0</v>
      </c>
      <c r="F113" s="1119">
        <v>0</v>
      </c>
      <c r="G113" s="1119">
        <v>0</v>
      </c>
      <c r="L113" s="347"/>
      <c r="N113" s="347"/>
      <c r="O113" s="7"/>
      <c r="P113" s="7"/>
    </row>
    <row r="114" spans="1:16" ht="13">
      <c r="A114" s="1" t="s">
        <v>1513</v>
      </c>
      <c r="B114" s="7">
        <v>0</v>
      </c>
      <c r="C114" s="7">
        <v>0</v>
      </c>
      <c r="D114" s="7">
        <f>D55</f>
        <v>960.16296201117336</v>
      </c>
      <c r="E114" s="1119">
        <v>0</v>
      </c>
      <c r="F114" s="1115">
        <f>F55</f>
        <v>283.33333333333337</v>
      </c>
      <c r="G114" s="1115">
        <f>G55</f>
        <v>1353.3333333333333</v>
      </c>
      <c r="L114" s="3"/>
      <c r="M114" s="12"/>
      <c r="N114" s="12"/>
      <c r="O114" s="12"/>
      <c r="P114" s="12"/>
    </row>
    <row r="115" spans="1:16" ht="13">
      <c r="A115" s="1" t="s">
        <v>1515</v>
      </c>
      <c r="B115" s="7">
        <f>B67</f>
        <v>0</v>
      </c>
      <c r="C115" s="7">
        <f>C67</f>
        <v>0</v>
      </c>
      <c r="D115" s="7">
        <f>D67</f>
        <v>0</v>
      </c>
      <c r="E115" s="1119">
        <v>0</v>
      </c>
      <c r="F115" s="1119">
        <v>0</v>
      </c>
      <c r="G115" s="1127">
        <v>0</v>
      </c>
      <c r="H115" s="12"/>
      <c r="L115" s="347"/>
      <c r="O115" s="12"/>
      <c r="P115" s="12"/>
    </row>
    <row r="116" spans="1:16">
      <c r="A116" s="1" t="s">
        <v>1526</v>
      </c>
      <c r="B116" s="7">
        <f>B23+B34</f>
        <v>0</v>
      </c>
      <c r="C116" s="7">
        <f>C23+C34</f>
        <v>0</v>
      </c>
      <c r="D116" s="7">
        <f>D23+D34</f>
        <v>0</v>
      </c>
      <c r="E116" s="1119">
        <v>0</v>
      </c>
      <c r="F116" s="1119">
        <v>0</v>
      </c>
      <c r="G116" s="1119">
        <v>0</v>
      </c>
      <c r="I116" s="225"/>
      <c r="J116" s="261"/>
      <c r="K116" s="347"/>
      <c r="L116" s="347"/>
      <c r="M116" s="7"/>
    </row>
    <row r="117" spans="1:16">
      <c r="A117" s="1" t="s">
        <v>1527</v>
      </c>
      <c r="B117" s="7">
        <f>B89</f>
        <v>0</v>
      </c>
      <c r="C117" s="7">
        <f>C89</f>
        <v>0</v>
      </c>
      <c r="D117" s="7">
        <f>D89</f>
        <v>0</v>
      </c>
      <c r="E117" s="1119">
        <v>0</v>
      </c>
      <c r="F117" s="1119">
        <v>0</v>
      </c>
      <c r="G117" s="1119">
        <v>0</v>
      </c>
      <c r="M117" s="7"/>
    </row>
    <row r="118" spans="1:16">
      <c r="A118" s="1" t="s">
        <v>1528</v>
      </c>
      <c r="B118" s="7">
        <f>B78</f>
        <v>0</v>
      </c>
      <c r="C118" s="7">
        <f>C78</f>
        <v>0</v>
      </c>
      <c r="D118" s="7">
        <f>D78</f>
        <v>0</v>
      </c>
      <c r="E118" s="1119">
        <v>0</v>
      </c>
      <c r="F118" s="1119">
        <v>0</v>
      </c>
      <c r="G118" s="1119">
        <v>0</v>
      </c>
    </row>
    <row r="119" spans="1:16">
      <c r="A119" s="1" t="s">
        <v>145</v>
      </c>
      <c r="B119" s="7">
        <f>SUM(B112:B118)</f>
        <v>0</v>
      </c>
      <c r="C119" s="7">
        <f>36433526/10^5</f>
        <v>364.33526000000001</v>
      </c>
      <c r="D119" s="7">
        <f>SUM(D112:D118)</f>
        <v>960.16296201117336</v>
      </c>
      <c r="E119" s="1119">
        <f>36433526/10^5</f>
        <v>364.33526000000001</v>
      </c>
      <c r="F119" s="1115">
        <f t="shared" ref="F119:G119" si="20">SUM(F112:F118)</f>
        <v>283.33333333333337</v>
      </c>
      <c r="G119" s="1115">
        <f t="shared" si="20"/>
        <v>1353.3333333333333</v>
      </c>
    </row>
    <row r="120" spans="1:16" ht="13">
      <c r="A120" t="s">
        <v>1529</v>
      </c>
      <c r="B120" s="473">
        <f>B110-B119</f>
        <v>4293.5717460000005</v>
      </c>
      <c r="C120" s="12">
        <f>C110-C119</f>
        <v>15922.831697490878</v>
      </c>
      <c r="D120" s="12">
        <f>D110-D119</f>
        <v>15835.93050306578</v>
      </c>
      <c r="E120" s="1117">
        <f>E110-E119</f>
        <v>8145.0740236999991</v>
      </c>
      <c r="F120" s="1117">
        <f t="shared" ref="F120:G120" si="21">F110-F119</f>
        <v>15934.157243754507</v>
      </c>
      <c r="G120" s="1117">
        <f t="shared" si="21"/>
        <v>18457.726466292963</v>
      </c>
    </row>
    <row r="121" spans="1:16" ht="13">
      <c r="A121" s="2" t="s">
        <v>1849</v>
      </c>
      <c r="B121" s="472">
        <f>B10+B20+B31+B41+B52+B64+B75+B86+B97</f>
        <v>18024.487054699999</v>
      </c>
      <c r="C121" s="12">
        <f>C10+C20+C31+C41+C52+C64+C75+C86+C97</f>
        <v>103216.97067554026</v>
      </c>
      <c r="D121" s="12">
        <f>D10+D20+D31+D41+D52+D64+D75+D86+D97</f>
        <v>112538.56243447182</v>
      </c>
      <c r="E121" s="875">
        <f>E10+E20+E31+E41+E52+E64+E75+E86+E97</f>
        <v>22380.28037</v>
      </c>
      <c r="F121" s="875">
        <f>F10+F20+F31+F41+F52+F64+F75+F86+F97</f>
        <v>51237.844178150081</v>
      </c>
      <c r="G121" s="875">
        <f t="shared" ref="G121" si="22">G10+G20+G31+G41+G52+G64+G75+G86+G97</f>
        <v>82958.418958898619</v>
      </c>
      <c r="I121" s="228"/>
    </row>
    <row r="122" spans="1:16" ht="13">
      <c r="A122" s="2"/>
      <c r="B122" s="12"/>
      <c r="C122" s="12"/>
      <c r="D122" s="12"/>
    </row>
    <row r="123" spans="1:16" ht="13">
      <c r="A123" s="2"/>
      <c r="C123" s="12"/>
      <c r="D123" s="12"/>
    </row>
    <row r="124" spans="1:16" ht="13">
      <c r="A124" s="2"/>
      <c r="B124" s="12">
        <v>4293.5717459999996</v>
      </c>
      <c r="C124" s="12"/>
      <c r="D124" s="12"/>
    </row>
    <row r="125" spans="1:16" ht="13">
      <c r="A125" s="2"/>
      <c r="B125" s="621">
        <f>B120-B124</f>
        <v>0</v>
      </c>
      <c r="C125" s="12"/>
      <c r="D125" s="12"/>
    </row>
    <row r="126" spans="1:16" ht="13">
      <c r="B126" s="12">
        <v>18024.487054699999</v>
      </c>
      <c r="C126" s="7"/>
    </row>
    <row r="127" spans="1:16" ht="13">
      <c r="B127" s="622">
        <f>B121-B126</f>
        <v>0</v>
      </c>
    </row>
    <row r="128" spans="1:16" ht="13">
      <c r="D128" s="206" t="s">
        <v>2042</v>
      </c>
    </row>
    <row r="130" spans="4:12" ht="26">
      <c r="D130" s="862" t="s">
        <v>2035</v>
      </c>
      <c r="E130" s="863" t="s">
        <v>735</v>
      </c>
      <c r="F130" s="656" t="s">
        <v>1606</v>
      </c>
      <c r="G130" s="618" t="s">
        <v>2267</v>
      </c>
      <c r="H130" s="618"/>
      <c r="I130" s="656" t="s">
        <v>1964</v>
      </c>
      <c r="J130" s="656" t="s">
        <v>2268</v>
      </c>
    </row>
    <row r="131" spans="4:12">
      <c r="D131" s="483">
        <v>1</v>
      </c>
      <c r="E131" s="864" t="s">
        <v>2060</v>
      </c>
      <c r="F131" s="868">
        <f>('F-12'!I34+'F-14'!D66)</f>
        <v>60562.771302410001</v>
      </c>
      <c r="G131" s="868">
        <f>'F-12'!P34+'F-14'!E66</f>
        <v>35925.869691699998</v>
      </c>
      <c r="H131" s="868"/>
      <c r="I131" s="868">
        <f>'F-12'!W34+'F-14'!F66</f>
        <v>75152.244891801238</v>
      </c>
      <c r="J131" s="868">
        <f>'F-12'!AD34+'F-14'!G66</f>
        <v>85236.455272990512</v>
      </c>
      <c r="K131" s="7"/>
    </row>
    <row r="132" spans="4:12">
      <c r="D132" s="483">
        <v>2</v>
      </c>
      <c r="E132" s="484" t="s">
        <v>2043</v>
      </c>
      <c r="F132" s="868">
        <f>F131/12</f>
        <v>5046.8976085341665</v>
      </c>
      <c r="G132" s="868">
        <f>G131/6</f>
        <v>5987.6449486166666</v>
      </c>
      <c r="H132" s="868"/>
      <c r="I132" s="868">
        <f t="shared" ref="I132:J132" si="23">I131/12</f>
        <v>6262.6870743167701</v>
      </c>
      <c r="J132" s="868">
        <f t="shared" si="23"/>
        <v>7103.0379394158763</v>
      </c>
    </row>
    <row r="133" spans="4:12">
      <c r="D133" s="483">
        <v>3</v>
      </c>
      <c r="E133" s="864" t="s">
        <v>2445</v>
      </c>
      <c r="F133" s="868">
        <f>4691.852397461*100</f>
        <v>469185.23974609998</v>
      </c>
      <c r="G133" s="868">
        <f>'F-6'!H37</f>
        <v>267422.0621556</v>
      </c>
      <c r="H133" s="868"/>
      <c r="I133" s="871">
        <f>'F-6'!L10</f>
        <v>586064.42576999986</v>
      </c>
      <c r="J133" s="868">
        <f>'F-6'!P10</f>
        <v>477069.15600000002</v>
      </c>
    </row>
    <row r="134" spans="4:12">
      <c r="D134" s="483">
        <v>4</v>
      </c>
      <c r="E134" s="864" t="s">
        <v>2446</v>
      </c>
      <c r="F134" s="868">
        <f>F133/12</f>
        <v>39098.769978841665</v>
      </c>
      <c r="G134" s="868">
        <f>G133/6</f>
        <v>44570.343692599999</v>
      </c>
      <c r="H134" s="868"/>
      <c r="I134" s="868">
        <f>I133/12</f>
        <v>48838.702147499986</v>
      </c>
      <c r="J134" s="868">
        <f t="shared" ref="J134" si="24">J133/12</f>
        <v>39755.762999999999</v>
      </c>
    </row>
    <row r="135" spans="4:12">
      <c r="D135" s="483">
        <v>5</v>
      </c>
      <c r="E135" s="864" t="s">
        <v>2047</v>
      </c>
      <c r="F135" s="868">
        <f>'F-13'!C15</f>
        <v>23755.997211889997</v>
      </c>
      <c r="G135" s="868">
        <f>'F-13'!D15</f>
        <v>11679.700246899996</v>
      </c>
      <c r="H135" s="868"/>
      <c r="I135" s="868">
        <f>'F-13'!E15</f>
        <v>28199</v>
      </c>
      <c r="J135" s="868">
        <f>'F-13'!F15</f>
        <v>33686.397853959905</v>
      </c>
      <c r="K135" s="7">
        <f>J135/12</f>
        <v>2807.1998211633254</v>
      </c>
    </row>
    <row r="136" spans="4:12" ht="25">
      <c r="D136" s="483">
        <v>6</v>
      </c>
      <c r="E136" s="939" t="s">
        <v>2447</v>
      </c>
      <c r="F136" s="868">
        <f>40%*(F135/12)</f>
        <v>791.86657372966658</v>
      </c>
      <c r="G136" s="868">
        <f>40%*(G135/6)</f>
        <v>778.64668312666652</v>
      </c>
      <c r="H136" s="868"/>
      <c r="I136" s="868">
        <f>20%*(I135/12)</f>
        <v>469.98333333333335</v>
      </c>
      <c r="J136" s="868">
        <f>20%*(J135/12)</f>
        <v>561.43996423266515</v>
      </c>
    </row>
    <row r="137" spans="4:12" ht="14.5">
      <c r="D137" s="862">
        <v>7</v>
      </c>
      <c r="E137" s="863" t="s">
        <v>2044</v>
      </c>
      <c r="F137" s="869">
        <f>F132+F134+F136</f>
        <v>44937.534161105497</v>
      </c>
      <c r="G137" s="869">
        <f t="shared" ref="G137" si="25">G132+G134+G136</f>
        <v>51336.635324343333</v>
      </c>
      <c r="H137" s="869"/>
      <c r="I137" s="869">
        <f>I132+I134+I136</f>
        <v>55571.372555150083</v>
      </c>
      <c r="J137" s="869">
        <f>J132+J134+J136</f>
        <v>47420.240903648541</v>
      </c>
      <c r="K137" s="1070"/>
    </row>
    <row r="138" spans="4:12">
      <c r="D138" s="483">
        <v>8</v>
      </c>
      <c r="E138" s="484" t="s">
        <v>2045</v>
      </c>
      <c r="F138" s="870">
        <f>7.4%+3%</f>
        <v>0.10400000000000001</v>
      </c>
      <c r="G138" s="870">
        <f>7.55%+3%</f>
        <v>0.1055</v>
      </c>
      <c r="H138" s="870"/>
      <c r="I138" s="870">
        <f>7%+3%</f>
        <v>0.1</v>
      </c>
      <c r="J138" s="870">
        <f>10.1%+3%</f>
        <v>0.13100000000000001</v>
      </c>
      <c r="K138" s="97"/>
    </row>
    <row r="139" spans="4:12" ht="14.5">
      <c r="D139" s="862">
        <v>9</v>
      </c>
      <c r="E139" s="863" t="s">
        <v>2042</v>
      </c>
      <c r="F139" s="869">
        <f>F137*F138</f>
        <v>4673.5035527549717</v>
      </c>
      <c r="G139" s="869">
        <f t="shared" ref="G139:J139" si="26">G137*G138</f>
        <v>5416.0150267182216</v>
      </c>
      <c r="H139" s="869"/>
      <c r="I139" s="869">
        <f>I137*I138</f>
        <v>5557.1372555150083</v>
      </c>
      <c r="J139" s="869">
        <f t="shared" si="26"/>
        <v>6212.0515583779588</v>
      </c>
      <c r="K139" s="1070"/>
    </row>
    <row r="141" spans="4:12" ht="13">
      <c r="D141" s="206" t="s">
        <v>2048</v>
      </c>
    </row>
    <row r="143" spans="4:12" ht="26">
      <c r="D143" s="865" t="s">
        <v>2035</v>
      </c>
      <c r="E143" s="866" t="s">
        <v>735</v>
      </c>
      <c r="F143" s="656" t="s">
        <v>1605</v>
      </c>
      <c r="G143" s="618" t="s">
        <v>2046</v>
      </c>
      <c r="H143" s="618"/>
      <c r="I143" s="656" t="s">
        <v>1606</v>
      </c>
      <c r="J143" s="656" t="s">
        <v>1964</v>
      </c>
    </row>
    <row r="144" spans="4:12">
      <c r="D144" s="483">
        <v>1</v>
      </c>
      <c r="E144" s="343" t="s">
        <v>2054</v>
      </c>
      <c r="F144" s="868">
        <f>333.13*100</f>
        <v>33313</v>
      </c>
      <c r="G144" s="23"/>
      <c r="H144" s="23"/>
      <c r="I144" s="868">
        <f>477.72*100</f>
        <v>47772</v>
      </c>
      <c r="J144" s="868">
        <f>I144*(1+((I144-F144)/F144))</f>
        <v>68506.708612253482</v>
      </c>
      <c r="L144" s="118"/>
    </row>
    <row r="145" spans="4:10">
      <c r="D145" s="483">
        <v>2</v>
      </c>
      <c r="E145" s="23" t="s">
        <v>2049</v>
      </c>
      <c r="F145" s="868">
        <f>117.39*100</f>
        <v>11739</v>
      </c>
      <c r="G145" s="23"/>
      <c r="H145" s="23"/>
      <c r="I145" s="867"/>
      <c r="J145" s="868"/>
    </row>
    <row r="146" spans="4:10">
      <c r="D146" s="483">
        <v>3</v>
      </c>
      <c r="E146" s="23" t="s">
        <v>2050</v>
      </c>
      <c r="F146" s="868">
        <f>70%*F144</f>
        <v>23319.1</v>
      </c>
      <c r="G146" s="23">
        <f t="shared" ref="G146:J146" si="27">70%*G144</f>
        <v>0</v>
      </c>
      <c r="H146" s="23"/>
      <c r="I146" s="868">
        <f t="shared" si="27"/>
        <v>33440.400000000001</v>
      </c>
      <c r="J146" s="868">
        <f t="shared" si="27"/>
        <v>47954.696028577433</v>
      </c>
    </row>
    <row r="147" spans="4:10" ht="25">
      <c r="D147" s="483">
        <v>4</v>
      </c>
      <c r="E147" s="66" t="s">
        <v>2051</v>
      </c>
      <c r="F147" s="868">
        <f>F146/2</f>
        <v>11659.55</v>
      </c>
      <c r="G147" s="23">
        <f t="shared" ref="G147:J147" si="28">G146/2</f>
        <v>0</v>
      </c>
      <c r="H147" s="23"/>
      <c r="I147" s="868">
        <f t="shared" si="28"/>
        <v>16720.2</v>
      </c>
      <c r="J147" s="868">
        <f t="shared" si="28"/>
        <v>23977.348014288717</v>
      </c>
    </row>
    <row r="148" spans="4:10">
      <c r="D148" s="483">
        <v>5</v>
      </c>
      <c r="E148" s="23" t="s">
        <v>2052</v>
      </c>
      <c r="F148" s="870">
        <f>7.4%+3%</f>
        <v>0.10400000000000001</v>
      </c>
      <c r="G148" s="870">
        <f>7.55%+3%</f>
        <v>0.1055</v>
      </c>
      <c r="H148" s="870"/>
      <c r="I148" s="870">
        <f>G148</f>
        <v>0.1055</v>
      </c>
      <c r="J148" s="870">
        <f>8.7%+3%</f>
        <v>0.11699999999999999</v>
      </c>
    </row>
    <row r="149" spans="4:10" ht="14.5">
      <c r="D149" s="656">
        <v>6</v>
      </c>
      <c r="E149" s="305" t="s">
        <v>2053</v>
      </c>
      <c r="F149" s="37">
        <f>F147*F148</f>
        <v>1212.5932</v>
      </c>
      <c r="G149" s="28">
        <f t="shared" ref="G149:J149" si="29">G147*G148</f>
        <v>0</v>
      </c>
      <c r="H149" s="28"/>
      <c r="I149" s="37">
        <f t="shared" si="29"/>
        <v>1763.9811</v>
      </c>
      <c r="J149" s="37">
        <f t="shared" si="29"/>
        <v>2805.3497176717797</v>
      </c>
    </row>
    <row r="151" spans="4:10" ht="12.75" customHeight="1">
      <c r="D151" s="206" t="s">
        <v>2061</v>
      </c>
      <c r="G151">
        <f>333.13-117.39</f>
        <v>215.74</v>
      </c>
    </row>
    <row r="153" spans="4:10" ht="26">
      <c r="D153" s="862" t="s">
        <v>2035</v>
      </c>
      <c r="E153" s="863" t="s">
        <v>735</v>
      </c>
      <c r="F153" s="656" t="s">
        <v>1605</v>
      </c>
      <c r="G153" s="618" t="s">
        <v>2046</v>
      </c>
      <c r="H153" s="618"/>
      <c r="I153" s="656" t="s">
        <v>1606</v>
      </c>
      <c r="J153" s="656" t="s">
        <v>1964</v>
      </c>
    </row>
    <row r="154" spans="4:10">
      <c r="D154" s="483">
        <v>1</v>
      </c>
      <c r="E154" s="343" t="s">
        <v>2067</v>
      </c>
      <c r="F154" s="23">
        <f>300*100</f>
        <v>30000</v>
      </c>
      <c r="G154" s="74"/>
      <c r="H154" s="74"/>
      <c r="I154" s="74">
        <f>F156</f>
        <v>34402.800000000003</v>
      </c>
      <c r="J154" s="74">
        <f>I156</f>
        <v>41822.400000000001</v>
      </c>
    </row>
    <row r="155" spans="4:10">
      <c r="D155" s="483">
        <v>2</v>
      </c>
      <c r="E155" s="343" t="s">
        <v>1570</v>
      </c>
      <c r="F155" s="436">
        <f>(117.39+29.37)*100*30%</f>
        <v>4402.8</v>
      </c>
      <c r="G155" s="23"/>
      <c r="H155" s="23"/>
      <c r="I155" s="74">
        <f>(31.58+215.74)*100*30%</f>
        <v>7419.5999999999995</v>
      </c>
      <c r="J155" s="74">
        <f>143.32*100*30%</f>
        <v>4299.5999999999995</v>
      </c>
    </row>
    <row r="156" spans="4:10">
      <c r="D156" s="483">
        <v>3</v>
      </c>
      <c r="E156" s="343" t="s">
        <v>2068</v>
      </c>
      <c r="F156" s="74">
        <f>F154+F155</f>
        <v>34402.800000000003</v>
      </c>
      <c r="G156" s="23"/>
      <c r="H156" s="23"/>
      <c r="I156" s="74">
        <f>I154+I155</f>
        <v>41822.400000000001</v>
      </c>
      <c r="J156" s="74">
        <f>J154+J155</f>
        <v>46122</v>
      </c>
    </row>
    <row r="157" spans="4:10">
      <c r="D157" s="483">
        <v>4</v>
      </c>
      <c r="E157" s="343" t="s">
        <v>2062</v>
      </c>
      <c r="F157" s="876">
        <v>0.16</v>
      </c>
      <c r="G157" s="23"/>
      <c r="H157" s="23"/>
      <c r="I157" s="876">
        <f>F157</f>
        <v>0.16</v>
      </c>
      <c r="J157" s="876">
        <f>I157</f>
        <v>0.16</v>
      </c>
    </row>
    <row r="158" spans="4:10">
      <c r="D158" s="483">
        <v>5</v>
      </c>
      <c r="E158" s="343" t="s">
        <v>2063</v>
      </c>
      <c r="F158" s="74">
        <f>(F154*F157)+(F155/2*F157)</f>
        <v>5152.2240000000002</v>
      </c>
      <c r="G158" s="23"/>
      <c r="H158" s="23"/>
      <c r="I158" s="74">
        <f>(I154*I157)+(I155/2*I157)</f>
        <v>6098.0160000000005</v>
      </c>
      <c r="J158" s="74">
        <f>(J154*J157)+(J155/2*J157)</f>
        <v>7035.5520000000006</v>
      </c>
    </row>
    <row r="159" spans="4:10">
      <c r="D159" s="483">
        <v>6</v>
      </c>
      <c r="E159" s="343" t="s">
        <v>2064</v>
      </c>
      <c r="F159" s="221">
        <v>0.25169999999999998</v>
      </c>
      <c r="G159" s="23"/>
      <c r="H159" s="23"/>
      <c r="I159" s="221">
        <f>F159</f>
        <v>0.25169999999999998</v>
      </c>
      <c r="J159" s="221">
        <f>I159</f>
        <v>0.25169999999999998</v>
      </c>
    </row>
    <row r="160" spans="4:10">
      <c r="D160" s="483">
        <v>7</v>
      </c>
      <c r="E160" s="343" t="s">
        <v>2065</v>
      </c>
      <c r="F160" s="74">
        <f>F158/(1-F159)</f>
        <v>6885.2385406922367</v>
      </c>
      <c r="G160" s="23"/>
      <c r="H160" s="23"/>
      <c r="I160" s="74">
        <f>I158/(1-I159)</f>
        <v>8149.1594280368845</v>
      </c>
      <c r="J160" s="74">
        <f>J158/(1-J159)</f>
        <v>9402.0473072297227</v>
      </c>
    </row>
    <row r="161" spans="4:10" ht="13">
      <c r="D161" s="656">
        <v>8</v>
      </c>
      <c r="E161" s="28" t="s">
        <v>2066</v>
      </c>
      <c r="F161" s="877">
        <f>F160-F158</f>
        <v>1733.0145406922366</v>
      </c>
      <c r="G161" s="28"/>
      <c r="H161" s="28"/>
      <c r="I161" s="877">
        <f>I160-I158</f>
        <v>2051.143428036884</v>
      </c>
      <c r="J161" s="877">
        <f>J160-J158</f>
        <v>2366.4953072297221</v>
      </c>
    </row>
    <row r="163" spans="4:10" ht="13">
      <c r="D163" s="206" t="s">
        <v>1180</v>
      </c>
    </row>
    <row r="165" spans="4:10" ht="26">
      <c r="D165" s="862" t="s">
        <v>2035</v>
      </c>
      <c r="E165" s="863" t="s">
        <v>735</v>
      </c>
      <c r="F165" s="656" t="s">
        <v>1605</v>
      </c>
      <c r="G165" s="618" t="s">
        <v>2046</v>
      </c>
      <c r="H165" s="618"/>
      <c r="I165" s="656" t="s">
        <v>1606</v>
      </c>
      <c r="J165" s="656" t="s">
        <v>1964</v>
      </c>
    </row>
    <row r="166" spans="4:10">
      <c r="D166" s="29">
        <v>1</v>
      </c>
      <c r="E166" s="23" t="s">
        <v>1448</v>
      </c>
      <c r="F166" s="23"/>
      <c r="G166" s="23"/>
      <c r="H166" s="23"/>
      <c r="I166" s="23"/>
      <c r="J166" s="23"/>
    </row>
    <row r="167" spans="4:10">
      <c r="D167" s="29">
        <v>2</v>
      </c>
      <c r="E167" s="23" t="s">
        <v>2055</v>
      </c>
      <c r="F167" s="23"/>
      <c r="G167" s="23"/>
      <c r="H167" s="23"/>
      <c r="I167" s="23"/>
      <c r="J167" s="23"/>
    </row>
    <row r="168" spans="4:10">
      <c r="D168" s="29">
        <v>3</v>
      </c>
      <c r="E168" s="23" t="s">
        <v>2056</v>
      </c>
      <c r="F168" s="23">
        <f>F166+F167</f>
        <v>0</v>
      </c>
      <c r="G168" s="23">
        <f t="shared" ref="G168:J168" si="30">G166+G167</f>
        <v>0</v>
      </c>
      <c r="H168" s="23"/>
      <c r="I168" s="23">
        <f t="shared" si="30"/>
        <v>0</v>
      </c>
      <c r="J168" s="23">
        <f t="shared" si="30"/>
        <v>0</v>
      </c>
    </row>
    <row r="169" spans="4:10">
      <c r="D169" s="29">
        <v>4</v>
      </c>
      <c r="E169" s="23" t="s">
        <v>2057</v>
      </c>
      <c r="F169" s="23">
        <f>(F166+F168)/2</f>
        <v>0</v>
      </c>
      <c r="G169" s="23">
        <f t="shared" ref="G169:J169" si="31">(G166+G168)/2</f>
        <v>0</v>
      </c>
      <c r="H169" s="23"/>
      <c r="I169" s="23">
        <f t="shared" si="31"/>
        <v>0</v>
      </c>
      <c r="J169" s="23">
        <f t="shared" si="31"/>
        <v>0</v>
      </c>
    </row>
    <row r="170" spans="4:10">
      <c r="D170" s="29">
        <v>5</v>
      </c>
      <c r="E170" s="23" t="s">
        <v>2058</v>
      </c>
      <c r="F170" s="23"/>
      <c r="G170" s="23"/>
      <c r="H170" s="23"/>
      <c r="I170" s="23"/>
      <c r="J170" s="23"/>
    </row>
    <row r="171" spans="4:10">
      <c r="D171" s="29">
        <v>6</v>
      </c>
      <c r="E171" s="23" t="s">
        <v>2059</v>
      </c>
      <c r="F171" s="23">
        <f>F169*F170</f>
        <v>0</v>
      </c>
      <c r="G171" s="23">
        <f t="shared" ref="G171:J171" si="32">G169*G170</f>
        <v>0</v>
      </c>
      <c r="H171" s="23"/>
      <c r="I171" s="23">
        <f t="shared" si="32"/>
        <v>0</v>
      </c>
      <c r="J171" s="23">
        <f t="shared" si="32"/>
        <v>0</v>
      </c>
    </row>
    <row r="258" spans="1:6" ht="13">
      <c r="A258" s="206" t="s">
        <v>1530</v>
      </c>
      <c r="B258" s="12"/>
      <c r="C258" s="12"/>
      <c r="D258" s="12"/>
    </row>
    <row r="259" spans="1:6" ht="13">
      <c r="A259" s="2" t="s">
        <v>1531</v>
      </c>
      <c r="B259" s="12"/>
      <c r="C259" s="12"/>
      <c r="D259" s="12"/>
    </row>
    <row r="260" spans="1:6" ht="13">
      <c r="A260" s="206" t="s">
        <v>1532</v>
      </c>
      <c r="B260" s="12"/>
      <c r="C260" s="12"/>
      <c r="D260" s="12"/>
      <c r="E260" s="208" t="s">
        <v>1533</v>
      </c>
      <c r="F260" s="208" t="s">
        <v>1534</v>
      </c>
    </row>
    <row r="261" spans="1:6" ht="13">
      <c r="A261" s="347" t="s">
        <v>1535</v>
      </c>
      <c r="C261" s="405">
        <v>53957952</v>
      </c>
      <c r="D261" s="12"/>
    </row>
    <row r="262" spans="1:6" ht="13">
      <c r="A262" s="347" t="s">
        <v>1536</v>
      </c>
      <c r="C262" s="405">
        <v>97699351</v>
      </c>
      <c r="D262" s="12"/>
    </row>
    <row r="263" spans="1:6" ht="13">
      <c r="A263" s="347" t="s">
        <v>1537</v>
      </c>
      <c r="C263" s="405">
        <v>86774167</v>
      </c>
      <c r="D263" s="12"/>
      <c r="E263" t="s">
        <v>1538</v>
      </c>
      <c r="F263" s="150">
        <f>SUM(C261:C263)</f>
        <v>238431470</v>
      </c>
    </row>
    <row r="264" spans="1:6" ht="13">
      <c r="A264" s="347" t="s">
        <v>1539</v>
      </c>
      <c r="C264" s="405">
        <v>11353909</v>
      </c>
      <c r="D264" s="12"/>
      <c r="E264" t="s">
        <v>1540</v>
      </c>
      <c r="F264" s="9">
        <f>C264</f>
        <v>11353909</v>
      </c>
    </row>
    <row r="265" spans="1:6" ht="13">
      <c r="A265" s="347" t="s">
        <v>1541</v>
      </c>
      <c r="C265" s="405">
        <v>3006692</v>
      </c>
      <c r="D265" s="12"/>
      <c r="E265" t="s">
        <v>1542</v>
      </c>
      <c r="F265" s="9">
        <f>C265</f>
        <v>3006692</v>
      </c>
    </row>
    <row r="266" spans="1:6" ht="13">
      <c r="A266" s="3" t="s">
        <v>145</v>
      </c>
      <c r="C266" s="150">
        <f>SUM(C261:C265)</f>
        <v>252792071</v>
      </c>
      <c r="D266" s="12"/>
    </row>
    <row r="267" spans="1:6" ht="13">
      <c r="A267" s="2"/>
      <c r="B267" s="12"/>
      <c r="C267" s="12"/>
      <c r="D267" s="12"/>
    </row>
    <row r="268" spans="1:6" ht="13">
      <c r="A268" s="206" t="s">
        <v>1543</v>
      </c>
      <c r="B268" s="12"/>
      <c r="C268" s="12"/>
      <c r="D268" s="12"/>
      <c r="E268" s="208" t="s">
        <v>1533</v>
      </c>
      <c r="F268" s="208" t="s">
        <v>1534</v>
      </c>
    </row>
    <row r="269" spans="1:6" ht="13">
      <c r="A269" s="3" t="s">
        <v>1544</v>
      </c>
      <c r="B269" s="446">
        <v>36876</v>
      </c>
      <c r="C269" s="405">
        <f>95500000*0.7</f>
        <v>66849999.999999993</v>
      </c>
      <c r="D269" s="12"/>
      <c r="E269" s="207">
        <f>B269+365*6</f>
        <v>39066</v>
      </c>
      <c r="F269" s="9">
        <f>C269</f>
        <v>66849999.999999993</v>
      </c>
    </row>
    <row r="270" spans="1:6" ht="13">
      <c r="A270" s="3" t="s">
        <v>1545</v>
      </c>
      <c r="B270" s="446">
        <v>37083</v>
      </c>
      <c r="C270" s="405">
        <f>85368000*0.7</f>
        <v>59757599.999999993</v>
      </c>
      <c r="D270" s="12"/>
      <c r="E270" s="207">
        <f t="shared" ref="E270:E285" si="33">B270+365*6</f>
        <v>39273</v>
      </c>
      <c r="F270" s="9">
        <f t="shared" ref="F270:F285" si="34">C270</f>
        <v>59757599.999999993</v>
      </c>
    </row>
    <row r="271" spans="1:6" ht="13">
      <c r="A271" s="3"/>
      <c r="B271" s="446">
        <v>37230</v>
      </c>
      <c r="C271" s="405">
        <f>3157000*0.7</f>
        <v>2209900</v>
      </c>
      <c r="D271" s="12"/>
      <c r="E271" s="207">
        <f t="shared" si="33"/>
        <v>39420</v>
      </c>
      <c r="F271" s="9">
        <f t="shared" si="34"/>
        <v>2209900</v>
      </c>
    </row>
    <row r="272" spans="1:6" ht="13">
      <c r="A272" s="3"/>
      <c r="B272" s="446">
        <v>37346</v>
      </c>
      <c r="C272" s="405">
        <f>45275000*0.7</f>
        <v>31692499.999999996</v>
      </c>
      <c r="D272" s="12"/>
      <c r="E272" s="207">
        <f t="shared" si="33"/>
        <v>39536</v>
      </c>
      <c r="F272" s="9">
        <f t="shared" si="34"/>
        <v>31692499.999999996</v>
      </c>
    </row>
    <row r="273" spans="1:6" ht="13">
      <c r="A273" s="3" t="s">
        <v>1546</v>
      </c>
      <c r="B273" s="446">
        <v>37384</v>
      </c>
      <c r="C273" s="405">
        <f>45276000*0.7</f>
        <v>31693199.999999996</v>
      </c>
      <c r="D273" s="12"/>
      <c r="E273" s="207">
        <f t="shared" si="33"/>
        <v>39574</v>
      </c>
      <c r="F273" s="9">
        <f t="shared" si="34"/>
        <v>31693199.999999996</v>
      </c>
    </row>
    <row r="274" spans="1:6" ht="13">
      <c r="A274" s="1"/>
      <c r="B274" s="446">
        <v>37448</v>
      </c>
      <c r="C274" s="405">
        <f>2573000*0.7</f>
        <v>1801100</v>
      </c>
      <c r="D274" s="12"/>
      <c r="E274" s="207">
        <f t="shared" si="33"/>
        <v>39638</v>
      </c>
      <c r="F274" s="9">
        <f t="shared" si="34"/>
        <v>1801100</v>
      </c>
    </row>
    <row r="275" spans="1:6" ht="13">
      <c r="A275" s="1"/>
      <c r="B275" s="446">
        <v>37532</v>
      </c>
      <c r="C275" s="405">
        <f>43537000*0.7</f>
        <v>30475899.999999996</v>
      </c>
      <c r="D275" s="12"/>
      <c r="E275" s="207">
        <f t="shared" si="33"/>
        <v>39722</v>
      </c>
      <c r="F275" s="9">
        <f t="shared" si="34"/>
        <v>30475899.999999996</v>
      </c>
    </row>
    <row r="276" spans="1:6" ht="13">
      <c r="A276" s="1"/>
      <c r="B276" s="446">
        <v>37573</v>
      </c>
      <c r="C276" s="405">
        <f>27130000*0.7</f>
        <v>18991000</v>
      </c>
      <c r="D276" s="12"/>
      <c r="E276" s="207">
        <f t="shared" si="33"/>
        <v>39763</v>
      </c>
      <c r="F276" s="9">
        <f t="shared" si="34"/>
        <v>18991000</v>
      </c>
    </row>
    <row r="277" spans="1:6" ht="13">
      <c r="A277" s="1"/>
      <c r="B277" s="446">
        <v>37636</v>
      </c>
      <c r="C277" s="405">
        <f>58773000*0.7</f>
        <v>41141100</v>
      </c>
      <c r="D277" s="12"/>
      <c r="E277" s="207">
        <f t="shared" si="33"/>
        <v>39826</v>
      </c>
      <c r="F277" s="9">
        <f t="shared" si="34"/>
        <v>41141100</v>
      </c>
    </row>
    <row r="278" spans="1:6" ht="13">
      <c r="A278" s="1"/>
      <c r="B278" s="446">
        <v>37709</v>
      </c>
      <c r="C278" s="405">
        <f>70026000*0.7</f>
        <v>49018200</v>
      </c>
      <c r="D278" s="12"/>
      <c r="E278" s="207">
        <f t="shared" si="33"/>
        <v>39899</v>
      </c>
      <c r="F278" s="9">
        <f t="shared" si="34"/>
        <v>49018200</v>
      </c>
    </row>
    <row r="279" spans="1:6" ht="13">
      <c r="A279" s="3" t="s">
        <v>1547</v>
      </c>
      <c r="B279" s="446">
        <v>37805</v>
      </c>
      <c r="C279" s="405">
        <f>57674000*0.7</f>
        <v>40371800</v>
      </c>
      <c r="D279" s="12"/>
      <c r="E279" s="207">
        <f t="shared" si="33"/>
        <v>39995</v>
      </c>
      <c r="F279" s="9">
        <f t="shared" si="34"/>
        <v>40371800</v>
      </c>
    </row>
    <row r="280" spans="1:6" ht="13">
      <c r="A280" s="3"/>
      <c r="B280" s="446">
        <v>37845</v>
      </c>
      <c r="C280" s="405">
        <f>33174000*0.7</f>
        <v>23221800</v>
      </c>
      <c r="D280" s="12"/>
      <c r="E280" s="207">
        <f t="shared" si="33"/>
        <v>40035</v>
      </c>
      <c r="F280" s="9">
        <f t="shared" si="34"/>
        <v>23221800</v>
      </c>
    </row>
    <row r="281" spans="1:6">
      <c r="A281" s="1"/>
      <c r="B281" s="446">
        <v>37916</v>
      </c>
      <c r="C281">
        <f>73200000*0.7</f>
        <v>51240000</v>
      </c>
      <c r="E281" s="207">
        <f t="shared" si="33"/>
        <v>40106</v>
      </c>
      <c r="F281" s="9">
        <f t="shared" si="34"/>
        <v>51240000</v>
      </c>
    </row>
    <row r="282" spans="1:6">
      <c r="A282" s="1"/>
      <c r="B282" s="446">
        <v>37994</v>
      </c>
      <c r="C282">
        <f>48704000*0.7</f>
        <v>34092800</v>
      </c>
      <c r="E282" s="207">
        <f t="shared" si="33"/>
        <v>40184</v>
      </c>
      <c r="F282" s="9">
        <f t="shared" si="34"/>
        <v>34092800</v>
      </c>
    </row>
    <row r="283" spans="1:6">
      <c r="A283" s="1"/>
      <c r="B283" s="446">
        <v>38016</v>
      </c>
      <c r="C283">
        <f>50000000*0.7</f>
        <v>35000000</v>
      </c>
      <c r="E283" s="207">
        <f t="shared" si="33"/>
        <v>40206</v>
      </c>
      <c r="F283" s="9">
        <f t="shared" si="34"/>
        <v>35000000</v>
      </c>
    </row>
    <row r="284" spans="1:6" ht="13">
      <c r="A284" s="3" t="s">
        <v>1548</v>
      </c>
      <c r="B284" s="446">
        <v>38159</v>
      </c>
      <c r="C284">
        <f>36400000*0.7</f>
        <v>25480000</v>
      </c>
      <c r="E284" s="207">
        <f t="shared" si="33"/>
        <v>40349</v>
      </c>
      <c r="F284" s="9">
        <f t="shared" si="34"/>
        <v>25480000</v>
      </c>
    </row>
    <row r="285" spans="1:6" ht="13">
      <c r="A285" s="3" t="s">
        <v>1549</v>
      </c>
      <c r="B285" s="446">
        <v>38444</v>
      </c>
      <c r="C285">
        <f>162518000*0.7</f>
        <v>113762600</v>
      </c>
      <c r="E285" s="207">
        <f t="shared" si="33"/>
        <v>40634</v>
      </c>
      <c r="F285" s="9">
        <f t="shared" si="34"/>
        <v>113762600</v>
      </c>
    </row>
    <row r="286" spans="1:6" ht="13">
      <c r="C286" s="150">
        <f>SUM(C269:C285)</f>
        <v>656799500</v>
      </c>
      <c r="F286" s="150">
        <f>SUM(F269:F285)</f>
        <v>656799500</v>
      </c>
    </row>
  </sheetData>
  <mergeCells count="1">
    <mergeCell ref="E54:E55"/>
  </mergeCells>
  <phoneticPr fontId="0" type="noConversion"/>
  <printOptions horizontalCentered="1" gridLines="1"/>
  <pageMargins left="0.25" right="0" top="0" bottom="0" header="0.5" footer="0.5"/>
  <pageSetup paperSize="9" scale="54"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74">
    <tabColor theme="6" tint="-0.499984740745262"/>
    <pageSetUpPr fitToPage="1"/>
  </sheetPr>
  <dimension ref="A2:W135"/>
  <sheetViews>
    <sheetView workbookViewId="0">
      <pane xSplit="1" ySplit="3" topLeftCell="C61" activePane="bottomRight" state="frozen"/>
      <selection activeCell="G8" sqref="G8"/>
      <selection pane="topRight" activeCell="G8" sqref="G8"/>
      <selection pane="bottomLeft" activeCell="G8" sqref="G8"/>
      <selection pane="bottomRight" activeCell="I65" sqref="I65"/>
    </sheetView>
  </sheetViews>
  <sheetFormatPr defaultRowHeight="12.5"/>
  <cols>
    <col min="1" max="1" width="20.26953125" customWidth="1"/>
    <col min="2" max="3" width="9.81640625" bestFit="1" customWidth="1"/>
    <col min="4" max="5" width="12" customWidth="1"/>
    <col min="6" max="9" width="11.1796875" customWidth="1"/>
    <col min="10" max="12" width="11.1796875" hidden="1" customWidth="1"/>
    <col min="13" max="13" width="0" hidden="1" customWidth="1"/>
    <col min="15" max="15" width="9.36328125" bestFit="1" customWidth="1"/>
    <col min="17" max="17" width="20" customWidth="1"/>
    <col min="18" max="18" width="24.453125" customWidth="1"/>
    <col min="19" max="19" width="22.1796875" customWidth="1"/>
    <col min="20" max="20" width="16" customWidth="1"/>
    <col min="21" max="21" width="18.81640625" customWidth="1"/>
    <col min="22" max="22" width="11.7265625" customWidth="1"/>
  </cols>
  <sheetData>
    <row r="2" spans="1:20" ht="13">
      <c r="A2" s="2" t="s">
        <v>1550</v>
      </c>
      <c r="B2" s="2"/>
      <c r="C2" s="2"/>
      <c r="D2" s="2"/>
      <c r="E2" s="2"/>
    </row>
    <row r="3" spans="1:20" ht="13.5" thickBot="1">
      <c r="A3" s="16"/>
      <c r="B3" s="18" t="s">
        <v>1551</v>
      </c>
      <c r="C3" s="19"/>
      <c r="D3" s="19"/>
      <c r="E3" s="19"/>
      <c r="F3" s="641" t="s">
        <v>792</v>
      </c>
      <c r="G3" s="623" t="s">
        <v>793</v>
      </c>
      <c r="H3" s="623" t="s">
        <v>1846</v>
      </c>
      <c r="I3" s="623" t="s">
        <v>2193</v>
      </c>
      <c r="J3" s="623" t="s">
        <v>2249</v>
      </c>
      <c r="K3" s="623" t="s">
        <v>2250</v>
      </c>
      <c r="L3" s="623" t="s">
        <v>2251</v>
      </c>
      <c r="M3" s="623"/>
    </row>
    <row r="4" spans="1:20" ht="13.5" thickTop="1">
      <c r="A4" s="2"/>
      <c r="B4" s="447"/>
    </row>
    <row r="5" spans="1:20" ht="13">
      <c r="A5" s="2" t="s">
        <v>1552</v>
      </c>
      <c r="B5" s="447"/>
      <c r="C5" s="2"/>
      <c r="D5" s="2"/>
      <c r="E5" s="2"/>
    </row>
    <row r="6" spans="1:20" ht="13">
      <c r="A6" s="2" t="s">
        <v>1553</v>
      </c>
      <c r="B6" s="447" t="s">
        <v>1554</v>
      </c>
      <c r="C6" s="145" t="s">
        <v>1555</v>
      </c>
      <c r="D6" s="145" t="s">
        <v>2197</v>
      </c>
      <c r="E6" s="145" t="s">
        <v>2195</v>
      </c>
      <c r="Q6" s="2165" t="s">
        <v>1556</v>
      </c>
      <c r="R6" s="2165"/>
      <c r="S6" s="2165"/>
    </row>
    <row r="7" spans="1:20" ht="13">
      <c r="A7" s="347" t="s">
        <v>525</v>
      </c>
      <c r="B7" s="11">
        <v>0</v>
      </c>
      <c r="C7" s="163">
        <v>0</v>
      </c>
      <c r="D7" s="163">
        <v>0</v>
      </c>
      <c r="E7" s="163">
        <v>0</v>
      </c>
      <c r="F7" s="216">
        <v>0</v>
      </c>
      <c r="G7" s="216">
        <f>F33*0</f>
        <v>0</v>
      </c>
      <c r="H7" s="216">
        <f>G33</f>
        <v>0</v>
      </c>
      <c r="I7" s="1040">
        <f t="shared" ref="I7:L7" si="0">H33</f>
        <v>0</v>
      </c>
      <c r="J7" s="1040">
        <f t="shared" si="0"/>
        <v>0</v>
      </c>
      <c r="K7" s="1040">
        <f t="shared" si="0"/>
        <v>0</v>
      </c>
      <c r="L7" s="1040">
        <f t="shared" si="0"/>
        <v>0</v>
      </c>
      <c r="Q7" s="482" t="s">
        <v>1557</v>
      </c>
      <c r="R7" s="482" t="s">
        <v>1450</v>
      </c>
      <c r="S7" s="343" t="s">
        <v>2075</v>
      </c>
      <c r="T7" s="343" t="s">
        <v>2076</v>
      </c>
    </row>
    <row r="8" spans="1:20" ht="13">
      <c r="A8" s="347" t="s">
        <v>1088</v>
      </c>
      <c r="B8" s="448">
        <v>3.0200000000000001E-2</v>
      </c>
      <c r="C8" s="164">
        <v>1.7999999999999999E-2</v>
      </c>
      <c r="D8" s="164">
        <v>3.3399999999999999E-2</v>
      </c>
      <c r="E8" s="164">
        <v>3.3399999999999999E-2</v>
      </c>
      <c r="F8" s="631">
        <f>160211503.35/10^5</f>
        <v>1602.1150335</v>
      </c>
      <c r="G8" s="216">
        <f>F34</f>
        <v>4553.4053366999997</v>
      </c>
      <c r="H8" s="216">
        <f>G34</f>
        <v>12181.5956924</v>
      </c>
      <c r="I8" s="1040">
        <f t="shared" ref="I8:L13" si="1">H34</f>
        <v>12206.0231924</v>
      </c>
      <c r="J8" s="1040">
        <f t="shared" si="1"/>
        <v>12206.0231924</v>
      </c>
      <c r="K8" s="1040">
        <f t="shared" si="1"/>
        <v>12206.0231924</v>
      </c>
      <c r="L8" s="1040">
        <f t="shared" si="1"/>
        <v>12206.0231924</v>
      </c>
      <c r="Q8" s="23">
        <v>1</v>
      </c>
      <c r="R8" s="23" t="s">
        <v>1558</v>
      </c>
      <c r="S8" s="36">
        <v>10768.903776044999</v>
      </c>
      <c r="T8" s="36">
        <v>10768.903776044999</v>
      </c>
    </row>
    <row r="9" spans="1:20" ht="13">
      <c r="A9" s="347" t="s">
        <v>1559</v>
      </c>
      <c r="B9" s="448">
        <f>7.84%</f>
        <v>7.8399999999999997E-2</v>
      </c>
      <c r="C9" s="164">
        <v>3.7999999999999999E-2</v>
      </c>
      <c r="D9" s="164">
        <v>5.28E-2</v>
      </c>
      <c r="E9" s="164">
        <v>4.6699999999999998E-2</v>
      </c>
      <c r="F9" s="631">
        <f>623.169100391*100</f>
        <v>62316.910039100003</v>
      </c>
      <c r="G9" s="216">
        <f t="shared" ref="G9:H13" si="2">F35</f>
        <v>72940.943982875004</v>
      </c>
      <c r="H9" s="216">
        <f t="shared" si="2"/>
        <v>89839.839790550002</v>
      </c>
      <c r="I9" s="1040">
        <f t="shared" si="1"/>
        <v>180689.87630134288</v>
      </c>
      <c r="J9" s="1040">
        <f t="shared" si="1"/>
        <v>268055.26790282025</v>
      </c>
      <c r="K9" s="1040">
        <f t="shared" si="1"/>
        <v>268055.26790282025</v>
      </c>
      <c r="L9" s="1040">
        <f t="shared" si="1"/>
        <v>268055.26790282025</v>
      </c>
      <c r="Q9" s="23">
        <v>2</v>
      </c>
      <c r="R9" s="23" t="s">
        <v>1560</v>
      </c>
      <c r="S9" s="36">
        <v>2556</v>
      </c>
      <c r="T9" s="36">
        <v>4108</v>
      </c>
    </row>
    <row r="10" spans="1:20" ht="13">
      <c r="A10" s="347" t="s">
        <v>1091</v>
      </c>
      <c r="B10" s="448">
        <f>7.84%</f>
        <v>7.8399999999999997E-2</v>
      </c>
      <c r="C10" s="164">
        <v>3.7999999999999999E-2</v>
      </c>
      <c r="D10" s="164">
        <v>5.28E-2</v>
      </c>
      <c r="E10" s="164">
        <v>4.6699999999999998E-2</v>
      </c>
      <c r="F10" s="631">
        <f>1314.164619747*100</f>
        <v>131416.46197469998</v>
      </c>
      <c r="G10" s="216">
        <f t="shared" si="2"/>
        <v>151146.81072742498</v>
      </c>
      <c r="H10" s="216">
        <f t="shared" si="2"/>
        <v>182530.47437024998</v>
      </c>
      <c r="I10" s="1040">
        <f t="shared" si="1"/>
        <v>182530.47437024998</v>
      </c>
      <c r="J10" s="1040">
        <f t="shared" si="1"/>
        <v>182530.47437024998</v>
      </c>
      <c r="K10" s="1040">
        <f t="shared" si="1"/>
        <v>182530.47437024998</v>
      </c>
      <c r="L10" s="1040">
        <f t="shared" si="1"/>
        <v>182530.47437024998</v>
      </c>
      <c r="O10" s="7"/>
      <c r="Q10" s="23">
        <v>3</v>
      </c>
      <c r="R10" s="23" t="s">
        <v>1561</v>
      </c>
      <c r="S10" s="36">
        <v>2192</v>
      </c>
      <c r="T10" s="36">
        <v>2192</v>
      </c>
    </row>
    <row r="11" spans="1:20" ht="13">
      <c r="A11" s="347" t="s">
        <v>527</v>
      </c>
      <c r="B11" s="448">
        <v>0.12770000000000001</v>
      </c>
      <c r="C11" s="164">
        <v>4.5499999999999999E-2</v>
      </c>
      <c r="D11" s="164">
        <v>6.3299999999999995E-2</v>
      </c>
      <c r="E11" s="164">
        <v>6.3299999999999995E-2</v>
      </c>
      <c r="F11" s="631">
        <f>2.017583268*100</f>
        <v>201.75832680000002</v>
      </c>
      <c r="G11" s="216">
        <f t="shared" si="2"/>
        <v>301.84260949999998</v>
      </c>
      <c r="H11" s="216">
        <f t="shared" si="2"/>
        <v>882.09372299999995</v>
      </c>
      <c r="I11" s="1040">
        <f t="shared" si="1"/>
        <v>982.09372299999995</v>
      </c>
      <c r="J11" s="1040">
        <f t="shared" si="1"/>
        <v>1102.093723</v>
      </c>
      <c r="K11" s="1040">
        <f t="shared" si="1"/>
        <v>1102.093723</v>
      </c>
      <c r="L11" s="1040">
        <f t="shared" si="1"/>
        <v>1102.093723</v>
      </c>
      <c r="O11" s="7"/>
      <c r="Q11" s="23">
        <v>4</v>
      </c>
      <c r="R11" s="23" t="s">
        <v>1562</v>
      </c>
      <c r="S11" s="36">
        <v>14367</v>
      </c>
      <c r="T11" s="36">
        <v>14367</v>
      </c>
    </row>
    <row r="12" spans="1:20" ht="13">
      <c r="A12" s="347" t="s">
        <v>1094</v>
      </c>
      <c r="B12" s="448">
        <v>0.33400000000000002</v>
      </c>
      <c r="C12" s="164">
        <v>0.12859999999999999</v>
      </c>
      <c r="D12" s="164">
        <v>9.5000000000000001E-2</v>
      </c>
      <c r="E12" s="164">
        <v>9.5000000000000001E-2</v>
      </c>
      <c r="F12" s="631">
        <f>0.480672165*100</f>
        <v>48.067216500000001</v>
      </c>
      <c r="G12" s="216">
        <f>F38</f>
        <v>187.13667240000001</v>
      </c>
      <c r="H12" s="216">
        <f t="shared" si="2"/>
        <v>554.85407650000002</v>
      </c>
      <c r="I12" s="1040">
        <f t="shared" si="1"/>
        <v>604.85407650000002</v>
      </c>
      <c r="J12" s="1040">
        <f t="shared" si="1"/>
        <v>664.85407650000002</v>
      </c>
      <c r="K12" s="1040">
        <f t="shared" si="1"/>
        <v>664.85407650000002</v>
      </c>
      <c r="L12" s="1040">
        <f t="shared" si="1"/>
        <v>664.85407650000002</v>
      </c>
      <c r="Q12" s="23">
        <v>5</v>
      </c>
      <c r="R12" s="23" t="s">
        <v>1563</v>
      </c>
      <c r="S12" s="36">
        <v>5329</v>
      </c>
      <c r="T12" s="36">
        <v>5329</v>
      </c>
    </row>
    <row r="13" spans="1:20" ht="13">
      <c r="A13" s="347" t="s">
        <v>1564</v>
      </c>
      <c r="B13" s="448">
        <v>0.12770000000000001</v>
      </c>
      <c r="C13" s="164">
        <v>0.09</v>
      </c>
      <c r="D13" s="164">
        <v>6.3299999999999995E-2</v>
      </c>
      <c r="E13" s="164">
        <v>6.3299999999999995E-2</v>
      </c>
      <c r="F13" s="631">
        <f>(7.45303117*100)-F14</f>
        <v>243.2952573</v>
      </c>
      <c r="G13" s="216">
        <f t="shared" si="2"/>
        <v>418.37095944999987</v>
      </c>
      <c r="H13" s="216">
        <f t="shared" si="2"/>
        <v>4102.5985857999995</v>
      </c>
      <c r="I13" s="1040">
        <f t="shared" si="1"/>
        <v>4182.6017663999992</v>
      </c>
      <c r="J13" s="1040">
        <f t="shared" si="1"/>
        <v>4282.6017663999992</v>
      </c>
      <c r="K13" s="1040">
        <f t="shared" si="1"/>
        <v>4282.6017663999992</v>
      </c>
      <c r="L13" s="1040">
        <f t="shared" si="1"/>
        <v>4282.6017663999992</v>
      </c>
      <c r="M13" s="216"/>
      <c r="N13" s="216"/>
      <c r="O13" s="216"/>
      <c r="P13" s="216"/>
      <c r="Q13" s="23">
        <v>6</v>
      </c>
      <c r="R13" s="23" t="s">
        <v>1565</v>
      </c>
      <c r="S13" s="36">
        <f>819+291+895</f>
        <v>2005</v>
      </c>
      <c r="T13" s="36">
        <f>819+291+895</f>
        <v>2005</v>
      </c>
    </row>
    <row r="14" spans="1:20" ht="13">
      <c r="A14" s="347" t="s">
        <v>1566</v>
      </c>
      <c r="B14" s="448"/>
      <c r="C14" s="164">
        <v>0.09</v>
      </c>
      <c r="D14" s="164">
        <v>0.15</v>
      </c>
      <c r="E14" s="164">
        <v>0.15</v>
      </c>
      <c r="F14" s="631">
        <f>5.020078597*100</f>
        <v>502.00785970000004</v>
      </c>
      <c r="G14" s="216">
        <f>F40</f>
        <v>3243.08356185</v>
      </c>
      <c r="H14" s="216">
        <f>G40</f>
        <v>6927.3111881999994</v>
      </c>
      <c r="I14" s="1040">
        <f t="shared" ref="I14:L15" si="3">H40</f>
        <v>6927.3111881999994</v>
      </c>
      <c r="J14" s="1040">
        <f t="shared" si="3"/>
        <v>6927.3111881999994</v>
      </c>
      <c r="K14" s="1040">
        <f t="shared" si="3"/>
        <v>6927.3111881999994</v>
      </c>
      <c r="L14" s="1040">
        <f t="shared" si="3"/>
        <v>6927.3111881999994</v>
      </c>
      <c r="Q14" s="23">
        <v>7</v>
      </c>
      <c r="R14" s="23" t="s">
        <v>1567</v>
      </c>
      <c r="S14" s="36">
        <v>191</v>
      </c>
      <c r="T14" s="36">
        <v>191</v>
      </c>
    </row>
    <row r="15" spans="1:20" ht="13">
      <c r="A15" s="347" t="s">
        <v>2196</v>
      </c>
      <c r="B15" s="448"/>
      <c r="C15" s="164"/>
      <c r="D15" s="164"/>
      <c r="E15" s="164">
        <v>0.3</v>
      </c>
      <c r="F15" s="631">
        <v>0</v>
      </c>
      <c r="G15" s="216">
        <f>F41</f>
        <v>2566</v>
      </c>
      <c r="H15" s="216">
        <f>G41</f>
        <v>2566</v>
      </c>
      <c r="I15" s="1040">
        <f t="shared" si="3"/>
        <v>2566</v>
      </c>
      <c r="J15" s="1040"/>
      <c r="K15" s="1040"/>
      <c r="L15" s="1040"/>
      <c r="Q15" s="23"/>
      <c r="R15" s="23"/>
      <c r="S15" s="36"/>
      <c r="T15" s="36"/>
    </row>
    <row r="16" spans="1:20" ht="13.5" thickBot="1">
      <c r="A16" s="449" t="s">
        <v>145</v>
      </c>
      <c r="B16" s="16"/>
      <c r="C16" s="17"/>
      <c r="D16" s="17"/>
      <c r="E16" s="17"/>
      <c r="F16" s="14">
        <f>SUM(F7:F15)</f>
        <v>196330.61570759997</v>
      </c>
      <c r="G16" s="14">
        <f t="shared" ref="G16:L16" si="4">SUM(G7:G15)</f>
        <v>235357.59385019998</v>
      </c>
      <c r="H16" s="14">
        <f>SUM(H7:H15)</f>
        <v>299584.76742669998</v>
      </c>
      <c r="I16" s="14">
        <f>SUM(I7:I15)</f>
        <v>390689.23461809289</v>
      </c>
      <c r="J16" s="14">
        <f t="shared" si="4"/>
        <v>475768.62621957029</v>
      </c>
      <c r="K16" s="14">
        <f t="shared" si="4"/>
        <v>475768.62621957029</v>
      </c>
      <c r="L16" s="14">
        <f t="shared" si="4"/>
        <v>475768.62621957029</v>
      </c>
      <c r="O16">
        <f>H16*4.5%</f>
        <v>13481.3145342015</v>
      </c>
      <c r="Q16" s="23">
        <v>8</v>
      </c>
      <c r="R16" s="23" t="s">
        <v>1568</v>
      </c>
      <c r="S16" s="36">
        <v>212</v>
      </c>
      <c r="T16" s="36">
        <v>212</v>
      </c>
    </row>
    <row r="17" spans="1:23" ht="13" thickTop="1">
      <c r="F17" s="9"/>
      <c r="H17" s="216"/>
      <c r="I17" s="216"/>
      <c r="J17" s="216"/>
      <c r="K17" s="216"/>
      <c r="L17" s="216"/>
      <c r="Q17" s="23">
        <v>9</v>
      </c>
      <c r="R17" s="23" t="s">
        <v>1569</v>
      </c>
      <c r="S17" s="36">
        <v>45</v>
      </c>
      <c r="T17" s="36">
        <v>45</v>
      </c>
    </row>
    <row r="18" spans="1:23" ht="13">
      <c r="A18" s="2"/>
      <c r="F18" s="228"/>
      <c r="Q18" s="23">
        <v>10</v>
      </c>
      <c r="R18" s="23" t="s">
        <v>1571</v>
      </c>
      <c r="S18" s="36">
        <v>488</v>
      </c>
      <c r="T18" s="36">
        <v>488</v>
      </c>
    </row>
    <row r="19" spans="1:23" ht="13.5" thickBot="1">
      <c r="A19" s="17" t="s">
        <v>1570</v>
      </c>
      <c r="B19" s="16"/>
      <c r="C19" s="16"/>
      <c r="D19" s="16"/>
      <c r="E19" s="16"/>
      <c r="F19" s="15"/>
      <c r="G19" s="15"/>
      <c r="H19" s="15"/>
      <c r="I19" s="15"/>
      <c r="J19" s="15"/>
      <c r="K19" s="15"/>
      <c r="L19" s="15"/>
      <c r="Q19" s="23">
        <v>11</v>
      </c>
      <c r="R19" s="23" t="s">
        <v>1572</v>
      </c>
      <c r="S19" s="36">
        <f>823+128</f>
        <v>951</v>
      </c>
      <c r="T19" s="36">
        <f>823+128</f>
        <v>951</v>
      </c>
    </row>
    <row r="20" spans="1:23" ht="13" thickTop="1">
      <c r="A20" s="347" t="s">
        <v>525</v>
      </c>
      <c r="F20" s="7">
        <f>CWIP!K11</f>
        <v>0</v>
      </c>
      <c r="G20" s="7">
        <f>CWIP!U11+CWIP!V11</f>
        <v>0</v>
      </c>
      <c r="H20" s="7">
        <f>CWIP!U11+CWIP!V11</f>
        <v>0</v>
      </c>
      <c r="I20" s="7">
        <f>CWIP!AF11+CWIP!AG11</f>
        <v>0</v>
      </c>
      <c r="J20" s="303"/>
      <c r="K20" s="303"/>
      <c r="L20" s="303"/>
      <c r="Q20" s="23">
        <v>12</v>
      </c>
      <c r="R20" s="23" t="s">
        <v>1487</v>
      </c>
      <c r="S20" s="36">
        <v>570</v>
      </c>
      <c r="T20" s="36">
        <v>570</v>
      </c>
    </row>
    <row r="21" spans="1:23">
      <c r="A21" s="347" t="s">
        <v>1088</v>
      </c>
      <c r="F21" s="630">
        <f>295129030.32/10^5</f>
        <v>2951.2903031999999</v>
      </c>
      <c r="G21" s="7">
        <v>7628.1903557000005</v>
      </c>
      <c r="H21" s="7">
        <f>CWIP!U12+CWIP!V12</f>
        <v>24.427500000000293</v>
      </c>
      <c r="I21" s="7">
        <f>CWIP!AF12+CWIP!AG12</f>
        <v>0</v>
      </c>
      <c r="J21" s="303"/>
      <c r="K21" s="303"/>
      <c r="L21" s="303"/>
      <c r="Q21" s="23">
        <v>13</v>
      </c>
      <c r="R21" s="23" t="s">
        <v>1573</v>
      </c>
      <c r="S21" s="36">
        <v>1590</v>
      </c>
      <c r="T21" s="36">
        <v>1590</v>
      </c>
    </row>
    <row r="22" spans="1:23">
      <c r="A22" s="347" t="s">
        <v>1559</v>
      </c>
      <c r="F22" s="630">
        <f>((3035438269.65)/10^5)-F23</f>
        <v>10624.033943775001</v>
      </c>
      <c r="G22" s="7">
        <f>((4847306974.44-19051029.39)/10^5)-G23</f>
        <v>16898.895807674991</v>
      </c>
      <c r="H22" s="7">
        <f>CWIP!U35+CWIP!V35-H27-H28</f>
        <v>90850.036510792881</v>
      </c>
      <c r="I22" s="7">
        <f>CWIP!AF35+CWIP!AG35-I27-I28</f>
        <v>87365.391601477342</v>
      </c>
      <c r="J22" s="303"/>
      <c r="K22" s="303"/>
      <c r="L22" s="303"/>
      <c r="Q22" s="23">
        <v>14</v>
      </c>
      <c r="R22" s="23" t="s">
        <v>1574</v>
      </c>
      <c r="S22" s="36"/>
      <c r="T22" s="7"/>
    </row>
    <row r="23" spans="1:23" ht="14.5">
      <c r="A23" s="347" t="s">
        <v>1091</v>
      </c>
      <c r="F23" s="630">
        <f>(65%*3035438269.65)/10^5</f>
        <v>19730.348752725</v>
      </c>
      <c r="G23" s="7">
        <f>(65%*(4847306974.44-19051029.39))/10^5</f>
        <v>31383.663642824999</v>
      </c>
      <c r="H23" s="7">
        <v>0</v>
      </c>
      <c r="I23" s="7">
        <v>0</v>
      </c>
      <c r="J23" s="303"/>
      <c r="K23" s="303"/>
      <c r="L23" s="303"/>
      <c r="Q23" s="481"/>
      <c r="R23" s="481" t="s">
        <v>214</v>
      </c>
      <c r="S23" s="37">
        <f>SUM(S8:S22)</f>
        <v>41264.903776045001</v>
      </c>
      <c r="T23" s="12">
        <f>SUM(T8:T22)</f>
        <v>42816.903776045001</v>
      </c>
    </row>
    <row r="24" spans="1:23">
      <c r="A24" s="347" t="s">
        <v>527</v>
      </c>
      <c r="F24" s="630">
        <f>10008428.27/10^5</f>
        <v>100.08428269999999</v>
      </c>
      <c r="G24" s="7">
        <f>58025111.35/10^5</f>
        <v>580.25111349999997</v>
      </c>
      <c r="H24" s="7">
        <f>CWIP!U37+CWIP!V37</f>
        <v>100</v>
      </c>
      <c r="I24" s="7">
        <f>CWIP!AF37+CWIP!AG37</f>
        <v>120</v>
      </c>
      <c r="J24" s="303"/>
      <c r="K24" s="303"/>
      <c r="L24" s="303"/>
    </row>
    <row r="25" spans="1:23" ht="13">
      <c r="A25" s="347" t="s">
        <v>1094</v>
      </c>
      <c r="F25" s="630">
        <f>13906945.59/10^5</f>
        <v>139.06945590000001</v>
      </c>
      <c r="G25" s="7">
        <f>(38986268.07-2214527.66)/10^5</f>
        <v>367.71740409999995</v>
      </c>
      <c r="H25" s="7">
        <f>CWIP!U38+CWIP!V38</f>
        <v>50</v>
      </c>
      <c r="I25" s="7">
        <f>CWIP!AF38+CWIP!AG38</f>
        <v>60</v>
      </c>
      <c r="J25" s="303"/>
      <c r="K25" s="303"/>
      <c r="L25" s="303"/>
      <c r="S25" s="231"/>
      <c r="W25" s="1221" t="s">
        <v>2425</v>
      </c>
    </row>
    <row r="26" spans="1:23" ht="13">
      <c r="A26" s="347" t="s">
        <v>1564</v>
      </c>
      <c r="F26" s="630">
        <f>(548215140.43/10^5)-F27-F28</f>
        <v>175.07570214999987</v>
      </c>
      <c r="G26" s="7">
        <f>((736942052.84-96527.57)/10^5)-G27-G28</f>
        <v>3684.2276263499998</v>
      </c>
      <c r="H26" s="7">
        <f>CWIP!U39+CWIP!V39</f>
        <v>80.003180600000007</v>
      </c>
      <c r="I26" s="7">
        <f>CWIP!AF39+CWIP!AG39</f>
        <v>100</v>
      </c>
      <c r="J26" s="303"/>
      <c r="K26" s="303"/>
      <c r="L26" s="303"/>
      <c r="Q26" s="206" t="s">
        <v>1575</v>
      </c>
      <c r="S26" s="231"/>
      <c r="W26" s="1221" t="s">
        <v>2426</v>
      </c>
    </row>
    <row r="27" spans="1:23">
      <c r="A27" s="347" t="s">
        <v>1576</v>
      </c>
      <c r="F27" s="630">
        <f>(50%*548215140.43)/10^5</f>
        <v>2741.0757021499999</v>
      </c>
      <c r="G27" s="7">
        <f>(50%*(736942052.84-96527.57))/10^5</f>
        <v>3684.2276263499998</v>
      </c>
      <c r="H27" s="7"/>
      <c r="I27" s="7"/>
      <c r="J27" s="303"/>
      <c r="K27" s="303"/>
      <c r="L27" s="303"/>
      <c r="Q27" s="2166" t="s">
        <v>204</v>
      </c>
      <c r="R27" s="2166" t="s">
        <v>1577</v>
      </c>
      <c r="S27" s="2166" t="s">
        <v>2421</v>
      </c>
      <c r="T27" s="2166" t="s">
        <v>2420</v>
      </c>
      <c r="W27" s="2163" t="s">
        <v>2424</v>
      </c>
    </row>
    <row r="28" spans="1:23">
      <c r="A28" s="347" t="s">
        <v>2196</v>
      </c>
      <c r="F28" s="630">
        <v>2566</v>
      </c>
      <c r="G28" s="7">
        <v>0</v>
      </c>
      <c r="H28" s="7"/>
      <c r="I28" s="7"/>
      <c r="J28" s="303"/>
      <c r="K28" s="303"/>
      <c r="L28" s="303"/>
      <c r="Q28" s="2167"/>
      <c r="R28" s="2167"/>
      <c r="S28" s="2167"/>
      <c r="T28" s="2167"/>
      <c r="W28" s="2164"/>
    </row>
    <row r="29" spans="1:23">
      <c r="A29" s="347" t="s">
        <v>1578</v>
      </c>
      <c r="F29" s="7"/>
      <c r="G29" s="7"/>
      <c r="Q29" s="483">
        <v>1</v>
      </c>
      <c r="R29" s="864" t="s">
        <v>2418</v>
      </c>
      <c r="S29" s="483">
        <v>89945</v>
      </c>
      <c r="T29" s="483">
        <v>114353</v>
      </c>
      <c r="U29" s="885" t="s">
        <v>2430</v>
      </c>
      <c r="W29" s="483">
        <v>89945</v>
      </c>
    </row>
    <row r="30" spans="1:23" ht="13.5" thickBot="1">
      <c r="A30" s="449" t="s">
        <v>145</v>
      </c>
      <c r="B30" s="16"/>
      <c r="C30" s="17"/>
      <c r="D30" s="17"/>
      <c r="E30" s="17"/>
      <c r="F30" s="14">
        <f>SUM(F20:F29)</f>
        <v>39026.978142600005</v>
      </c>
      <c r="G30" s="14">
        <f>SUM(G20:G29)</f>
        <v>64227.173576500005</v>
      </c>
      <c r="H30" s="14">
        <f>SUM(H20:H29)</f>
        <v>91104.467191392891</v>
      </c>
      <c r="I30" s="14">
        <f>SUM(I20:I29)</f>
        <v>87645.391601477342</v>
      </c>
      <c r="J30" s="14">
        <f t="shared" ref="J30:L30" si="5">SUM(J20:J29)</f>
        <v>0</v>
      </c>
      <c r="K30" s="14">
        <f t="shared" si="5"/>
        <v>0</v>
      </c>
      <c r="L30" s="14">
        <f t="shared" si="5"/>
        <v>0</v>
      </c>
      <c r="Q30" s="29">
        <v>2</v>
      </c>
      <c r="R30" s="864" t="s">
        <v>2419</v>
      </c>
      <c r="S30" s="483">
        <v>2987.0000000000005</v>
      </c>
      <c r="T30" s="483">
        <v>49112</v>
      </c>
      <c r="U30" s="885" t="s">
        <v>370</v>
      </c>
      <c r="W30" s="29"/>
    </row>
    <row r="31" spans="1:23" ht="13" thickTop="1">
      <c r="A31" s="347"/>
      <c r="Q31" s="483">
        <v>3</v>
      </c>
      <c r="R31" s="484" t="s">
        <v>1579</v>
      </c>
      <c r="S31" s="483">
        <v>29339</v>
      </c>
      <c r="T31" s="483">
        <f>S31+0</f>
        <v>29339</v>
      </c>
      <c r="U31" s="885" t="s">
        <v>2429</v>
      </c>
      <c r="W31" s="483">
        <v>29339</v>
      </c>
    </row>
    <row r="32" spans="1:23" ht="13">
      <c r="A32" s="2" t="s">
        <v>1580</v>
      </c>
      <c r="C32" s="2"/>
      <c r="D32" s="2"/>
      <c r="E32" s="2"/>
      <c r="F32" s="228"/>
      <c r="Q32" s="29">
        <v>4</v>
      </c>
      <c r="R32" s="864" t="s">
        <v>1491</v>
      </c>
      <c r="S32" s="483">
        <v>22311</v>
      </c>
      <c r="T32" s="483">
        <f>S32+0</f>
        <v>22311</v>
      </c>
      <c r="U32" s="885" t="s">
        <v>2429</v>
      </c>
      <c r="W32" s="29">
        <v>22311</v>
      </c>
    </row>
    <row r="33" spans="1:23">
      <c r="A33" s="347" t="s">
        <v>525</v>
      </c>
      <c r="C33" s="347"/>
      <c r="D33" s="347"/>
      <c r="E33" s="347"/>
      <c r="F33" s="216">
        <f>(F20+F7)*0</f>
        <v>0</v>
      </c>
      <c r="G33" s="1098">
        <f>G20+G7</f>
        <v>0</v>
      </c>
      <c r="H33" s="216">
        <f>H20+H7</f>
        <v>0</v>
      </c>
      <c r="I33" s="1040">
        <f t="shared" ref="I33:L33" si="6">I20+I7</f>
        <v>0</v>
      </c>
      <c r="J33" s="1040">
        <f t="shared" si="6"/>
        <v>0</v>
      </c>
      <c r="K33" s="1040">
        <f t="shared" si="6"/>
        <v>0</v>
      </c>
      <c r="L33" s="1040">
        <f t="shared" si="6"/>
        <v>0</v>
      </c>
      <c r="Q33" s="483">
        <v>5</v>
      </c>
      <c r="R33" s="864" t="s">
        <v>2427</v>
      </c>
      <c r="S33" s="483">
        <f>19280+49257</f>
        <v>68537</v>
      </c>
      <c r="T33" s="483">
        <f>S33+0</f>
        <v>68537</v>
      </c>
      <c r="U33" s="885" t="s">
        <v>2429</v>
      </c>
      <c r="W33" s="29">
        <f>19280+49257</f>
        <v>68537</v>
      </c>
    </row>
    <row r="34" spans="1:23">
      <c r="A34" s="347" t="s">
        <v>1088</v>
      </c>
      <c r="C34" s="347"/>
      <c r="D34" s="347"/>
      <c r="E34" s="347"/>
      <c r="F34" s="631">
        <f>F21+F8</f>
        <v>4553.4053366999997</v>
      </c>
      <c r="G34" s="1098">
        <f>G21+G8</f>
        <v>12181.5956924</v>
      </c>
      <c r="H34" s="216">
        <f>H21+H8</f>
        <v>12206.0231924</v>
      </c>
      <c r="I34" s="1040">
        <f>I21+I8</f>
        <v>12206.0231924</v>
      </c>
      <c r="J34" s="1040">
        <f t="shared" ref="J34:L34" si="7">J21+J8</f>
        <v>12206.0231924</v>
      </c>
      <c r="K34" s="1040">
        <f t="shared" si="7"/>
        <v>12206.0231924</v>
      </c>
      <c r="L34" s="1040">
        <f t="shared" si="7"/>
        <v>12206.0231924</v>
      </c>
      <c r="Q34" s="29">
        <v>6</v>
      </c>
      <c r="R34" s="864" t="s">
        <v>2428</v>
      </c>
      <c r="S34" s="483">
        <f>41891+102372</f>
        <v>144263</v>
      </c>
      <c r="T34" s="483">
        <f>S34+0</f>
        <v>144263</v>
      </c>
      <c r="U34" s="885" t="s">
        <v>2429</v>
      </c>
      <c r="W34" s="29">
        <f>41891+102372</f>
        <v>144263</v>
      </c>
    </row>
    <row r="35" spans="1:23">
      <c r="A35" s="347" t="s">
        <v>1559</v>
      </c>
      <c r="C35" s="347"/>
      <c r="D35" s="347"/>
      <c r="E35" s="347"/>
      <c r="F35" s="631">
        <f>F22+F9+F29</f>
        <v>72940.943982875004</v>
      </c>
      <c r="G35" s="1098">
        <f>G22+G9+G29</f>
        <v>89839.839790550002</v>
      </c>
      <c r="H35" s="216">
        <f>H22+H9+H29</f>
        <v>180689.87630134288</v>
      </c>
      <c r="I35" s="1040">
        <f t="shared" ref="I35:L35" si="8">I22+I9+I29</f>
        <v>268055.26790282025</v>
      </c>
      <c r="J35" s="1040">
        <f t="shared" si="8"/>
        <v>268055.26790282025</v>
      </c>
      <c r="K35" s="1040">
        <f t="shared" si="8"/>
        <v>268055.26790282025</v>
      </c>
      <c r="L35" s="1040">
        <f t="shared" si="8"/>
        <v>268055.26790282025</v>
      </c>
      <c r="Q35" s="483">
        <v>7</v>
      </c>
      <c r="R35" s="864" t="s">
        <v>537</v>
      </c>
      <c r="S35" s="483">
        <v>8000</v>
      </c>
      <c r="T35" s="483">
        <f>S35+0</f>
        <v>8000</v>
      </c>
      <c r="U35" s="885" t="s">
        <v>370</v>
      </c>
      <c r="W35" s="29"/>
    </row>
    <row r="36" spans="1:23" ht="13">
      <c r="A36" s="347" t="s">
        <v>1091</v>
      </c>
      <c r="C36" s="216"/>
      <c r="D36" s="216"/>
      <c r="E36" s="216"/>
      <c r="F36" s="631">
        <f t="shared" ref="F36:H40" si="9">F23+F10</f>
        <v>151146.81072742498</v>
      </c>
      <c r="G36" s="1098">
        <f t="shared" si="9"/>
        <v>182530.47437024998</v>
      </c>
      <c r="H36" s="216">
        <f t="shared" si="9"/>
        <v>182530.47437024998</v>
      </c>
      <c r="I36" s="1040">
        <f t="shared" ref="I36:L36" si="10">I23+I10</f>
        <v>182530.47437024998</v>
      </c>
      <c r="J36" s="1040">
        <f t="shared" si="10"/>
        <v>182530.47437024998</v>
      </c>
      <c r="K36" s="1040">
        <f t="shared" si="10"/>
        <v>182530.47437024998</v>
      </c>
      <c r="L36" s="1040">
        <f t="shared" si="10"/>
        <v>182530.47437024998</v>
      </c>
      <c r="Q36" s="1214">
        <v>8</v>
      </c>
      <c r="R36" s="1215" t="s">
        <v>145</v>
      </c>
      <c r="S36" s="1216">
        <f>SUM(S29:S35)</f>
        <v>365382</v>
      </c>
      <c r="T36" s="1216">
        <f>SUM(T29:T35)</f>
        <v>435915</v>
      </c>
      <c r="W36" s="1214">
        <f>SUM(W29:W35)</f>
        <v>354395</v>
      </c>
    </row>
    <row r="37" spans="1:23">
      <c r="A37" s="347" t="s">
        <v>527</v>
      </c>
      <c r="C37" s="216"/>
      <c r="D37" s="216"/>
      <c r="E37" s="216"/>
      <c r="F37" s="631">
        <f t="shared" si="9"/>
        <v>301.84260949999998</v>
      </c>
      <c r="G37" s="1098">
        <f t="shared" si="9"/>
        <v>882.09372299999995</v>
      </c>
      <c r="H37" s="216">
        <f t="shared" si="9"/>
        <v>982.09372299999995</v>
      </c>
      <c r="I37" s="1040">
        <f t="shared" ref="I37:L37" si="11">I24+I11</f>
        <v>1102.093723</v>
      </c>
      <c r="J37" s="1040">
        <f t="shared" si="11"/>
        <v>1102.093723</v>
      </c>
      <c r="K37" s="1040">
        <f t="shared" si="11"/>
        <v>1102.093723</v>
      </c>
      <c r="L37" s="1040">
        <f t="shared" si="11"/>
        <v>1102.093723</v>
      </c>
      <c r="S37">
        <f>S36*100</f>
        <v>36538200</v>
      </c>
      <c r="T37">
        <f>T36*100</f>
        <v>43591500</v>
      </c>
      <c r="V37" s="8"/>
    </row>
    <row r="38" spans="1:23">
      <c r="A38" s="347" t="s">
        <v>1094</v>
      </c>
      <c r="C38" s="216"/>
      <c r="D38" s="216"/>
      <c r="E38" s="216"/>
      <c r="F38" s="631">
        <f t="shared" si="9"/>
        <v>187.13667240000001</v>
      </c>
      <c r="G38" s="1098">
        <f t="shared" si="9"/>
        <v>554.85407650000002</v>
      </c>
      <c r="H38" s="216">
        <f t="shared" si="9"/>
        <v>604.85407650000002</v>
      </c>
      <c r="I38" s="1040">
        <f t="shared" ref="I38:L38" si="12">I25+I12</f>
        <v>664.85407650000002</v>
      </c>
      <c r="J38" s="1040">
        <f t="shared" si="12"/>
        <v>664.85407650000002</v>
      </c>
      <c r="K38" s="1040">
        <f t="shared" si="12"/>
        <v>664.85407650000002</v>
      </c>
      <c r="L38" s="1040">
        <f t="shared" si="12"/>
        <v>664.85407650000002</v>
      </c>
      <c r="S38">
        <f>S37+S25</f>
        <v>36538200</v>
      </c>
    </row>
    <row r="39" spans="1:23">
      <c r="A39" s="347" t="s">
        <v>1564</v>
      </c>
      <c r="C39" s="347"/>
      <c r="D39" s="347"/>
      <c r="E39" s="347"/>
      <c r="F39" s="631">
        <f t="shared" si="9"/>
        <v>418.37095944999987</v>
      </c>
      <c r="G39" s="1098">
        <f t="shared" si="9"/>
        <v>4102.5985857999995</v>
      </c>
      <c r="H39" s="216">
        <f t="shared" si="9"/>
        <v>4182.6017663999992</v>
      </c>
      <c r="I39" s="1040">
        <f t="shared" ref="I39:L39" si="13">I26+I13</f>
        <v>4282.6017663999992</v>
      </c>
      <c r="J39" s="1040">
        <f t="shared" si="13"/>
        <v>4282.6017663999992</v>
      </c>
      <c r="K39" s="1040">
        <f t="shared" si="13"/>
        <v>4282.6017663999992</v>
      </c>
      <c r="L39" s="1040">
        <f t="shared" si="13"/>
        <v>4282.6017663999992</v>
      </c>
      <c r="S39">
        <f>S36+15850</f>
        <v>381232</v>
      </c>
    </row>
    <row r="40" spans="1:23">
      <c r="A40" s="347" t="s">
        <v>1576</v>
      </c>
      <c r="C40" s="347"/>
      <c r="D40" s="347"/>
      <c r="E40" s="347"/>
      <c r="F40" s="631">
        <f t="shared" si="9"/>
        <v>3243.08356185</v>
      </c>
      <c r="G40" s="1098">
        <f t="shared" si="9"/>
        <v>6927.3111881999994</v>
      </c>
      <c r="H40" s="216">
        <f t="shared" si="9"/>
        <v>6927.3111881999994</v>
      </c>
      <c r="I40" s="1040">
        <f t="shared" ref="I40:L41" si="14">I27+I14</f>
        <v>6927.3111881999994</v>
      </c>
      <c r="J40" s="1040">
        <f t="shared" si="14"/>
        <v>6927.3111881999994</v>
      </c>
      <c r="K40" s="1040">
        <f t="shared" si="14"/>
        <v>6927.3111881999994</v>
      </c>
      <c r="L40" s="1040">
        <f t="shared" si="14"/>
        <v>6927.3111881999994</v>
      </c>
    </row>
    <row r="41" spans="1:23">
      <c r="A41" s="347" t="s">
        <v>2196</v>
      </c>
      <c r="C41" s="347"/>
      <c r="D41" s="347"/>
      <c r="E41" s="347"/>
      <c r="F41" s="631">
        <f>F28+F15</f>
        <v>2566</v>
      </c>
      <c r="G41" s="1098">
        <f t="shared" ref="G41" si="15">G28+G15</f>
        <v>2566</v>
      </c>
      <c r="H41" s="216">
        <f>H28+H15</f>
        <v>2566</v>
      </c>
      <c r="I41" s="1040">
        <f t="shared" si="14"/>
        <v>2566</v>
      </c>
      <c r="J41" s="1040"/>
      <c r="K41" s="1040"/>
      <c r="L41" s="1040"/>
      <c r="S41">
        <f>S36*3%</f>
        <v>10961.46</v>
      </c>
    </row>
    <row r="42" spans="1:23" ht="13.5" thickBot="1">
      <c r="A42" s="449" t="s">
        <v>145</v>
      </c>
      <c r="B42" s="16"/>
      <c r="C42" s="17"/>
      <c r="D42" s="17"/>
      <c r="E42" s="17"/>
      <c r="F42" s="14">
        <f>SUM(F33:F41)</f>
        <v>235357.59385019998</v>
      </c>
      <c r="G42" s="1099">
        <f>SUM(G33:G41)+(5.00003807246685E-07)</f>
        <v>299584.76742719999</v>
      </c>
      <c r="H42" s="14">
        <f t="shared" ref="H42" si="16">SUM(H33:H41)</f>
        <v>390689.23461809289</v>
      </c>
      <c r="I42" s="14">
        <f>SUM(I33:I41)</f>
        <v>478334.62621957029</v>
      </c>
      <c r="J42" s="14">
        <f t="shared" ref="J42:L42" si="17">SUM(J33:J40)</f>
        <v>475768.62621957029</v>
      </c>
      <c r="K42" s="14">
        <f t="shared" si="17"/>
        <v>475768.62621957029</v>
      </c>
      <c r="L42" s="14">
        <f t="shared" si="17"/>
        <v>475768.62621957029</v>
      </c>
      <c r="R42" s="228"/>
    </row>
    <row r="43" spans="1:23" ht="13.5" thickTop="1">
      <c r="F43" s="7"/>
      <c r="R43" s="2054" t="s">
        <v>735</v>
      </c>
      <c r="S43" s="2055" t="s">
        <v>2277</v>
      </c>
      <c r="T43" s="2168"/>
    </row>
    <row r="44" spans="1:23" ht="39">
      <c r="A44" s="2" t="s">
        <v>1581</v>
      </c>
      <c r="B44" s="2"/>
      <c r="C44" s="2"/>
      <c r="D44" s="2"/>
      <c r="E44" s="2"/>
      <c r="R44" s="2087"/>
      <c r="S44" s="656" t="s">
        <v>2518</v>
      </c>
      <c r="T44" s="618" t="s">
        <v>2519</v>
      </c>
    </row>
    <row r="45" spans="1:23">
      <c r="A45" t="s">
        <v>1582</v>
      </c>
      <c r="C45" s="7"/>
      <c r="D45" s="7"/>
      <c r="E45" s="7"/>
      <c r="F45" s="630">
        <f>CWIP!B40</f>
        <v>3695.4473380999984</v>
      </c>
      <c r="G45" s="1100">
        <f>CWIP!B40</f>
        <v>3695.4473380999984</v>
      </c>
      <c r="H45" s="7">
        <f>G49</f>
        <v>12179.540721612764</v>
      </c>
      <c r="I45" s="303">
        <f t="shared" ref="I45:L45" si="18">H49</f>
        <v>19643.545178500004</v>
      </c>
      <c r="J45" s="303">
        <f t="shared" si="18"/>
        <v>22800.374611043997</v>
      </c>
      <c r="K45" s="303">
        <f t="shared" si="18"/>
        <v>22800.374611043997</v>
      </c>
      <c r="L45" s="303">
        <f t="shared" si="18"/>
        <v>22800.374611043997</v>
      </c>
      <c r="R45" s="343" t="s">
        <v>2521</v>
      </c>
      <c r="S45" s="934">
        <f>I16/100</f>
        <v>3906.8923461809291</v>
      </c>
      <c r="T45" s="483">
        <f>T36/100</f>
        <v>4359.1499999999996</v>
      </c>
    </row>
    <row r="46" spans="1:23">
      <c r="A46" t="s">
        <v>1583</v>
      </c>
      <c r="C46" s="7"/>
      <c r="D46" s="7"/>
      <c r="E46" s="7"/>
      <c r="F46" s="630">
        <f>CWIP!B42+CWIP!B43</f>
        <v>4506.3472824999999</v>
      </c>
      <c r="G46" s="1100">
        <f>CWIP!B42+CWIP!B43</f>
        <v>4506.3472824999999</v>
      </c>
      <c r="H46" s="7">
        <f>G50</f>
        <v>12285.9937085</v>
      </c>
      <c r="I46" s="303">
        <f t="shared" ref="I46:L46" si="19">H50</f>
        <v>6520</v>
      </c>
      <c r="J46" s="303">
        <f t="shared" si="19"/>
        <v>7422</v>
      </c>
      <c r="K46" s="303">
        <f t="shared" si="19"/>
        <v>0</v>
      </c>
      <c r="L46" s="303">
        <f t="shared" si="19"/>
        <v>0</v>
      </c>
      <c r="R46" s="343" t="s">
        <v>2520</v>
      </c>
      <c r="S46" s="1544">
        <v>4.2000000000000003E-2</v>
      </c>
      <c r="T46" s="1545">
        <v>0.03</v>
      </c>
    </row>
    <row r="47" spans="1:23">
      <c r="A47" t="s">
        <v>1570</v>
      </c>
      <c r="C47" s="7"/>
      <c r="D47" s="7"/>
      <c r="E47" s="7"/>
      <c r="F47" s="630">
        <f>CWIP!J40</f>
        <v>72711.26696001277</v>
      </c>
      <c r="G47" s="1100">
        <f>CWIP!J40</f>
        <v>72711.26696001277</v>
      </c>
      <c r="H47" s="7">
        <f>CWIP!T40</f>
        <v>98568.47164828013</v>
      </c>
      <c r="I47" s="303">
        <f>CWIP!AE40</f>
        <v>90802.221034021335</v>
      </c>
      <c r="J47" s="303"/>
      <c r="K47" s="303"/>
      <c r="L47" s="303"/>
      <c r="R47" s="343" t="s">
        <v>2159</v>
      </c>
      <c r="S47" s="76">
        <f>S45*S46</f>
        <v>164.08947853959904</v>
      </c>
      <c r="T47" s="76">
        <f>T45*T46</f>
        <v>130.77449999999999</v>
      </c>
    </row>
    <row r="48" spans="1:23" ht="13">
      <c r="A48" t="s">
        <v>1584</v>
      </c>
      <c r="C48" s="7"/>
      <c r="D48" s="7"/>
      <c r="E48" s="7"/>
      <c r="F48" s="630">
        <f>F30</f>
        <v>39026.978142600005</v>
      </c>
      <c r="G48" s="1100">
        <f>G30</f>
        <v>64227.173576500005</v>
      </c>
      <c r="H48" s="7">
        <f>H30</f>
        <v>91104.467191392891</v>
      </c>
      <c r="I48" s="303">
        <f>I30</f>
        <v>87645.391601477342</v>
      </c>
      <c r="J48" s="303"/>
      <c r="K48" s="303"/>
      <c r="L48" s="303"/>
      <c r="R48" s="343" t="s">
        <v>2161</v>
      </c>
      <c r="S48" s="2169">
        <f>S47+T47</f>
        <v>294.86397853959903</v>
      </c>
      <c r="T48" s="2055"/>
      <c r="U48" s="7">
        <f>'F-13'!F15/100</f>
        <v>336.86397853959903</v>
      </c>
      <c r="V48" s="7">
        <f>U48-S48</f>
        <v>42</v>
      </c>
    </row>
    <row r="49" spans="1:22" ht="13">
      <c r="A49" t="s">
        <v>1585</v>
      </c>
      <c r="C49" s="12"/>
      <c r="D49" s="12"/>
      <c r="E49" s="12"/>
      <c r="F49" s="634">
        <f>F45+F47-F48</f>
        <v>37379.736155512765</v>
      </c>
      <c r="G49" s="1101">
        <f>G45+G47-G48</f>
        <v>12179.540721612764</v>
      </c>
      <c r="H49" s="12">
        <f>H45+H47-H48</f>
        <v>19643.545178500004</v>
      </c>
      <c r="I49" s="1064">
        <f t="shared" ref="I49:L49" si="20">I45+I47-I48</f>
        <v>22800.374611043997</v>
      </c>
      <c r="J49" s="1064">
        <f t="shared" si="20"/>
        <v>22800.374611043997</v>
      </c>
      <c r="K49" s="1064">
        <f t="shared" si="20"/>
        <v>22800.374611043997</v>
      </c>
      <c r="L49" s="1064">
        <f t="shared" si="20"/>
        <v>22800.374611043997</v>
      </c>
    </row>
    <row r="50" spans="1:22" ht="13">
      <c r="A50" t="s">
        <v>1583</v>
      </c>
      <c r="C50" s="12"/>
      <c r="D50" s="12"/>
      <c r="E50" s="12"/>
      <c r="F50" s="634">
        <f>CWIP!L42+CWIP!L43</f>
        <v>12285.9937085</v>
      </c>
      <c r="G50" s="1101">
        <f>CWIP!L42+CWIP!L43</f>
        <v>12285.9937085</v>
      </c>
      <c r="H50" s="12">
        <f>CWIP!W42+CWIP!W43</f>
        <v>6520</v>
      </c>
      <c r="I50" s="12">
        <f>CWIP!AH42+CWIP!AH43</f>
        <v>7422</v>
      </c>
      <c r="J50" s="12">
        <f>CWIP!AJ42+CWIP!AJ43</f>
        <v>0</v>
      </c>
      <c r="K50" s="12">
        <f>CWIP!AK42+CWIP!AK43</f>
        <v>0</v>
      </c>
      <c r="L50" s="12">
        <f>CWIP!AL42+CWIP!AL43</f>
        <v>0</v>
      </c>
      <c r="M50" s="12">
        <f>CWIP!AM42+CWIP!AM43</f>
        <v>0</v>
      </c>
      <c r="T50" s="7"/>
    </row>
    <row r="51" spans="1:22" ht="39">
      <c r="A51" t="s">
        <v>1586</v>
      </c>
      <c r="C51" s="12"/>
      <c r="D51" s="12"/>
      <c r="E51" s="12"/>
      <c r="F51" s="634">
        <f>F50+F49</f>
        <v>49665.729864012763</v>
      </c>
      <c r="G51" s="1101">
        <f>G50+G49</f>
        <v>24465.534430112762</v>
      </c>
      <c r="H51" s="12">
        <f>H50+H49</f>
        <v>26163.545178500004</v>
      </c>
      <c r="I51" s="12">
        <f t="shared" ref="I51:L51" si="21">I50+I49</f>
        <v>30222.374611043997</v>
      </c>
      <c r="J51" s="12">
        <f t="shared" si="21"/>
        <v>22800.374611043997</v>
      </c>
      <c r="K51" s="12">
        <f t="shared" si="21"/>
        <v>22800.374611043997</v>
      </c>
      <c r="L51" s="12">
        <f t="shared" si="21"/>
        <v>22800.374611043997</v>
      </c>
      <c r="Q51" s="7">
        <f>23528.72-F51</f>
        <v>-26137.009864012762</v>
      </c>
      <c r="R51" s="892" t="s">
        <v>735</v>
      </c>
      <c r="S51" s="656" t="s">
        <v>2518</v>
      </c>
      <c r="T51" s="618" t="s">
        <v>2519</v>
      </c>
    </row>
    <row r="52" spans="1:22" ht="13">
      <c r="A52" s="2"/>
      <c r="C52" s="2"/>
      <c r="D52" s="2"/>
      <c r="E52" s="2"/>
      <c r="G52" s="7"/>
      <c r="R52" s="343" t="s">
        <v>2533</v>
      </c>
      <c r="S52" s="76">
        <f>H16/100</f>
        <v>2995.847674267</v>
      </c>
      <c r="T52" s="29">
        <f>S36/10^2</f>
        <v>3653.82</v>
      </c>
    </row>
    <row r="53" spans="1:22" ht="13">
      <c r="A53" s="2" t="s">
        <v>685</v>
      </c>
      <c r="C53" s="2"/>
      <c r="D53" s="2"/>
      <c r="E53" s="2"/>
      <c r="F53" s="7"/>
      <c r="R53" s="343" t="s">
        <v>2520</v>
      </c>
      <c r="S53" s="1544">
        <v>4.4999999999999998E-2</v>
      </c>
      <c r="T53" s="1545">
        <v>0.03</v>
      </c>
    </row>
    <row r="54" spans="1:22" ht="13">
      <c r="A54" s="2" t="s">
        <v>1587</v>
      </c>
      <c r="B54" s="2"/>
      <c r="C54" s="2"/>
      <c r="D54" s="2"/>
      <c r="E54" s="2"/>
      <c r="F54" s="634">
        <f>6430985638.40146/10^5</f>
        <v>64309.856384014594</v>
      </c>
      <c r="G54" s="1101">
        <f>F71+F66-1.45836000000418</f>
        <v>72419.91861401459</v>
      </c>
      <c r="H54" s="12">
        <f>G71</f>
        <v>83436.005308114589</v>
      </c>
      <c r="I54" s="12">
        <f>H71+H66</f>
        <v>99133.777870646954</v>
      </c>
      <c r="J54" s="12">
        <f t="shared" ref="J54:L54" si="22">I71+I66</f>
        <v>119011.17371951682</v>
      </c>
      <c r="K54" s="12">
        <f t="shared" si="22"/>
        <v>0</v>
      </c>
      <c r="L54" s="12">
        <f t="shared" si="22"/>
        <v>0</v>
      </c>
      <c r="P54" s="7"/>
      <c r="R54" s="343" t="s">
        <v>2159</v>
      </c>
      <c r="S54" s="934">
        <f>S52*S53</f>
        <v>134.81314534201499</v>
      </c>
      <c r="T54" s="934">
        <f>T52*T53</f>
        <v>109.6146</v>
      </c>
    </row>
    <row r="55" spans="1:22" ht="13">
      <c r="A55" s="2"/>
      <c r="B55" s="13" t="s">
        <v>1588</v>
      </c>
      <c r="C55" s="2"/>
      <c r="D55" s="2"/>
      <c r="E55" s="2"/>
      <c r="R55" s="343" t="s">
        <v>2161</v>
      </c>
      <c r="S55" s="2170">
        <f>S54+T54</f>
        <v>244.42774534201499</v>
      </c>
      <c r="T55" s="2027"/>
      <c r="U55">
        <f>'F-13'!E15/100</f>
        <v>281.99</v>
      </c>
      <c r="V55" s="7">
        <f>U55-S55</f>
        <v>37.562254657985022</v>
      </c>
    </row>
    <row r="56" spans="1:22">
      <c r="A56" s="347" t="s">
        <v>525</v>
      </c>
      <c r="B56" s="13">
        <v>0</v>
      </c>
      <c r="F56" s="161">
        <f>(F7*$C$7*0)</f>
        <v>0</v>
      </c>
      <c r="G56" s="1102">
        <f>G7*$C$7</f>
        <v>0</v>
      </c>
      <c r="H56" s="161">
        <f>H7*$E7</f>
        <v>0</v>
      </c>
      <c r="I56" s="1065">
        <f>I7*$E7</f>
        <v>0</v>
      </c>
      <c r="J56" s="1065"/>
      <c r="K56" s="1065"/>
      <c r="L56" s="1065"/>
    </row>
    <row r="57" spans="1:22">
      <c r="A57" s="347" t="s">
        <v>1088</v>
      </c>
      <c r="B57" s="13">
        <v>11.99</v>
      </c>
      <c r="C57" s="7"/>
      <c r="D57" s="7"/>
      <c r="E57" s="7"/>
      <c r="F57" s="639">
        <f>(F8*$C8*0)+(0.2299024*100)</f>
        <v>22.99024</v>
      </c>
      <c r="G57" s="1103">
        <f>20316445.07/10^5</f>
        <v>203.1644507</v>
      </c>
      <c r="H57" s="155">
        <f>(F8*$C8)+(H8-F8)*$E8+(H34-H8)*$E8/2</f>
        <v>382.60066386025994</v>
      </c>
      <c r="I57" s="1066">
        <f t="shared" ref="I57:I64" si="23">(F8*$C8)+(I8-F8)*$E8+(I34-I8)*$E8/2</f>
        <v>383.00860311025997</v>
      </c>
      <c r="J57" s="155">
        <f t="shared" ref="J57:M57" si="24">(H8*$C8)+(J8-H8)*$E8+(J34-J8)*$E8/2</f>
        <v>220.08460096319999</v>
      </c>
      <c r="K57" s="155">
        <f t="shared" si="24"/>
        <v>219.70841746319999</v>
      </c>
      <c r="L57" s="155">
        <f t="shared" si="24"/>
        <v>219.70841746319999</v>
      </c>
      <c r="M57" s="155">
        <f t="shared" si="24"/>
        <v>-187.97275716295999</v>
      </c>
    </row>
    <row r="58" spans="1:22">
      <c r="A58" s="347" t="s">
        <v>1559</v>
      </c>
      <c r="B58" s="13">
        <v>1679.41</v>
      </c>
      <c r="C58" s="7"/>
      <c r="D58" s="7"/>
      <c r="E58" s="7"/>
      <c r="F58" s="639">
        <f>(F9*$C9*0)+(75.6123904*100)-F59</f>
        <v>2646.4336640000001</v>
      </c>
      <c r="G58" s="1103">
        <f>((973424236.02)/10^5)-G59</f>
        <v>3406.9848260700001</v>
      </c>
      <c r="H58" s="155">
        <f t="shared" ref="H58:H64" si="25">(F9*$C9)+(H9-F9)*$E9+(H35-H9)*$E9/2</f>
        <v>5774.7117534055287</v>
      </c>
      <c r="I58" s="1066">
        <f t="shared" si="23"/>
        <v>9936.041999827039</v>
      </c>
      <c r="J58" s="1066"/>
      <c r="K58" s="1066"/>
      <c r="L58" s="1066"/>
    </row>
    <row r="59" spans="1:22">
      <c r="A59" s="347" t="s">
        <v>1091</v>
      </c>
      <c r="B59" s="13">
        <v>0</v>
      </c>
      <c r="C59" s="7"/>
      <c r="D59" s="7"/>
      <c r="E59" s="7"/>
      <c r="F59" s="639">
        <f>(F10*$C10*0)+(75.6123904*65%)*100</f>
        <v>4914.8053759999993</v>
      </c>
      <c r="G59" s="1103">
        <f>((973424236.02)/10^5*65%)</f>
        <v>6327.2575341299998</v>
      </c>
      <c r="H59" s="155">
        <f t="shared" si="25"/>
        <v>7380.8499339107839</v>
      </c>
      <c r="I59" s="1066">
        <f t="shared" si="23"/>
        <v>7380.8499339107839</v>
      </c>
      <c r="J59" s="1066"/>
      <c r="K59" s="1066"/>
      <c r="L59" s="1066"/>
    </row>
    <row r="60" spans="1:22">
      <c r="A60" s="347" t="s">
        <v>527</v>
      </c>
      <c r="B60" s="13">
        <v>1.05</v>
      </c>
      <c r="C60" s="7"/>
      <c r="D60" s="7"/>
      <c r="E60" s="7"/>
      <c r="F60" s="639">
        <f>(F11*$C11*0)+(0.29262*100)</f>
        <v>29.262</v>
      </c>
      <c r="G60" s="1103">
        <f>2101483.03/10^5</f>
        <v>21.014830299999996</v>
      </c>
      <c r="H60" s="155">
        <f t="shared" si="25"/>
        <v>55.410234448859988</v>
      </c>
      <c r="I60" s="1066">
        <f t="shared" si="23"/>
        <v>62.373234448859989</v>
      </c>
      <c r="J60" s="1066"/>
      <c r="K60" s="1066"/>
      <c r="L60" s="1066"/>
    </row>
    <row r="61" spans="1:22" ht="13">
      <c r="A61" s="347" t="s">
        <v>1094</v>
      </c>
      <c r="B61" s="13">
        <v>0.23</v>
      </c>
      <c r="C61" s="7"/>
      <c r="D61" s="7"/>
      <c r="E61" s="7"/>
      <c r="F61" s="639">
        <f>(F12*$C12*0)+(0.1301823*100)</f>
        <v>13.018230000000001</v>
      </c>
      <c r="G61" s="1103">
        <f>(2508631.52)/10^5</f>
        <v>25.086315200000001</v>
      </c>
      <c r="H61" s="155">
        <f t="shared" si="25"/>
        <v>56.701195741900008</v>
      </c>
      <c r="I61" s="1066">
        <f t="shared" si="23"/>
        <v>61.92619574190001</v>
      </c>
      <c r="J61" s="1066"/>
      <c r="K61" s="1066"/>
      <c r="L61" s="1066"/>
      <c r="R61" s="28" t="s">
        <v>2163</v>
      </c>
      <c r="S61" s="28" t="s">
        <v>2164</v>
      </c>
      <c r="T61" s="28" t="s">
        <v>2163</v>
      </c>
      <c r="U61" s="28" t="s">
        <v>2164</v>
      </c>
    </row>
    <row r="62" spans="1:22" ht="13">
      <c r="A62" s="347" t="s">
        <v>1564</v>
      </c>
      <c r="B62" s="13">
        <v>1.36</v>
      </c>
      <c r="C62" s="7"/>
      <c r="D62" s="7"/>
      <c r="E62" s="7"/>
      <c r="F62" s="639">
        <f>(F13*$C13*0)+(0.2552522*100)</f>
        <v>25.525219999999997</v>
      </c>
      <c r="G62" s="1103">
        <f>(121553255.31)/10^5</f>
        <v>1215.5325531000001</v>
      </c>
      <c r="H62" s="155">
        <f t="shared" si="25"/>
        <v>268.72257451703996</v>
      </c>
      <c r="I62" s="1066">
        <f t="shared" si="23"/>
        <v>274.41967518302994</v>
      </c>
      <c r="J62" s="1066"/>
      <c r="K62" s="1066"/>
      <c r="L62" s="1066"/>
      <c r="R62" s="2055" t="s">
        <v>2033</v>
      </c>
      <c r="S62" s="2055"/>
      <c r="T62" s="2055" t="s">
        <v>2215</v>
      </c>
      <c r="U62" s="2055"/>
    </row>
    <row r="63" spans="1:22">
      <c r="A63" s="347" t="s">
        <v>1576</v>
      </c>
      <c r="B63" s="13"/>
      <c r="C63" s="7"/>
      <c r="D63" s="7"/>
      <c r="E63" s="7"/>
      <c r="F63" s="639">
        <f>(F14*$C14*0)+(4.5948088*100)+(0.0000498*100)</f>
        <v>459.48586</v>
      </c>
      <c r="G63" s="1103"/>
      <c r="H63" s="155">
        <f t="shared" si="25"/>
        <v>1008.9762066479999</v>
      </c>
      <c r="I63" s="1066">
        <f t="shared" si="23"/>
        <v>1008.9762066479999</v>
      </c>
      <c r="J63" s="1066"/>
      <c r="K63" s="1066"/>
      <c r="L63" s="1066"/>
      <c r="R63" s="23"/>
      <c r="S63" s="23"/>
      <c r="T63" s="23"/>
      <c r="U63" s="23"/>
    </row>
    <row r="64" spans="1:22">
      <c r="A64" s="347" t="s">
        <v>2196</v>
      </c>
      <c r="B64" s="13"/>
      <c r="C64" s="7"/>
      <c r="D64" s="7"/>
      <c r="E64" s="7"/>
      <c r="F64" s="639"/>
      <c r="G64" s="1103"/>
      <c r="H64" s="155">
        <f t="shared" si="25"/>
        <v>769.8</v>
      </c>
      <c r="I64" s="1066">
        <f t="shared" si="23"/>
        <v>769.8</v>
      </c>
      <c r="J64" s="1066"/>
      <c r="K64" s="1066"/>
      <c r="L64" s="1066"/>
      <c r="R64" s="23"/>
      <c r="S64" s="23"/>
      <c r="T64" s="23"/>
      <c r="U64" s="23"/>
    </row>
    <row r="65" spans="1:22" ht="13.5" thickBot="1">
      <c r="A65" s="16" t="s">
        <v>1589</v>
      </c>
      <c r="B65" s="16"/>
      <c r="C65" s="14"/>
      <c r="D65" s="14"/>
      <c r="E65" s="14"/>
      <c r="F65" s="162">
        <f>SUM(F56:F64)</f>
        <v>8111.5205899999992</v>
      </c>
      <c r="G65" s="1104">
        <f t="shared" ref="G65:H65" si="26">SUM(G56:G64)</f>
        <v>11199.040509500001</v>
      </c>
      <c r="H65" s="162">
        <f t="shared" si="26"/>
        <v>15697.772562532371</v>
      </c>
      <c r="I65" s="1107">
        <f>SUM(I56:I64)</f>
        <v>19877.395848869874</v>
      </c>
      <c r="J65" s="162">
        <f t="shared" ref="J65:L65" si="27">SUM(J56:J63)</f>
        <v>220.08460096319999</v>
      </c>
      <c r="K65" s="162">
        <f t="shared" si="27"/>
        <v>219.70841746319999</v>
      </c>
      <c r="L65" s="162">
        <f t="shared" si="27"/>
        <v>219.70841746319999</v>
      </c>
      <c r="R65" s="144">
        <f t="shared" ref="R65:R72" si="28">(F8*$C8)</f>
        <v>28.838070602999998</v>
      </c>
      <c r="S65" s="144">
        <f t="shared" ref="S65:S72" si="29">(G8-F8)*$D8</f>
        <v>98.573096126879975</v>
      </c>
      <c r="T65" s="144">
        <f>(F8*$C8)</f>
        <v>28.838070602999998</v>
      </c>
      <c r="U65" s="144">
        <f t="shared" ref="U65:U72" si="30">(I8-F8)*$E8+(I34-I8)*$E8/2</f>
        <v>354.17053250725996</v>
      </c>
      <c r="V65" s="7">
        <f>U65+T65</f>
        <v>383.00860311025997</v>
      </c>
    </row>
    <row r="66" spans="1:22" ht="38.5" thickTop="1">
      <c r="A66" s="64" t="s">
        <v>1590</v>
      </c>
      <c r="C66" s="12"/>
      <c r="D66" s="12"/>
      <c r="E66" s="12"/>
      <c r="F66" s="640">
        <f>56.662635429*100</f>
        <v>5666.2635429000002</v>
      </c>
      <c r="G66" s="1105">
        <f>677249488.972245/10^5</f>
        <v>6772.4948897224494</v>
      </c>
      <c r="H66" s="146">
        <f>4709+1830.66447258515</f>
        <v>6539.6644725851502</v>
      </c>
      <c r="I66" s="1067">
        <f>4709+2570</f>
        <v>7279</v>
      </c>
      <c r="J66" s="1067"/>
      <c r="K66" s="1067"/>
      <c r="L66" s="1067"/>
      <c r="O66" s="7"/>
      <c r="R66" s="144">
        <f t="shared" si="28"/>
        <v>2368.0425814857999</v>
      </c>
      <c r="S66" s="144">
        <f t="shared" si="29"/>
        <v>560.94899223132006</v>
      </c>
      <c r="T66" s="144">
        <f t="shared" ref="T66:T72" si="31">(F9*$C9)</f>
        <v>2368.0425814857999</v>
      </c>
      <c r="U66" s="144">
        <f t="shared" si="30"/>
        <v>7567.9994183412382</v>
      </c>
      <c r="V66" s="7">
        <f t="shared" ref="V66:V73" si="32">U66+T66</f>
        <v>9936.0419998270372</v>
      </c>
    </row>
    <row r="67" spans="1:22" ht="13">
      <c r="C67" s="12"/>
      <c r="D67" s="12"/>
      <c r="E67" s="12"/>
      <c r="F67" s="146">
        <f>F65-F66</f>
        <v>2445.257047099999</v>
      </c>
      <c r="G67" s="1105">
        <f>G65-G66</f>
        <v>4426.5456197775511</v>
      </c>
      <c r="H67" s="146">
        <f>H65-H66</f>
        <v>9158.1080899472217</v>
      </c>
      <c r="I67" s="1067">
        <f>I65-I66</f>
        <v>12598.395848869874</v>
      </c>
      <c r="J67" s="1067"/>
      <c r="K67" s="1067"/>
      <c r="L67" s="1067"/>
      <c r="R67" s="144">
        <f t="shared" si="28"/>
        <v>4993.8255550385993</v>
      </c>
      <c r="S67" s="144">
        <f t="shared" si="29"/>
        <v>1041.7624141438798</v>
      </c>
      <c r="T67" s="144">
        <f t="shared" si="31"/>
        <v>4993.8255550385993</v>
      </c>
      <c r="U67" s="144">
        <f t="shared" si="30"/>
        <v>2387.024378872185</v>
      </c>
      <c r="V67" s="7">
        <f t="shared" si="32"/>
        <v>7380.8499339107839</v>
      </c>
    </row>
    <row r="68" spans="1:22" ht="13">
      <c r="C68" s="12"/>
      <c r="D68" s="12"/>
      <c r="E68" s="12"/>
      <c r="F68" s="146"/>
      <c r="G68" s="146"/>
      <c r="H68" s="146"/>
      <c r="I68" s="146"/>
      <c r="J68" s="146"/>
      <c r="K68" s="146"/>
      <c r="L68" s="146"/>
      <c r="R68" s="144">
        <f t="shared" si="28"/>
        <v>9.1800038694000001</v>
      </c>
      <c r="S68" s="144">
        <f t="shared" si="29"/>
        <v>6.3353350949099969</v>
      </c>
      <c r="T68" s="144">
        <f t="shared" si="31"/>
        <v>9.1800038694000001</v>
      </c>
      <c r="U68" s="144">
        <f t="shared" si="30"/>
        <v>53.193230579459993</v>
      </c>
      <c r="V68" s="7">
        <f t="shared" si="32"/>
        <v>62.373234448859989</v>
      </c>
    </row>
    <row r="69" spans="1:22" ht="13">
      <c r="C69" s="12"/>
      <c r="D69" s="12"/>
      <c r="E69" s="12"/>
      <c r="F69" s="146"/>
      <c r="G69" s="146"/>
      <c r="H69" s="146"/>
      <c r="I69" s="146"/>
      <c r="J69" s="146"/>
      <c r="K69" s="146"/>
      <c r="L69" s="146"/>
      <c r="R69" s="144">
        <f t="shared" si="28"/>
        <v>6.1814440418999999</v>
      </c>
      <c r="S69" s="144">
        <f t="shared" si="29"/>
        <v>13.211598310500001</v>
      </c>
      <c r="T69" s="144">
        <f t="shared" si="31"/>
        <v>6.1814440418999999</v>
      </c>
      <c r="U69" s="144">
        <f t="shared" si="30"/>
        <v>55.744751700000009</v>
      </c>
      <c r="V69" s="7">
        <f t="shared" si="32"/>
        <v>61.92619574190001</v>
      </c>
    </row>
    <row r="70" spans="1:22" ht="13">
      <c r="C70" s="2"/>
      <c r="D70" s="2"/>
      <c r="E70" s="2"/>
      <c r="P70">
        <v>182.9538154</v>
      </c>
      <c r="Q70" s="347" t="s">
        <v>1088</v>
      </c>
      <c r="R70" s="144">
        <f t="shared" si="28"/>
        <v>21.896573156999999</v>
      </c>
      <c r="S70" s="144">
        <f t="shared" si="29"/>
        <v>11.08229194609499</v>
      </c>
      <c r="T70" s="144">
        <f t="shared" si="31"/>
        <v>21.896573156999999</v>
      </c>
      <c r="U70" s="144">
        <f t="shared" si="30"/>
        <v>252.5231020260299</v>
      </c>
      <c r="V70" s="7">
        <f t="shared" si="32"/>
        <v>274.41967518302988</v>
      </c>
    </row>
    <row r="71" spans="1:22" ht="13">
      <c r="A71" s="2" t="s">
        <v>1591</v>
      </c>
      <c r="C71" s="12"/>
      <c r="D71" s="12"/>
      <c r="E71" s="12"/>
      <c r="F71" s="12">
        <f>F54+F67</f>
        <v>66755.113431114587</v>
      </c>
      <c r="G71" s="12">
        <f>G54+G65-182.9538154</f>
        <v>83436.005308114589</v>
      </c>
      <c r="H71" s="12">
        <f>H54+H67</f>
        <v>92594.113398061803</v>
      </c>
      <c r="I71" s="1064">
        <f>I54+I67</f>
        <v>111732.17371951682</v>
      </c>
      <c r="J71" s="1064"/>
      <c r="K71" s="1064"/>
      <c r="L71" s="1064"/>
      <c r="O71" s="7"/>
      <c r="Q71" s="347" t="s">
        <v>1559</v>
      </c>
      <c r="R71" s="144">
        <f t="shared" si="28"/>
        <v>45.180707373000004</v>
      </c>
      <c r="S71" s="144">
        <f t="shared" si="29"/>
        <v>411.16135532249996</v>
      </c>
      <c r="T71" s="144">
        <f t="shared" si="31"/>
        <v>45.180707373000004</v>
      </c>
      <c r="U71" s="144">
        <f t="shared" si="30"/>
        <v>963.79549927499988</v>
      </c>
      <c r="V71" s="7">
        <f t="shared" si="32"/>
        <v>1008.9762066479999</v>
      </c>
    </row>
    <row r="72" spans="1:22" ht="13">
      <c r="C72" s="2"/>
      <c r="D72" s="2"/>
      <c r="E72" s="2"/>
      <c r="Q72" s="347" t="s">
        <v>1091</v>
      </c>
      <c r="R72" s="144">
        <f t="shared" si="28"/>
        <v>0</v>
      </c>
      <c r="S72" s="144">
        <f t="shared" si="29"/>
        <v>0</v>
      </c>
      <c r="T72" s="144">
        <f t="shared" si="31"/>
        <v>0</v>
      </c>
      <c r="U72" s="144">
        <f t="shared" si="30"/>
        <v>769.8</v>
      </c>
      <c r="V72" s="7">
        <f t="shared" si="32"/>
        <v>769.8</v>
      </c>
    </row>
    <row r="73" spans="1:22" ht="13">
      <c r="A73" s="2" t="s">
        <v>1592</v>
      </c>
      <c r="C73" s="12"/>
      <c r="D73" s="12"/>
      <c r="E73" s="12"/>
      <c r="F73" s="12">
        <f>F42-F71</f>
        <v>168602.48041908539</v>
      </c>
      <c r="G73" s="12">
        <f>G42-G71</f>
        <v>216148.76211908541</v>
      </c>
      <c r="H73" s="12">
        <f>H42-H71</f>
        <v>298095.12122003105</v>
      </c>
      <c r="I73" s="1064">
        <f>I42-I71</f>
        <v>366602.45250005345</v>
      </c>
      <c r="J73" s="1064"/>
      <c r="K73" s="1064"/>
      <c r="L73" s="1064"/>
      <c r="Q73" s="347" t="s">
        <v>527</v>
      </c>
      <c r="R73" s="36">
        <f>SUM(R65:R72)</f>
        <v>7473.1449355686991</v>
      </c>
      <c r="S73" s="36">
        <f t="shared" ref="S73:U73" si="33">SUM(S65:S72)</f>
        <v>2143.0750831760847</v>
      </c>
      <c r="T73" s="36">
        <f t="shared" si="33"/>
        <v>7473.1449355686991</v>
      </c>
      <c r="U73" s="36">
        <f t="shared" si="33"/>
        <v>12404.250913301174</v>
      </c>
      <c r="V73" s="7">
        <f t="shared" si="32"/>
        <v>19877.395848869874</v>
      </c>
    </row>
    <row r="74" spans="1:22" ht="13">
      <c r="C74" s="2"/>
      <c r="D74" s="2"/>
      <c r="E74" s="2"/>
      <c r="Q74" s="347" t="s">
        <v>1094</v>
      </c>
      <c r="V74" s="7"/>
    </row>
    <row r="75" spans="1:22">
      <c r="Q75" s="347" t="s">
        <v>1564</v>
      </c>
    </row>
    <row r="76" spans="1:22">
      <c r="Q76" s="347" t="s">
        <v>1576</v>
      </c>
    </row>
    <row r="77" spans="1:22">
      <c r="Q77" s="347" t="s">
        <v>2196</v>
      </c>
    </row>
    <row r="78" spans="1:22">
      <c r="B78" s="479"/>
      <c r="F78" s="478"/>
    </row>
    <row r="123" spans="1:5" ht="13">
      <c r="A123" s="2"/>
      <c r="B123" s="2"/>
      <c r="C123" s="2"/>
      <c r="D123" s="2"/>
      <c r="E123" s="2"/>
    </row>
    <row r="135" spans="1:5" ht="13">
      <c r="A135" s="2"/>
      <c r="B135" s="2"/>
      <c r="C135" s="2"/>
      <c r="D135" s="2"/>
      <c r="E135" s="2"/>
    </row>
  </sheetData>
  <mergeCells count="12">
    <mergeCell ref="W27:W28"/>
    <mergeCell ref="Q6:S6"/>
    <mergeCell ref="R62:S62"/>
    <mergeCell ref="T62:U62"/>
    <mergeCell ref="Q27:Q28"/>
    <mergeCell ref="R27:R28"/>
    <mergeCell ref="S27:S28"/>
    <mergeCell ref="T27:T28"/>
    <mergeCell ref="S43:T43"/>
    <mergeCell ref="R43:R44"/>
    <mergeCell ref="S48:T48"/>
    <mergeCell ref="S55:T55"/>
  </mergeCells>
  <phoneticPr fontId="0" type="noConversion"/>
  <printOptions horizontalCentered="1" gridLines="1"/>
  <pageMargins left="0.25" right="0" top="0.25" bottom="0.25" header="0.25" footer="0.5"/>
  <pageSetup paperSize="9" scale="96" orientation="portrait" horizontalDpi="75" verticalDpi="75"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71">
    <tabColor theme="6" tint="-0.499984740745262"/>
  </sheetPr>
  <dimension ref="A3:AJ107"/>
  <sheetViews>
    <sheetView view="pageBreakPreview" topLeftCell="A3" zoomScale="86" zoomScaleSheetLayoutView="86" workbookViewId="0">
      <pane xSplit="1" ySplit="5" topLeftCell="T20" activePane="bottomRight" state="frozen"/>
      <selection activeCell="G8" sqref="G8"/>
      <selection pane="topRight" activeCell="G8" sqref="G8"/>
      <selection pane="bottomLeft" activeCell="G8" sqref="G8"/>
      <selection pane="bottomRight" activeCell="AF30" sqref="AF30:AG34"/>
    </sheetView>
  </sheetViews>
  <sheetFormatPr defaultRowHeight="12.5"/>
  <cols>
    <col min="1" max="1" width="25.1796875" customWidth="1"/>
    <col min="2" max="2" width="11.26953125" bestFit="1" customWidth="1"/>
    <col min="3" max="3" width="12.54296875" bestFit="1" customWidth="1"/>
    <col min="4" max="4" width="7.26953125" customWidth="1"/>
    <col min="5" max="5" width="12.453125" customWidth="1"/>
    <col min="6" max="6" width="11.54296875" customWidth="1"/>
    <col min="7" max="7" width="9.1796875" bestFit="1" customWidth="1"/>
    <col min="8" max="8" width="10.26953125" customWidth="1"/>
    <col min="9" max="9" width="7.54296875" bestFit="1" customWidth="1"/>
    <col min="10" max="10" width="9" customWidth="1"/>
    <col min="11" max="11" width="10.81640625" customWidth="1"/>
    <col min="12" max="12" width="11.54296875" bestFit="1" customWidth="1"/>
    <col min="13" max="13" width="8.81640625" bestFit="1" customWidth="1"/>
    <col min="14" max="14" width="10.54296875" bestFit="1" customWidth="1"/>
    <col min="15" max="15" width="9.453125" bestFit="1" customWidth="1"/>
    <col min="16" max="16" width="12.1796875" bestFit="1" customWidth="1"/>
    <col min="17" max="17" width="11.453125" bestFit="1" customWidth="1"/>
    <col min="18" max="18" width="12" bestFit="1" customWidth="1"/>
    <col min="19" max="19" width="8.453125" customWidth="1"/>
    <col min="20" max="20" width="10.81640625" customWidth="1"/>
    <col min="21" max="22" width="11.26953125" customWidth="1"/>
    <col min="23" max="23" width="11.1796875" bestFit="1" customWidth="1"/>
    <col min="24" max="24" width="9.7265625" customWidth="1"/>
    <col min="25" max="25" width="10.453125" bestFit="1" customWidth="1"/>
    <col min="26" max="26" width="7.54296875" bestFit="1" customWidth="1"/>
    <col min="27" max="27" width="12.1796875" bestFit="1" customWidth="1"/>
    <col min="28" max="28" width="9.1796875" bestFit="1" customWidth="1"/>
    <col min="29" max="29" width="12.1796875" bestFit="1" customWidth="1"/>
    <col min="30" max="30" width="7.453125" bestFit="1" customWidth="1"/>
    <col min="31" max="31" width="10.1796875" customWidth="1"/>
    <col min="32" max="32" width="9.453125" customWidth="1"/>
    <col min="33" max="34" width="12" bestFit="1" customWidth="1"/>
    <col min="35" max="35" width="11.1796875" customWidth="1"/>
    <col min="36" max="36" width="10.26953125" customWidth="1"/>
  </cols>
  <sheetData>
    <row r="3" spans="1:36" ht="13" thickBot="1"/>
    <row r="4" spans="1:36" ht="13.5" thickBot="1">
      <c r="A4" s="1025"/>
      <c r="B4" s="1026"/>
      <c r="C4" s="2185" t="s">
        <v>793</v>
      </c>
      <c r="D4" s="2186"/>
      <c r="E4" s="2186"/>
      <c r="F4" s="2186"/>
      <c r="G4" s="2186"/>
      <c r="H4" s="2186"/>
      <c r="I4" s="2186"/>
      <c r="J4" s="2186"/>
      <c r="K4" s="2186"/>
      <c r="L4" s="2187"/>
      <c r="M4" s="2182" t="s">
        <v>1846</v>
      </c>
      <c r="N4" s="2183"/>
      <c r="O4" s="2183"/>
      <c r="P4" s="2183"/>
      <c r="Q4" s="2183"/>
      <c r="R4" s="2183"/>
      <c r="S4" s="2183"/>
      <c r="T4" s="2183"/>
      <c r="U4" s="2183"/>
      <c r="V4" s="2183"/>
      <c r="W4" s="2184"/>
      <c r="X4" s="2182" t="s">
        <v>2193</v>
      </c>
      <c r="Y4" s="2183"/>
      <c r="Z4" s="2183"/>
      <c r="AA4" s="2183"/>
      <c r="AB4" s="2183"/>
      <c r="AC4" s="2183"/>
      <c r="AD4" s="2183"/>
      <c r="AE4" s="2183"/>
      <c r="AF4" s="2183"/>
      <c r="AG4" s="2183"/>
      <c r="AH4" s="2184"/>
    </row>
    <row r="5" spans="1:36" ht="13.15" customHeight="1">
      <c r="A5" s="1027"/>
      <c r="B5" s="2179" t="s">
        <v>2208</v>
      </c>
      <c r="C5" s="2173" t="s">
        <v>1436</v>
      </c>
      <c r="D5" s="2171" t="s">
        <v>1437</v>
      </c>
      <c r="E5" s="2171" t="s">
        <v>49</v>
      </c>
      <c r="F5" s="2171" t="s">
        <v>1438</v>
      </c>
      <c r="G5" s="2171" t="s">
        <v>1439</v>
      </c>
      <c r="H5" s="2171" t="s">
        <v>1440</v>
      </c>
      <c r="I5" s="2171" t="s">
        <v>1441</v>
      </c>
      <c r="J5" s="2171" t="s">
        <v>145</v>
      </c>
      <c r="K5" s="2171" t="s">
        <v>1442</v>
      </c>
      <c r="L5" s="2176" t="s">
        <v>1445</v>
      </c>
      <c r="M5" s="2173" t="s">
        <v>1436</v>
      </c>
      <c r="N5" s="2171" t="s">
        <v>1437</v>
      </c>
      <c r="O5" s="2171" t="s">
        <v>49</v>
      </c>
      <c r="P5" s="2171" t="s">
        <v>1438</v>
      </c>
      <c r="Q5" s="2171" t="s">
        <v>1439</v>
      </c>
      <c r="R5" s="2171" t="s">
        <v>1440</v>
      </c>
      <c r="S5" s="2171" t="s">
        <v>1441</v>
      </c>
      <c r="T5" s="2171" t="s">
        <v>145</v>
      </c>
      <c r="U5" s="2171" t="s">
        <v>1443</v>
      </c>
      <c r="V5" s="2171" t="s">
        <v>1444</v>
      </c>
      <c r="W5" s="2176" t="s">
        <v>1847</v>
      </c>
      <c r="X5" s="2173" t="s">
        <v>1436</v>
      </c>
      <c r="Y5" s="2171" t="s">
        <v>1437</v>
      </c>
      <c r="Z5" s="2171" t="s">
        <v>49</v>
      </c>
      <c r="AA5" s="2171" t="s">
        <v>1438</v>
      </c>
      <c r="AB5" s="2171" t="s">
        <v>1439</v>
      </c>
      <c r="AC5" s="2171" t="s">
        <v>1440</v>
      </c>
      <c r="AD5" s="2171" t="s">
        <v>1441</v>
      </c>
      <c r="AE5" s="2171" t="s">
        <v>145</v>
      </c>
      <c r="AF5" s="2171" t="s">
        <v>1443</v>
      </c>
      <c r="AG5" s="2171" t="s">
        <v>1444</v>
      </c>
      <c r="AH5" s="2176" t="s">
        <v>2266</v>
      </c>
      <c r="AI5" s="2176" t="s">
        <v>1446</v>
      </c>
      <c r="AJ5" s="2176" t="s">
        <v>1447</v>
      </c>
    </row>
    <row r="6" spans="1:36">
      <c r="A6" s="444"/>
      <c r="B6" s="2180"/>
      <c r="C6" s="2174"/>
      <c r="D6" s="2049"/>
      <c r="E6" s="2049"/>
      <c r="F6" s="2049"/>
      <c r="G6" s="2049"/>
      <c r="H6" s="2049"/>
      <c r="I6" s="2049"/>
      <c r="J6" s="2049"/>
      <c r="K6" s="2049"/>
      <c r="L6" s="2177"/>
      <c r="M6" s="2174"/>
      <c r="N6" s="2049"/>
      <c r="O6" s="2049"/>
      <c r="P6" s="2049"/>
      <c r="Q6" s="2049"/>
      <c r="R6" s="2049"/>
      <c r="S6" s="2049"/>
      <c r="T6" s="2049"/>
      <c r="U6" s="2049"/>
      <c r="V6" s="2049"/>
      <c r="W6" s="2177"/>
      <c r="X6" s="2174"/>
      <c r="Y6" s="2049"/>
      <c r="Z6" s="2049"/>
      <c r="AA6" s="2049"/>
      <c r="AB6" s="2049"/>
      <c r="AC6" s="2049"/>
      <c r="AD6" s="2049"/>
      <c r="AE6" s="2049"/>
      <c r="AF6" s="2049"/>
      <c r="AG6" s="2049"/>
      <c r="AH6" s="2177"/>
      <c r="AI6" s="2177"/>
      <c r="AJ6" s="2177"/>
    </row>
    <row r="7" spans="1:36" ht="13.9" customHeight="1" thickBot="1">
      <c r="A7" s="1028"/>
      <c r="B7" s="2181"/>
      <c r="C7" s="2175"/>
      <c r="D7" s="2172"/>
      <c r="E7" s="2172"/>
      <c r="F7" s="2172"/>
      <c r="G7" s="2172"/>
      <c r="H7" s="2172"/>
      <c r="I7" s="2172"/>
      <c r="J7" s="2172"/>
      <c r="K7" s="2172"/>
      <c r="L7" s="2178"/>
      <c r="M7" s="2175"/>
      <c r="N7" s="2172"/>
      <c r="O7" s="2172"/>
      <c r="P7" s="2172"/>
      <c r="Q7" s="2172"/>
      <c r="R7" s="2172"/>
      <c r="S7" s="2172"/>
      <c r="T7" s="2172"/>
      <c r="U7" s="2172"/>
      <c r="V7" s="2172"/>
      <c r="W7" s="2178"/>
      <c r="X7" s="2175"/>
      <c r="Y7" s="2172"/>
      <c r="Z7" s="2172"/>
      <c r="AA7" s="2172"/>
      <c r="AB7" s="2172"/>
      <c r="AC7" s="2172"/>
      <c r="AD7" s="2172"/>
      <c r="AE7" s="2172"/>
      <c r="AF7" s="2172"/>
      <c r="AG7" s="2172"/>
      <c r="AH7" s="2178"/>
      <c r="AI7" s="2178"/>
      <c r="AJ7" s="2178"/>
    </row>
    <row r="8" spans="1:36">
      <c r="A8" s="444" t="s">
        <v>1448</v>
      </c>
      <c r="B8" s="1029"/>
      <c r="C8" s="1027"/>
      <c r="D8" s="1030"/>
      <c r="E8" s="1030"/>
      <c r="F8" s="1030"/>
      <c r="G8" s="1030"/>
      <c r="H8" s="1030"/>
      <c r="I8" s="1030"/>
      <c r="J8" s="1016"/>
      <c r="K8" s="1016"/>
      <c r="L8" s="1031"/>
      <c r="M8" s="1027"/>
      <c r="N8" s="1030"/>
      <c r="O8" s="1030"/>
      <c r="P8" s="1030"/>
      <c r="Q8" s="1030"/>
      <c r="R8" s="1030"/>
      <c r="S8" s="1030"/>
      <c r="T8" s="1016"/>
      <c r="U8" s="1016"/>
      <c r="V8" s="1016"/>
      <c r="W8" s="1031"/>
      <c r="X8" s="1027"/>
      <c r="Y8" s="1030"/>
      <c r="Z8" s="1030"/>
      <c r="AA8" s="1030"/>
      <c r="AB8" s="1030"/>
      <c r="AC8" s="1030"/>
      <c r="AD8" s="1030"/>
      <c r="AE8" s="1016"/>
      <c r="AF8" s="1016"/>
      <c r="AG8" s="1016"/>
      <c r="AH8" s="1031"/>
    </row>
    <row r="9" spans="1:36">
      <c r="A9" s="444" t="s">
        <v>1449</v>
      </c>
      <c r="B9" s="1029"/>
      <c r="C9" s="444"/>
      <c r="D9" s="347"/>
      <c r="E9" s="347"/>
      <c r="F9" s="347"/>
      <c r="G9" s="347"/>
      <c r="H9" s="347"/>
      <c r="I9" s="347"/>
      <c r="J9" s="347"/>
      <c r="K9" s="347"/>
      <c r="L9" s="1032"/>
      <c r="M9" s="444"/>
      <c r="N9" s="347"/>
      <c r="O9" s="347"/>
      <c r="P9" s="347"/>
      <c r="Q9" s="347"/>
      <c r="R9" s="347"/>
      <c r="S9" s="347"/>
      <c r="T9" s="216"/>
      <c r="U9" s="347"/>
      <c r="V9" s="347"/>
      <c r="W9" s="1032"/>
      <c r="X9" s="444"/>
      <c r="Y9" s="347"/>
      <c r="Z9" s="347"/>
      <c r="AA9" s="347"/>
      <c r="AB9" s="347"/>
      <c r="AC9" s="347"/>
      <c r="AD9" s="347"/>
      <c r="AE9" s="347"/>
      <c r="AF9" s="347"/>
      <c r="AG9" s="347"/>
      <c r="AH9" s="1032"/>
    </row>
    <row r="10" spans="1:36">
      <c r="A10" s="444" t="s">
        <v>1450</v>
      </c>
      <c r="B10" s="1029"/>
      <c r="C10" s="444"/>
      <c r="D10" s="347"/>
      <c r="E10" s="347"/>
      <c r="F10" s="347"/>
      <c r="G10" s="347"/>
      <c r="H10" s="347"/>
      <c r="I10" s="347"/>
      <c r="J10" s="347"/>
      <c r="K10" s="347"/>
      <c r="L10" s="1032"/>
      <c r="M10" s="444"/>
      <c r="N10" s="347"/>
      <c r="O10" s="347"/>
      <c r="P10" s="347"/>
      <c r="Q10" s="347"/>
      <c r="R10" s="347"/>
      <c r="S10" s="347"/>
      <c r="T10" s="216"/>
      <c r="U10" s="347"/>
      <c r="V10" s="347"/>
      <c r="W10" s="1032"/>
      <c r="X10" s="444"/>
      <c r="Y10" s="347"/>
      <c r="Z10" s="347"/>
      <c r="AA10" s="347"/>
      <c r="AB10" s="347"/>
      <c r="AC10" s="347"/>
      <c r="AD10" s="347"/>
      <c r="AE10" s="347"/>
      <c r="AF10" s="347"/>
      <c r="AG10" s="347"/>
      <c r="AH10" s="1032"/>
    </row>
    <row r="11" spans="1:36" ht="13">
      <c r="A11" s="116" t="s">
        <v>1451</v>
      </c>
      <c r="B11" s="635">
        <v>0</v>
      </c>
      <c r="C11" s="631"/>
      <c r="D11" s="631"/>
      <c r="E11" s="631"/>
      <c r="F11" s="1082">
        <f>SUM(C11:E11)</f>
        <v>0</v>
      </c>
      <c r="G11" s="1082"/>
      <c r="H11" s="1082">
        <f>F11+G11</f>
        <v>0</v>
      </c>
      <c r="I11" s="631"/>
      <c r="J11" s="1082">
        <f>H11+I11</f>
        <v>0</v>
      </c>
      <c r="K11" s="1082"/>
      <c r="L11" s="1083">
        <f>J11-K11+B11</f>
        <v>0</v>
      </c>
      <c r="M11" s="444"/>
      <c r="N11" s="347"/>
      <c r="O11" s="216"/>
      <c r="P11" s="216">
        <f>SUM(M11:O11)</f>
        <v>0</v>
      </c>
      <c r="Q11" s="347"/>
      <c r="R11" s="216">
        <f>P11+Q11</f>
        <v>0</v>
      </c>
      <c r="S11" s="347"/>
      <c r="T11" s="216">
        <f>R11+S11</f>
        <v>0</v>
      </c>
      <c r="U11" s="405">
        <f>L11</f>
        <v>0</v>
      </c>
      <c r="V11" s="347">
        <f>T11*100%</f>
        <v>0</v>
      </c>
      <c r="W11" s="1032">
        <f>T11-U11-V11+L11</f>
        <v>0</v>
      </c>
      <c r="X11" s="1034"/>
      <c r="Y11" s="347"/>
      <c r="Z11" s="347"/>
      <c r="AA11" s="347">
        <f>SUM(X11:Z11)</f>
        <v>0</v>
      </c>
      <c r="AB11" s="347"/>
      <c r="AC11" s="347">
        <f>AA11+AB11</f>
        <v>0</v>
      </c>
      <c r="AD11" s="347"/>
      <c r="AE11" s="216">
        <f>AC11+AD11</f>
        <v>0</v>
      </c>
      <c r="AF11" s="347">
        <f>W11</f>
        <v>0</v>
      </c>
      <c r="AG11" s="347">
        <f>AE11*100%</f>
        <v>0</v>
      </c>
      <c r="AH11" s="1035">
        <f>AE11-AF11-AG11+W11</f>
        <v>0</v>
      </c>
      <c r="AI11" t="e">
        <f>V11/T11*100</f>
        <v>#DIV/0!</v>
      </c>
      <c r="AJ11" t="e">
        <f>AG11/AE11*100</f>
        <v>#DIV/0!</v>
      </c>
    </row>
    <row r="12" spans="1:36" ht="13">
      <c r="A12" s="116" t="s">
        <v>1088</v>
      </c>
      <c r="B12" s="635">
        <f>35.67+36.3775000000003+1.84022000000024</f>
        <v>73.887720000000542</v>
      </c>
      <c r="C12" s="633">
        <v>28.66</v>
      </c>
      <c r="D12" s="631"/>
      <c r="E12" s="631"/>
      <c r="F12" s="1082">
        <f>SUM(C12:E12)</f>
        <v>28.66</v>
      </c>
      <c r="G12" s="1082"/>
      <c r="H12" s="1082">
        <f>F12+G12</f>
        <v>28.66</v>
      </c>
      <c r="I12" s="631"/>
      <c r="J12" s="1082">
        <f>H12+I12</f>
        <v>28.66</v>
      </c>
      <c r="K12" s="1082">
        <f>76.28+1.84022000000024</f>
        <v>78.120220000000245</v>
      </c>
      <c r="L12" s="1083">
        <f>J12-K12+B12</f>
        <v>24.427500000000293</v>
      </c>
      <c r="M12" s="444"/>
      <c r="N12" s="216"/>
      <c r="O12" s="347"/>
      <c r="P12" s="216">
        <f>SUM(M12:O12)</f>
        <v>0</v>
      </c>
      <c r="Q12" s="347"/>
      <c r="R12" s="216">
        <f>P12+Q12</f>
        <v>0</v>
      </c>
      <c r="S12" s="347"/>
      <c r="T12" s="216">
        <f>R12+S12</f>
        <v>0</v>
      </c>
      <c r="U12" s="405">
        <f t="shared" ref="U12:U34" si="0">L12</f>
        <v>24.427500000000293</v>
      </c>
      <c r="V12" s="347">
        <f>T12*100%</f>
        <v>0</v>
      </c>
      <c r="W12" s="1035">
        <f>T12-U12-V12+L12</f>
        <v>0</v>
      </c>
      <c r="X12" s="444"/>
      <c r="Y12" s="347"/>
      <c r="Z12" s="347"/>
      <c r="AA12" s="347">
        <f>SUM(X12:Z12)</f>
        <v>0</v>
      </c>
      <c r="AB12" s="347"/>
      <c r="AC12" s="347">
        <f>AA12+AB12</f>
        <v>0</v>
      </c>
      <c r="AD12" s="347"/>
      <c r="AE12" s="216">
        <f>AC12+AD12</f>
        <v>0</v>
      </c>
      <c r="AF12" s="216">
        <f>W12</f>
        <v>0</v>
      </c>
      <c r="AG12" s="347">
        <f>AE12*100%</f>
        <v>0</v>
      </c>
      <c r="AH12" s="1035">
        <f>AE12-AF12-AG12+W12</f>
        <v>0</v>
      </c>
      <c r="AI12" t="e">
        <f>V12/T12*100</f>
        <v>#DIV/0!</v>
      </c>
      <c r="AJ12" t="e">
        <f>AG12/AE12*100</f>
        <v>#DIV/0!</v>
      </c>
    </row>
    <row r="13" spans="1:36">
      <c r="A13" s="444"/>
      <c r="B13" s="632"/>
      <c r="C13" s="633"/>
      <c r="D13" s="631"/>
      <c r="E13" s="631"/>
      <c r="F13" s="1082"/>
      <c r="G13" s="1082"/>
      <c r="H13" s="1082"/>
      <c r="I13" s="631"/>
      <c r="J13" s="1082"/>
      <c r="K13" s="1082"/>
      <c r="L13" s="1083"/>
      <c r="M13" s="444"/>
      <c r="N13" s="347"/>
      <c r="O13" s="347"/>
      <c r="P13" s="216"/>
      <c r="Q13" s="347"/>
      <c r="R13" s="216"/>
      <c r="S13" s="347"/>
      <c r="T13" s="216"/>
      <c r="U13" s="405"/>
      <c r="V13" s="347"/>
      <c r="W13" s="1035"/>
      <c r="X13" s="444"/>
      <c r="Y13" s="347"/>
      <c r="Z13" s="347"/>
      <c r="AA13" s="347"/>
      <c r="AB13" s="347"/>
      <c r="AC13" s="347"/>
      <c r="AD13" s="347"/>
      <c r="AE13" s="216"/>
      <c r="AF13" s="347"/>
      <c r="AG13" s="347"/>
      <c r="AH13" s="1035"/>
    </row>
    <row r="14" spans="1:36">
      <c r="A14" s="444" t="s">
        <v>1452</v>
      </c>
      <c r="B14" s="632">
        <v>0</v>
      </c>
      <c r="C14" s="633"/>
      <c r="D14" s="631"/>
      <c r="E14" s="631"/>
      <c r="F14" s="1082">
        <f t="shared" ref="F14:F34" si="1">SUM(C14:E14)</f>
        <v>0</v>
      </c>
      <c r="G14" s="1082"/>
      <c r="H14" s="1082">
        <f t="shared" ref="H14:H34" si="2">F14+G14</f>
        <v>0</v>
      </c>
      <c r="I14" s="631"/>
      <c r="J14" s="1082">
        <f>H14+I14</f>
        <v>0</v>
      </c>
      <c r="K14" s="1082"/>
      <c r="L14" s="1083">
        <f t="shared" ref="L14:L31" si="3">J14-K14+B14</f>
        <v>0</v>
      </c>
      <c r="M14" s="444"/>
      <c r="N14" s="347"/>
      <c r="O14" s="347"/>
      <c r="P14" s="405">
        <f t="shared" ref="P14:P33" si="4">SUM(M14:O14)</f>
        <v>0</v>
      </c>
      <c r="Q14" s="405"/>
      <c r="R14" s="405">
        <f t="shared" ref="R14:R34" si="5">P14+Q14</f>
        <v>0</v>
      </c>
      <c r="S14" s="405"/>
      <c r="T14" s="405">
        <f>R14+S14</f>
        <v>0</v>
      </c>
      <c r="U14" s="405">
        <f t="shared" si="0"/>
        <v>0</v>
      </c>
      <c r="V14" s="405">
        <f>T14*50%</f>
        <v>0</v>
      </c>
      <c r="W14" s="1036">
        <f t="shared" ref="W14:W34" si="6">T14-U14-V14+L14</f>
        <v>0</v>
      </c>
      <c r="X14" s="444"/>
      <c r="Y14" s="347"/>
      <c r="Z14" s="347"/>
      <c r="AA14" s="347">
        <f t="shared" ref="AA14:AA33" si="7">SUM(X14:Z14)</f>
        <v>0</v>
      </c>
      <c r="AB14" s="347"/>
      <c r="AC14" s="347">
        <f t="shared" ref="AC14:AC34" si="8">AA14+AB14</f>
        <v>0</v>
      </c>
      <c r="AD14" s="347"/>
      <c r="AE14" s="216">
        <f>AC14+AD14</f>
        <v>0</v>
      </c>
      <c r="AF14" s="347">
        <f t="shared" ref="AF14:AF29" si="9">W14</f>
        <v>0</v>
      </c>
      <c r="AG14" s="347">
        <f>AE14*50%</f>
        <v>0</v>
      </c>
      <c r="AH14" s="1035">
        <f t="shared" ref="AH14:AH34" si="10">AE14-AF14-AG14+W14</f>
        <v>0</v>
      </c>
      <c r="AI14" t="e">
        <f t="shared" ref="AI14:AI35" si="11">V14/T14*100</f>
        <v>#DIV/0!</v>
      </c>
      <c r="AJ14" t="e">
        <f t="shared" ref="AJ14:AJ40" si="12">AG14/AE14*100</f>
        <v>#DIV/0!</v>
      </c>
    </row>
    <row r="15" spans="1:36">
      <c r="A15" s="444" t="s">
        <v>49</v>
      </c>
      <c r="B15" s="635">
        <v>0</v>
      </c>
      <c r="C15" s="633"/>
      <c r="D15" s="631"/>
      <c r="E15" s="631"/>
      <c r="F15" s="1082">
        <f>SUM(C15:E15)</f>
        <v>0</v>
      </c>
      <c r="G15" s="1082"/>
      <c r="H15" s="1082">
        <f>F15+G15</f>
        <v>0</v>
      </c>
      <c r="I15" s="631"/>
      <c r="J15" s="1082">
        <f>H15+I15</f>
        <v>0</v>
      </c>
      <c r="K15" s="1082"/>
      <c r="L15" s="1083">
        <f>J15-K15+B15</f>
        <v>0</v>
      </c>
      <c r="M15" s="216">
        <f>$R$59*M59</f>
        <v>0</v>
      </c>
      <c r="N15" s="216">
        <f>$R$59*N59</f>
        <v>0</v>
      </c>
      <c r="O15" s="216">
        <f>$R$59*O59</f>
        <v>0</v>
      </c>
      <c r="P15" s="216">
        <f>SUM(M15:O15)</f>
        <v>0</v>
      </c>
      <c r="Q15" s="216">
        <f>$R$59*P59</f>
        <v>0</v>
      </c>
      <c r="R15" s="216">
        <f>P15+Q15</f>
        <v>0</v>
      </c>
      <c r="S15" s="347"/>
      <c r="T15" s="216">
        <f>R15+S15</f>
        <v>0</v>
      </c>
      <c r="U15" s="405">
        <f t="shared" si="0"/>
        <v>0</v>
      </c>
      <c r="V15" s="1037">
        <f>T15*50%</f>
        <v>0</v>
      </c>
      <c r="W15" s="1035">
        <f>T15-U15-V15+L15</f>
        <v>0</v>
      </c>
      <c r="X15" s="1034">
        <f>$S$59*M59</f>
        <v>0</v>
      </c>
      <c r="Y15" s="216">
        <f>$R$59*N59</f>
        <v>0</v>
      </c>
      <c r="Z15" s="216">
        <f>$R$59*O59</f>
        <v>0</v>
      </c>
      <c r="AA15" s="216">
        <f>SUM(X15:Z15)</f>
        <v>0</v>
      </c>
      <c r="AB15" s="216"/>
      <c r="AC15" s="216">
        <f>AA15+AB15</f>
        <v>0</v>
      </c>
      <c r="AD15" s="347"/>
      <c r="AE15" s="216">
        <f>AC15+AD15</f>
        <v>0</v>
      </c>
      <c r="AF15" s="216">
        <f t="shared" si="9"/>
        <v>0</v>
      </c>
      <c r="AG15" s="216">
        <f>AE15*50%</f>
        <v>0</v>
      </c>
      <c r="AH15" s="1035">
        <f>AE15-AF15-AG15+W15</f>
        <v>0</v>
      </c>
      <c r="AI15" t="e">
        <f t="shared" si="11"/>
        <v>#DIV/0!</v>
      </c>
      <c r="AJ15" t="e">
        <f t="shared" si="12"/>
        <v>#DIV/0!</v>
      </c>
    </row>
    <row r="16" spans="1:36">
      <c r="A16" s="444"/>
      <c r="B16" s="635">
        <v>0</v>
      </c>
      <c r="C16" s="633"/>
      <c r="D16" s="631"/>
      <c r="E16" s="631"/>
      <c r="F16" s="1082">
        <f>SUM(C16:E16)</f>
        <v>0</v>
      </c>
      <c r="G16" s="1082"/>
      <c r="H16" s="1082">
        <f t="shared" si="2"/>
        <v>0</v>
      </c>
      <c r="I16" s="631"/>
      <c r="J16" s="1082">
        <f t="shared" ref="J16:J34" si="13">H16+I16</f>
        <v>0</v>
      </c>
      <c r="K16" s="1082"/>
      <c r="L16" s="1083">
        <f t="shared" si="3"/>
        <v>0</v>
      </c>
      <c r="M16" s="444"/>
      <c r="N16" s="347"/>
      <c r="O16" s="347"/>
      <c r="P16" s="216">
        <f t="shared" si="4"/>
        <v>0</v>
      </c>
      <c r="Q16" s="347"/>
      <c r="R16" s="216">
        <f t="shared" si="5"/>
        <v>0</v>
      </c>
      <c r="S16" s="347"/>
      <c r="T16" s="216">
        <f t="shared" ref="T16:T34" si="14">R16+S16</f>
        <v>0</v>
      </c>
      <c r="U16" s="405">
        <f t="shared" si="0"/>
        <v>0</v>
      </c>
      <c r="V16" s="1037">
        <f t="shared" ref="V16:V23" si="15">T16*50%</f>
        <v>0</v>
      </c>
      <c r="W16" s="1035">
        <f t="shared" si="6"/>
        <v>0</v>
      </c>
      <c r="X16" s="444"/>
      <c r="Y16" s="347"/>
      <c r="Z16" s="347"/>
      <c r="AA16" s="347">
        <f t="shared" si="7"/>
        <v>0</v>
      </c>
      <c r="AB16" s="347"/>
      <c r="AC16" s="347">
        <f t="shared" si="8"/>
        <v>0</v>
      </c>
      <c r="AD16" s="347"/>
      <c r="AE16" s="216">
        <f t="shared" ref="AE16:AE28" si="16">AC16+AD16</f>
        <v>0</v>
      </c>
      <c r="AF16" s="347">
        <f t="shared" si="9"/>
        <v>0</v>
      </c>
      <c r="AG16" s="216">
        <f t="shared" ref="AG16:AG23" si="17">AE16*50%</f>
        <v>0</v>
      </c>
      <c r="AH16" s="1035">
        <f t="shared" si="10"/>
        <v>0</v>
      </c>
      <c r="AI16" t="e">
        <f t="shared" si="11"/>
        <v>#DIV/0!</v>
      </c>
      <c r="AJ16" t="e">
        <f t="shared" si="12"/>
        <v>#DIV/0!</v>
      </c>
    </row>
    <row r="17" spans="1:36">
      <c r="A17" s="444" t="s">
        <v>1453</v>
      </c>
      <c r="B17" s="635">
        <f>36.3775000000003*0</f>
        <v>0</v>
      </c>
      <c r="C17" s="633"/>
      <c r="D17" s="631"/>
      <c r="E17" s="631"/>
      <c r="F17" s="1082">
        <f t="shared" si="1"/>
        <v>0</v>
      </c>
      <c r="G17" s="1082"/>
      <c r="H17" s="1082">
        <f t="shared" si="2"/>
        <v>0</v>
      </c>
      <c r="I17" s="631"/>
      <c r="J17" s="1082">
        <f t="shared" si="13"/>
        <v>0</v>
      </c>
      <c r="K17" s="1082"/>
      <c r="L17" s="1083">
        <f t="shared" si="3"/>
        <v>0</v>
      </c>
      <c r="M17" s="1034">
        <f>$R$51*M51</f>
        <v>584.52236000000005</v>
      </c>
      <c r="N17" s="216">
        <f>$R$51*N51</f>
        <v>109.5979425</v>
      </c>
      <c r="O17" s="216">
        <f>$R$51*O51</f>
        <v>36.532647500000003</v>
      </c>
      <c r="P17" s="216">
        <f>SUM(M17:O17)</f>
        <v>730.65295000000015</v>
      </c>
      <c r="Q17" s="216">
        <f>M17*P51</f>
        <v>23.380894400000003</v>
      </c>
      <c r="R17" s="216">
        <f>P17+Q17</f>
        <v>754.03384440000013</v>
      </c>
      <c r="S17" s="216">
        <f>'loan&amp;int'!C118</f>
        <v>0</v>
      </c>
      <c r="T17" s="216">
        <f t="shared" si="14"/>
        <v>754.03384440000013</v>
      </c>
      <c r="U17" s="405">
        <f t="shared" si="0"/>
        <v>0</v>
      </c>
      <c r="V17" s="1037">
        <f>T17*50%</f>
        <v>377.01692220000007</v>
      </c>
      <c r="W17" s="1035">
        <f t="shared" si="6"/>
        <v>377.01692220000007</v>
      </c>
      <c r="X17" s="1034">
        <f>$S$51*M51</f>
        <v>596.21280720000004</v>
      </c>
      <c r="Y17" s="216">
        <f>$R$51*N51</f>
        <v>109.5979425</v>
      </c>
      <c r="Z17" s="216">
        <f>$R$51*O51</f>
        <v>36.532647500000003</v>
      </c>
      <c r="AA17" s="216">
        <f t="shared" si="7"/>
        <v>742.34339720000014</v>
      </c>
      <c r="AB17" s="216">
        <f>X17*P51</f>
        <v>23.848512288000002</v>
      </c>
      <c r="AC17" s="216">
        <f t="shared" si="8"/>
        <v>766.19190948800019</v>
      </c>
      <c r="AD17" s="216">
        <f>'loan&amp;int'!D118</f>
        <v>0</v>
      </c>
      <c r="AE17" s="216">
        <f t="shared" si="16"/>
        <v>766.19190948800019</v>
      </c>
      <c r="AF17" s="216">
        <f t="shared" si="9"/>
        <v>377.01692220000007</v>
      </c>
      <c r="AG17" s="216">
        <f t="shared" si="17"/>
        <v>383.0959547440001</v>
      </c>
      <c r="AH17" s="1035">
        <f t="shared" si="10"/>
        <v>383.0959547440001</v>
      </c>
      <c r="AI17">
        <f t="shared" si="11"/>
        <v>50</v>
      </c>
      <c r="AJ17">
        <f t="shared" si="12"/>
        <v>50</v>
      </c>
    </row>
    <row r="18" spans="1:36">
      <c r="A18" s="444"/>
      <c r="B18" s="635">
        <v>0</v>
      </c>
      <c r="C18" s="633"/>
      <c r="D18" s="631"/>
      <c r="E18" s="631"/>
      <c r="F18" s="1082">
        <f t="shared" si="1"/>
        <v>0</v>
      </c>
      <c r="G18" s="1082"/>
      <c r="H18" s="1082">
        <f t="shared" si="2"/>
        <v>0</v>
      </c>
      <c r="I18" s="631"/>
      <c r="J18" s="1082">
        <f t="shared" si="13"/>
        <v>0</v>
      </c>
      <c r="K18" s="1082"/>
      <c r="L18" s="1083">
        <f t="shared" si="3"/>
        <v>0</v>
      </c>
      <c r="M18" s="1034"/>
      <c r="N18" s="216"/>
      <c r="O18" s="216"/>
      <c r="P18" s="216"/>
      <c r="Q18" s="216"/>
      <c r="R18" s="216">
        <f t="shared" si="5"/>
        <v>0</v>
      </c>
      <c r="S18" s="347"/>
      <c r="T18" s="216">
        <f t="shared" si="14"/>
        <v>0</v>
      </c>
      <c r="U18" s="405">
        <f t="shared" si="0"/>
        <v>0</v>
      </c>
      <c r="V18" s="1037">
        <f t="shared" si="15"/>
        <v>0</v>
      </c>
      <c r="W18" s="1035">
        <f t="shared" si="6"/>
        <v>0</v>
      </c>
      <c r="X18" s="1034"/>
      <c r="Y18" s="216"/>
      <c r="Z18" s="216"/>
      <c r="AA18" s="405">
        <f t="shared" si="7"/>
        <v>0</v>
      </c>
      <c r="AB18" s="216"/>
      <c r="AC18" s="216">
        <f t="shared" si="8"/>
        <v>0</v>
      </c>
      <c r="AD18" s="347"/>
      <c r="AE18" s="216">
        <f t="shared" si="16"/>
        <v>0</v>
      </c>
      <c r="AF18" s="216">
        <f t="shared" si="9"/>
        <v>0</v>
      </c>
      <c r="AG18" s="216">
        <f t="shared" si="17"/>
        <v>0</v>
      </c>
      <c r="AH18" s="1035">
        <f t="shared" si="10"/>
        <v>0</v>
      </c>
      <c r="AI18" t="e">
        <f t="shared" si="11"/>
        <v>#DIV/0!</v>
      </c>
      <c r="AJ18" t="e">
        <f t="shared" si="12"/>
        <v>#DIV/0!</v>
      </c>
    </row>
    <row r="19" spans="1:36">
      <c r="A19" s="444" t="s">
        <v>1454</v>
      </c>
      <c r="B19" s="635">
        <f>188.801059999999+317.10818</f>
        <v>505.90923999999904</v>
      </c>
      <c r="C19" s="1081">
        <v>12694.97031071277</v>
      </c>
      <c r="D19" s="631"/>
      <c r="E19" s="631"/>
      <c r="F19" s="1082">
        <f t="shared" si="1"/>
        <v>12694.97031071277</v>
      </c>
      <c r="G19" s="1082"/>
      <c r="H19" s="1082">
        <f t="shared" si="2"/>
        <v>12694.97031071277</v>
      </c>
      <c r="I19" s="631"/>
      <c r="J19" s="1082">
        <f t="shared" si="13"/>
        <v>12694.97031071277</v>
      </c>
      <c r="K19" s="1082">
        <f>970.64012+9830.92126+546.70303</f>
        <v>11348.26441</v>
      </c>
      <c r="L19" s="1083">
        <f t="shared" si="3"/>
        <v>1852.6151407127691</v>
      </c>
      <c r="M19" s="1034">
        <f>$R$53*M53</f>
        <v>14560</v>
      </c>
      <c r="N19" s="216">
        <f>$R$53*N53</f>
        <v>2730</v>
      </c>
      <c r="O19" s="216">
        <f>$R$53*O53</f>
        <v>910</v>
      </c>
      <c r="P19" s="216">
        <f t="shared" si="4"/>
        <v>18200</v>
      </c>
      <c r="Q19" s="216">
        <f>M19*P53</f>
        <v>291.2</v>
      </c>
      <c r="R19" s="216">
        <f>P19+Q19</f>
        <v>18491.2</v>
      </c>
      <c r="S19" s="347"/>
      <c r="T19" s="216">
        <f t="shared" si="14"/>
        <v>18491.2</v>
      </c>
      <c r="U19" s="405">
        <f t="shared" si="0"/>
        <v>1852.6151407127691</v>
      </c>
      <c r="V19" s="1037">
        <f>T19*50%</f>
        <v>9245.6</v>
      </c>
      <c r="W19" s="1035">
        <f t="shared" si="6"/>
        <v>9245.6</v>
      </c>
      <c r="X19" s="1034">
        <f>$S$53*M53</f>
        <v>14560</v>
      </c>
      <c r="Y19" s="216">
        <f>$R$53*N53</f>
        <v>2730</v>
      </c>
      <c r="Z19" s="216">
        <f>$R$53*O53</f>
        <v>910</v>
      </c>
      <c r="AA19" s="216">
        <f t="shared" si="7"/>
        <v>18200</v>
      </c>
      <c r="AB19" s="216">
        <f>X19*P53</f>
        <v>291.2</v>
      </c>
      <c r="AC19" s="216">
        <f t="shared" si="8"/>
        <v>18491.2</v>
      </c>
      <c r="AD19" s="347"/>
      <c r="AE19" s="216">
        <f t="shared" si="16"/>
        <v>18491.2</v>
      </c>
      <c r="AF19" s="216">
        <f t="shared" si="9"/>
        <v>9245.6</v>
      </c>
      <c r="AG19" s="216">
        <f t="shared" si="17"/>
        <v>9245.6</v>
      </c>
      <c r="AH19" s="1035">
        <f t="shared" si="10"/>
        <v>9245.6</v>
      </c>
      <c r="AI19" s="9">
        <f t="shared" si="11"/>
        <v>50</v>
      </c>
      <c r="AJ19">
        <f t="shared" si="12"/>
        <v>50</v>
      </c>
    </row>
    <row r="20" spans="1:36">
      <c r="A20" s="1080" t="s">
        <v>2209</v>
      </c>
      <c r="B20" s="635">
        <v>0</v>
      </c>
      <c r="C20" s="1081">
        <v>3655.8367309</v>
      </c>
      <c r="D20" s="631"/>
      <c r="E20" s="631"/>
      <c r="F20" s="1082">
        <f t="shared" si="1"/>
        <v>3655.8367309</v>
      </c>
      <c r="G20" s="1082"/>
      <c r="H20" s="1082">
        <f t="shared" si="2"/>
        <v>3655.8367309</v>
      </c>
      <c r="I20" s="631"/>
      <c r="J20" s="1082">
        <f t="shared" si="13"/>
        <v>3655.8367309</v>
      </c>
      <c r="K20" s="1082">
        <v>1409.5632981000001</v>
      </c>
      <c r="L20" s="1083">
        <f t="shared" si="3"/>
        <v>2246.2734327999997</v>
      </c>
      <c r="M20" s="1038">
        <f>N67*M53</f>
        <v>1600</v>
      </c>
      <c r="N20" s="405">
        <f>N67*N53</f>
        <v>300</v>
      </c>
      <c r="O20" s="405">
        <f>N67*O53</f>
        <v>100</v>
      </c>
      <c r="P20" s="405">
        <f t="shared" si="4"/>
        <v>2000</v>
      </c>
      <c r="Q20" s="216">
        <f>M20*P53</f>
        <v>32</v>
      </c>
      <c r="R20" s="405">
        <f t="shared" si="5"/>
        <v>2032</v>
      </c>
      <c r="S20" s="405"/>
      <c r="T20" s="405">
        <f t="shared" si="14"/>
        <v>2032</v>
      </c>
      <c r="U20" s="405">
        <f t="shared" si="0"/>
        <v>2246.2734327999997</v>
      </c>
      <c r="V20" s="405">
        <f>T20*100%</f>
        <v>2032</v>
      </c>
      <c r="W20" s="1036">
        <f t="shared" si="6"/>
        <v>0</v>
      </c>
      <c r="X20" s="1034">
        <f>O67*M53</f>
        <v>240</v>
      </c>
      <c r="Y20" s="216">
        <f>O67*N53</f>
        <v>45</v>
      </c>
      <c r="Z20" s="216">
        <f>O67*O53</f>
        <v>15</v>
      </c>
      <c r="AA20" s="405">
        <f t="shared" si="7"/>
        <v>300</v>
      </c>
      <c r="AB20" s="216">
        <f>X20*P54</f>
        <v>12</v>
      </c>
      <c r="AC20" s="216">
        <f t="shared" si="8"/>
        <v>312</v>
      </c>
      <c r="AD20" s="347"/>
      <c r="AE20" s="216">
        <f t="shared" si="16"/>
        <v>312</v>
      </c>
      <c r="AF20" s="216">
        <f t="shared" si="9"/>
        <v>0</v>
      </c>
      <c r="AG20" s="216">
        <f t="shared" si="17"/>
        <v>156</v>
      </c>
      <c r="AH20" s="1035">
        <f t="shared" si="10"/>
        <v>156</v>
      </c>
      <c r="AI20" s="9">
        <f t="shared" si="11"/>
        <v>100</v>
      </c>
      <c r="AJ20">
        <f t="shared" si="12"/>
        <v>50</v>
      </c>
    </row>
    <row r="21" spans="1:36">
      <c r="A21" s="1080" t="s">
        <v>2210</v>
      </c>
      <c r="B21" s="635">
        <v>0</v>
      </c>
      <c r="C21" s="1081">
        <v>1723.8703468000001</v>
      </c>
      <c r="D21" s="631"/>
      <c r="E21" s="631"/>
      <c r="F21" s="1082">
        <f t="shared" si="1"/>
        <v>1723.8703468000001</v>
      </c>
      <c r="G21" s="1082"/>
      <c r="H21" s="1082">
        <f t="shared" si="2"/>
        <v>1723.8703468000001</v>
      </c>
      <c r="I21" s="631"/>
      <c r="J21" s="1082">
        <f t="shared" si="13"/>
        <v>1723.8703468000001</v>
      </c>
      <c r="K21" s="1082">
        <f>1653.6305119*0+1722.77484</f>
        <v>1722.77484</v>
      </c>
      <c r="L21" s="1083">
        <f t="shared" si="3"/>
        <v>1.0955068000000665</v>
      </c>
      <c r="M21" s="1038">
        <f>N68*M53</f>
        <v>1600</v>
      </c>
      <c r="N21" s="405">
        <f>N68*N53</f>
        <v>300</v>
      </c>
      <c r="O21" s="405">
        <f>N68*O53</f>
        <v>100</v>
      </c>
      <c r="P21" s="405">
        <f t="shared" si="4"/>
        <v>2000</v>
      </c>
      <c r="Q21" s="216">
        <f>M21*P53</f>
        <v>32</v>
      </c>
      <c r="R21" s="405">
        <f t="shared" si="5"/>
        <v>2032</v>
      </c>
      <c r="S21" s="405"/>
      <c r="T21" s="405">
        <f t="shared" si="14"/>
        <v>2032</v>
      </c>
      <c r="U21" s="405">
        <f t="shared" si="0"/>
        <v>1.0955068000000665</v>
      </c>
      <c r="V21" s="405">
        <f>T21*100%</f>
        <v>2032</v>
      </c>
      <c r="W21" s="1036">
        <f t="shared" si="6"/>
        <v>0</v>
      </c>
      <c r="X21" s="1034">
        <f>O68*M53</f>
        <v>1600</v>
      </c>
      <c r="Y21" s="216">
        <f>O68*N53</f>
        <v>300</v>
      </c>
      <c r="Z21" s="216">
        <f>O67*O53</f>
        <v>15</v>
      </c>
      <c r="AA21" s="347">
        <f t="shared" si="7"/>
        <v>1915</v>
      </c>
      <c r="AB21" s="216">
        <f>X21*P55</f>
        <v>80</v>
      </c>
      <c r="AC21" s="216">
        <f t="shared" si="8"/>
        <v>1995</v>
      </c>
      <c r="AD21" s="347"/>
      <c r="AE21" s="216">
        <f t="shared" si="16"/>
        <v>1995</v>
      </c>
      <c r="AF21" s="216">
        <f t="shared" si="9"/>
        <v>0</v>
      </c>
      <c r="AG21" s="216">
        <f t="shared" si="17"/>
        <v>997.5</v>
      </c>
      <c r="AH21" s="1035">
        <f t="shared" si="10"/>
        <v>997.5</v>
      </c>
      <c r="AI21" s="9">
        <f t="shared" si="11"/>
        <v>100</v>
      </c>
      <c r="AJ21">
        <f t="shared" si="12"/>
        <v>50</v>
      </c>
    </row>
    <row r="22" spans="1:36">
      <c r="A22" s="444" t="s">
        <v>532</v>
      </c>
      <c r="B22" s="635">
        <f>317.10818*0</f>
        <v>0</v>
      </c>
      <c r="C22" s="1081"/>
      <c r="D22" s="631"/>
      <c r="E22" s="631"/>
      <c r="F22" s="1082">
        <f t="shared" si="1"/>
        <v>0</v>
      </c>
      <c r="G22" s="1082"/>
      <c r="H22" s="1082">
        <f t="shared" si="2"/>
        <v>0</v>
      </c>
      <c r="I22" s="631"/>
      <c r="J22" s="1082">
        <f t="shared" si="13"/>
        <v>0</v>
      </c>
      <c r="K22" s="1082"/>
      <c r="L22" s="1083">
        <f t="shared" si="3"/>
        <v>0</v>
      </c>
      <c r="M22" s="1034">
        <f>$M$86*M51</f>
        <v>0</v>
      </c>
      <c r="N22" s="216">
        <f>$M$86*N51</f>
        <v>0</v>
      </c>
      <c r="O22" s="216">
        <f>$M$86*O51</f>
        <v>0</v>
      </c>
      <c r="P22" s="405">
        <f t="shared" si="4"/>
        <v>0</v>
      </c>
      <c r="Q22" s="405"/>
      <c r="R22" s="405">
        <f t="shared" si="5"/>
        <v>0</v>
      </c>
      <c r="S22" s="405"/>
      <c r="T22" s="405">
        <f t="shared" si="14"/>
        <v>0</v>
      </c>
      <c r="U22" s="405">
        <f t="shared" si="0"/>
        <v>0</v>
      </c>
      <c r="V22" s="405">
        <f>T22*40%</f>
        <v>0</v>
      </c>
      <c r="W22" s="1036">
        <f t="shared" si="6"/>
        <v>0</v>
      </c>
      <c r="X22" s="1034">
        <f>$N$86*M51</f>
        <v>0</v>
      </c>
      <c r="Y22" s="216">
        <f>$N$86*N51</f>
        <v>0</v>
      </c>
      <c r="Z22" s="216">
        <f>$N$86*O51</f>
        <v>0</v>
      </c>
      <c r="AA22" s="347">
        <f t="shared" si="7"/>
        <v>0</v>
      </c>
      <c r="AB22" s="216">
        <v>0</v>
      </c>
      <c r="AC22" s="216">
        <f t="shared" si="8"/>
        <v>0</v>
      </c>
      <c r="AD22" s="347"/>
      <c r="AE22" s="216">
        <f t="shared" si="16"/>
        <v>0</v>
      </c>
      <c r="AF22" s="216">
        <f t="shared" si="9"/>
        <v>0</v>
      </c>
      <c r="AG22" s="216">
        <f t="shared" si="17"/>
        <v>0</v>
      </c>
      <c r="AH22" s="1035">
        <f t="shared" si="10"/>
        <v>0</v>
      </c>
      <c r="AI22" s="9" t="e">
        <f t="shared" si="11"/>
        <v>#DIV/0!</v>
      </c>
      <c r="AJ22" t="e">
        <f t="shared" si="12"/>
        <v>#DIV/0!</v>
      </c>
    </row>
    <row r="23" spans="1:36">
      <c r="A23" s="444" t="s">
        <v>537</v>
      </c>
      <c r="B23" s="635">
        <v>0</v>
      </c>
      <c r="C23" s="1081"/>
      <c r="D23" s="631"/>
      <c r="E23" s="631"/>
      <c r="F23" s="1082">
        <f t="shared" si="1"/>
        <v>0</v>
      </c>
      <c r="G23" s="1082"/>
      <c r="H23" s="1082">
        <f t="shared" si="2"/>
        <v>0</v>
      </c>
      <c r="I23" s="631"/>
      <c r="J23" s="1082">
        <f t="shared" si="13"/>
        <v>0</v>
      </c>
      <c r="K23" s="1082"/>
      <c r="L23" s="1083">
        <f t="shared" si="3"/>
        <v>0</v>
      </c>
      <c r="M23" s="1034">
        <f>$M$85*M51</f>
        <v>0</v>
      </c>
      <c r="N23" s="216">
        <f>$M$85*N51</f>
        <v>0</v>
      </c>
      <c r="O23" s="216">
        <f>$M$85*O51</f>
        <v>0</v>
      </c>
      <c r="P23" s="216">
        <f t="shared" si="4"/>
        <v>0</v>
      </c>
      <c r="Q23" s="216"/>
      <c r="R23" s="216">
        <f t="shared" si="5"/>
        <v>0</v>
      </c>
      <c r="S23" s="347"/>
      <c r="T23" s="216">
        <f t="shared" si="14"/>
        <v>0</v>
      </c>
      <c r="U23" s="405">
        <f t="shared" si="0"/>
        <v>0</v>
      </c>
      <c r="V23" s="1037">
        <f t="shared" si="15"/>
        <v>0</v>
      </c>
      <c r="W23" s="1035">
        <f t="shared" si="6"/>
        <v>0</v>
      </c>
      <c r="X23" s="1034">
        <f>$N$85*M51</f>
        <v>0</v>
      </c>
      <c r="Y23" s="216">
        <f>$N$85*N51</f>
        <v>0</v>
      </c>
      <c r="Z23" s="216">
        <f>$N$85*O51</f>
        <v>0</v>
      </c>
      <c r="AA23" s="347">
        <f t="shared" si="7"/>
        <v>0</v>
      </c>
      <c r="AB23" s="216"/>
      <c r="AC23" s="216">
        <f t="shared" si="8"/>
        <v>0</v>
      </c>
      <c r="AD23" s="347"/>
      <c r="AE23" s="216">
        <f t="shared" si="16"/>
        <v>0</v>
      </c>
      <c r="AF23" s="216">
        <f t="shared" si="9"/>
        <v>0</v>
      </c>
      <c r="AG23" s="216">
        <f t="shared" si="17"/>
        <v>0</v>
      </c>
      <c r="AH23" s="1035">
        <f t="shared" si="10"/>
        <v>0</v>
      </c>
      <c r="AI23" s="9" t="e">
        <f t="shared" si="11"/>
        <v>#DIV/0!</v>
      </c>
      <c r="AJ23" t="e">
        <f t="shared" si="12"/>
        <v>#DIV/0!</v>
      </c>
    </row>
    <row r="24" spans="1:36">
      <c r="A24" s="444" t="s">
        <v>538</v>
      </c>
      <c r="B24" s="632">
        <v>0</v>
      </c>
      <c r="C24" s="1081"/>
      <c r="D24" s="631"/>
      <c r="E24" s="631"/>
      <c r="F24" s="1082">
        <f t="shared" si="1"/>
        <v>0</v>
      </c>
      <c r="G24" s="1082"/>
      <c r="H24" s="1082">
        <f t="shared" si="2"/>
        <v>0</v>
      </c>
      <c r="I24" s="631"/>
      <c r="J24" s="1082">
        <f t="shared" si="13"/>
        <v>0</v>
      </c>
      <c r="K24" s="1082"/>
      <c r="L24" s="1083">
        <f t="shared" si="3"/>
        <v>0</v>
      </c>
      <c r="M24" s="1034">
        <f>$M$84*M51</f>
        <v>0</v>
      </c>
      <c r="N24" s="216">
        <f>$M$84*N51</f>
        <v>0</v>
      </c>
      <c r="O24" s="216">
        <f>$M$84*O51</f>
        <v>0</v>
      </c>
      <c r="P24" s="216">
        <f t="shared" si="4"/>
        <v>0</v>
      </c>
      <c r="Q24" s="216">
        <v>0</v>
      </c>
      <c r="R24" s="216">
        <f t="shared" si="5"/>
        <v>0</v>
      </c>
      <c r="S24" s="347"/>
      <c r="T24" s="216">
        <f t="shared" si="14"/>
        <v>0</v>
      </c>
      <c r="U24" s="405">
        <f t="shared" si="0"/>
        <v>0</v>
      </c>
      <c r="V24" s="1037">
        <f>T24*100%</f>
        <v>0</v>
      </c>
      <c r="W24" s="1035">
        <f t="shared" si="6"/>
        <v>0</v>
      </c>
      <c r="X24" s="1034">
        <f>$N$84*M51</f>
        <v>0</v>
      </c>
      <c r="Y24" s="216">
        <f>$N$84*N51</f>
        <v>0</v>
      </c>
      <c r="Z24" s="216">
        <f>$N$84*O51</f>
        <v>0</v>
      </c>
      <c r="AA24" s="347">
        <f t="shared" si="7"/>
        <v>0</v>
      </c>
      <c r="AB24" s="216">
        <f>105*0</f>
        <v>0</v>
      </c>
      <c r="AC24" s="216">
        <f t="shared" si="8"/>
        <v>0</v>
      </c>
      <c r="AD24" s="347"/>
      <c r="AE24" s="216">
        <f t="shared" si="16"/>
        <v>0</v>
      </c>
      <c r="AF24" s="216">
        <f t="shared" si="9"/>
        <v>0</v>
      </c>
      <c r="AG24" s="216">
        <f>AE24*40%</f>
        <v>0</v>
      </c>
      <c r="AH24" s="1035">
        <f t="shared" si="10"/>
        <v>0</v>
      </c>
      <c r="AI24" s="9" t="e">
        <f t="shared" si="11"/>
        <v>#DIV/0!</v>
      </c>
      <c r="AJ24" t="e">
        <f t="shared" si="12"/>
        <v>#DIV/0!</v>
      </c>
    </row>
    <row r="25" spans="1:36">
      <c r="A25" s="444" t="s">
        <v>1455</v>
      </c>
      <c r="B25" s="633">
        <v>0</v>
      </c>
      <c r="C25" s="1081"/>
      <c r="D25" s="631"/>
      <c r="E25" s="631"/>
      <c r="F25" s="1082">
        <f t="shared" si="1"/>
        <v>0</v>
      </c>
      <c r="G25" s="1082"/>
      <c r="H25" s="1082">
        <f t="shared" si="2"/>
        <v>0</v>
      </c>
      <c r="I25" s="631"/>
      <c r="J25" s="1082">
        <f t="shared" si="13"/>
        <v>0</v>
      </c>
      <c r="K25" s="1082"/>
      <c r="L25" s="1083">
        <f t="shared" si="3"/>
        <v>0</v>
      </c>
      <c r="M25" s="1034">
        <f>$M$83*M51</f>
        <v>0</v>
      </c>
      <c r="N25" s="216">
        <f>$M$83*N51</f>
        <v>0</v>
      </c>
      <c r="O25" s="216">
        <f>$M$83*O51</f>
        <v>0</v>
      </c>
      <c r="P25" s="216">
        <f t="shared" si="4"/>
        <v>0</v>
      </c>
      <c r="Q25" s="216">
        <v>0</v>
      </c>
      <c r="R25" s="216">
        <f t="shared" si="5"/>
        <v>0</v>
      </c>
      <c r="S25" s="216"/>
      <c r="T25" s="216">
        <f t="shared" si="14"/>
        <v>0</v>
      </c>
      <c r="U25" s="405">
        <f t="shared" si="0"/>
        <v>0</v>
      </c>
      <c r="V25" s="1037">
        <f>T25</f>
        <v>0</v>
      </c>
      <c r="W25" s="1033">
        <f t="shared" si="6"/>
        <v>0</v>
      </c>
      <c r="X25" s="1034">
        <f>$N$83*M51</f>
        <v>0</v>
      </c>
      <c r="Y25" s="216">
        <f>$N$83*N51</f>
        <v>0</v>
      </c>
      <c r="Z25" s="216">
        <f>$N$83*O51</f>
        <v>0</v>
      </c>
      <c r="AA25" s="347">
        <f t="shared" si="7"/>
        <v>0</v>
      </c>
      <c r="AB25" s="216">
        <f>105*0</f>
        <v>0</v>
      </c>
      <c r="AC25" s="216">
        <f t="shared" si="8"/>
        <v>0</v>
      </c>
      <c r="AD25" s="216"/>
      <c r="AE25" s="216">
        <f t="shared" si="16"/>
        <v>0</v>
      </c>
      <c r="AF25" s="216">
        <f t="shared" si="9"/>
        <v>0</v>
      </c>
      <c r="AG25" s="216">
        <f>AE25*80%</f>
        <v>0</v>
      </c>
      <c r="AH25" s="1035">
        <f t="shared" si="10"/>
        <v>0</v>
      </c>
      <c r="AI25" s="9" t="e">
        <f>V25/T25*100</f>
        <v>#DIV/0!</v>
      </c>
      <c r="AJ25" t="e">
        <f>AG25/AE25*100</f>
        <v>#DIV/0!</v>
      </c>
    </row>
    <row r="26" spans="1:36">
      <c r="A26" s="444" t="s">
        <v>1456</v>
      </c>
      <c r="B26" s="633">
        <f>1.84022000000024*0</f>
        <v>0</v>
      </c>
      <c r="C26" s="1081"/>
      <c r="D26" s="631"/>
      <c r="E26" s="631"/>
      <c r="F26" s="1082">
        <f t="shared" si="1"/>
        <v>0</v>
      </c>
      <c r="G26" s="1082"/>
      <c r="H26" s="1082">
        <f t="shared" si="2"/>
        <v>0</v>
      </c>
      <c r="I26" s="631"/>
      <c r="J26" s="1082">
        <f t="shared" si="13"/>
        <v>0</v>
      </c>
      <c r="K26" s="1082"/>
      <c r="L26" s="1083">
        <f t="shared" si="3"/>
        <v>0</v>
      </c>
      <c r="M26" s="1034">
        <f>$M$79*M51</f>
        <v>0</v>
      </c>
      <c r="N26" s="216">
        <f>$M$79*N51</f>
        <v>0</v>
      </c>
      <c r="O26" s="216">
        <f>$M$79*O51</f>
        <v>0</v>
      </c>
      <c r="P26" s="216">
        <f>SUM(M26:O26)</f>
        <v>0</v>
      </c>
      <c r="Q26" s="216"/>
      <c r="R26" s="216">
        <f>P26+Q26</f>
        <v>0</v>
      </c>
      <c r="S26" s="216">
        <f>'loan&amp;int'!C116+'loan&amp;int'!C117</f>
        <v>0</v>
      </c>
      <c r="T26" s="216">
        <f>R26+S26</f>
        <v>0</v>
      </c>
      <c r="U26" s="405">
        <f t="shared" si="0"/>
        <v>0</v>
      </c>
      <c r="V26" s="1037">
        <f>T26*100%</f>
        <v>0</v>
      </c>
      <c r="W26" s="1035">
        <f>T26-U26-V26+L26</f>
        <v>0</v>
      </c>
      <c r="X26" s="1034">
        <f>$N$79*M51</f>
        <v>0</v>
      </c>
      <c r="Y26" s="216">
        <f>$N$79*N51</f>
        <v>0</v>
      </c>
      <c r="Z26" s="216">
        <f>$N$79*O51</f>
        <v>0</v>
      </c>
      <c r="AA26" s="216">
        <f>SUM(X26:Z26)</f>
        <v>0</v>
      </c>
      <c r="AB26" s="216">
        <v>0</v>
      </c>
      <c r="AC26" s="216">
        <f>AA26+AB26</f>
        <v>0</v>
      </c>
      <c r="AD26" s="216">
        <f>'loan&amp;int'!D116+'loan&amp;int'!D117</f>
        <v>0</v>
      </c>
      <c r="AE26" s="216">
        <f>AC26+AD26</f>
        <v>0</v>
      </c>
      <c r="AF26" s="216">
        <f>W26</f>
        <v>0</v>
      </c>
      <c r="AG26" s="216">
        <f>AE26*20%</f>
        <v>0</v>
      </c>
      <c r="AH26" s="1035">
        <f>AE26-AF26-AG26+W26</f>
        <v>0</v>
      </c>
      <c r="AI26" s="9" t="e">
        <f>V26/T26*100</f>
        <v>#DIV/0!</v>
      </c>
      <c r="AJ26" t="e">
        <f>AG26/AE26*100</f>
        <v>#DIV/0!</v>
      </c>
    </row>
    <row r="27" spans="1:36">
      <c r="A27" s="444" t="s">
        <v>2074</v>
      </c>
      <c r="B27" s="633">
        <v>0</v>
      </c>
      <c r="C27" s="1081">
        <v>5893</v>
      </c>
      <c r="D27" s="631"/>
      <c r="E27" s="631"/>
      <c r="F27" s="1082">
        <f t="shared" si="1"/>
        <v>5893</v>
      </c>
      <c r="G27" s="1082"/>
      <c r="H27" s="1082">
        <f t="shared" si="2"/>
        <v>5893</v>
      </c>
      <c r="I27" s="631"/>
      <c r="J27" s="1082">
        <f t="shared" si="13"/>
        <v>5893</v>
      </c>
      <c r="K27" s="1082">
        <v>5893</v>
      </c>
      <c r="L27" s="1083">
        <f>J27-K27+B27</f>
        <v>0</v>
      </c>
      <c r="M27" s="1034">
        <f>(SUM(U30:V34)*30%)*49%</f>
        <v>9363.8404705467965</v>
      </c>
      <c r="N27" s="216">
        <f>$M$82*N51</f>
        <v>0</v>
      </c>
      <c r="O27" s="216">
        <f>$M$82*O51</f>
        <v>0</v>
      </c>
      <c r="P27" s="216">
        <f>SUM(M27:O27)</f>
        <v>9363.8404705467965</v>
      </c>
      <c r="Q27" s="216"/>
      <c r="R27" s="216">
        <f>P27+Q27</f>
        <v>9363.8404705467965</v>
      </c>
      <c r="S27" s="216"/>
      <c r="T27" s="216">
        <f>R27+S27</f>
        <v>9363.8404705467965</v>
      </c>
      <c r="U27" s="405">
        <f t="shared" si="0"/>
        <v>0</v>
      </c>
      <c r="V27" s="1037">
        <f>T27*100%</f>
        <v>9363.8404705467965</v>
      </c>
      <c r="W27" s="1035">
        <f>T27-U27-V27+L27</f>
        <v>0</v>
      </c>
      <c r="X27" s="1034">
        <f>(SUM(AF30:AG34)*30%)*49%</f>
        <v>8581.6957911999998</v>
      </c>
      <c r="Y27" s="216">
        <f>$N$82*N51</f>
        <v>0</v>
      </c>
      <c r="Z27" s="216">
        <f>$N$82*O51</f>
        <v>0</v>
      </c>
      <c r="AA27" s="216">
        <f>SUM(X27:Z27)</f>
        <v>8581.6957911999998</v>
      </c>
      <c r="AB27" s="216"/>
      <c r="AC27" s="216">
        <f>AA27+AB27</f>
        <v>8581.6957911999998</v>
      </c>
      <c r="AD27" s="216"/>
      <c r="AE27" s="216">
        <f>AC27+AD27</f>
        <v>8581.6957911999998</v>
      </c>
      <c r="AF27" s="216">
        <f>W27</f>
        <v>0</v>
      </c>
      <c r="AG27" s="216">
        <f>AE27*100%</f>
        <v>8581.6957911999998</v>
      </c>
      <c r="AH27" s="1035">
        <f>AE27-AF27-AG27+W27</f>
        <v>0</v>
      </c>
      <c r="AI27" s="9"/>
    </row>
    <row r="28" spans="1:36">
      <c r="A28" s="444" t="s">
        <v>1457</v>
      </c>
      <c r="B28" s="633">
        <v>0</v>
      </c>
      <c r="C28" s="1081"/>
      <c r="D28" s="631"/>
      <c r="E28" s="631"/>
      <c r="F28" s="1082">
        <f t="shared" si="1"/>
        <v>0</v>
      </c>
      <c r="G28" s="1082"/>
      <c r="H28" s="1082">
        <f t="shared" si="2"/>
        <v>0</v>
      </c>
      <c r="I28" s="631"/>
      <c r="J28" s="1082">
        <f t="shared" si="13"/>
        <v>0</v>
      </c>
      <c r="K28" s="1082"/>
      <c r="L28" s="1083">
        <f t="shared" si="3"/>
        <v>0</v>
      </c>
      <c r="M28" s="1034">
        <f>$M$80*M51</f>
        <v>0</v>
      </c>
      <c r="N28" s="216">
        <f>$M$80*N51</f>
        <v>0</v>
      </c>
      <c r="O28" s="216">
        <f>$M$80*O51</f>
        <v>0</v>
      </c>
      <c r="P28" s="216">
        <f t="shared" si="4"/>
        <v>0</v>
      </c>
      <c r="Q28" s="216"/>
      <c r="R28" s="216">
        <f t="shared" si="5"/>
        <v>0</v>
      </c>
      <c r="S28" s="216"/>
      <c r="T28" s="216">
        <f t="shared" si="14"/>
        <v>0</v>
      </c>
      <c r="U28" s="405">
        <f t="shared" si="0"/>
        <v>0</v>
      </c>
      <c r="V28" s="1037">
        <f>T28</f>
        <v>0</v>
      </c>
      <c r="W28" s="1033">
        <f t="shared" si="6"/>
        <v>0</v>
      </c>
      <c r="X28" s="1034">
        <f>$N$80*M51</f>
        <v>0</v>
      </c>
      <c r="Y28" s="216">
        <f>$N$80*N51</f>
        <v>0</v>
      </c>
      <c r="Z28" s="216">
        <f>$N$80*O51</f>
        <v>0</v>
      </c>
      <c r="AA28" s="347">
        <f t="shared" si="7"/>
        <v>0</v>
      </c>
      <c r="AB28" s="216"/>
      <c r="AC28" s="216">
        <f t="shared" si="8"/>
        <v>0</v>
      </c>
      <c r="AD28" s="216"/>
      <c r="AE28" s="216">
        <f t="shared" si="16"/>
        <v>0</v>
      </c>
      <c r="AF28" s="216">
        <f t="shared" si="9"/>
        <v>0</v>
      </c>
      <c r="AG28" s="216">
        <f>AE28*50%</f>
        <v>0</v>
      </c>
      <c r="AH28" s="1035">
        <f t="shared" si="10"/>
        <v>0</v>
      </c>
      <c r="AI28" s="9" t="e">
        <f>V28/T28*100</f>
        <v>#DIV/0!</v>
      </c>
      <c r="AJ28" t="e">
        <f>AG28/AE28*100</f>
        <v>#DIV/0!</v>
      </c>
    </row>
    <row r="29" spans="1:36">
      <c r="A29" s="444" t="s">
        <v>539</v>
      </c>
      <c r="B29" s="633">
        <v>0</v>
      </c>
      <c r="C29" s="1081"/>
      <c r="D29" s="631"/>
      <c r="E29" s="631"/>
      <c r="F29" s="1082">
        <f t="shared" si="1"/>
        <v>0</v>
      </c>
      <c r="G29" s="1082"/>
      <c r="H29" s="1082">
        <f t="shared" si="2"/>
        <v>0</v>
      </c>
      <c r="I29" s="631"/>
      <c r="J29" s="1082">
        <f t="shared" si="13"/>
        <v>0</v>
      </c>
      <c r="K29" s="1082"/>
      <c r="L29" s="1083">
        <f t="shared" si="3"/>
        <v>0</v>
      </c>
      <c r="M29" s="1034">
        <f>$M$81*M51</f>
        <v>0</v>
      </c>
      <c r="N29" s="216">
        <f>$M$81*N51</f>
        <v>0</v>
      </c>
      <c r="O29" s="216">
        <f>$M$81*O51</f>
        <v>0</v>
      </c>
      <c r="P29" s="216">
        <f t="shared" si="4"/>
        <v>0</v>
      </c>
      <c r="Q29" s="216"/>
      <c r="R29" s="216">
        <f t="shared" si="5"/>
        <v>0</v>
      </c>
      <c r="S29" s="216"/>
      <c r="T29" s="216">
        <f t="shared" si="14"/>
        <v>0</v>
      </c>
      <c r="U29" s="405">
        <f t="shared" si="0"/>
        <v>0</v>
      </c>
      <c r="V29" s="1037">
        <f>T29</f>
        <v>0</v>
      </c>
      <c r="W29" s="1033">
        <f t="shared" si="6"/>
        <v>0</v>
      </c>
      <c r="X29" s="1034">
        <f>$N$81*M51</f>
        <v>0</v>
      </c>
      <c r="Y29" s="216">
        <f>$N$81*N51</f>
        <v>0</v>
      </c>
      <c r="Z29" s="216">
        <f>$N$81*O51</f>
        <v>0</v>
      </c>
      <c r="AA29" s="347">
        <f t="shared" si="7"/>
        <v>0</v>
      </c>
      <c r="AB29" s="216"/>
      <c r="AC29" s="216">
        <f t="shared" si="8"/>
        <v>0</v>
      </c>
      <c r="AD29" s="216"/>
      <c r="AE29" s="216">
        <f>AC29+AD29</f>
        <v>0</v>
      </c>
      <c r="AF29" s="216">
        <f t="shared" si="9"/>
        <v>0</v>
      </c>
      <c r="AG29" s="216">
        <f>AE29*70%</f>
        <v>0</v>
      </c>
      <c r="AH29" s="1035">
        <f t="shared" si="10"/>
        <v>0</v>
      </c>
      <c r="AI29" s="9"/>
    </row>
    <row r="30" spans="1:36">
      <c r="A30" s="1039" t="s">
        <v>2211</v>
      </c>
      <c r="B30" s="633">
        <v>345.98089530000016</v>
      </c>
      <c r="C30" s="1081">
        <v>9216.5921404000001</v>
      </c>
      <c r="D30" s="631"/>
      <c r="E30" s="631"/>
      <c r="F30" s="1082">
        <f>SUM(C30:E30)</f>
        <v>9216.5921404000001</v>
      </c>
      <c r="G30" s="1082">
        <v>299.04308997801201</v>
      </c>
      <c r="H30" s="1082">
        <f>F30+G30</f>
        <v>9515.6352303780113</v>
      </c>
      <c r="I30" s="1082">
        <v>49.443967621755299</v>
      </c>
      <c r="J30" s="1082">
        <f t="shared" si="13"/>
        <v>9565.0791979997666</v>
      </c>
      <c r="K30" s="1082">
        <v>8863.6253015997663</v>
      </c>
      <c r="L30" s="1083">
        <f>J30-K30+B30</f>
        <v>1047.4347917000005</v>
      </c>
      <c r="M30" s="1181">
        <f>S97*0.75+T97*0.6</f>
        <v>5014.2</v>
      </c>
      <c r="N30" s="1040">
        <f>S97*0.2+T97*0.2</f>
        <v>1473.6000000000001</v>
      </c>
      <c r="O30" s="1040">
        <f>S97*0.05+T97*0.05</f>
        <v>368.40000000000003</v>
      </c>
      <c r="P30" s="1040">
        <f t="shared" si="4"/>
        <v>6856.2</v>
      </c>
      <c r="Q30" s="1040">
        <f>M30*$P$51</f>
        <v>200.56799999999998</v>
      </c>
      <c r="R30" s="1040">
        <f>P30+Q30</f>
        <v>7056.768</v>
      </c>
      <c r="S30" s="1185">
        <f>(30%*R30)*8%*2/12</f>
        <v>28.227072000000003</v>
      </c>
      <c r="T30" s="1040">
        <f>R30+S30</f>
        <v>7084.9950719999997</v>
      </c>
      <c r="U30" s="1183">
        <f t="shared" si="0"/>
        <v>1047.4347917000005</v>
      </c>
      <c r="V30" s="1184">
        <f>R30*0.85+S30</f>
        <v>6026.4798719999999</v>
      </c>
      <c r="W30" s="1042">
        <f t="shared" si="6"/>
        <v>1058.5151999999998</v>
      </c>
      <c r="X30" s="1181">
        <f>T97*0.15+U97*0.6</f>
        <v>3603.5999999999995</v>
      </c>
      <c r="Y30" s="1040">
        <f>U97*0.2</f>
        <v>1030.6000000000001</v>
      </c>
      <c r="Z30" s="1040">
        <f>U97*0.05</f>
        <v>257.65000000000003</v>
      </c>
      <c r="AA30" s="1040">
        <f>SUM(X30:Z30)</f>
        <v>4891.8499999999995</v>
      </c>
      <c r="AB30" s="1040">
        <f>X30*$P$51</f>
        <v>144.14399999999998</v>
      </c>
      <c r="AC30" s="1040">
        <f t="shared" si="8"/>
        <v>5035.9939999999997</v>
      </c>
      <c r="AD30" s="1185">
        <f>(70%*AC30)*6%*4/12</f>
        <v>70.50391599999999</v>
      </c>
      <c r="AE30" s="1040">
        <f t="shared" ref="AE30:AE34" si="18">AC30+AD30</f>
        <v>5106.4979159999993</v>
      </c>
      <c r="AF30" s="1040">
        <f>W30</f>
        <v>1058.5151999999998</v>
      </c>
      <c r="AG30" s="1184">
        <f>AC30*0.8+AD30</f>
        <v>4099.2991160000001</v>
      </c>
      <c r="AH30" s="1042">
        <f t="shared" si="10"/>
        <v>1007.1987999999992</v>
      </c>
      <c r="AI30" s="9"/>
    </row>
    <row r="31" spans="1:36">
      <c r="A31" s="1039" t="s">
        <v>544</v>
      </c>
      <c r="B31" s="633">
        <v>249.0741238999999</v>
      </c>
      <c r="C31" s="1081">
        <v>7823.1797546600001</v>
      </c>
      <c r="D31" s="631"/>
      <c r="E31" s="631"/>
      <c r="F31" s="1082">
        <f t="shared" si="1"/>
        <v>7823.1797546600001</v>
      </c>
      <c r="G31" s="1082">
        <v>253.832198674837</v>
      </c>
      <c r="H31" s="1082">
        <f t="shared" si="2"/>
        <v>8077.011953334837</v>
      </c>
      <c r="I31" s="1082">
        <v>41.968771167928999</v>
      </c>
      <c r="J31" s="1082">
        <f t="shared" si="13"/>
        <v>8118.980724502766</v>
      </c>
      <c r="K31" s="1082">
        <v>6757.8191587627671</v>
      </c>
      <c r="L31" s="1083">
        <f t="shared" si="3"/>
        <v>1610.2356896399988</v>
      </c>
      <c r="M31" s="1181">
        <f t="shared" ref="M31:M34" si="19">S98*0.75+T98*0.6</f>
        <v>5824.5</v>
      </c>
      <c r="N31" s="1040">
        <f t="shared" ref="N31:N34" si="20">S98*0.2+T98*0.2</f>
        <v>1789.2</v>
      </c>
      <c r="O31" s="1040">
        <f t="shared" ref="O31:O34" si="21">S98*0.05+T98*0.05</f>
        <v>447.3</v>
      </c>
      <c r="P31" s="1040">
        <f t="shared" si="4"/>
        <v>8061</v>
      </c>
      <c r="Q31" s="1040">
        <f>M31*$P$51</f>
        <v>232.98000000000002</v>
      </c>
      <c r="R31" s="1040">
        <f>P31+Q31</f>
        <v>8293.98</v>
      </c>
      <c r="S31" s="1185">
        <f>(30%*R31)*8%*2/12</f>
        <v>33.175919999999998</v>
      </c>
      <c r="T31" s="1040">
        <f t="shared" si="14"/>
        <v>8327.1559199999992</v>
      </c>
      <c r="U31" s="1183">
        <f t="shared" si="0"/>
        <v>1610.2356896399988</v>
      </c>
      <c r="V31" s="1184">
        <f t="shared" ref="V31:V34" si="22">R31*0.85+S31</f>
        <v>7083.0589199999995</v>
      </c>
      <c r="W31" s="1042">
        <f t="shared" si="6"/>
        <v>1244.0969999999998</v>
      </c>
      <c r="X31" s="1181">
        <f t="shared" ref="X31:X34" si="23">T98*0.15+U98*0.6</f>
        <v>4161.6000000000004</v>
      </c>
      <c r="Y31" s="1040">
        <f t="shared" ref="Y31:Y34" si="24">U98*0.2</f>
        <v>1092.2</v>
      </c>
      <c r="Z31" s="1040">
        <f t="shared" ref="Z31:Z34" si="25">U98*0.05</f>
        <v>273.05</v>
      </c>
      <c r="AA31" s="410">
        <f t="shared" si="7"/>
        <v>5526.85</v>
      </c>
      <c r="AB31" s="1040">
        <f>X31*$P$51</f>
        <v>166.46400000000003</v>
      </c>
      <c r="AC31" s="1040">
        <f t="shared" si="8"/>
        <v>5693.3140000000003</v>
      </c>
      <c r="AD31" s="1185">
        <f>(70%*AC31)*6%*4/12</f>
        <v>79.706395999999998</v>
      </c>
      <c r="AE31" s="1040">
        <f t="shared" si="18"/>
        <v>5773.0203959999999</v>
      </c>
      <c r="AF31" s="1040">
        <f t="shared" ref="AF31:AF34" si="26">W31</f>
        <v>1244.0969999999998</v>
      </c>
      <c r="AG31" s="1184">
        <f t="shared" ref="AG31:AG34" si="27">AC31*0.8+AD31</f>
        <v>4634.3575959999998</v>
      </c>
      <c r="AH31" s="1042">
        <f t="shared" si="10"/>
        <v>1138.6628000000001</v>
      </c>
      <c r="AI31" s="9"/>
    </row>
    <row r="32" spans="1:36">
      <c r="A32" s="1039" t="s">
        <v>545</v>
      </c>
      <c r="B32" s="633">
        <v>60.320547299999987</v>
      </c>
      <c r="C32" s="1081">
        <v>8237.8690606399996</v>
      </c>
      <c r="D32" s="631"/>
      <c r="E32" s="631"/>
      <c r="F32" s="1082">
        <f t="shared" si="1"/>
        <v>8237.8690606399996</v>
      </c>
      <c r="G32" s="1082">
        <v>267.28727724965103</v>
      </c>
      <c r="H32" s="1082">
        <f t="shared" si="2"/>
        <v>8505.1563378896499</v>
      </c>
      <c r="I32" s="1082">
        <v>44.1934420989651</v>
      </c>
      <c r="J32" s="1082">
        <f t="shared" si="13"/>
        <v>8549.3497799886154</v>
      </c>
      <c r="K32" s="1082">
        <v>6647.3373569286168</v>
      </c>
      <c r="L32" s="1083">
        <f>J32-K32+B32</f>
        <v>1962.3329703599986</v>
      </c>
      <c r="M32" s="1181">
        <f t="shared" si="19"/>
        <v>10927.05</v>
      </c>
      <c r="N32" s="1040">
        <f t="shared" si="20"/>
        <v>3191.8</v>
      </c>
      <c r="O32" s="1040">
        <f t="shared" si="21"/>
        <v>797.95</v>
      </c>
      <c r="P32" s="1040">
        <f t="shared" si="4"/>
        <v>14916.8</v>
      </c>
      <c r="Q32" s="1040">
        <f>M32*$P$51</f>
        <v>437.08199999999999</v>
      </c>
      <c r="R32" s="1040">
        <f t="shared" si="5"/>
        <v>15353.882</v>
      </c>
      <c r="S32" s="1185">
        <f>(30%*R32)*8%*2/12</f>
        <v>61.415528000000002</v>
      </c>
      <c r="T32" s="1040">
        <f t="shared" si="14"/>
        <v>15415.297527999999</v>
      </c>
      <c r="U32" s="1183">
        <f t="shared" si="0"/>
        <v>1962.3329703599986</v>
      </c>
      <c r="V32" s="1184">
        <f t="shared" si="22"/>
        <v>13112.215227999999</v>
      </c>
      <c r="W32" s="1042">
        <f t="shared" si="6"/>
        <v>2303.0822999999991</v>
      </c>
      <c r="X32" s="1181">
        <f t="shared" si="23"/>
        <v>10407.6</v>
      </c>
      <c r="Y32" s="1040">
        <f t="shared" si="24"/>
        <v>3121.8</v>
      </c>
      <c r="Z32" s="1040">
        <f t="shared" si="25"/>
        <v>780.45</v>
      </c>
      <c r="AA32" s="410">
        <v>12040</v>
      </c>
      <c r="AB32" s="1040">
        <f>X32*$P$51</f>
        <v>416.30400000000003</v>
      </c>
      <c r="AC32" s="1040">
        <f t="shared" si="8"/>
        <v>12456.304</v>
      </c>
      <c r="AD32" s="1185">
        <f>(70%*AC32)*6%*4/12</f>
        <v>174.38825599999998</v>
      </c>
      <c r="AE32" s="1040">
        <f t="shared" si="18"/>
        <v>12630.692256</v>
      </c>
      <c r="AF32" s="1040">
        <f t="shared" si="26"/>
        <v>2303.0822999999991</v>
      </c>
      <c r="AG32" s="1184">
        <f t="shared" si="27"/>
        <v>10139.431456</v>
      </c>
      <c r="AH32" s="1042">
        <f t="shared" si="10"/>
        <v>2491.2607999999991</v>
      </c>
      <c r="AI32" s="9"/>
    </row>
    <row r="33" spans="1:36">
      <c r="A33" s="1039" t="s">
        <v>546</v>
      </c>
      <c r="B33" s="633">
        <v>1260.5773460999999</v>
      </c>
      <c r="C33" s="1081">
        <v>10948.112686299999</v>
      </c>
      <c r="D33" s="631"/>
      <c r="E33" s="631"/>
      <c r="F33" s="1082">
        <f>SUM(C33:E33)</f>
        <v>10948.112686299999</v>
      </c>
      <c r="G33" s="1082">
        <v>355.22429519123102</v>
      </c>
      <c r="H33" s="1082">
        <f>F33+G33</f>
        <v>11303.336981491229</v>
      </c>
      <c r="I33" s="1082">
        <v>58.733002495351002</v>
      </c>
      <c r="J33" s="1082">
        <f>H33+I33</f>
        <v>11362.069983986581</v>
      </c>
      <c r="K33" s="1082">
        <f>11341.7371265866-32.18</f>
        <v>11309.5571265866</v>
      </c>
      <c r="L33" s="1083">
        <f>J33-K33+B33</f>
        <v>1313.0902034999808</v>
      </c>
      <c r="M33" s="1181">
        <f t="shared" si="19"/>
        <v>10810.95</v>
      </c>
      <c r="N33" s="1040">
        <f t="shared" si="20"/>
        <v>3154.2000000000003</v>
      </c>
      <c r="O33" s="1040">
        <f t="shared" si="21"/>
        <v>788.55000000000007</v>
      </c>
      <c r="P33" s="1040">
        <f t="shared" si="4"/>
        <v>14753.7</v>
      </c>
      <c r="Q33" s="1040">
        <f>M33*$P$51</f>
        <v>432.43800000000005</v>
      </c>
      <c r="R33" s="1040">
        <f t="shared" si="5"/>
        <v>15186.138000000001</v>
      </c>
      <c r="S33" s="1185">
        <f>(30%*R33)*8%*2/12</f>
        <v>60.744552000000006</v>
      </c>
      <c r="T33" s="1040">
        <f t="shared" si="14"/>
        <v>15246.882552000001</v>
      </c>
      <c r="U33" s="1183">
        <f t="shared" si="0"/>
        <v>1313.0902034999808</v>
      </c>
      <c r="V33" s="1184">
        <f t="shared" si="22"/>
        <v>12968.961852</v>
      </c>
      <c r="W33" s="1042">
        <f t="shared" si="6"/>
        <v>2277.9207000000015</v>
      </c>
      <c r="X33" s="1181">
        <f t="shared" si="23"/>
        <v>14113.499999999998</v>
      </c>
      <c r="Y33" s="1040">
        <f t="shared" si="24"/>
        <v>4365.4000000000005</v>
      </c>
      <c r="Z33" s="1040">
        <f t="shared" si="25"/>
        <v>1091.3500000000001</v>
      </c>
      <c r="AA33" s="410">
        <f t="shared" si="7"/>
        <v>19570.249999999996</v>
      </c>
      <c r="AB33" s="1040">
        <f>X33*$P$51</f>
        <v>564.54</v>
      </c>
      <c r="AC33" s="1040">
        <f t="shared" si="8"/>
        <v>20134.789999999997</v>
      </c>
      <c r="AD33" s="1185">
        <f>(70%*AC33)*6%*4/12</f>
        <v>281.88705999999996</v>
      </c>
      <c r="AE33" s="1040">
        <f t="shared" si="18"/>
        <v>20416.677059999998</v>
      </c>
      <c r="AF33" s="1040">
        <f t="shared" si="26"/>
        <v>2277.9207000000015</v>
      </c>
      <c r="AG33" s="1184">
        <f t="shared" si="27"/>
        <v>16389.719059999999</v>
      </c>
      <c r="AH33" s="1042">
        <f t="shared" si="10"/>
        <v>4026.9579999999978</v>
      </c>
      <c r="AI33" s="9"/>
    </row>
    <row r="34" spans="1:36">
      <c r="A34" s="1039" t="s">
        <v>547</v>
      </c>
      <c r="B34" s="633">
        <v>1199.6942848999988</v>
      </c>
      <c r="C34" s="1081">
        <v>10714.3320296</v>
      </c>
      <c r="D34" s="631"/>
      <c r="E34" s="631"/>
      <c r="F34" s="1082">
        <f t="shared" si="1"/>
        <v>10714.3320296</v>
      </c>
      <c r="G34" s="1082">
        <v>347.63900890626951</v>
      </c>
      <c r="H34" s="1082">
        <f t="shared" si="2"/>
        <v>11061.97103850627</v>
      </c>
      <c r="I34" s="1082">
        <v>57.478846615999501</v>
      </c>
      <c r="J34" s="1082">
        <f t="shared" si="13"/>
        <v>11119.449885122269</v>
      </c>
      <c r="K34" s="1082">
        <v>10410.73052082227</v>
      </c>
      <c r="L34" s="1083">
        <f>J34-K34+B34</f>
        <v>1908.413649199998</v>
      </c>
      <c r="M34" s="1181">
        <f t="shared" si="19"/>
        <v>13641.15</v>
      </c>
      <c r="N34" s="1040">
        <f t="shared" si="20"/>
        <v>4243.6000000000004</v>
      </c>
      <c r="O34" s="1040">
        <f t="shared" si="21"/>
        <v>1060.9000000000001</v>
      </c>
      <c r="P34" s="1040">
        <f>SUM(M34:O34)</f>
        <v>18945.650000000001</v>
      </c>
      <c r="Q34" s="1040">
        <f>M34*$P$51</f>
        <v>545.64599999999996</v>
      </c>
      <c r="R34" s="1040">
        <f t="shared" si="5"/>
        <v>19491.296000000002</v>
      </c>
      <c r="S34" s="1185">
        <f>'loan&amp;int'!F55-SUM(S30:S33)</f>
        <v>99.770261333333366</v>
      </c>
      <c r="T34" s="1040">
        <f t="shared" si="14"/>
        <v>19591.066261333337</v>
      </c>
      <c r="U34" s="1183">
        <f t="shared" si="0"/>
        <v>1908.413649199998</v>
      </c>
      <c r="V34" s="1184">
        <f t="shared" si="22"/>
        <v>16667.371861333337</v>
      </c>
      <c r="W34" s="1042">
        <f t="shared" si="6"/>
        <v>2923.6943999999985</v>
      </c>
      <c r="X34" s="1181">
        <f t="shared" si="23"/>
        <v>7759.9499999999989</v>
      </c>
      <c r="Y34" s="1040">
        <f t="shared" si="24"/>
        <v>1829.2</v>
      </c>
      <c r="Z34" s="1040">
        <f t="shared" si="25"/>
        <v>457.3</v>
      </c>
      <c r="AA34" s="410">
        <v>15392</v>
      </c>
      <c r="AB34" s="1040">
        <f>X34*$P$51</f>
        <v>310.39799999999997</v>
      </c>
      <c r="AC34" s="1040">
        <f t="shared" si="8"/>
        <v>15702.397999999999</v>
      </c>
      <c r="AD34" s="1185">
        <f>'loan&amp;int'!G55-SUM(AD30:AD33)</f>
        <v>746.84770533333335</v>
      </c>
      <c r="AE34" s="1040">
        <f t="shared" si="18"/>
        <v>16449.245705333331</v>
      </c>
      <c r="AF34" s="1040">
        <f t="shared" si="26"/>
        <v>2923.6943999999985</v>
      </c>
      <c r="AG34" s="1184">
        <f t="shared" si="27"/>
        <v>13308.766105333334</v>
      </c>
      <c r="AH34" s="1042">
        <f t="shared" si="10"/>
        <v>3140.4795999999969</v>
      </c>
      <c r="AI34" s="9"/>
    </row>
    <row r="35" spans="1:36" ht="13">
      <c r="A35" s="229" t="s">
        <v>1458</v>
      </c>
      <c r="B35" s="91">
        <f>SUM(B15:B34)</f>
        <v>3621.5564374999976</v>
      </c>
      <c r="C35" s="12">
        <f>SUM(C14:C34)</f>
        <v>70907.763060012774</v>
      </c>
      <c r="D35" s="12">
        <v>0</v>
      </c>
      <c r="E35" s="12">
        <v>0</v>
      </c>
      <c r="F35" s="12">
        <f>SUM(F14:F34)</f>
        <v>70907.763060012774</v>
      </c>
      <c r="G35" s="12">
        <f t="shared" ref="G35:K35" si="28">SUM(G14:G34)</f>
        <v>1523.0258700000006</v>
      </c>
      <c r="H35" s="12">
        <f t="shared" si="28"/>
        <v>72430.788930012757</v>
      </c>
      <c r="I35" s="12">
        <f t="shared" si="28"/>
        <v>251.81802999999991</v>
      </c>
      <c r="J35" s="12">
        <f t="shared" si="28"/>
        <v>72682.606960012767</v>
      </c>
      <c r="K35" s="12">
        <f t="shared" si="28"/>
        <v>64362.672012800023</v>
      </c>
      <c r="L35" s="89">
        <f>SUM(L14:L34)</f>
        <v>11941.491384712745</v>
      </c>
      <c r="M35" s="91">
        <f>SUM(M14:M34)</f>
        <v>73926.212830546792</v>
      </c>
      <c r="N35" s="12">
        <f>SUM(N14:N34)</f>
        <v>17291.997942499998</v>
      </c>
      <c r="O35" s="12">
        <f t="shared" ref="O35:V35" si="29">SUM(O14:O34)</f>
        <v>4609.6326475000005</v>
      </c>
      <c r="P35" s="12">
        <f t="shared" si="29"/>
        <v>95827.843420546793</v>
      </c>
      <c r="Q35" s="12">
        <f t="shared" si="29"/>
        <v>2227.2948944</v>
      </c>
      <c r="R35" s="12">
        <f t="shared" si="29"/>
        <v>98055.138314946802</v>
      </c>
      <c r="S35" s="12">
        <f t="shared" si="29"/>
        <v>283.33333333333337</v>
      </c>
      <c r="T35" s="12">
        <f t="shared" si="29"/>
        <v>98338.47164828013</v>
      </c>
      <c r="U35" s="12">
        <f t="shared" si="29"/>
        <v>11941.491384712745</v>
      </c>
      <c r="V35" s="12">
        <f t="shared" si="29"/>
        <v>78908.545126080135</v>
      </c>
      <c r="W35" s="89">
        <f>SUM(W14:W34)</f>
        <v>19429.926522200003</v>
      </c>
      <c r="X35" s="352">
        <f>SUM(X14:X34)</f>
        <v>65624.158598399998</v>
      </c>
      <c r="Y35" s="12">
        <f>SUM(Y14:Y34)</f>
        <v>14623.797942500001</v>
      </c>
      <c r="Z35" s="12">
        <f t="shared" ref="Z35:AH35" si="30">SUM(Z14:Z34)</f>
        <v>3836.3326475000003</v>
      </c>
      <c r="AA35" s="12">
        <f t="shared" si="30"/>
        <v>87159.989188399995</v>
      </c>
      <c r="AB35" s="12">
        <f t="shared" si="30"/>
        <v>2008.8985122879999</v>
      </c>
      <c r="AC35" s="12">
        <f t="shared" si="30"/>
        <v>89168.887700687992</v>
      </c>
      <c r="AD35" s="12">
        <f t="shared" si="30"/>
        <v>1353.3333333333333</v>
      </c>
      <c r="AE35" s="12">
        <f t="shared" si="30"/>
        <v>90522.221034021335</v>
      </c>
      <c r="AF35" s="12">
        <f t="shared" si="30"/>
        <v>19429.926522200003</v>
      </c>
      <c r="AG35" s="12">
        <f t="shared" si="30"/>
        <v>67935.465079277332</v>
      </c>
      <c r="AH35" s="12">
        <f t="shared" si="30"/>
        <v>22586.755954743996</v>
      </c>
      <c r="AI35" s="9">
        <f t="shared" si="11"/>
        <v>80.241785136041614</v>
      </c>
      <c r="AJ35" s="9">
        <f t="shared" si="12"/>
        <v>75.048385140423008</v>
      </c>
    </row>
    <row r="36" spans="1:36">
      <c r="A36" s="1041"/>
      <c r="B36" s="1029"/>
      <c r="C36" s="1034"/>
      <c r="D36" s="216"/>
      <c r="E36" s="216"/>
      <c r="F36" s="216"/>
      <c r="G36" s="216"/>
      <c r="H36" s="216"/>
      <c r="I36" s="216"/>
      <c r="J36" s="216"/>
      <c r="K36" s="216"/>
      <c r="L36" s="1035"/>
      <c r="M36" s="444"/>
      <c r="N36" s="216"/>
      <c r="O36" s="347"/>
      <c r="P36" s="216"/>
      <c r="Q36" s="347"/>
      <c r="R36" s="216"/>
      <c r="S36" s="216"/>
      <c r="T36" s="347"/>
      <c r="U36" s="1037"/>
      <c r="V36" s="1037"/>
      <c r="W36" s="1035"/>
      <c r="X36" s="444"/>
      <c r="Y36" s="347"/>
      <c r="Z36" s="347"/>
      <c r="AA36" s="347"/>
      <c r="AB36" s="347"/>
      <c r="AC36" s="216"/>
      <c r="AD36" s="347"/>
      <c r="AE36" s="216"/>
      <c r="AF36" s="347"/>
      <c r="AG36" s="347"/>
      <c r="AH36" s="1035"/>
    </row>
    <row r="37" spans="1:36" ht="13">
      <c r="A37" s="116" t="s">
        <v>1100</v>
      </c>
      <c r="B37" s="632">
        <v>0</v>
      </c>
      <c r="C37" s="633"/>
      <c r="D37" s="631"/>
      <c r="E37" s="634"/>
      <c r="F37" s="1082">
        <f>SUM(C37:E37)</f>
        <v>0</v>
      </c>
      <c r="G37" s="1082"/>
      <c r="H37" s="1082">
        <f>F37+G37</f>
        <v>0</v>
      </c>
      <c r="I37" s="631"/>
      <c r="J37" s="1082">
        <f>H37+I37</f>
        <v>0</v>
      </c>
      <c r="K37" s="1082"/>
      <c r="L37" s="1083">
        <f>J37-K37+B37</f>
        <v>0</v>
      </c>
      <c r="M37" s="91">
        <v>100</v>
      </c>
      <c r="N37" s="2"/>
      <c r="O37" s="2"/>
      <c r="P37" s="216">
        <f>SUM(M37:O37)</f>
        <v>100</v>
      </c>
      <c r="Q37" s="347"/>
      <c r="R37" s="216">
        <f>P37+Q37</f>
        <v>100</v>
      </c>
      <c r="S37" s="216"/>
      <c r="T37" s="216">
        <f>R37+S37</f>
        <v>100</v>
      </c>
      <c r="U37" s="1037">
        <f>L37</f>
        <v>0</v>
      </c>
      <c r="V37" s="1037">
        <f>T37*100%</f>
        <v>100</v>
      </c>
      <c r="W37" s="1035">
        <f>T37-U37-V37+L37</f>
        <v>0</v>
      </c>
      <c r="X37" s="91">
        <v>120</v>
      </c>
      <c r="Y37" s="2"/>
      <c r="Z37" s="2"/>
      <c r="AA37" s="2">
        <f>SUM(X37:Z37)</f>
        <v>120</v>
      </c>
      <c r="AB37" s="347"/>
      <c r="AC37" s="216">
        <f>AA37+AB37</f>
        <v>120</v>
      </c>
      <c r="AD37" s="347"/>
      <c r="AE37" s="216">
        <f>AC37+AD37</f>
        <v>120</v>
      </c>
      <c r="AF37" s="216">
        <f>W37</f>
        <v>0</v>
      </c>
      <c r="AG37" s="216">
        <f>AE37*100%</f>
        <v>120</v>
      </c>
      <c r="AH37" s="1035">
        <f>AE37-AF37-AG37+W37</f>
        <v>0</v>
      </c>
      <c r="AI37">
        <f>V37/T37*100</f>
        <v>100</v>
      </c>
      <c r="AJ37">
        <f t="shared" si="12"/>
        <v>100</v>
      </c>
    </row>
    <row r="38" spans="1:36" ht="13">
      <c r="A38" s="116" t="s">
        <v>1094</v>
      </c>
      <c r="B38" s="632">
        <v>0</v>
      </c>
      <c r="C38" s="633"/>
      <c r="D38" s="634"/>
      <c r="E38" s="634"/>
      <c r="F38" s="1082">
        <f>SUM(C38:E38)</f>
        <v>0</v>
      </c>
      <c r="G38" s="1082"/>
      <c r="H38" s="1082">
        <f>F38+G38</f>
        <v>0</v>
      </c>
      <c r="I38" s="631"/>
      <c r="J38" s="1082">
        <f>H38+I38</f>
        <v>0</v>
      </c>
      <c r="K38" s="1082"/>
      <c r="L38" s="1083">
        <f>J38-K38+B38</f>
        <v>0</v>
      </c>
      <c r="M38" s="91">
        <v>50</v>
      </c>
      <c r="N38" s="2"/>
      <c r="O38" s="2"/>
      <c r="P38" s="216">
        <f>SUM(M38:O38)</f>
        <v>50</v>
      </c>
      <c r="Q38" s="347"/>
      <c r="R38" s="216">
        <f>P38+Q38</f>
        <v>50</v>
      </c>
      <c r="S38" s="216"/>
      <c r="T38" s="216">
        <f>R38+S38</f>
        <v>50</v>
      </c>
      <c r="U38" s="1037">
        <f>L38</f>
        <v>0</v>
      </c>
      <c r="V38" s="1037">
        <f>T38*100%</f>
        <v>50</v>
      </c>
      <c r="W38" s="1035">
        <f>T38-U38-V38+L38</f>
        <v>0</v>
      </c>
      <c r="X38" s="91">
        <v>60</v>
      </c>
      <c r="Y38" s="2"/>
      <c r="Z38" s="2"/>
      <c r="AA38" s="2">
        <f>SUM(X38:Z38)</f>
        <v>60</v>
      </c>
      <c r="AB38" s="347"/>
      <c r="AC38" s="216">
        <f>AA38+AB38</f>
        <v>60</v>
      </c>
      <c r="AD38" s="347"/>
      <c r="AE38" s="216">
        <f>AC38+AD38</f>
        <v>60</v>
      </c>
      <c r="AF38" s="216">
        <f>W38</f>
        <v>0</v>
      </c>
      <c r="AG38" s="216">
        <f>AE38*100%</f>
        <v>60</v>
      </c>
      <c r="AH38" s="1035">
        <f>AE38-AF38-AG38+W38</f>
        <v>0</v>
      </c>
      <c r="AI38">
        <f>V38/T38*100</f>
        <v>100</v>
      </c>
      <c r="AJ38">
        <f t="shared" si="12"/>
        <v>100</v>
      </c>
    </row>
    <row r="39" spans="1:36" ht="13">
      <c r="A39" s="116" t="s">
        <v>1459</v>
      </c>
      <c r="B39" s="635">
        <v>3.1806000000074164E-3</v>
      </c>
      <c r="C39" s="633"/>
      <c r="D39" s="631"/>
      <c r="E39" s="631"/>
      <c r="F39" s="1082">
        <f>SUM(C39:E39)</f>
        <v>0</v>
      </c>
      <c r="G39" s="1082"/>
      <c r="H39" s="1082">
        <f>F39+G39</f>
        <v>0</v>
      </c>
      <c r="I39" s="631"/>
      <c r="J39" s="1082">
        <f>H39+I39</f>
        <v>0</v>
      </c>
      <c r="K39" s="1082"/>
      <c r="L39" s="1083">
        <f>J39-K39+B39</f>
        <v>3.1806000000074164E-3</v>
      </c>
      <c r="M39" s="91">
        <v>80</v>
      </c>
      <c r="N39" s="347"/>
      <c r="O39" s="347"/>
      <c r="P39" s="216">
        <f>SUM(M39:O39)</f>
        <v>80</v>
      </c>
      <c r="Q39" s="347"/>
      <c r="R39" s="216">
        <f>P39+Q39</f>
        <v>80</v>
      </c>
      <c r="S39" s="216"/>
      <c r="T39" s="216">
        <f>R39+S39</f>
        <v>80</v>
      </c>
      <c r="U39" s="1037">
        <f>L39</f>
        <v>3.1806000000074164E-3</v>
      </c>
      <c r="V39" s="1037">
        <f>T39*100%</f>
        <v>80</v>
      </c>
      <c r="W39" s="1035">
        <f>T39-U39-V39+L39</f>
        <v>0</v>
      </c>
      <c r="X39" s="1034">
        <v>100</v>
      </c>
      <c r="Y39" s="347"/>
      <c r="Z39" s="347"/>
      <c r="AA39" s="216">
        <f>SUM(X39:Z39)</f>
        <v>100</v>
      </c>
      <c r="AB39" s="347"/>
      <c r="AC39" s="216">
        <f>AA39+AB39</f>
        <v>100</v>
      </c>
      <c r="AD39" s="347"/>
      <c r="AE39" s="216">
        <f>AC39+AD39</f>
        <v>100</v>
      </c>
      <c r="AF39" s="216">
        <f>W39</f>
        <v>0</v>
      </c>
      <c r="AG39" s="216">
        <f>AE39*100%</f>
        <v>100</v>
      </c>
      <c r="AH39" s="1035">
        <f>AE39-AF39-AG39+W39</f>
        <v>0</v>
      </c>
      <c r="AI39">
        <f>V39/T39*100</f>
        <v>100</v>
      </c>
      <c r="AJ39">
        <f t="shared" si="12"/>
        <v>100</v>
      </c>
    </row>
    <row r="40" spans="1:36" ht="13">
      <c r="A40" s="117" t="s">
        <v>145</v>
      </c>
      <c r="B40" s="91">
        <f>(B11+B12+B35+B37+B38+B39)</f>
        <v>3695.4473380999984</v>
      </c>
      <c r="C40" s="91">
        <f>C11+C12+C35+C37+C38+C39</f>
        <v>70936.423060012778</v>
      </c>
      <c r="D40" s="12">
        <f t="shared" ref="D40:AH40" si="31">D11+D12+D35+D37+D38+D39</f>
        <v>0</v>
      </c>
      <c r="E40" s="12">
        <f t="shared" si="31"/>
        <v>0</v>
      </c>
      <c r="F40" s="12">
        <f t="shared" si="31"/>
        <v>70936.423060012778</v>
      </c>
      <c r="G40" s="12">
        <f t="shared" si="31"/>
        <v>1523.0258700000006</v>
      </c>
      <c r="H40" s="12">
        <f t="shared" si="31"/>
        <v>72459.448930012761</v>
      </c>
      <c r="I40" s="12">
        <f t="shared" si="31"/>
        <v>251.81802999999991</v>
      </c>
      <c r="J40" s="12">
        <f t="shared" si="31"/>
        <v>72711.26696001277</v>
      </c>
      <c r="K40" s="12">
        <f t="shared" si="31"/>
        <v>64440.79223280002</v>
      </c>
      <c r="L40" s="12">
        <f>(L11+L12+L35+L37+L38+L39)</f>
        <v>11965.922065312745</v>
      </c>
      <c r="M40" s="91">
        <f t="shared" si="31"/>
        <v>74156.212830546792</v>
      </c>
      <c r="N40" s="12">
        <f t="shared" si="31"/>
        <v>17291.997942499998</v>
      </c>
      <c r="O40" s="12">
        <f t="shared" si="31"/>
        <v>4609.6326475000005</v>
      </c>
      <c r="P40" s="12">
        <f t="shared" si="31"/>
        <v>96057.843420546793</v>
      </c>
      <c r="Q40" s="12">
        <f t="shared" si="31"/>
        <v>2227.2948944</v>
      </c>
      <c r="R40" s="12">
        <f t="shared" si="31"/>
        <v>98285.138314946802</v>
      </c>
      <c r="S40" s="12">
        <f t="shared" si="31"/>
        <v>283.33333333333337</v>
      </c>
      <c r="T40" s="12">
        <f t="shared" si="31"/>
        <v>98568.47164828013</v>
      </c>
      <c r="U40" s="12">
        <f t="shared" si="31"/>
        <v>11965.922065312745</v>
      </c>
      <c r="V40" s="317">
        <f t="shared" si="31"/>
        <v>79138.545126080135</v>
      </c>
      <c r="W40" s="12">
        <f t="shared" si="31"/>
        <v>19429.926522200003</v>
      </c>
      <c r="X40" s="91">
        <f t="shared" si="31"/>
        <v>65904.158598399998</v>
      </c>
      <c r="Y40" s="12">
        <f t="shared" si="31"/>
        <v>14623.797942500001</v>
      </c>
      <c r="Z40" s="12">
        <f t="shared" si="31"/>
        <v>3836.3326475000003</v>
      </c>
      <c r="AA40" s="12">
        <f t="shared" si="31"/>
        <v>87439.989188399995</v>
      </c>
      <c r="AB40" s="12">
        <f t="shared" si="31"/>
        <v>2008.8985122879999</v>
      </c>
      <c r="AC40" s="12">
        <f t="shared" si="31"/>
        <v>89448.887700687992</v>
      </c>
      <c r="AD40" s="12">
        <f t="shared" si="31"/>
        <v>1353.3333333333333</v>
      </c>
      <c r="AE40" s="12">
        <f t="shared" si="31"/>
        <v>90802.221034021335</v>
      </c>
      <c r="AF40" s="12">
        <f t="shared" si="31"/>
        <v>19429.926522200003</v>
      </c>
      <c r="AG40" s="12">
        <f t="shared" si="31"/>
        <v>68215.465079277332</v>
      </c>
      <c r="AH40" s="89">
        <f t="shared" si="31"/>
        <v>22586.755954743996</v>
      </c>
      <c r="AJ40" s="209">
        <f t="shared" si="12"/>
        <v>75.125326564114218</v>
      </c>
    </row>
    <row r="41" spans="1:36">
      <c r="A41" s="1041"/>
      <c r="B41" s="1029"/>
      <c r="C41" s="1034"/>
      <c r="D41" s="216"/>
      <c r="E41" s="216"/>
      <c r="F41" s="216"/>
      <c r="G41" s="216"/>
      <c r="H41" s="216"/>
      <c r="I41" s="216"/>
      <c r="J41" s="216"/>
      <c r="K41" s="216"/>
      <c r="L41" s="1035"/>
      <c r="M41" s="1034"/>
      <c r="N41" s="347"/>
      <c r="O41" s="347"/>
      <c r="P41" s="216"/>
      <c r="Q41" s="216"/>
      <c r="R41" s="216"/>
      <c r="S41" s="347"/>
      <c r="T41" s="347"/>
      <c r="U41" s="347"/>
      <c r="V41" s="347"/>
      <c r="W41" s="1035"/>
      <c r="X41" s="1034"/>
      <c r="Y41" s="347"/>
      <c r="Z41" s="347"/>
      <c r="AA41" s="347"/>
      <c r="AB41" s="216"/>
      <c r="AC41" s="216"/>
      <c r="AD41" s="347"/>
      <c r="AE41" s="216"/>
      <c r="AF41" s="347"/>
      <c r="AG41" s="347"/>
      <c r="AH41" s="1035"/>
    </row>
    <row r="42" spans="1:36">
      <c r="A42" s="1041" t="s">
        <v>1460</v>
      </c>
      <c r="B42" s="635">
        <v>628.39329999999995</v>
      </c>
      <c r="C42" s="633"/>
      <c r="D42" s="631"/>
      <c r="E42" s="631"/>
      <c r="F42" s="631"/>
      <c r="G42" s="631"/>
      <c r="H42" s="631"/>
      <c r="I42" s="631"/>
      <c r="J42" s="631"/>
      <c r="K42" s="631"/>
      <c r="L42" s="1033">
        <v>313.74452159999998</v>
      </c>
      <c r="M42" s="444"/>
      <c r="N42" s="347"/>
      <c r="O42" s="347"/>
      <c r="P42" s="216"/>
      <c r="Q42" s="347"/>
      <c r="R42" s="347"/>
      <c r="S42" s="347"/>
      <c r="T42" s="347"/>
      <c r="U42" s="405"/>
      <c r="V42" s="347"/>
      <c r="W42" s="1042">
        <v>500</v>
      </c>
      <c r="X42" s="444"/>
      <c r="Y42" s="347"/>
      <c r="Z42" s="347"/>
      <c r="AA42" s="347"/>
      <c r="AB42" s="347"/>
      <c r="AC42" s="347"/>
      <c r="AD42" s="347"/>
      <c r="AE42" s="216"/>
      <c r="AF42" s="347"/>
      <c r="AG42" s="347"/>
      <c r="AH42" s="1042">
        <v>800</v>
      </c>
    </row>
    <row r="43" spans="1:36">
      <c r="A43" s="1041" t="s">
        <v>1461</v>
      </c>
      <c r="B43" s="1033">
        <v>3877.9539825000002</v>
      </c>
      <c r="C43" s="633"/>
      <c r="D43" s="631"/>
      <c r="E43" s="631"/>
      <c r="F43" s="631"/>
      <c r="G43" s="631"/>
      <c r="H43" s="631"/>
      <c r="I43" s="631"/>
      <c r="J43" s="631"/>
      <c r="K43" s="631"/>
      <c r="L43" s="1083">
        <v>11972.2491869</v>
      </c>
      <c r="M43" s="444"/>
      <c r="N43" s="347"/>
      <c r="O43" s="347"/>
      <c r="P43" s="216"/>
      <c r="Q43" s="347"/>
      <c r="R43" s="347"/>
      <c r="S43" s="347"/>
      <c r="T43" s="347"/>
      <c r="U43" s="347"/>
      <c r="V43" s="216"/>
      <c r="W43" s="1042">
        <v>6020</v>
      </c>
      <c r="X43" s="444"/>
      <c r="Y43" s="347"/>
      <c r="Z43" s="347"/>
      <c r="AA43" s="347"/>
      <c r="AB43" s="347"/>
      <c r="AC43" s="347"/>
      <c r="AD43" s="347"/>
      <c r="AE43" s="216"/>
      <c r="AF43" s="347"/>
      <c r="AG43" s="347"/>
      <c r="AH43" s="1042">
        <v>6622</v>
      </c>
    </row>
    <row r="44" spans="1:36">
      <c r="A44" s="444"/>
      <c r="B44" s="1029"/>
      <c r="C44" s="1034"/>
      <c r="D44" s="216"/>
      <c r="E44" s="216"/>
      <c r="F44" s="216"/>
      <c r="G44" s="216"/>
      <c r="H44" s="216"/>
      <c r="I44" s="216"/>
      <c r="J44" s="216"/>
      <c r="K44" s="216"/>
      <c r="L44" s="1033"/>
      <c r="M44" s="444"/>
      <c r="N44" s="347"/>
      <c r="O44" s="347"/>
      <c r="P44" s="216"/>
      <c r="Q44" s="347"/>
      <c r="R44" s="347"/>
      <c r="S44" s="347"/>
      <c r="T44" s="347"/>
      <c r="U44" s="347"/>
      <c r="V44" s="347"/>
      <c r="W44" s="1043"/>
      <c r="X44" s="444"/>
      <c r="Y44" s="347"/>
      <c r="Z44" s="347"/>
      <c r="AA44" s="347"/>
      <c r="AB44" s="347"/>
      <c r="AC44" s="347"/>
      <c r="AD44" s="347"/>
      <c r="AE44" s="216"/>
      <c r="AF44" s="347"/>
      <c r="AG44" s="347"/>
      <c r="AH44" s="1043"/>
    </row>
    <row r="45" spans="1:36" ht="13.5" thickBot="1">
      <c r="A45" s="115" t="s">
        <v>1462</v>
      </c>
      <c r="B45" s="349">
        <f>B42+B40+B43</f>
        <v>8201.7946205999979</v>
      </c>
      <c r="C45" s="318">
        <f t="shared" ref="C45:I45" si="32">C42+C40</f>
        <v>70936.423060012778</v>
      </c>
      <c r="D45" s="297">
        <f t="shared" si="32"/>
        <v>0</v>
      </c>
      <c r="E45" s="297">
        <f t="shared" si="32"/>
        <v>0</v>
      </c>
      <c r="F45" s="297">
        <f t="shared" si="32"/>
        <v>70936.423060012778</v>
      </c>
      <c r="G45" s="297">
        <f t="shared" si="32"/>
        <v>1523.0258700000006</v>
      </c>
      <c r="H45" s="297">
        <f t="shared" si="32"/>
        <v>72459.448930012761</v>
      </c>
      <c r="I45" s="297">
        <f t="shared" si="32"/>
        <v>251.81802999999991</v>
      </c>
      <c r="J45" s="297">
        <f>J42+J40</f>
        <v>72711.26696001277</v>
      </c>
      <c r="K45" s="297">
        <f>K42+K40</f>
        <v>64440.79223280002</v>
      </c>
      <c r="L45" s="298">
        <f>(L42+L40+L43+L44)</f>
        <v>24251.915773812747</v>
      </c>
      <c r="M45" s="318">
        <f t="shared" ref="M45:V45" si="33">M42+M40</f>
        <v>74156.212830546792</v>
      </c>
      <c r="N45" s="297">
        <f t="shared" si="33"/>
        <v>17291.997942499998</v>
      </c>
      <c r="O45" s="297">
        <f t="shared" si="33"/>
        <v>4609.6326475000005</v>
      </c>
      <c r="P45" s="297">
        <f t="shared" si="33"/>
        <v>96057.843420546793</v>
      </c>
      <c r="Q45" s="297">
        <f t="shared" si="33"/>
        <v>2227.2948944</v>
      </c>
      <c r="R45" s="297">
        <f t="shared" si="33"/>
        <v>98285.138314946802</v>
      </c>
      <c r="S45" s="297">
        <f t="shared" si="33"/>
        <v>283.33333333333337</v>
      </c>
      <c r="T45" s="297">
        <f t="shared" si="33"/>
        <v>98568.47164828013</v>
      </c>
      <c r="U45" s="297">
        <f t="shared" si="33"/>
        <v>11965.922065312745</v>
      </c>
      <c r="V45" s="297">
        <f t="shared" si="33"/>
        <v>79138.545126080135</v>
      </c>
      <c r="W45" s="298">
        <f>W42+W40+W43</f>
        <v>25949.926522200003</v>
      </c>
      <c r="X45" s="318">
        <f t="shared" ref="X45:AG45" si="34">X42+X40</f>
        <v>65904.158598399998</v>
      </c>
      <c r="Y45" s="297">
        <f t="shared" si="34"/>
        <v>14623.797942500001</v>
      </c>
      <c r="Z45" s="297">
        <f t="shared" si="34"/>
        <v>3836.3326475000003</v>
      </c>
      <c r="AA45" s="297">
        <f t="shared" si="34"/>
        <v>87439.989188399995</v>
      </c>
      <c r="AB45" s="297">
        <f t="shared" si="34"/>
        <v>2008.8985122879999</v>
      </c>
      <c r="AC45" s="297">
        <f t="shared" si="34"/>
        <v>89448.887700687992</v>
      </c>
      <c r="AD45" s="297">
        <f t="shared" si="34"/>
        <v>1353.3333333333333</v>
      </c>
      <c r="AE45" s="297">
        <f t="shared" si="34"/>
        <v>90802.221034021335</v>
      </c>
      <c r="AF45" s="297">
        <f t="shared" si="34"/>
        <v>19429.926522200003</v>
      </c>
      <c r="AG45" s="297">
        <f t="shared" si="34"/>
        <v>68215.465079277332</v>
      </c>
      <c r="AH45" s="298">
        <f>AH42+AH40+AH43</f>
        <v>30008.755954743996</v>
      </c>
    </row>
    <row r="46" spans="1:36">
      <c r="B46" s="228"/>
      <c r="C46" s="228"/>
      <c r="D46" s="228"/>
      <c r="E46" s="228"/>
      <c r="F46" s="228"/>
      <c r="G46" s="228"/>
      <c r="H46" s="228"/>
      <c r="I46" s="228"/>
      <c r="J46" s="1162"/>
      <c r="K46" s="228"/>
      <c r="L46" s="228"/>
      <c r="T46" s="7"/>
      <c r="W46" s="7"/>
    </row>
    <row r="47" spans="1:36">
      <c r="B47" s="7"/>
      <c r="H47" s="7"/>
      <c r="J47" s="7"/>
      <c r="K47" s="7"/>
      <c r="L47" s="7"/>
      <c r="P47" s="7"/>
      <c r="T47" s="7"/>
    </row>
    <row r="48" spans="1:36" ht="13">
      <c r="B48" s="7"/>
      <c r="E48" s="9">
        <v>369544140.79000044</v>
      </c>
      <c r="J48" s="7">
        <f>23528.72495-21513.14</f>
        <v>2015.5849500000004</v>
      </c>
      <c r="K48" s="7"/>
      <c r="L48" s="2" t="s">
        <v>1463</v>
      </c>
      <c r="M48" s="30" t="s">
        <v>1464</v>
      </c>
      <c r="N48" s="30" t="s">
        <v>1465</v>
      </c>
      <c r="O48" s="30" t="s">
        <v>1466</v>
      </c>
      <c r="P48" s="2" t="s">
        <v>1467</v>
      </c>
      <c r="Q48" s="737" t="s">
        <v>2216</v>
      </c>
      <c r="R48" s="737" t="s">
        <v>2217</v>
      </c>
      <c r="S48" s="737" t="s">
        <v>2218</v>
      </c>
      <c r="U48" s="9"/>
      <c r="V48" s="7">
        <f>U45+V45</f>
        <v>91104.467191392876</v>
      </c>
      <c r="X48">
        <v>3306.7597831403687</v>
      </c>
    </row>
    <row r="49" spans="2:24">
      <c r="B49" s="7"/>
      <c r="E49" s="9">
        <v>387795398.25</v>
      </c>
      <c r="K49" s="7"/>
      <c r="L49" t="s">
        <v>1452</v>
      </c>
      <c r="M49" s="1084">
        <v>0</v>
      </c>
      <c r="N49" s="1084">
        <v>0</v>
      </c>
      <c r="O49" s="1084">
        <v>0</v>
      </c>
      <c r="P49" s="299">
        <v>0.05</v>
      </c>
      <c r="U49" s="7"/>
      <c r="V49" s="202">
        <f>V27</f>
        <v>9363.8404705467965</v>
      </c>
      <c r="X49">
        <v>3014.4420445836104</v>
      </c>
    </row>
    <row r="50" spans="2:24">
      <c r="B50" s="228"/>
      <c r="E50" s="9">
        <v>62839330</v>
      </c>
      <c r="J50" s="7"/>
      <c r="L50" t="s">
        <v>1468</v>
      </c>
      <c r="M50" s="1084" t="e">
        <f>C16/F16</f>
        <v>#DIV/0!</v>
      </c>
      <c r="N50" s="1084" t="e">
        <f>D16/F16</f>
        <v>#DIV/0!</v>
      </c>
      <c r="O50" s="1084" t="e">
        <f>E16/F16</f>
        <v>#DIV/0!</v>
      </c>
      <c r="P50" s="299">
        <v>0.05</v>
      </c>
      <c r="U50" s="7"/>
      <c r="V50" s="7">
        <f>V48-V49</f>
        <v>81740.626720846078</v>
      </c>
      <c r="X50">
        <v>7509.0709958964735</v>
      </c>
    </row>
    <row r="51" spans="2:24">
      <c r="F51" s="7"/>
      <c r="L51" t="s">
        <v>1453</v>
      </c>
      <c r="M51" s="1084">
        <v>0.8</v>
      </c>
      <c r="N51" s="1084">
        <v>0.15</v>
      </c>
      <c r="O51" s="1084">
        <v>0.05</v>
      </c>
      <c r="P51" s="299">
        <v>0.04</v>
      </c>
      <c r="Q51" s="1089">
        <v>373.74781999999999</v>
      </c>
      <c r="R51" s="1089">
        <f>730.65295</f>
        <v>730.65295000000003</v>
      </c>
      <c r="S51" s="1091">
        <f>R51*1.02</f>
        <v>745.26600900000005</v>
      </c>
      <c r="V51">
        <v>51684</v>
      </c>
      <c r="X51">
        <v>9113.1569747884168</v>
      </c>
    </row>
    <row r="52" spans="2:24">
      <c r="L52" t="s">
        <v>1469</v>
      </c>
      <c r="M52" s="1084">
        <v>0</v>
      </c>
      <c r="N52" s="1084">
        <v>0</v>
      </c>
      <c r="O52" s="1084">
        <v>0</v>
      </c>
      <c r="P52" s="299">
        <v>0.05</v>
      </c>
      <c r="Q52" s="479">
        <v>0</v>
      </c>
      <c r="R52" s="479">
        <v>0</v>
      </c>
      <c r="S52" s="479"/>
      <c r="V52" s="7">
        <f>V50-V51</f>
        <v>30056.626720846078</v>
      </c>
      <c r="X52">
        <v>7338.528180684878</v>
      </c>
    </row>
    <row r="53" spans="2:24" ht="22.5">
      <c r="K53" s="160" t="s">
        <v>1470</v>
      </c>
      <c r="L53" t="s">
        <v>1471</v>
      </c>
      <c r="M53" s="1084">
        <v>0.8</v>
      </c>
      <c r="N53" s="1084">
        <v>0.15</v>
      </c>
      <c r="O53" s="1084">
        <v>0.05</v>
      </c>
      <c r="P53" s="299">
        <v>0.02</v>
      </c>
      <c r="Q53" s="1089">
        <f>M65+M69</f>
        <v>7700</v>
      </c>
      <c r="R53" s="1089">
        <f>N65+N69</f>
        <v>18200</v>
      </c>
      <c r="S53" s="1089">
        <f>O65+O69</f>
        <v>18200</v>
      </c>
      <c r="X53">
        <f>SUM(X48:X52)</f>
        <v>30281.95797909375</v>
      </c>
    </row>
    <row r="54" spans="2:24">
      <c r="L54" t="s">
        <v>1472</v>
      </c>
      <c r="M54" s="1084">
        <v>0.8</v>
      </c>
      <c r="N54" s="1084">
        <v>0.15</v>
      </c>
      <c r="O54" s="1084">
        <v>0.05</v>
      </c>
      <c r="P54" s="299">
        <v>0.05</v>
      </c>
      <c r="Q54" s="479"/>
      <c r="R54" s="479"/>
      <c r="S54" s="479"/>
    </row>
    <row r="55" spans="2:24">
      <c r="L55" t="s">
        <v>1473</v>
      </c>
      <c r="M55" s="1084">
        <v>0</v>
      </c>
      <c r="N55" s="1084">
        <v>0</v>
      </c>
      <c r="O55" s="1084">
        <v>0</v>
      </c>
      <c r="P55" s="299">
        <v>0.05</v>
      </c>
      <c r="Q55" s="479"/>
      <c r="R55" s="479"/>
      <c r="S55" s="479"/>
    </row>
    <row r="56" spans="2:24">
      <c r="L56" t="s">
        <v>1474</v>
      </c>
      <c r="M56" s="1084">
        <v>0.8</v>
      </c>
      <c r="N56" s="1084">
        <v>0.15</v>
      </c>
      <c r="O56" s="1084">
        <v>0.05</v>
      </c>
      <c r="P56" s="299">
        <v>0.05</v>
      </c>
      <c r="Q56" s="478">
        <v>0</v>
      </c>
      <c r="R56" s="479">
        <f>N77</f>
        <v>0</v>
      </c>
      <c r="S56" s="479">
        <f>O77</f>
        <v>0</v>
      </c>
    </row>
    <row r="57" spans="2:24">
      <c r="L57" t="s">
        <v>1475</v>
      </c>
      <c r="M57" s="1084">
        <v>0</v>
      </c>
      <c r="N57" s="1084">
        <v>0</v>
      </c>
      <c r="O57" s="1084">
        <v>0</v>
      </c>
      <c r="P57" s="299">
        <v>0.05</v>
      </c>
      <c r="Q57" s="479"/>
      <c r="R57" s="479"/>
      <c r="S57" s="479"/>
    </row>
    <row r="58" spans="2:24">
      <c r="L58" t="s">
        <v>1476</v>
      </c>
      <c r="M58" s="1084">
        <v>0.8</v>
      </c>
      <c r="N58" s="1084">
        <v>0.15</v>
      </c>
      <c r="O58" s="1084">
        <v>0.05</v>
      </c>
      <c r="P58" s="299">
        <v>0.05</v>
      </c>
      <c r="Q58" s="478">
        <v>0</v>
      </c>
      <c r="R58" s="479">
        <v>0</v>
      </c>
      <c r="S58" s="479">
        <v>0</v>
      </c>
    </row>
    <row r="59" spans="2:24">
      <c r="L59" s="347" t="s">
        <v>49</v>
      </c>
      <c r="M59" s="1084">
        <v>0.8</v>
      </c>
      <c r="N59" s="1084">
        <v>0.15</v>
      </c>
      <c r="O59" s="1084">
        <v>0.05</v>
      </c>
      <c r="P59" s="299">
        <v>0.05</v>
      </c>
      <c r="Q59" s="478">
        <v>0</v>
      </c>
      <c r="R59" s="478">
        <v>0</v>
      </c>
      <c r="S59" s="478">
        <v>0</v>
      </c>
    </row>
    <row r="60" spans="2:24" ht="13">
      <c r="L60" s="3" t="s">
        <v>145</v>
      </c>
      <c r="Q60" s="1092">
        <f>SUM(Q49:Q59)</f>
        <v>8073.7478199999996</v>
      </c>
      <c r="R60" s="1092">
        <f>SUM(R49:R59)</f>
        <v>18930.65295</v>
      </c>
      <c r="S60" s="1092">
        <f>SUM(S49:S59)</f>
        <v>18945.266008999999</v>
      </c>
    </row>
    <row r="61" spans="2:24" ht="13">
      <c r="M61" s="30" t="s">
        <v>793</v>
      </c>
      <c r="N61" s="30" t="s">
        <v>1846</v>
      </c>
    </row>
    <row r="62" spans="2:24" ht="22.5">
      <c r="J62" s="160" t="s">
        <v>1470</v>
      </c>
      <c r="M62" s="161"/>
    </row>
    <row r="63" spans="2:24">
      <c r="K63" t="s">
        <v>1477</v>
      </c>
      <c r="M63" s="161"/>
    </row>
    <row r="64" spans="2:24" ht="13">
      <c r="M64" s="737" t="s">
        <v>793</v>
      </c>
      <c r="N64" s="737" t="s">
        <v>1846</v>
      </c>
      <c r="O64" s="737" t="s">
        <v>2193</v>
      </c>
    </row>
    <row r="65" spans="8:19">
      <c r="K65" t="s">
        <v>1478</v>
      </c>
      <c r="M65" s="1089">
        <v>5000</v>
      </c>
      <c r="N65" s="1089">
        <v>18000</v>
      </c>
      <c r="O65" s="1089">
        <v>18000</v>
      </c>
    </row>
    <row r="66" spans="8:19">
      <c r="H66" t="s">
        <v>1479</v>
      </c>
      <c r="I66">
        <f>(81953297+29133197+150158207)/100000</f>
        <v>2612.4470099999999</v>
      </c>
      <c r="K66" t="s">
        <v>1480</v>
      </c>
      <c r="L66" s="7"/>
      <c r="M66" s="1089">
        <v>0</v>
      </c>
      <c r="N66" s="1089">
        <v>0</v>
      </c>
      <c r="O66" s="1089">
        <v>0</v>
      </c>
      <c r="Q66" s="7"/>
      <c r="R66" s="155"/>
      <c r="S66" s="155"/>
    </row>
    <row r="67" spans="8:19">
      <c r="K67" s="347" t="s">
        <v>1481</v>
      </c>
      <c r="M67" s="1089">
        <v>3655.8367309</v>
      </c>
      <c r="N67" s="1089">
        <v>2000</v>
      </c>
      <c r="O67" s="1089">
        <v>300</v>
      </c>
    </row>
    <row r="68" spans="8:19">
      <c r="H68" t="s">
        <v>1482</v>
      </c>
      <c r="I68">
        <v>7800</v>
      </c>
      <c r="K68" t="s">
        <v>1483</v>
      </c>
      <c r="M68" s="1089">
        <v>1723.8703468000001</v>
      </c>
      <c r="N68" s="1089">
        <v>2000</v>
      </c>
      <c r="O68" s="1089">
        <v>2000</v>
      </c>
    </row>
    <row r="69" spans="8:19">
      <c r="H69" t="s">
        <v>1484</v>
      </c>
      <c r="I69">
        <v>1000</v>
      </c>
      <c r="K69" t="s">
        <v>1485</v>
      </c>
      <c r="M69" s="1090">
        <v>2700</v>
      </c>
      <c r="N69" s="1090">
        <v>200</v>
      </c>
      <c r="O69" s="1090">
        <f>N69</f>
        <v>200</v>
      </c>
    </row>
    <row r="70" spans="8:19">
      <c r="K70" t="s">
        <v>1486</v>
      </c>
      <c r="M70" s="161"/>
      <c r="N70" s="161"/>
    </row>
    <row r="71" spans="8:19">
      <c r="K71" t="s">
        <v>1487</v>
      </c>
      <c r="M71" s="161"/>
      <c r="N71" s="161"/>
    </row>
    <row r="72" spans="8:19" ht="13">
      <c r="M72" s="12">
        <f>SUM(M62:M71)</f>
        <v>13079.707077700001</v>
      </c>
      <c r="N72" s="12">
        <f>SUM(N62:N71)</f>
        <v>22200</v>
      </c>
      <c r="O72" s="12">
        <f>SUM(O62:O71)</f>
        <v>20500</v>
      </c>
    </row>
    <row r="73" spans="8:19" ht="13">
      <c r="M73" s="2"/>
      <c r="N73" s="12"/>
    </row>
    <row r="78" spans="8:19" ht="18">
      <c r="L78" s="351" t="s">
        <v>1488</v>
      </c>
    </row>
    <row r="79" spans="8:19">
      <c r="K79" s="411" t="s">
        <v>1456</v>
      </c>
      <c r="L79">
        <v>17111</v>
      </c>
      <c r="M79">
        <v>0</v>
      </c>
      <c r="N79" s="7">
        <v>0</v>
      </c>
      <c r="O79" t="s">
        <v>1470</v>
      </c>
    </row>
    <row r="80" spans="8:19">
      <c r="K80" s="410" t="s">
        <v>540</v>
      </c>
      <c r="L80">
        <v>138496</v>
      </c>
      <c r="M80">
        <v>0</v>
      </c>
      <c r="N80">
        <v>0</v>
      </c>
      <c r="O80" t="s">
        <v>1470</v>
      </c>
    </row>
    <row r="81" spans="10:21">
      <c r="K81" s="410" t="s">
        <v>1489</v>
      </c>
      <c r="L81">
        <v>42412</v>
      </c>
      <c r="M81">
        <v>0</v>
      </c>
      <c r="N81">
        <f>(L81-30982-M81)*0</f>
        <v>0</v>
      </c>
      <c r="O81" t="s">
        <v>1470</v>
      </c>
    </row>
    <row r="82" spans="10:21">
      <c r="K82" s="411" t="s">
        <v>1490</v>
      </c>
      <c r="L82">
        <v>4104</v>
      </c>
      <c r="M82" s="161">
        <v>0</v>
      </c>
      <c r="N82" s="342">
        <v>0</v>
      </c>
      <c r="O82" t="s">
        <v>1470</v>
      </c>
    </row>
    <row r="83" spans="10:21">
      <c r="K83" s="410" t="s">
        <v>1491</v>
      </c>
      <c r="L83">
        <v>22445</v>
      </c>
      <c r="M83">
        <v>0</v>
      </c>
      <c r="N83">
        <v>0</v>
      </c>
      <c r="O83" t="s">
        <v>1470</v>
      </c>
    </row>
    <row r="84" spans="10:21">
      <c r="J84" s="9">
        <f>(3613+21639+31302+29193+5632+20634)</f>
        <v>112013</v>
      </c>
      <c r="K84" s="410" t="s">
        <v>538</v>
      </c>
      <c r="L84">
        <v>114592</v>
      </c>
      <c r="M84" s="9">
        <v>0</v>
      </c>
      <c r="N84" s="9">
        <v>0</v>
      </c>
      <c r="O84" t="s">
        <v>1470</v>
      </c>
    </row>
    <row r="85" spans="10:21">
      <c r="K85" s="410" t="s">
        <v>537</v>
      </c>
      <c r="L85">
        <f>2250+2233+2062+2526</f>
        <v>9071</v>
      </c>
      <c r="M85">
        <v>0</v>
      </c>
      <c r="N85">
        <v>0</v>
      </c>
      <c r="O85" t="s">
        <v>1470</v>
      </c>
    </row>
    <row r="86" spans="10:21">
      <c r="K86" s="347" t="s">
        <v>532</v>
      </c>
      <c r="L86">
        <f>19660</f>
        <v>19660</v>
      </c>
      <c r="M86">
        <v>0</v>
      </c>
      <c r="N86">
        <v>0</v>
      </c>
    </row>
    <row r="87" spans="10:21" ht="26">
      <c r="M87" s="1079" t="s">
        <v>2212</v>
      </c>
      <c r="N87" s="1079" t="s">
        <v>2213</v>
      </c>
      <c r="O87" s="1079" t="s">
        <v>2214</v>
      </c>
      <c r="P87" s="1079" t="s">
        <v>2215</v>
      </c>
    </row>
    <row r="88" spans="10:21">
      <c r="J88" s="1087"/>
      <c r="K88" s="410" t="s">
        <v>2211</v>
      </c>
      <c r="L88" s="411"/>
      <c r="M88" s="1085">
        <f>(0.75*100)</f>
        <v>75</v>
      </c>
      <c r="N88" s="1085">
        <f>3.41*100</f>
        <v>341</v>
      </c>
      <c r="O88" s="1085">
        <f>11.38*100</f>
        <v>1138</v>
      </c>
      <c r="P88">
        <f>51.53*100</f>
        <v>5153</v>
      </c>
    </row>
    <row r="89" spans="10:21">
      <c r="J89" s="1087"/>
      <c r="K89" s="411" t="s">
        <v>544</v>
      </c>
      <c r="L89" s="411"/>
      <c r="M89" s="1085">
        <f>0.23*100</f>
        <v>23</v>
      </c>
      <c r="N89" s="1085">
        <f>6.45*100</f>
        <v>645</v>
      </c>
      <c r="O89" s="1085">
        <f>40.18*100</f>
        <v>4018</v>
      </c>
      <c r="P89">
        <f>54.61*100</f>
        <v>5461</v>
      </c>
    </row>
    <row r="90" spans="10:21">
      <c r="J90" s="1087"/>
      <c r="K90" s="411" t="s">
        <v>545</v>
      </c>
      <c r="L90" s="411"/>
      <c r="M90" s="1085">
        <f>3.32*100</f>
        <v>332</v>
      </c>
      <c r="N90" s="1085">
        <f>9.72*100</f>
        <v>972.00000000000011</v>
      </c>
      <c r="O90" s="1085">
        <f>48.31*100</f>
        <v>4831</v>
      </c>
      <c r="P90">
        <f>156.09*100</f>
        <v>15609</v>
      </c>
    </row>
    <row r="91" spans="10:21">
      <c r="J91" s="1087"/>
      <c r="K91" s="411" t="s">
        <v>546</v>
      </c>
      <c r="L91" s="411"/>
      <c r="M91" s="1086">
        <f>0.43*100</f>
        <v>43</v>
      </c>
      <c r="N91" s="1085">
        <f>9.16*100</f>
        <v>916</v>
      </c>
      <c r="O91" s="1085">
        <f>39.88*100</f>
        <v>3988.0000000000005</v>
      </c>
      <c r="P91">
        <f>218.27*100</f>
        <v>21827</v>
      </c>
    </row>
    <row r="92" spans="10:21">
      <c r="J92" s="1087"/>
      <c r="K92" s="411" t="s">
        <v>547</v>
      </c>
      <c r="L92" s="411"/>
      <c r="M92" s="1085">
        <f>-0.93*100</f>
        <v>-93</v>
      </c>
      <c r="N92" s="1085">
        <f>2.68*100</f>
        <v>268</v>
      </c>
      <c r="O92" s="1085">
        <f>39.02*100</f>
        <v>3902.0000000000005</v>
      </c>
      <c r="P92">
        <f>91.46*100</f>
        <v>9146</v>
      </c>
    </row>
    <row r="93" spans="10:21" ht="13">
      <c r="M93" s="1088">
        <f>SUM(M88:M92)</f>
        <v>380</v>
      </c>
      <c r="N93" s="1088">
        <f>SUM(N88:N92)</f>
        <v>3142</v>
      </c>
      <c r="O93" s="1088">
        <f>SUM(O88:O92)</f>
        <v>17877</v>
      </c>
      <c r="P93" s="1088">
        <f>SUM(P88:P92)</f>
        <v>57196</v>
      </c>
    </row>
    <row r="94" spans="10:21" ht="13.5" thickBot="1">
      <c r="M94" s="7"/>
      <c r="N94" s="30"/>
      <c r="O94" s="30"/>
    </row>
    <row r="95" spans="10:21" ht="13.5" thickBot="1">
      <c r="K95" s="1168" t="s">
        <v>735</v>
      </c>
      <c r="L95" s="1167"/>
      <c r="M95" s="1165" t="s">
        <v>1942</v>
      </c>
      <c r="N95" s="1166"/>
      <c r="O95" s="1167"/>
      <c r="P95" s="1168" t="s">
        <v>2352</v>
      </c>
      <c r="Q95" s="1166"/>
      <c r="R95" s="1167"/>
      <c r="S95" s="1174" t="s">
        <v>2353</v>
      </c>
      <c r="T95" s="1174" t="s">
        <v>1942</v>
      </c>
      <c r="U95" s="1182" t="s">
        <v>303</v>
      </c>
    </row>
    <row r="96" spans="10:21" ht="13">
      <c r="K96" s="984"/>
      <c r="L96" s="986"/>
      <c r="M96" s="1163" t="s">
        <v>2351</v>
      </c>
      <c r="N96" s="737" t="s">
        <v>2165</v>
      </c>
      <c r="O96" s="1164" t="s">
        <v>145</v>
      </c>
      <c r="P96" s="1163" t="s">
        <v>2351</v>
      </c>
      <c r="Q96" s="737" t="s">
        <v>2165</v>
      </c>
      <c r="R96" s="1164" t="s">
        <v>145</v>
      </c>
      <c r="S96" s="1175" t="s">
        <v>145</v>
      </c>
      <c r="T96" s="1175" t="s">
        <v>2033</v>
      </c>
      <c r="U96" s="1175" t="s">
        <v>2215</v>
      </c>
    </row>
    <row r="97" spans="11:21">
      <c r="K97" s="88" t="s">
        <v>2211</v>
      </c>
      <c r="L97" s="86"/>
      <c r="M97" s="1169">
        <v>9848</v>
      </c>
      <c r="N97" s="489">
        <v>5240</v>
      </c>
      <c r="O97" s="1170">
        <f>M97+N97</f>
        <v>15088</v>
      </c>
      <c r="P97" s="1169">
        <f>2817+5449</f>
        <v>8266</v>
      </c>
      <c r="Q97" s="489">
        <v>2866</v>
      </c>
      <c r="R97" s="1170">
        <f>P97+Q97</f>
        <v>11132</v>
      </c>
      <c r="S97" s="1177">
        <f>O97-R97</f>
        <v>3956</v>
      </c>
      <c r="T97" s="1178">
        <v>3412</v>
      </c>
      <c r="U97" s="1178">
        <v>5153</v>
      </c>
    </row>
    <row r="98" spans="11:21">
      <c r="K98" s="88" t="s">
        <v>544</v>
      </c>
      <c r="L98" s="86"/>
      <c r="M98" s="1169">
        <v>4248</v>
      </c>
      <c r="N98" s="489">
        <v>4680</v>
      </c>
      <c r="O98" s="1170">
        <f t="shared" ref="O98:O101" si="35">M98+N98</f>
        <v>8928</v>
      </c>
      <c r="P98" s="1169">
        <f>1001+2712</f>
        <v>3713</v>
      </c>
      <c r="Q98" s="489">
        <v>2169</v>
      </c>
      <c r="R98" s="1170">
        <f t="shared" ref="R98:R101" si="36">P98+Q98</f>
        <v>5882</v>
      </c>
      <c r="S98" s="1177">
        <f t="shared" ref="S98:S101" si="37">O98-R98</f>
        <v>3046</v>
      </c>
      <c r="T98" s="1180">
        <v>5900</v>
      </c>
      <c r="U98" s="1178">
        <v>5461</v>
      </c>
    </row>
    <row r="99" spans="11:21">
      <c r="K99" s="88" t="s">
        <v>545</v>
      </c>
      <c r="L99" s="86"/>
      <c r="M99" s="1169">
        <v>4891</v>
      </c>
      <c r="N99" s="489">
        <v>11834</v>
      </c>
      <c r="O99" s="1170">
        <f t="shared" si="35"/>
        <v>16725</v>
      </c>
      <c r="P99" s="1169">
        <f>256+3265</f>
        <v>3521</v>
      </c>
      <c r="Q99" s="489">
        <v>4193</v>
      </c>
      <c r="R99" s="1170">
        <f t="shared" si="36"/>
        <v>7714</v>
      </c>
      <c r="S99" s="1177">
        <f t="shared" si="37"/>
        <v>9011</v>
      </c>
      <c r="T99" s="1178">
        <v>6948</v>
      </c>
      <c r="U99" s="1178">
        <v>15609</v>
      </c>
    </row>
    <row r="100" spans="11:21">
      <c r="K100" s="88" t="s">
        <v>546</v>
      </c>
      <c r="L100" s="86"/>
      <c r="M100" s="1169">
        <v>3971</v>
      </c>
      <c r="N100" s="489">
        <v>14557</v>
      </c>
      <c r="O100" s="1170">
        <f t="shared" si="35"/>
        <v>18528</v>
      </c>
      <c r="P100" s="1179">
        <f>365+2835</f>
        <v>3200</v>
      </c>
      <c r="Q100" s="489">
        <v>6339</v>
      </c>
      <c r="R100" s="1170">
        <f t="shared" si="36"/>
        <v>9539</v>
      </c>
      <c r="S100" s="1177">
        <f t="shared" si="37"/>
        <v>8989</v>
      </c>
      <c r="T100" s="1178">
        <v>6782</v>
      </c>
      <c r="U100" s="1178">
        <v>21827</v>
      </c>
    </row>
    <row r="101" spans="11:21">
      <c r="K101" s="444" t="s">
        <v>2354</v>
      </c>
      <c r="L101" s="86"/>
      <c r="M101" s="1169">
        <v>10355</v>
      </c>
      <c r="N101" s="489">
        <v>11461</v>
      </c>
      <c r="O101" s="1170">
        <f t="shared" si="35"/>
        <v>21816</v>
      </c>
      <c r="P101" s="1169">
        <f>7300+2719</f>
        <v>10019</v>
      </c>
      <c r="Q101" s="489">
        <v>5728</v>
      </c>
      <c r="R101" s="1170">
        <f t="shared" si="36"/>
        <v>15747</v>
      </c>
      <c r="S101" s="1177">
        <f t="shared" si="37"/>
        <v>6069</v>
      </c>
      <c r="T101" s="1178">
        <v>15149</v>
      </c>
      <c r="U101" s="1178">
        <v>9146</v>
      </c>
    </row>
    <row r="102" spans="11:21" ht="13.5" thickBot="1">
      <c r="K102" s="90"/>
      <c r="L102" s="973"/>
      <c r="M102" s="1171">
        <f t="shared" ref="M102:U102" si="38">SUM(M97:M101)</f>
        <v>33313</v>
      </c>
      <c r="N102" s="1172">
        <f t="shared" si="38"/>
        <v>47772</v>
      </c>
      <c r="O102" s="1173">
        <f t="shared" si="38"/>
        <v>81085</v>
      </c>
      <c r="P102" s="1171">
        <f t="shared" si="38"/>
        <v>28719</v>
      </c>
      <c r="Q102" s="1172">
        <f t="shared" si="38"/>
        <v>21295</v>
      </c>
      <c r="R102" s="1173">
        <f t="shared" si="38"/>
        <v>50014</v>
      </c>
      <c r="S102" s="1176">
        <f t="shared" si="38"/>
        <v>31071</v>
      </c>
      <c r="T102" s="1176">
        <f t="shared" si="38"/>
        <v>38191</v>
      </c>
      <c r="U102" s="1176">
        <f t="shared" si="38"/>
        <v>57196</v>
      </c>
    </row>
    <row r="106" spans="11:21">
      <c r="S106" s="9"/>
    </row>
    <row r="107" spans="11:21">
      <c r="S107" s="228"/>
    </row>
  </sheetData>
  <mergeCells count="38">
    <mergeCell ref="X4:AH4"/>
    <mergeCell ref="X5:X7"/>
    <mergeCell ref="Y5:Y7"/>
    <mergeCell ref="Z5:Z7"/>
    <mergeCell ref="AA5:AA7"/>
    <mergeCell ref="AB5:AB7"/>
    <mergeCell ref="AH5:AH7"/>
    <mergeCell ref="AD5:AD7"/>
    <mergeCell ref="B5:B7"/>
    <mergeCell ref="L5:L7"/>
    <mergeCell ref="F5:F7"/>
    <mergeCell ref="H5:H7"/>
    <mergeCell ref="M4:W4"/>
    <mergeCell ref="M5:M7"/>
    <mergeCell ref="N5:N7"/>
    <mergeCell ref="O5:O7"/>
    <mergeCell ref="P5:P7"/>
    <mergeCell ref="Q5:Q7"/>
    <mergeCell ref="C4:L4"/>
    <mergeCell ref="J5:J7"/>
    <mergeCell ref="K5:K7"/>
    <mergeCell ref="D5:D7"/>
    <mergeCell ref="E5:E7"/>
    <mergeCell ref="G5:G7"/>
    <mergeCell ref="I5:I7"/>
    <mergeCell ref="C5:C7"/>
    <mergeCell ref="AI5:AI7"/>
    <mergeCell ref="AJ5:AJ7"/>
    <mergeCell ref="V5:V7"/>
    <mergeCell ref="AG5:AG7"/>
    <mergeCell ref="W5:W7"/>
    <mergeCell ref="AC5:AC7"/>
    <mergeCell ref="AE5:AE7"/>
    <mergeCell ref="AF5:AF7"/>
    <mergeCell ref="R5:R7"/>
    <mergeCell ref="S5:S7"/>
    <mergeCell ref="T5:T7"/>
    <mergeCell ref="U5:U7"/>
  </mergeCells>
  <phoneticPr fontId="0" type="noConversion"/>
  <printOptions horizontalCentered="1" gridLines="1"/>
  <pageMargins left="0.23622047244094491" right="0" top="0.74803149606299213" bottom="0.74803149606299213" header="0.51181102362204722" footer="0.51181102362204722"/>
  <pageSetup paperSize="9" scale="85" orientation="landscape" r:id="rId1"/>
  <headerFooter alignWithMargins="0"/>
  <colBreaks count="3" manualBreakCount="3">
    <brk id="12" min="1" max="37" man="1"/>
    <brk id="23" min="1" max="37" man="1"/>
    <brk id="34" min="1" max="37"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63"/>
  <sheetViews>
    <sheetView topLeftCell="A48" workbookViewId="0">
      <selection activeCell="A55" sqref="A55:C60"/>
    </sheetView>
  </sheetViews>
  <sheetFormatPr defaultRowHeight="12.5"/>
  <cols>
    <col min="1" max="1" width="31.08984375" customWidth="1"/>
    <col min="2" max="9" width="11.453125" bestFit="1" customWidth="1"/>
  </cols>
  <sheetData>
    <row r="1" spans="1:9" ht="15.5">
      <c r="A1" s="2188" t="s">
        <v>370</v>
      </c>
      <c r="B1" s="2189"/>
      <c r="C1" s="2189"/>
      <c r="D1" s="2189"/>
      <c r="E1" s="2189"/>
      <c r="F1" s="2189"/>
      <c r="G1" s="2189"/>
      <c r="H1" s="2189"/>
      <c r="I1" s="2190"/>
    </row>
    <row r="2" spans="1:9" ht="15.5">
      <c r="A2" s="2191" t="s">
        <v>735</v>
      </c>
      <c r="B2" s="1908" t="s">
        <v>1757</v>
      </c>
      <c r="C2" s="1908"/>
      <c r="D2" s="1908" t="s">
        <v>1758</v>
      </c>
      <c r="E2" s="1908"/>
      <c r="F2" s="1908" t="s">
        <v>1759</v>
      </c>
      <c r="G2" s="1908"/>
      <c r="H2" s="1908" t="s">
        <v>1760</v>
      </c>
      <c r="I2" s="1908"/>
    </row>
    <row r="3" spans="1:9" ht="48.75" customHeight="1" thickBot="1">
      <c r="A3" s="2192"/>
      <c r="B3" s="1534" t="s">
        <v>793</v>
      </c>
      <c r="C3" s="1534" t="s">
        <v>1846</v>
      </c>
      <c r="D3" s="1534" t="s">
        <v>793</v>
      </c>
      <c r="E3" s="1534" t="s">
        <v>1846</v>
      </c>
      <c r="F3" s="1534" t="s">
        <v>793</v>
      </c>
      <c r="G3" s="1535" t="s">
        <v>2516</v>
      </c>
      <c r="H3" s="1535" t="s">
        <v>2517</v>
      </c>
      <c r="I3" s="1534" t="s">
        <v>2193</v>
      </c>
    </row>
    <row r="4" spans="1:9" ht="18" thickTop="1">
      <c r="A4" s="419" t="s">
        <v>1761</v>
      </c>
      <c r="B4" s="1538">
        <v>9000</v>
      </c>
      <c r="C4" s="1538">
        <f>summary!C5</f>
        <v>12800</v>
      </c>
      <c r="D4" s="1538">
        <v>9300</v>
      </c>
      <c r="E4" s="1538">
        <f>summary!D5</f>
        <v>13286</v>
      </c>
      <c r="F4" s="1538">
        <f>summary!B5</f>
        <v>13002.405000000001</v>
      </c>
      <c r="G4" s="1538">
        <f>summary!K5</f>
        <v>6370.4692999999997</v>
      </c>
      <c r="H4" s="1538">
        <f>summary!M5</f>
        <v>13080</v>
      </c>
      <c r="I4" s="1538">
        <f>summary!N5</f>
        <v>11524</v>
      </c>
    </row>
    <row r="5" spans="1:9" ht="17.5">
      <c r="A5" s="418" t="s">
        <v>1762</v>
      </c>
      <c r="B5" s="1537"/>
      <c r="C5" s="1537"/>
      <c r="D5" s="1539"/>
      <c r="E5" s="1539"/>
      <c r="F5" s="1539"/>
      <c r="G5" s="1539"/>
      <c r="H5" s="1537"/>
      <c r="I5" s="1537"/>
    </row>
    <row r="6" spans="1:9" ht="17.5">
      <c r="A6" s="418" t="s">
        <v>44</v>
      </c>
      <c r="B6" s="1537">
        <v>3510</v>
      </c>
      <c r="C6" s="1537">
        <f>summary!C11</f>
        <v>3313.9999999999995</v>
      </c>
      <c r="D6" s="1537">
        <v>3507.2</v>
      </c>
      <c r="E6" s="1537">
        <f>summary!D11</f>
        <v>3332.37</v>
      </c>
      <c r="F6" s="1537">
        <f>summary!B11</f>
        <v>2581.9842146790515</v>
      </c>
      <c r="G6" s="1537">
        <f>summary!K11</f>
        <v>1594.9404548</v>
      </c>
      <c r="H6" s="1537">
        <f>summary!M11</f>
        <v>3340.5</v>
      </c>
      <c r="I6" s="1537">
        <f>summary!N11</f>
        <v>3544.0999999999995</v>
      </c>
    </row>
    <row r="7" spans="1:9" ht="17.5">
      <c r="A7" s="418" t="s">
        <v>76</v>
      </c>
      <c r="B7" s="1537">
        <v>1850</v>
      </c>
      <c r="C7" s="1537">
        <f>summary!C10</f>
        <v>2123.0000019999998</v>
      </c>
      <c r="D7" s="1537">
        <v>1910</v>
      </c>
      <c r="E7" s="1537">
        <f>summary!D10</f>
        <v>2199.81</v>
      </c>
      <c r="F7" s="1537">
        <f>summary!B10</f>
        <v>2164.9413414999999</v>
      </c>
      <c r="G7" s="1537">
        <f>summary!K10</f>
        <v>1217.6206978605601</v>
      </c>
      <c r="H7" s="1537">
        <f>summary!M10</f>
        <v>2444</v>
      </c>
      <c r="I7" s="1537">
        <f>summary!N10</f>
        <v>2590.0000019999998</v>
      </c>
    </row>
    <row r="8" spans="1:9" ht="17.5">
      <c r="A8" s="418" t="s">
        <v>90</v>
      </c>
      <c r="B8" s="1537">
        <v>1750</v>
      </c>
      <c r="C8" s="1537">
        <f>summary!C9</f>
        <v>5045</v>
      </c>
      <c r="D8" s="1537">
        <v>2060</v>
      </c>
      <c r="E8" s="1537">
        <f>summary!D9</f>
        <v>5351.54</v>
      </c>
      <c r="F8" s="1537">
        <f>summary!B9</f>
        <v>5862.6969984000007</v>
      </c>
      <c r="G8" s="1537">
        <f>summary!K9</f>
        <v>2422.145039441918</v>
      </c>
      <c r="H8" s="1537">
        <f>summary!M9</f>
        <v>4930</v>
      </c>
      <c r="I8" s="1537">
        <f>summary!N9</f>
        <v>3480</v>
      </c>
    </row>
    <row r="9" spans="1:9" ht="18">
      <c r="A9" s="418" t="s">
        <v>145</v>
      </c>
      <c r="B9" s="1540">
        <f>SUM(B6:B8)</f>
        <v>7110</v>
      </c>
      <c r="C9" s="1540">
        <f>SUM(C6:C8)</f>
        <v>10482.000001999999</v>
      </c>
      <c r="D9" s="1540">
        <f t="shared" ref="D9" si="0">SUM(D6:D8)</f>
        <v>7477.2</v>
      </c>
      <c r="E9" s="1540">
        <f t="shared" ref="E9:I9" si="1">SUM(E6:E8)</f>
        <v>10883.720000000001</v>
      </c>
      <c r="F9" s="1540">
        <f t="shared" si="1"/>
        <v>10609.622554579051</v>
      </c>
      <c r="G9" s="1540">
        <f t="shared" si="1"/>
        <v>5234.7061921024779</v>
      </c>
      <c r="H9" s="1540">
        <f t="shared" si="1"/>
        <v>10714.5</v>
      </c>
      <c r="I9" s="1540">
        <f t="shared" si="1"/>
        <v>9614.1000019999992</v>
      </c>
    </row>
    <row r="10" spans="1:9" ht="17.5">
      <c r="A10" s="418" t="s">
        <v>1763</v>
      </c>
      <c r="B10" s="1541">
        <f>(B4-B9)/B4</f>
        <v>0.21</v>
      </c>
      <c r="C10" s="1541">
        <f t="shared" ref="C10:I10" si="2">(C4-C9)/C4</f>
        <v>0.1810937498437501</v>
      </c>
      <c r="D10" s="1541">
        <f t="shared" ref="D10" si="3">(D4-D9)/D4</f>
        <v>0.19600000000000001</v>
      </c>
      <c r="E10" s="1541">
        <f t="shared" si="2"/>
        <v>0.1808128857443925</v>
      </c>
      <c r="F10" s="1541">
        <f t="shared" si="2"/>
        <v>0.18402614327279831</v>
      </c>
      <c r="G10" s="1541">
        <f t="shared" si="2"/>
        <v>0.17828562613079729</v>
      </c>
      <c r="H10" s="1541">
        <f t="shared" si="2"/>
        <v>0.18084862385321102</v>
      </c>
      <c r="I10" s="1541">
        <f t="shared" si="2"/>
        <v>0.16573238441513372</v>
      </c>
    </row>
    <row r="11" spans="1:9" ht="17.5">
      <c r="A11" s="418" t="s">
        <v>1764</v>
      </c>
      <c r="B11" s="1542">
        <v>4038.71</v>
      </c>
      <c r="C11" s="1542">
        <f>summary!C23/100</f>
        <v>6171.823828129206</v>
      </c>
      <c r="D11" s="1542">
        <v>4119.4799999999996</v>
      </c>
      <c r="E11" s="1542">
        <f>summary!D23/100</f>
        <v>6251.99</v>
      </c>
      <c r="F11" s="1542">
        <f>summary!B23/100</f>
        <v>6241.026946757871</v>
      </c>
      <c r="G11" s="1542">
        <f>summary!K23/100</f>
        <v>3114.5951894749323</v>
      </c>
      <c r="H11" s="1542">
        <f>summary!M23/100</f>
        <v>6282.6909357848854</v>
      </c>
      <c r="I11" s="1542">
        <f>summary!N23/100</f>
        <v>5751.1621477177259</v>
      </c>
    </row>
    <row r="12" spans="1:9" ht="17.5">
      <c r="A12" s="418" t="s">
        <v>1765</v>
      </c>
      <c r="B12" s="1542">
        <f>B11*0.96</f>
        <v>3877.1615999999999</v>
      </c>
      <c r="C12" s="1542">
        <f>summary!C31/100</f>
        <v>6110.1055898479135</v>
      </c>
      <c r="D12" s="1542">
        <f>D11*0.99</f>
        <v>4078.2851999999993</v>
      </c>
      <c r="E12" s="1542">
        <f>summary!D31/100</f>
        <v>6189.4701000000005</v>
      </c>
      <c r="F12" s="1542">
        <f>summary!B31/100</f>
        <v>6250.0589958519267</v>
      </c>
      <c r="G12" s="1542">
        <f>summary!K31/100</f>
        <v>2938.8179664364538</v>
      </c>
      <c r="H12" s="1542">
        <f>summary!M31/100</f>
        <v>6219.8640264270371</v>
      </c>
      <c r="I12" s="1542">
        <f>summary!N31/100</f>
        <v>5693.6505262405481</v>
      </c>
    </row>
    <row r="13" spans="1:9" ht="17.5">
      <c r="A13" s="418" t="s">
        <v>1766</v>
      </c>
      <c r="B13" s="1541">
        <f t="shared" ref="B13" si="4">B12/B11</f>
        <v>0.96</v>
      </c>
      <c r="C13" s="1541">
        <f t="shared" ref="C13:I13" si="5">C12/C11</f>
        <v>0.98999999999999988</v>
      </c>
      <c r="D13" s="1541">
        <f t="shared" ref="D13" si="6">D12/D11</f>
        <v>0.99</v>
      </c>
      <c r="E13" s="1541">
        <f t="shared" si="5"/>
        <v>0.9900000000000001</v>
      </c>
      <c r="F13" s="1541">
        <f t="shared" si="5"/>
        <v>1.0014472055915009</v>
      </c>
      <c r="G13" s="1541">
        <f t="shared" si="5"/>
        <v>0.94356338068186907</v>
      </c>
      <c r="H13" s="1541">
        <f t="shared" si="5"/>
        <v>0.9900000000000001</v>
      </c>
      <c r="I13" s="1541">
        <f t="shared" si="5"/>
        <v>0.98999999999999988</v>
      </c>
    </row>
    <row r="14" spans="1:9" ht="17.5">
      <c r="A14" s="418" t="s">
        <v>1767</v>
      </c>
      <c r="B14" s="1543">
        <f t="shared" ref="B14" si="7">1-((1-B10)*B13)</f>
        <v>0.24160000000000004</v>
      </c>
      <c r="C14" s="1543">
        <f t="shared" ref="C14:I14" si="8">1-((1-C10)*C13)</f>
        <v>0.18928281234531275</v>
      </c>
      <c r="D14" s="1543">
        <f t="shared" ref="D14" si="9">1-((1-D10)*D13)</f>
        <v>0.20404</v>
      </c>
      <c r="E14" s="1543">
        <f t="shared" si="8"/>
        <v>0.18900475688694851</v>
      </c>
      <c r="F14" s="1543">
        <f t="shared" si="8"/>
        <v>0.18284526134482415</v>
      </c>
      <c r="G14" s="1543">
        <f t="shared" si="8"/>
        <v>0.2246604074370897</v>
      </c>
      <c r="H14" s="1543">
        <f t="shared" si="8"/>
        <v>0.18904013761467875</v>
      </c>
      <c r="I14" s="1543">
        <f t="shared" si="8"/>
        <v>0.17407506057098243</v>
      </c>
    </row>
    <row r="15" spans="1:9" ht="17.5">
      <c r="A15" s="418" t="s">
        <v>1768</v>
      </c>
      <c r="B15" s="1536">
        <v>1600</v>
      </c>
      <c r="C15" s="1536">
        <v>1850</v>
      </c>
      <c r="D15" s="1536">
        <v>1650</v>
      </c>
      <c r="E15" s="1536">
        <f>summary!D4</f>
        <v>1860</v>
      </c>
      <c r="F15" s="1537">
        <f>'T-4 '!D71</f>
        <v>1794.126</v>
      </c>
      <c r="G15" s="1537">
        <f>summary!K4</f>
        <v>1676.126</v>
      </c>
      <c r="H15" s="1537">
        <f>summary!M4</f>
        <v>1710.27</v>
      </c>
      <c r="I15" s="1536">
        <f>summary!N4</f>
        <v>1850</v>
      </c>
    </row>
    <row r="19" spans="1:4" ht="50">
      <c r="A19" s="191" t="s">
        <v>1769</v>
      </c>
      <c r="B19" s="488" t="s">
        <v>1770</v>
      </c>
      <c r="C19" s="66" t="s">
        <v>1771</v>
      </c>
      <c r="D19" s="66" t="s">
        <v>1772</v>
      </c>
    </row>
    <row r="20" spans="1:4">
      <c r="A20" s="404" t="s">
        <v>633</v>
      </c>
      <c r="B20" s="23"/>
      <c r="C20" s="23"/>
      <c r="D20" s="23"/>
    </row>
    <row r="21" spans="1:4">
      <c r="A21" s="404" t="s">
        <v>634</v>
      </c>
      <c r="B21" s="23"/>
      <c r="C21" s="36">
        <v>300538.39844959998</v>
      </c>
      <c r="D21" s="36">
        <v>303300</v>
      </c>
    </row>
    <row r="22" spans="1:4">
      <c r="A22" s="404" t="s">
        <v>635</v>
      </c>
      <c r="B22" s="23"/>
      <c r="C22" s="36">
        <v>23702.819642399998</v>
      </c>
      <c r="D22" s="36">
        <v>25200</v>
      </c>
    </row>
    <row r="23" spans="1:4">
      <c r="A23" s="404" t="s">
        <v>636</v>
      </c>
      <c r="B23" s="23"/>
      <c r="C23" s="36">
        <v>144</v>
      </c>
      <c r="D23" s="36">
        <v>144</v>
      </c>
    </row>
    <row r="24" spans="1:4" ht="13">
      <c r="A24" s="290" t="s">
        <v>637</v>
      </c>
      <c r="B24" s="23"/>
      <c r="C24" s="36">
        <f>SUM(C21:C23)</f>
        <v>324385.218092</v>
      </c>
      <c r="D24" s="36">
        <f>SUM(D21:D23)</f>
        <v>328644</v>
      </c>
    </row>
    <row r="25" spans="1:4">
      <c r="A25" s="404" t="s">
        <v>638</v>
      </c>
      <c r="B25" s="23"/>
      <c r="C25" s="36"/>
      <c r="D25" s="36"/>
    </row>
    <row r="26" spans="1:4">
      <c r="A26" s="404" t="s">
        <v>639</v>
      </c>
      <c r="B26" s="23"/>
      <c r="C26" s="36">
        <v>49662.865979430317</v>
      </c>
      <c r="D26" s="36">
        <v>64143.332870296646</v>
      </c>
    </row>
    <row r="27" spans="1:4">
      <c r="A27" s="404" t="s">
        <v>640</v>
      </c>
      <c r="B27" s="23"/>
      <c r="C27" s="36">
        <v>16000.333333333334</v>
      </c>
      <c r="D27" s="36">
        <v>25769.283296563801</v>
      </c>
    </row>
    <row r="28" spans="1:4">
      <c r="A28" s="404" t="s">
        <v>641</v>
      </c>
      <c r="B28" s="23"/>
      <c r="C28" s="36">
        <v>10367.67</v>
      </c>
      <c r="D28" s="36">
        <v>13843.1325</v>
      </c>
    </row>
    <row r="29" spans="1:4" ht="25">
      <c r="A29" s="404" t="s">
        <v>642</v>
      </c>
      <c r="B29" s="23"/>
      <c r="C29" s="36">
        <v>4889.4575123874301</v>
      </c>
      <c r="D29" s="36">
        <v>5310.4475439135276</v>
      </c>
    </row>
    <row r="30" spans="1:4">
      <c r="A30" s="404" t="s">
        <v>643</v>
      </c>
      <c r="B30" s="23"/>
      <c r="C30" s="36">
        <v>4094.0113922778501</v>
      </c>
      <c r="D30" s="36">
        <v>4945.5556746283837</v>
      </c>
    </row>
    <row r="31" spans="1:4" ht="25">
      <c r="A31" s="404" t="s">
        <v>1773</v>
      </c>
      <c r="B31" s="23"/>
      <c r="C31" s="36">
        <v>2386.6281466666669</v>
      </c>
      <c r="D31" s="36">
        <v>5079.4428333333344</v>
      </c>
    </row>
    <row r="32" spans="1:4">
      <c r="A32" s="404" t="s">
        <v>644</v>
      </c>
      <c r="B32" s="23"/>
      <c r="C32" s="36">
        <v>4447.1104542000003</v>
      </c>
      <c r="D32" s="36">
        <v>4819.0805442000001</v>
      </c>
    </row>
    <row r="33" spans="1:4">
      <c r="A33" s="404" t="s">
        <v>1774</v>
      </c>
      <c r="B33" s="23"/>
      <c r="C33" s="36">
        <v>4800</v>
      </c>
      <c r="D33" s="36">
        <v>4800</v>
      </c>
    </row>
    <row r="34" spans="1:4" ht="25">
      <c r="A34" s="404" t="s">
        <v>1775</v>
      </c>
      <c r="B34" s="23"/>
      <c r="C34" s="36">
        <v>81.169912799999992</v>
      </c>
      <c r="D34" s="36">
        <v>265.31714584000002</v>
      </c>
    </row>
    <row r="35" spans="1:4">
      <c r="A35" s="404" t="s">
        <v>1776</v>
      </c>
      <c r="B35" s="23"/>
      <c r="C35" s="36">
        <v>272.05616666666668</v>
      </c>
      <c r="D35" s="36">
        <v>927.73333333333346</v>
      </c>
    </row>
    <row r="36" spans="1:4" ht="26">
      <c r="A36" s="290" t="s">
        <v>1777</v>
      </c>
      <c r="B36" s="36">
        <f>SUM(B26:B33)-B34-B35</f>
        <v>0</v>
      </c>
      <c r="C36" s="36">
        <f>SUM(C26:C33)-C34-C35</f>
        <v>96294.850738828929</v>
      </c>
      <c r="D36" s="36">
        <f>SUM(D26:D33)-D34-D35</f>
        <v>127517.22478376236</v>
      </c>
    </row>
    <row r="37" spans="1:4">
      <c r="A37" s="404" t="s">
        <v>650</v>
      </c>
      <c r="B37" s="23"/>
      <c r="C37" s="36"/>
      <c r="D37" s="36"/>
    </row>
    <row r="38" spans="1:4" ht="37.5">
      <c r="A38" s="404" t="s">
        <v>651</v>
      </c>
      <c r="B38" s="23"/>
      <c r="C38" s="36"/>
      <c r="D38" s="36">
        <v>0</v>
      </c>
    </row>
    <row r="39" spans="1:4">
      <c r="A39" s="404" t="s">
        <v>652</v>
      </c>
      <c r="B39" s="23"/>
      <c r="C39" s="36"/>
      <c r="D39" s="36">
        <v>0</v>
      </c>
    </row>
    <row r="40" spans="1:4">
      <c r="A40" s="404" t="s">
        <v>653</v>
      </c>
      <c r="B40" s="23"/>
      <c r="C40" s="36">
        <v>736.90263953512499</v>
      </c>
      <c r="D40" s="36">
        <v>891.08043726137487</v>
      </c>
    </row>
    <row r="41" spans="1:4" ht="13">
      <c r="A41" s="290" t="s">
        <v>654</v>
      </c>
      <c r="B41" s="36">
        <f>SUM(B40)</f>
        <v>0</v>
      </c>
      <c r="C41" s="36">
        <f>SUM(C40)</f>
        <v>736.90263953512499</v>
      </c>
      <c r="D41" s="36">
        <f>SUM(D40)</f>
        <v>891.08043726137487</v>
      </c>
    </row>
    <row r="42" spans="1:4">
      <c r="A42" s="404"/>
      <c r="B42" s="23"/>
      <c r="C42" s="36"/>
      <c r="D42" s="36"/>
    </row>
    <row r="43" spans="1:4">
      <c r="A43" s="404" t="s">
        <v>655</v>
      </c>
      <c r="B43" s="36">
        <f>B41+B36+B24</f>
        <v>0</v>
      </c>
      <c r="C43" s="36">
        <f>C41+C36+C24</f>
        <v>421416.97147036402</v>
      </c>
      <c r="D43" s="36">
        <f>D41+D36+D24</f>
        <v>457052.30522102374</v>
      </c>
    </row>
    <row r="44" spans="1:4">
      <c r="A44" s="404" t="s">
        <v>656</v>
      </c>
      <c r="B44" s="23"/>
      <c r="C44" s="36">
        <v>25900</v>
      </c>
      <c r="D44" s="36">
        <v>26685.522014175134</v>
      </c>
    </row>
    <row r="45" spans="1:4" ht="13">
      <c r="A45" s="244" t="s">
        <v>657</v>
      </c>
      <c r="B45" s="36">
        <f>B43-B44</f>
        <v>0</v>
      </c>
      <c r="C45" s="36">
        <f>C43-C44</f>
        <v>395516.97147036402</v>
      </c>
      <c r="D45" s="36">
        <f>D43-D44</f>
        <v>430366.7832068486</v>
      </c>
    </row>
    <row r="46" spans="1:4">
      <c r="A46" s="404"/>
      <c r="B46" s="23"/>
      <c r="C46" s="36"/>
      <c r="D46" s="36"/>
    </row>
    <row r="47" spans="1:4">
      <c r="A47" s="404" t="s">
        <v>658</v>
      </c>
      <c r="B47" s="23"/>
      <c r="C47" s="36">
        <v>379381.31342905725</v>
      </c>
      <c r="D47" s="36">
        <v>398283.56579351454</v>
      </c>
    </row>
    <row r="48" spans="1:4" ht="25">
      <c r="A48" s="66" t="s">
        <v>1778</v>
      </c>
      <c r="B48" s="23"/>
      <c r="C48" s="36"/>
      <c r="D48" s="36"/>
    </row>
    <row r="49" spans="1:4">
      <c r="A49" s="404" t="s">
        <v>1779</v>
      </c>
      <c r="B49" s="36">
        <f>B45-B47</f>
        <v>0</v>
      </c>
      <c r="C49" s="36">
        <f>C45-C47</f>
        <v>16135.658041306771</v>
      </c>
      <c r="D49" s="36">
        <f>D45-D47</f>
        <v>32083.21741333406</v>
      </c>
    </row>
    <row r="50" spans="1:4">
      <c r="A50" s="438"/>
    </row>
    <row r="55" spans="1:4" ht="13">
      <c r="A55" s="892" t="s">
        <v>735</v>
      </c>
      <c r="B55" s="1546">
        <v>44986</v>
      </c>
      <c r="C55" s="1546">
        <v>45352</v>
      </c>
    </row>
    <row r="56" spans="1:4">
      <c r="A56" s="343" t="s">
        <v>2523</v>
      </c>
      <c r="B56" s="934">
        <v>1147.9035073721084</v>
      </c>
      <c r="C56" s="76">
        <f>B56+(CWIP!U19+CWIP!V19)/100</f>
        <v>1258.8856587792361</v>
      </c>
    </row>
    <row r="57" spans="1:4">
      <c r="A57" s="343" t="s">
        <v>2522</v>
      </c>
      <c r="B57" s="934">
        <v>479.86185175332901</v>
      </c>
      <c r="C57" s="934">
        <f>B57+SUM(CWIP!U20:V27)/100</f>
        <v>636.61394585479695</v>
      </c>
    </row>
    <row r="58" spans="1:4">
      <c r="A58" s="343" t="s">
        <v>2524</v>
      </c>
      <c r="B58" s="934">
        <f>868.711527948563-0.629186795999885</f>
        <v>868.08234115256312</v>
      </c>
      <c r="C58" s="934">
        <f>C60-C56-C57-C59</f>
        <v>874.39679116956313</v>
      </c>
    </row>
    <row r="59" spans="1:4">
      <c r="A59" s="343" t="s">
        <v>2525</v>
      </c>
      <c r="B59" s="934">
        <v>500</v>
      </c>
      <c r="C59" s="76">
        <f>B59+SUM(CWIP!U30:V34)/100</f>
        <v>1136.995950377333</v>
      </c>
    </row>
    <row r="60" spans="1:4" ht="13">
      <c r="A60" s="28" t="s">
        <v>2526</v>
      </c>
      <c r="B60" s="723">
        <v>2995.847700278</v>
      </c>
      <c r="C60" s="723">
        <f>DEPCAL!I16/10^2</f>
        <v>3906.8923461809291</v>
      </c>
    </row>
    <row r="62" spans="1:4">
      <c r="B62" s="7"/>
    </row>
    <row r="63" spans="1:4">
      <c r="B63" s="7"/>
    </row>
  </sheetData>
  <mergeCells count="6">
    <mergeCell ref="B2:C2"/>
    <mergeCell ref="D2:E2"/>
    <mergeCell ref="F2:G2"/>
    <mergeCell ref="H2:I2"/>
    <mergeCell ref="A1:I1"/>
    <mergeCell ref="A2:A3"/>
  </mergeCells>
  <printOptions horizontalCentered="1" verticalCentered="1" headings="1" gridLines="1"/>
  <pageMargins left="0.19685039370078741" right="0" top="0.39370078740157483" bottom="0" header="0" footer="0"/>
  <pageSetup paperSize="9" scale="11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pageSetUpPr fitToPage="1"/>
  </sheetPr>
  <dimension ref="A1:P54"/>
  <sheetViews>
    <sheetView showGridLines="0" zoomScaleNormal="100" workbookViewId="0">
      <pane xSplit="2" ySplit="3" topLeftCell="C36" activePane="bottomRight" state="frozen"/>
      <selection pane="topRight" activeCell="C1" sqref="C1"/>
      <selection pane="bottomLeft" activeCell="A4" sqref="A4"/>
      <selection pane="bottomRight" activeCell="N42" sqref="N42"/>
    </sheetView>
  </sheetViews>
  <sheetFormatPr defaultRowHeight="12.5"/>
  <cols>
    <col min="1" max="1" width="23.453125" customWidth="1"/>
    <col min="2" max="3" width="12.1796875" customWidth="1"/>
    <col min="4" max="4" width="10.453125" customWidth="1"/>
    <col min="5" max="10" width="9.7265625" customWidth="1"/>
    <col min="11" max="12" width="11.1796875" customWidth="1"/>
    <col min="13" max="13" width="10.7265625" customWidth="1"/>
    <col min="14" max="14" width="11" customWidth="1"/>
    <col min="15" max="15" width="9.453125" bestFit="1" customWidth="1"/>
    <col min="16" max="16" width="9.54296875" bestFit="1" customWidth="1"/>
  </cols>
  <sheetData>
    <row r="1" spans="1:16" ht="22.5" customHeight="1">
      <c r="A1" s="2055" t="s">
        <v>370</v>
      </c>
      <c r="B1" s="2055"/>
      <c r="C1" s="2055"/>
      <c r="D1" s="2055"/>
      <c r="E1" s="2055"/>
      <c r="F1" s="2055"/>
      <c r="G1" s="2055"/>
      <c r="H1" s="2055"/>
      <c r="I1" s="2055"/>
      <c r="J1" s="2055"/>
      <c r="K1" s="2055"/>
      <c r="L1" s="2055"/>
      <c r="M1" s="2055"/>
      <c r="N1" s="2055"/>
    </row>
    <row r="2" spans="1:16" ht="52">
      <c r="A2" s="35"/>
      <c r="B2" s="618" t="s">
        <v>2272</v>
      </c>
      <c r="C2" s="618" t="s">
        <v>2280</v>
      </c>
      <c r="D2" s="618" t="s">
        <v>2281</v>
      </c>
      <c r="E2" s="2004" t="s">
        <v>2273</v>
      </c>
      <c r="F2" s="2004"/>
      <c r="G2" s="2004"/>
      <c r="H2" s="2004"/>
      <c r="I2" s="2004"/>
      <c r="J2" s="2004"/>
      <c r="K2" s="618" t="s">
        <v>2274</v>
      </c>
      <c r="L2" s="618" t="s">
        <v>2275</v>
      </c>
      <c r="M2" s="618" t="s">
        <v>2276</v>
      </c>
      <c r="N2" s="618" t="s">
        <v>2277</v>
      </c>
    </row>
    <row r="3" spans="1:16" ht="13">
      <c r="A3" s="23"/>
      <c r="B3" s="23"/>
      <c r="C3" s="343"/>
      <c r="D3" s="23"/>
      <c r="E3" s="629">
        <v>45017</v>
      </c>
      <c r="F3" s="629">
        <v>45047</v>
      </c>
      <c r="G3" s="629">
        <v>45078</v>
      </c>
      <c r="H3" s="629">
        <v>45108</v>
      </c>
      <c r="I3" s="629">
        <v>45139</v>
      </c>
      <c r="J3" s="629">
        <v>45170</v>
      </c>
      <c r="K3" s="515"/>
      <c r="L3" s="515"/>
      <c r="M3" s="343"/>
      <c r="N3" s="23"/>
    </row>
    <row r="4" spans="1:16">
      <c r="A4" s="343" t="s">
        <v>1750</v>
      </c>
      <c r="B4" s="1892">
        <f>'T-4 '!D71</f>
        <v>1794.126</v>
      </c>
      <c r="C4" s="1893">
        <v>1948</v>
      </c>
      <c r="D4" s="1894">
        <v>1860</v>
      </c>
      <c r="E4" s="1892">
        <f>'T-4 '!E71</f>
        <v>1676.126</v>
      </c>
      <c r="F4" s="1892">
        <f>'T-4 '!F71</f>
        <v>1568.8869999999999</v>
      </c>
      <c r="G4" s="1892">
        <f>'T-4 '!G71</f>
        <v>1555.828</v>
      </c>
      <c r="H4" s="1892">
        <f>'T-4 '!H71</f>
        <v>1423.038</v>
      </c>
      <c r="I4" s="1892">
        <f>'T-4 '!I71</f>
        <v>1540.306</v>
      </c>
      <c r="J4" s="1892">
        <f>'T-4 '!J71</f>
        <v>1545.6210000000001</v>
      </c>
      <c r="K4" s="436">
        <f>MAX(E4:J4)</f>
        <v>1676.126</v>
      </c>
      <c r="L4" s="436">
        <f>K4</f>
        <v>1676.126</v>
      </c>
      <c r="M4" s="436">
        <f>'T-4 '!L71</f>
        <v>1710.27</v>
      </c>
      <c r="N4" s="436">
        <f>'T-4 '!M71</f>
        <v>1850</v>
      </c>
    </row>
    <row r="5" spans="1:16" ht="13">
      <c r="A5" s="343" t="s">
        <v>1751</v>
      </c>
      <c r="B5" s="1895">
        <f>'T-4 '!C5</f>
        <v>13002.405000000001</v>
      </c>
      <c r="C5" s="1896">
        <v>12800</v>
      </c>
      <c r="D5" s="1897">
        <v>13286</v>
      </c>
      <c r="E5" s="1895">
        <f>'T-4 '!D5</f>
        <v>1010.9063</v>
      </c>
      <c r="F5" s="1895">
        <f>'T-4 '!E5</f>
        <v>1131.99</v>
      </c>
      <c r="G5" s="1895">
        <f>'T-4 '!F5</f>
        <v>1021.992</v>
      </c>
      <c r="H5" s="1895">
        <f>'T-4 '!G5</f>
        <v>1095.4680000000001</v>
      </c>
      <c r="I5" s="1895">
        <f>'T-4 '!H5</f>
        <v>1047.4059999999999</v>
      </c>
      <c r="J5" s="1895">
        <f>'T-4 '!I5</f>
        <v>1062.7070000000001</v>
      </c>
      <c r="K5" s="877">
        <f>SUM(E5:J5)</f>
        <v>6370.4692999999997</v>
      </c>
      <c r="L5" s="877">
        <f>'F-4'!G44</f>
        <v>6709.5307000000003</v>
      </c>
      <c r="M5" s="877">
        <f>'T-1'!N72</f>
        <v>13080</v>
      </c>
      <c r="N5" s="877">
        <f>'T-1'!S72</f>
        <v>11524</v>
      </c>
      <c r="O5" s="647"/>
      <c r="P5" s="4"/>
    </row>
    <row r="6" spans="1:16" ht="13">
      <c r="A6" s="343" t="s">
        <v>1853</v>
      </c>
      <c r="B6" s="1895">
        <v>2932.8311370000001</v>
      </c>
      <c r="C6" s="1218">
        <v>2000</v>
      </c>
      <c r="D6" s="877">
        <v>2000</v>
      </c>
      <c r="E6" s="1895">
        <v>174.78434999999999</v>
      </c>
      <c r="F6" s="1895">
        <v>239.83885900000001</v>
      </c>
      <c r="G6" s="1895">
        <v>174.24881600000001</v>
      </c>
      <c r="H6" s="1895">
        <v>243.52177599999999</v>
      </c>
      <c r="I6" s="1895">
        <v>196.98194799999999</v>
      </c>
      <c r="J6" s="1895">
        <v>218.31200999999999</v>
      </c>
      <c r="K6" s="877">
        <f>SUM(E6:J6)</f>
        <v>1247.6877589999999</v>
      </c>
      <c r="L6" s="877">
        <f>'T-1'!N64-K6</f>
        <v>1252.3122410000001</v>
      </c>
      <c r="M6" s="877">
        <f>K6+L6</f>
        <v>2500</v>
      </c>
      <c r="N6" s="877">
        <f>'T-1'!S64</f>
        <v>0</v>
      </c>
      <c r="O6" s="647"/>
    </row>
    <row r="7" spans="1:16" ht="13">
      <c r="A7" s="28" t="s">
        <v>1854</v>
      </c>
      <c r="B7" s="1897">
        <f>B5-B6</f>
        <v>10069.573863000001</v>
      </c>
      <c r="C7" s="1897">
        <f>C5-C6</f>
        <v>10800</v>
      </c>
      <c r="D7" s="1897">
        <f>D5-D6</f>
        <v>11286</v>
      </c>
      <c r="E7" s="1895">
        <f t="shared" ref="E7:F7" si="0">E5-E6</f>
        <v>836.12194999999997</v>
      </c>
      <c r="F7" s="1895">
        <f t="shared" si="0"/>
        <v>892.15114100000005</v>
      </c>
      <c r="G7" s="1895">
        <f>G5-G6</f>
        <v>847.74318399999993</v>
      </c>
      <c r="H7" s="1895">
        <f t="shared" ref="H7:J7" si="1">H5-H6</f>
        <v>851.94622400000003</v>
      </c>
      <c r="I7" s="1895">
        <f t="shared" si="1"/>
        <v>850.42405199999996</v>
      </c>
      <c r="J7" s="1895">
        <f t="shared" si="1"/>
        <v>844.39499000000012</v>
      </c>
      <c r="K7" s="877">
        <f>K5-K6</f>
        <v>5122.7815410000003</v>
      </c>
      <c r="L7" s="877">
        <f>L5-L6</f>
        <v>5457.2184589999997</v>
      </c>
      <c r="M7" s="877">
        <f>M5-M6</f>
        <v>10580</v>
      </c>
      <c r="N7" s="877">
        <f>N5-N6</f>
        <v>11524</v>
      </c>
      <c r="O7" s="347"/>
    </row>
    <row r="8" spans="1:16">
      <c r="A8" s="343" t="s">
        <v>1752</v>
      </c>
      <c r="B8" s="74"/>
      <c r="C8" s="74"/>
      <c r="D8" s="74"/>
      <c r="E8" s="74"/>
      <c r="F8" s="74"/>
      <c r="G8" s="74"/>
      <c r="H8" s="74"/>
      <c r="I8" s="74"/>
      <c r="J8" s="74"/>
      <c r="K8" s="74"/>
      <c r="L8" s="74"/>
      <c r="M8" s="74"/>
      <c r="N8" s="74"/>
    </row>
    <row r="9" spans="1:16" ht="13">
      <c r="A9" s="343" t="s">
        <v>90</v>
      </c>
      <c r="B9" s="1895">
        <f>('T-4 '!C65)</f>
        <v>5862.6969984000007</v>
      </c>
      <c r="C9" s="1897">
        <v>5045</v>
      </c>
      <c r="D9" s="1895">
        <f>Sheet2!C11</f>
        <v>5351.54</v>
      </c>
      <c r="E9" s="1895">
        <f>'T-4 '!D65</f>
        <v>330.18781958812593</v>
      </c>
      <c r="F9" s="1895">
        <f>'T-4 '!E65</f>
        <v>462.58624570799998</v>
      </c>
      <c r="G9" s="1895">
        <f>'T-4 '!F65</f>
        <v>358.18889830469999</v>
      </c>
      <c r="H9" s="1895">
        <f>'T-4 '!G65</f>
        <v>432.20827605109247</v>
      </c>
      <c r="I9" s="1895">
        <f>'T-4 '!H65</f>
        <v>397.87907099</v>
      </c>
      <c r="J9" s="1895">
        <f>'T-4 '!I65</f>
        <v>441.09472879999993</v>
      </c>
      <c r="K9" s="877">
        <f>SUM(E9:J9)</f>
        <v>2422.145039441918</v>
      </c>
      <c r="L9" s="877">
        <f>'T-1'!N69-K9</f>
        <v>2507.854960558082</v>
      </c>
      <c r="M9" s="877">
        <f>'T-1'!N69</f>
        <v>4930</v>
      </c>
      <c r="N9" s="877">
        <f>'T-1'!S69</f>
        <v>3480</v>
      </c>
    </row>
    <row r="10" spans="1:16" ht="13">
      <c r="A10" s="343" t="s">
        <v>76</v>
      </c>
      <c r="B10" s="1895">
        <f>('T-4 '!C52)</f>
        <v>2164.9413414999999</v>
      </c>
      <c r="C10" s="1897">
        <v>2123.0000019999998</v>
      </c>
      <c r="D10" s="1895">
        <f>Sheet2!C9</f>
        <v>2199.81</v>
      </c>
      <c r="E10" s="1895">
        <f>'T-4 '!D52</f>
        <v>193.52448811270403</v>
      </c>
      <c r="F10" s="1895">
        <f>'T-4 '!E52</f>
        <v>204.31412867655325</v>
      </c>
      <c r="G10" s="1895">
        <f>'T-4 '!F52</f>
        <v>194.63074111141938</v>
      </c>
      <c r="H10" s="1895">
        <f>'T-4 '!G52</f>
        <v>207.61674270276922</v>
      </c>
      <c r="I10" s="1895">
        <f>'T-4 '!H52</f>
        <v>205.64983607767735</v>
      </c>
      <c r="J10" s="1895">
        <f>'T-4 '!I52</f>
        <v>211.88476117943696</v>
      </c>
      <c r="K10" s="877">
        <f>SUM(E10:J10)</f>
        <v>1217.6206978605601</v>
      </c>
      <c r="L10" s="877">
        <f>'T-1'!N56-K10</f>
        <v>1226.3793021394399</v>
      </c>
      <c r="M10" s="877">
        <f>'T-1'!N56</f>
        <v>2444</v>
      </c>
      <c r="N10" s="877">
        <f>'T-1'!S56</f>
        <v>2590.0000019999998</v>
      </c>
    </row>
    <row r="11" spans="1:16" ht="13">
      <c r="A11" s="343" t="s">
        <v>44</v>
      </c>
      <c r="B11" s="1895">
        <f>('T-4 '!C34)</f>
        <v>2581.9842146790515</v>
      </c>
      <c r="C11" s="1897">
        <v>3313.9999999999995</v>
      </c>
      <c r="D11" s="1895">
        <f>Sheet2!C8</f>
        <v>3332.37</v>
      </c>
      <c r="E11" s="1895">
        <f>'T-4 '!D34</f>
        <v>238.234735</v>
      </c>
      <c r="F11" s="1895">
        <f>'T-4 '!E34</f>
        <v>318.51452399999999</v>
      </c>
      <c r="G11" s="1895">
        <f>'T-4 '!F34</f>
        <v>296.58970599999998</v>
      </c>
      <c r="H11" s="1895">
        <f>'T-4 '!G34</f>
        <v>307.86447580000004</v>
      </c>
      <c r="I11" s="1895">
        <f>'T-4 '!H34</f>
        <v>253.92953499999999</v>
      </c>
      <c r="J11" s="1895">
        <f>'T-4 '!I34</f>
        <v>179.807479</v>
      </c>
      <c r="K11" s="877">
        <f>SUM(E11:J11)</f>
        <v>1594.9404548</v>
      </c>
      <c r="L11" s="877">
        <f>'T-1'!N37-K11</f>
        <v>1745.5595452</v>
      </c>
      <c r="M11" s="877">
        <f>'T-1'!N37</f>
        <v>3340.5</v>
      </c>
      <c r="N11" s="877">
        <f>'T-1'!S37</f>
        <v>3544.0999999999995</v>
      </c>
    </row>
    <row r="12" spans="1:16" ht="13">
      <c r="A12" s="343" t="s">
        <v>145</v>
      </c>
      <c r="B12" s="1897">
        <f>SUM(B9:B11)</f>
        <v>10609.622554579051</v>
      </c>
      <c r="C12" s="1897">
        <f>SUM(C9:C11)</f>
        <v>10482.000001999999</v>
      </c>
      <c r="D12" s="1897">
        <f t="shared" ref="D12" si="2">SUM(D9:D11)</f>
        <v>10883.720000000001</v>
      </c>
      <c r="E12" s="877">
        <f t="shared" ref="E12:J12" si="3">SUM(E9:E11)</f>
        <v>761.94704270083002</v>
      </c>
      <c r="F12" s="877">
        <f t="shared" si="3"/>
        <v>985.41489838455323</v>
      </c>
      <c r="G12" s="877">
        <f t="shared" si="3"/>
        <v>849.40934541611932</v>
      </c>
      <c r="H12" s="877">
        <f t="shared" si="3"/>
        <v>947.68949455386178</v>
      </c>
      <c r="I12" s="877">
        <f t="shared" si="3"/>
        <v>857.45844206767731</v>
      </c>
      <c r="J12" s="877">
        <f t="shared" si="3"/>
        <v>832.78696897943701</v>
      </c>
      <c r="K12" s="877">
        <f t="shared" ref="K12:L12" si="4">SUM(K9:K11)</f>
        <v>5234.7061921024779</v>
      </c>
      <c r="L12" s="877">
        <f t="shared" si="4"/>
        <v>5479.7938078975221</v>
      </c>
      <c r="M12" s="877">
        <f t="shared" ref="M12" si="5">SUM(M9:M11)</f>
        <v>10714.5</v>
      </c>
      <c r="N12" s="877">
        <f t="shared" ref="N12" si="6">SUM(N9:N11)</f>
        <v>9614.1000019999992</v>
      </c>
      <c r="O12" s="159"/>
      <c r="P12" s="4"/>
    </row>
    <row r="13" spans="1:16" ht="13">
      <c r="A13" s="343" t="s">
        <v>2330</v>
      </c>
      <c r="B13" s="1894">
        <f>B6</f>
        <v>2932.8311370000001</v>
      </c>
      <c r="C13" s="1894">
        <f>C6</f>
        <v>2000</v>
      </c>
      <c r="D13" s="1894">
        <f>D6</f>
        <v>2000</v>
      </c>
      <c r="E13" s="1894">
        <f t="shared" ref="E13:F13" si="7">E6</f>
        <v>174.78434999999999</v>
      </c>
      <c r="F13" s="1894">
        <f t="shared" si="7"/>
        <v>239.83885900000001</v>
      </c>
      <c r="G13" s="1894">
        <f>G6</f>
        <v>174.24881600000001</v>
      </c>
      <c r="H13" s="1894">
        <f t="shared" ref="H13:J13" si="8">H6</f>
        <v>243.52177599999999</v>
      </c>
      <c r="I13" s="1894">
        <f t="shared" si="8"/>
        <v>196.98194799999999</v>
      </c>
      <c r="J13" s="1894">
        <f t="shared" si="8"/>
        <v>218.31200999999999</v>
      </c>
      <c r="K13" s="436">
        <f>SUM(G13:J13)</f>
        <v>833.06454999999994</v>
      </c>
      <c r="L13" s="436">
        <f>L6</f>
        <v>1252.3122410000001</v>
      </c>
      <c r="M13" s="436">
        <f>M6</f>
        <v>2500</v>
      </c>
      <c r="N13" s="436">
        <f>N6</f>
        <v>0</v>
      </c>
      <c r="O13" s="159"/>
      <c r="P13" s="4"/>
    </row>
    <row r="14" spans="1:16" ht="13">
      <c r="A14" s="343" t="s">
        <v>1855</v>
      </c>
      <c r="B14" s="1894">
        <f>B12-B13</f>
        <v>7676.7914175790511</v>
      </c>
      <c r="C14" s="1894">
        <f>C12-C13</f>
        <v>8482.0000019999989</v>
      </c>
      <c r="D14" s="1894">
        <f>D12-D13</f>
        <v>8883.7200000000012</v>
      </c>
      <c r="E14" s="1894">
        <f t="shared" ref="E14:F14" si="9">E12-E13</f>
        <v>587.16269270083001</v>
      </c>
      <c r="F14" s="1894">
        <f t="shared" si="9"/>
        <v>745.57603938455327</v>
      </c>
      <c r="G14" s="1894">
        <f>G12-G13</f>
        <v>675.16052941611929</v>
      </c>
      <c r="H14" s="1894">
        <f t="shared" ref="H14:J14" si="10">H12-H13</f>
        <v>704.16771855386173</v>
      </c>
      <c r="I14" s="1894">
        <f t="shared" si="10"/>
        <v>660.47649406767732</v>
      </c>
      <c r="J14" s="1894">
        <f t="shared" si="10"/>
        <v>614.47495897943702</v>
      </c>
      <c r="K14" s="436">
        <f>K12-K13</f>
        <v>4401.6416421024778</v>
      </c>
      <c r="L14" s="436">
        <f t="shared" ref="L14:M14" si="11">L12-L13</f>
        <v>4227.4815668975225</v>
      </c>
      <c r="M14" s="436">
        <f t="shared" si="11"/>
        <v>8214.5</v>
      </c>
      <c r="N14" s="436">
        <f>N12-N13</f>
        <v>9614.1000019999992</v>
      </c>
      <c r="O14" s="159"/>
      <c r="P14" s="4"/>
    </row>
    <row r="15" spans="1:16">
      <c r="A15" s="343" t="s">
        <v>1753</v>
      </c>
      <c r="B15" s="436"/>
      <c r="C15" s="436"/>
      <c r="D15" s="436"/>
      <c r="E15" s="436"/>
      <c r="F15" s="436"/>
      <c r="G15" s="436"/>
      <c r="H15" s="436"/>
      <c r="I15" s="436"/>
      <c r="J15" s="436"/>
      <c r="K15" s="436"/>
      <c r="L15" s="436"/>
      <c r="M15" s="436"/>
      <c r="N15" s="436"/>
      <c r="P15" s="4"/>
    </row>
    <row r="16" spans="1:16" ht="13">
      <c r="A16" s="343" t="s">
        <v>90</v>
      </c>
      <c r="B16" s="1898"/>
      <c r="C16" s="877"/>
      <c r="D16" s="877"/>
      <c r="E16" s="877"/>
      <c r="F16" s="877"/>
      <c r="G16" s="877"/>
      <c r="H16" s="877"/>
      <c r="I16" s="877"/>
      <c r="J16" s="877"/>
      <c r="K16" s="877"/>
      <c r="L16" s="877"/>
      <c r="M16" s="877"/>
      <c r="N16" s="877"/>
      <c r="P16" s="4"/>
    </row>
    <row r="17" spans="1:16" ht="13">
      <c r="A17" s="343" t="s">
        <v>76</v>
      </c>
      <c r="B17" s="877"/>
      <c r="C17" s="877"/>
      <c r="D17" s="877"/>
      <c r="E17" s="877"/>
      <c r="F17" s="877"/>
      <c r="G17" s="877"/>
      <c r="H17" s="877"/>
      <c r="I17" s="877"/>
      <c r="J17" s="877"/>
      <c r="K17" s="877"/>
      <c r="L17" s="877"/>
      <c r="M17" s="877"/>
      <c r="N17" s="877"/>
      <c r="P17" s="4"/>
    </row>
    <row r="18" spans="1:16" ht="13">
      <c r="A18" s="343" t="s">
        <v>145</v>
      </c>
      <c r="B18" s="877"/>
      <c r="C18" s="877"/>
      <c r="D18" s="877"/>
      <c r="E18" s="877"/>
      <c r="F18" s="877"/>
      <c r="G18" s="877"/>
      <c r="H18" s="877"/>
      <c r="I18" s="877"/>
      <c r="J18" s="877"/>
      <c r="K18" s="877"/>
      <c r="L18" s="877"/>
      <c r="M18" s="877"/>
      <c r="N18" s="877"/>
      <c r="P18" s="4"/>
    </row>
    <row r="19" spans="1:16">
      <c r="A19" s="343" t="s">
        <v>1754</v>
      </c>
      <c r="B19" s="74"/>
      <c r="C19" s="74"/>
      <c r="D19" s="74"/>
      <c r="E19" s="74"/>
      <c r="F19" s="74"/>
      <c r="G19" s="74"/>
      <c r="H19" s="74"/>
      <c r="I19" s="74"/>
      <c r="J19" s="74"/>
      <c r="K19" s="74"/>
      <c r="L19" s="74"/>
      <c r="M19" s="74"/>
      <c r="N19" s="74"/>
    </row>
    <row r="20" spans="1:16" ht="13">
      <c r="A20" s="343" t="s">
        <v>90</v>
      </c>
      <c r="B20" s="626">
        <f>'T-6'!I68</f>
        <v>361110.81621246395</v>
      </c>
      <c r="C20" s="1894">
        <v>309688.81590243429</v>
      </c>
      <c r="D20" s="1895">
        <f>Sheet2!C24</f>
        <v>328602</v>
      </c>
      <c r="E20" s="626">
        <v>22402.694860914296</v>
      </c>
      <c r="F20" s="626">
        <v>27990.547033560004</v>
      </c>
      <c r="G20" s="626">
        <v>23467.736186307102</v>
      </c>
      <c r="H20" s="626">
        <v>26758.762639493201</v>
      </c>
      <c r="I20" s="626">
        <v>25800.530611959402</v>
      </c>
      <c r="J20" s="626">
        <v>27920.565724075204</v>
      </c>
      <c r="K20" s="1897">
        <f>'T-6 (six mth)'!I68</f>
        <v>155638.2554151743</v>
      </c>
      <c r="L20" s="877">
        <f>'T-7 (Curr)'!AL66-'T-7 (Curr)'!AI66</f>
        <v>151071.4590143708</v>
      </c>
      <c r="M20" s="436">
        <f>'T-7 (Curr)'!AL66-'T-7 (Curr)'!AI66+'T-6 (six mth)'!I68</f>
        <v>306709.7144295451</v>
      </c>
      <c r="N20" s="74">
        <f>'T-8'!BQ66-'T-8'!BN66</f>
        <v>234553.69745638384</v>
      </c>
      <c r="P20" s="7"/>
    </row>
    <row r="21" spans="1:16" ht="13">
      <c r="A21" s="343" t="s">
        <v>76</v>
      </c>
      <c r="B21" s="626">
        <f>'T-6'!I55</f>
        <v>133952.308754</v>
      </c>
      <c r="C21" s="1894">
        <v>131803.4288594519</v>
      </c>
      <c r="D21" s="1895">
        <f>Sheet2!C23</f>
        <v>135095</v>
      </c>
      <c r="E21" s="626">
        <v>11961.445821096839</v>
      </c>
      <c r="F21" s="626">
        <v>12674.319092619497</v>
      </c>
      <c r="G21" s="626">
        <v>12158.523066527005</v>
      </c>
      <c r="H21" s="626">
        <v>12807.804494348458</v>
      </c>
      <c r="I21" s="626">
        <v>12591.666458956201</v>
      </c>
      <c r="J21" s="626">
        <v>12572.520302805398</v>
      </c>
      <c r="K21" s="1897">
        <f>'T-6 (six mth)'!I55</f>
        <v>74776.854684607009</v>
      </c>
      <c r="L21" s="877">
        <f>'T-7 (Curr)'!AL53-'T-7 (Curr)'!AI53</f>
        <v>77612.014526429251</v>
      </c>
      <c r="M21" s="436">
        <f>'T-7 (Curr)'!AL53-'T-7 (Curr)'!AI53+'T-6 (six mth)'!I55</f>
        <v>152388.86921103625</v>
      </c>
      <c r="N21" s="74">
        <f>'T-8'!BQ53-'T-8'!BN53</f>
        <v>162485.29895174908</v>
      </c>
      <c r="P21" s="7"/>
    </row>
    <row r="22" spans="1:16" ht="13">
      <c r="A22" s="343" t="s">
        <v>44</v>
      </c>
      <c r="B22" s="626">
        <f>'T-6'!I37</f>
        <v>129039.56970932311</v>
      </c>
      <c r="C22" s="1894">
        <v>175690.13805103442</v>
      </c>
      <c r="D22" s="1895">
        <f>Sheet2!C22</f>
        <v>161502</v>
      </c>
      <c r="E22" s="626">
        <v>11501.620333524643</v>
      </c>
      <c r="F22" s="626">
        <v>15592.001015442162</v>
      </c>
      <c r="G22" s="626">
        <v>16109.606307115426</v>
      </c>
      <c r="H22" s="626">
        <v>15826.2735043145</v>
      </c>
      <c r="I22" s="626">
        <v>12614.393675663141</v>
      </c>
      <c r="J22" s="626">
        <v>10920.461699464058</v>
      </c>
      <c r="K22" s="1897">
        <f>'T-6 (six mth)'!I37</f>
        <v>81044.408847711922</v>
      </c>
      <c r="L22" s="877">
        <f>'T-7 (Curr)'!AL35-'T-7 (Curr)'!AI35</f>
        <v>88126.101090195356</v>
      </c>
      <c r="M22" s="436">
        <f>'T-7 (Curr)'!AL35-'T-7 (Curr)'!AI35+'T-6 (six mth)'!I37</f>
        <v>169170.50993790728</v>
      </c>
      <c r="N22" s="74">
        <f>'T-8'!BQ34-'T-8'!BN34</f>
        <v>178077.21836363967</v>
      </c>
      <c r="P22" s="7"/>
    </row>
    <row r="23" spans="1:16" ht="13">
      <c r="A23" s="343" t="s">
        <v>145</v>
      </c>
      <c r="B23" s="1145">
        <f>SUM(B20:B22)</f>
        <v>624102.69467578712</v>
      </c>
      <c r="C23" s="1897">
        <f>SUM(C20:C22)</f>
        <v>617182.38281292061</v>
      </c>
      <c r="D23" s="1897">
        <f>SUM(D20:D22)</f>
        <v>625199</v>
      </c>
      <c r="E23" s="877">
        <f t="shared" ref="E23:N23" si="12">SUM(E20:E22)</f>
        <v>45865.761015535783</v>
      </c>
      <c r="F23" s="877">
        <f t="shared" si="12"/>
        <v>56256.86714162166</v>
      </c>
      <c r="G23" s="877">
        <f t="shared" si="12"/>
        <v>51735.865559949532</v>
      </c>
      <c r="H23" s="877">
        <f t="shared" si="12"/>
        <v>55392.840638156158</v>
      </c>
      <c r="I23" s="877">
        <f t="shared" si="12"/>
        <v>51006.590746578746</v>
      </c>
      <c r="J23" s="877">
        <f t="shared" si="12"/>
        <v>51413.547726344659</v>
      </c>
      <c r="K23" s="877">
        <f t="shared" si="12"/>
        <v>311459.51894749323</v>
      </c>
      <c r="L23" s="877">
        <f t="shared" si="12"/>
        <v>316809.5746309954</v>
      </c>
      <c r="M23" s="877">
        <f t="shared" si="12"/>
        <v>628269.09357848857</v>
      </c>
      <c r="N23" s="877">
        <f t="shared" si="12"/>
        <v>575116.21477177262</v>
      </c>
      <c r="P23" s="7"/>
    </row>
    <row r="24" spans="1:16">
      <c r="A24" s="343" t="s">
        <v>1982</v>
      </c>
      <c r="B24" s="1146">
        <f>B13*5.45*10</f>
        <v>159839.2969665</v>
      </c>
      <c r="C24" s="1894">
        <f t="shared" ref="C24" si="13">C13*5.45*10</f>
        <v>109000</v>
      </c>
      <c r="D24" s="436"/>
      <c r="E24" s="1133">
        <f t="shared" ref="E24:N24" si="14">E13*5.45*10</f>
        <v>9525.7470749999993</v>
      </c>
      <c r="F24" s="1133">
        <f t="shared" si="14"/>
        <v>13071.217815500002</v>
      </c>
      <c r="G24" s="1133">
        <f t="shared" si="14"/>
        <v>9496.560472000001</v>
      </c>
      <c r="H24" s="1133">
        <f t="shared" si="14"/>
        <v>13271.936791999999</v>
      </c>
      <c r="I24" s="1133">
        <f t="shared" si="14"/>
        <v>10735.516165999999</v>
      </c>
      <c r="J24" s="1133">
        <f t="shared" si="14"/>
        <v>11898.004545</v>
      </c>
      <c r="K24" s="725">
        <f t="shared" si="14"/>
        <v>45402.017974999995</v>
      </c>
      <c r="L24" s="725">
        <f t="shared" si="14"/>
        <v>68251.017134500013</v>
      </c>
      <c r="M24" s="725">
        <f t="shared" si="14"/>
        <v>136250</v>
      </c>
      <c r="N24" s="436">
        <f t="shared" si="14"/>
        <v>0</v>
      </c>
      <c r="P24" s="7"/>
    </row>
    <row r="25" spans="1:16">
      <c r="A25" s="343" t="s">
        <v>1985</v>
      </c>
      <c r="B25" s="1146">
        <f>B23-B24</f>
        <v>464263.39770928712</v>
      </c>
      <c r="C25" s="1894">
        <f>C23-C24</f>
        <v>508182.38281292061</v>
      </c>
      <c r="D25" s="436"/>
      <c r="E25" s="1133">
        <f t="shared" ref="E25:M25" si="15">E23-E24</f>
        <v>36340.013940535784</v>
      </c>
      <c r="F25" s="1133">
        <f t="shared" si="15"/>
        <v>43185.64932612166</v>
      </c>
      <c r="G25" s="1133">
        <f t="shared" si="15"/>
        <v>42239.305087949528</v>
      </c>
      <c r="H25" s="1133">
        <f t="shared" si="15"/>
        <v>42120.903846156158</v>
      </c>
      <c r="I25" s="1133">
        <f t="shared" si="15"/>
        <v>40271.074580578745</v>
      </c>
      <c r="J25" s="1133">
        <f t="shared" si="15"/>
        <v>39515.543181344663</v>
      </c>
      <c r="K25" s="725">
        <f t="shared" si="15"/>
        <v>266057.5009724932</v>
      </c>
      <c r="L25" s="725">
        <f t="shared" si="15"/>
        <v>248558.55749649537</v>
      </c>
      <c r="M25" s="725">
        <f t="shared" si="15"/>
        <v>492019.09357848857</v>
      </c>
      <c r="N25" s="436">
        <f>N23-N24</f>
        <v>575116.21477177262</v>
      </c>
      <c r="P25" s="7"/>
    </row>
    <row r="26" spans="1:16">
      <c r="A26" s="23"/>
      <c r="B26" s="74"/>
      <c r="C26" s="1895"/>
      <c r="D26" s="74"/>
      <c r="E26" s="1899"/>
      <c r="F26" s="1899"/>
      <c r="G26" s="1899"/>
      <c r="H26" s="1899"/>
      <c r="I26" s="1899"/>
      <c r="J26" s="1899"/>
      <c r="K26" s="74"/>
      <c r="L26" s="74"/>
      <c r="M26" s="74"/>
      <c r="N26" s="74"/>
    </row>
    <row r="27" spans="1:16">
      <c r="A27" s="343" t="s">
        <v>1755</v>
      </c>
      <c r="B27" s="74"/>
      <c r="C27" s="1895"/>
      <c r="D27" s="74"/>
      <c r="E27" s="74"/>
      <c r="F27" s="74"/>
      <c r="G27" s="74"/>
      <c r="H27" s="74"/>
      <c r="I27" s="74"/>
      <c r="J27" s="74"/>
      <c r="K27" s="74"/>
      <c r="L27" s="74"/>
      <c r="M27" s="74"/>
      <c r="N27" s="74"/>
    </row>
    <row r="28" spans="1:16" ht="13">
      <c r="A28" s="343" t="s">
        <v>90</v>
      </c>
      <c r="B28" s="627">
        <v>357403.67519070709</v>
      </c>
      <c r="C28" s="1895">
        <f t="shared" ref="C28" si="16">C20</f>
        <v>309688.81590243429</v>
      </c>
      <c r="D28" s="1895">
        <f>D20</f>
        <v>328602</v>
      </c>
      <c r="E28" s="626">
        <v>24581.847093069002</v>
      </c>
      <c r="F28" s="626">
        <v>25970.461636619999</v>
      </c>
      <c r="G28" s="626">
        <v>23927.945705608003</v>
      </c>
      <c r="H28" s="626">
        <v>27449.156569449999</v>
      </c>
      <c r="I28" s="626">
        <v>25454.583561555002</v>
      </c>
      <c r="J28" s="626">
        <v>27894.066090874992</v>
      </c>
      <c r="K28" s="1897">
        <f>SUM(E28:J28)</f>
        <v>155278.060657177</v>
      </c>
      <c r="L28" s="877">
        <f>L20</f>
        <v>151071.4590143708</v>
      </c>
      <c r="M28" s="436">
        <f>M20</f>
        <v>306709.7144295451</v>
      </c>
      <c r="N28" s="436">
        <f t="shared" ref="N28" si="17">N20</f>
        <v>234553.69745638384</v>
      </c>
      <c r="O28" s="7"/>
    </row>
    <row r="29" spans="1:16" ht="13">
      <c r="A29" s="343" t="s">
        <v>76</v>
      </c>
      <c r="B29" s="627">
        <v>133963.118470499</v>
      </c>
      <c r="C29" s="1895">
        <f>C21</f>
        <v>131803.4288594519</v>
      </c>
      <c r="D29" s="1895">
        <f>D21</f>
        <v>135095</v>
      </c>
      <c r="E29" s="626">
        <v>12070.006722382999</v>
      </c>
      <c r="F29" s="626">
        <v>11908.541498644998</v>
      </c>
      <c r="G29" s="626">
        <v>12570.734448899997</v>
      </c>
      <c r="H29" s="626">
        <v>12545.909572611461</v>
      </c>
      <c r="I29" s="626">
        <v>12830.893815415002</v>
      </c>
      <c r="J29" s="626">
        <v>12718.791671594001</v>
      </c>
      <c r="K29" s="1897">
        <f>SUM(E29:J29)</f>
        <v>74644.877729548462</v>
      </c>
      <c r="L29" s="877">
        <f>L21</f>
        <v>77612.014526429251</v>
      </c>
      <c r="M29" s="436">
        <f>M21</f>
        <v>152388.86921103625</v>
      </c>
      <c r="N29" s="436">
        <f>N21</f>
        <v>162485.29895174908</v>
      </c>
    </row>
    <row r="30" spans="1:16" ht="13">
      <c r="A30" s="343" t="s">
        <v>44</v>
      </c>
      <c r="B30" s="627">
        <v>133639.10592398662</v>
      </c>
      <c r="C30" s="1895">
        <f>C31-C29-C28</f>
        <v>169518.3142229052</v>
      </c>
      <c r="D30" s="1895">
        <f>D31-D29-D28</f>
        <v>155250.01</v>
      </c>
      <c r="E30" s="626">
        <v>8752.2551929394685</v>
      </c>
      <c r="F30" s="626">
        <v>9062.7716175716159</v>
      </c>
      <c r="G30" s="626">
        <v>12075.02132989862</v>
      </c>
      <c r="H30" s="626">
        <v>12494.445576667771</v>
      </c>
      <c r="I30" s="626">
        <v>10981.175811969564</v>
      </c>
      <c r="J30" s="626">
        <v>10593.188727872845</v>
      </c>
      <c r="K30" s="1897">
        <f>SUM(E30:J30)</f>
        <v>63958.858256919892</v>
      </c>
      <c r="L30" s="877">
        <f>L22*1.15</f>
        <v>101345.01625372465</v>
      </c>
      <c r="M30" s="436">
        <f>M31-M29-M28</f>
        <v>162887.81900212239</v>
      </c>
      <c r="N30" s="436">
        <f>N31-N29-N28</f>
        <v>172326.05621592188</v>
      </c>
    </row>
    <row r="31" spans="1:16" ht="13">
      <c r="A31" s="343" t="s">
        <v>145</v>
      </c>
      <c r="B31" s="724">
        <f>SUM(B28:B30)</f>
        <v>625005.89958519267</v>
      </c>
      <c r="C31" s="1897">
        <f>C23*C37</f>
        <v>611010.55898479139</v>
      </c>
      <c r="D31" s="1897">
        <f>D23*D37</f>
        <v>618947.01</v>
      </c>
      <c r="E31" s="1897">
        <f t="shared" ref="E31:K31" si="18">SUM(E28:E30)</f>
        <v>45404.109008391468</v>
      </c>
      <c r="F31" s="1897">
        <f t="shared" si="18"/>
        <v>46941.774752836616</v>
      </c>
      <c r="G31" s="1897">
        <f t="shared" si="18"/>
        <v>48573.701484406622</v>
      </c>
      <c r="H31" s="1897">
        <f t="shared" si="18"/>
        <v>52489.511718729234</v>
      </c>
      <c r="I31" s="1897">
        <f t="shared" si="18"/>
        <v>49266.65318893957</v>
      </c>
      <c r="J31" s="1897">
        <f t="shared" si="18"/>
        <v>51206.04649034184</v>
      </c>
      <c r="K31" s="1897">
        <f t="shared" si="18"/>
        <v>293881.79664364539</v>
      </c>
      <c r="L31" s="877">
        <f>SUM(L28:L30)</f>
        <v>330028.48979452468</v>
      </c>
      <c r="M31" s="877">
        <f>M23*M37</f>
        <v>621986.40264270373</v>
      </c>
      <c r="N31" s="877">
        <f>N23*N37</f>
        <v>569365.05262405484</v>
      </c>
    </row>
    <row r="32" spans="1:16">
      <c r="A32" s="343" t="s">
        <v>1983</v>
      </c>
      <c r="B32" s="1134">
        <f>B24</f>
        <v>159839.2969665</v>
      </c>
      <c r="C32" s="1894">
        <f t="shared" ref="C32" si="19">C24</f>
        <v>109000</v>
      </c>
      <c r="D32" s="436"/>
      <c r="E32" s="1134">
        <f t="shared" ref="E32:N32" si="20">E24</f>
        <v>9525.7470749999993</v>
      </c>
      <c r="F32" s="1134">
        <f t="shared" si="20"/>
        <v>13071.217815500002</v>
      </c>
      <c r="G32" s="1134">
        <f t="shared" si="20"/>
        <v>9496.560472000001</v>
      </c>
      <c r="H32" s="1134">
        <f t="shared" si="20"/>
        <v>13271.936791999999</v>
      </c>
      <c r="I32" s="1134">
        <f t="shared" si="20"/>
        <v>10735.516165999999</v>
      </c>
      <c r="J32" s="1134">
        <f t="shared" si="20"/>
        <v>11898.004545</v>
      </c>
      <c r="K32" s="726">
        <f t="shared" si="20"/>
        <v>45402.017974999995</v>
      </c>
      <c r="L32" s="726">
        <f t="shared" si="20"/>
        <v>68251.017134500013</v>
      </c>
      <c r="M32" s="726">
        <f t="shared" si="20"/>
        <v>136250</v>
      </c>
      <c r="N32" s="436">
        <f t="shared" si="20"/>
        <v>0</v>
      </c>
    </row>
    <row r="33" spans="1:16">
      <c r="A33" s="343" t="s">
        <v>1984</v>
      </c>
      <c r="B33" s="1132">
        <f>B31-B32</f>
        <v>465166.60261869268</v>
      </c>
      <c r="C33" s="1894">
        <f>C31-C32</f>
        <v>502010.55898479139</v>
      </c>
      <c r="D33" s="436"/>
      <c r="E33" s="1134">
        <f t="shared" ref="E33:M33" si="21">E31-E32</f>
        <v>35878.361933391468</v>
      </c>
      <c r="F33" s="1134">
        <f t="shared" si="21"/>
        <v>33870.556937336616</v>
      </c>
      <c r="G33" s="1134">
        <f t="shared" si="21"/>
        <v>39077.141012406617</v>
      </c>
      <c r="H33" s="1134">
        <f t="shared" si="21"/>
        <v>39217.574926729234</v>
      </c>
      <c r="I33" s="1134">
        <f t="shared" si="21"/>
        <v>38531.137022939569</v>
      </c>
      <c r="J33" s="1134">
        <f t="shared" si="21"/>
        <v>39308.041945341844</v>
      </c>
      <c r="K33" s="726">
        <f t="shared" si="21"/>
        <v>248479.77866864539</v>
      </c>
      <c r="L33" s="726">
        <f t="shared" si="21"/>
        <v>261777.47266002465</v>
      </c>
      <c r="M33" s="726">
        <f t="shared" si="21"/>
        <v>485736.40264270373</v>
      </c>
      <c r="N33" s="436">
        <f>N31-N32</f>
        <v>569365.05262405484</v>
      </c>
    </row>
    <row r="34" spans="1:16" ht="13">
      <c r="A34" s="343"/>
      <c r="B34" s="37"/>
      <c r="C34" s="37"/>
      <c r="D34" s="37"/>
      <c r="E34" s="37"/>
      <c r="F34" s="37"/>
      <c r="G34" s="37"/>
      <c r="H34" s="37"/>
      <c r="I34" s="37"/>
      <c r="J34" s="37"/>
      <c r="K34" s="37"/>
      <c r="L34" s="37"/>
      <c r="M34" s="37"/>
      <c r="N34" s="37"/>
    </row>
    <row r="35" spans="1:16" ht="13">
      <c r="A35" s="1187" t="s">
        <v>1986</v>
      </c>
      <c r="B35" s="736"/>
      <c r="C35" s="736"/>
      <c r="D35" s="736"/>
      <c r="E35" s="736"/>
      <c r="F35" s="736"/>
      <c r="G35" s="736"/>
      <c r="H35" s="736"/>
      <c r="I35" s="736"/>
      <c r="J35" s="736"/>
      <c r="K35" s="736"/>
      <c r="L35" s="736"/>
      <c r="M35" s="1138" t="s">
        <v>1986</v>
      </c>
      <c r="N35" s="1138" t="s">
        <v>2329</v>
      </c>
    </row>
    <row r="36" spans="1:16" ht="13">
      <c r="A36" s="1188" t="s">
        <v>1615</v>
      </c>
      <c r="B36" s="731">
        <f>(B5-B12)/B5</f>
        <v>0.18402614327279831</v>
      </c>
      <c r="C36" s="731">
        <f t="shared" ref="C36:N36" si="22">(C5-C12)/C5</f>
        <v>0.1810937498437501</v>
      </c>
      <c r="D36" s="731">
        <f t="shared" si="22"/>
        <v>0.1808128857443925</v>
      </c>
      <c r="E36" s="731">
        <f t="shared" si="22"/>
        <v>0.24627332651816491</v>
      </c>
      <c r="F36" s="731">
        <f t="shared" si="22"/>
        <v>0.12948444916955695</v>
      </c>
      <c r="G36" s="731">
        <f t="shared" si="22"/>
        <v>0.16886888995596896</v>
      </c>
      <c r="H36" s="731">
        <f t="shared" si="22"/>
        <v>0.13489988337964987</v>
      </c>
      <c r="I36" s="731">
        <f t="shared" si="22"/>
        <v>0.18135045811492645</v>
      </c>
      <c r="J36" s="731">
        <f t="shared" si="22"/>
        <v>0.21635317262478093</v>
      </c>
      <c r="K36" s="731">
        <f t="shared" si="22"/>
        <v>0.17828562613079729</v>
      </c>
      <c r="L36" s="731">
        <f>(L5-L12)/L5</f>
        <v>0.18328210229405137</v>
      </c>
      <c r="M36" s="732">
        <f t="shared" si="22"/>
        <v>0.18084862385321102</v>
      </c>
      <c r="N36" s="732">
        <f t="shared" si="22"/>
        <v>0.16573238441513372</v>
      </c>
      <c r="O36" s="512"/>
    </row>
    <row r="37" spans="1:16" ht="13">
      <c r="A37" s="1188" t="s">
        <v>1603</v>
      </c>
      <c r="B37" s="731">
        <f>B31/B23</f>
        <v>1.0014472055915009</v>
      </c>
      <c r="C37" s="733">
        <v>0.99</v>
      </c>
      <c r="D37" s="733">
        <v>0.99</v>
      </c>
      <c r="E37" s="731">
        <f t="shared" ref="E37:J37" si="23">E31/E23</f>
        <v>0.98993471389283294</v>
      </c>
      <c r="F37" s="731">
        <f t="shared" si="23"/>
        <v>0.83441857213031212</v>
      </c>
      <c r="G37" s="731">
        <f t="shared" si="23"/>
        <v>0.93887868616252845</v>
      </c>
      <c r="H37" s="731">
        <f t="shared" si="23"/>
        <v>0.94758656739789893</v>
      </c>
      <c r="I37" s="731">
        <f t="shared" si="23"/>
        <v>0.96588798560790146</v>
      </c>
      <c r="J37" s="731">
        <f t="shared" si="23"/>
        <v>0.99596407473945836</v>
      </c>
      <c r="K37" s="731">
        <f>K31/K23</f>
        <v>0.94356338068186918</v>
      </c>
      <c r="L37" s="731">
        <f>L31/L23</f>
        <v>1.0417251125662033</v>
      </c>
      <c r="M37" s="1194">
        <f>'T-1'!N75</f>
        <v>0.99</v>
      </c>
      <c r="N37" s="1189">
        <f>'T-1'!S75</f>
        <v>0.99</v>
      </c>
      <c r="O37" s="513"/>
      <c r="P37" s="223"/>
    </row>
    <row r="38" spans="1:16" ht="13">
      <c r="A38" s="1188" t="s">
        <v>1756</v>
      </c>
      <c r="B38" s="734">
        <f t="shared" ref="B38:L38" si="24">1-(100%-B36)*B37</f>
        <v>0.18284526134482415</v>
      </c>
      <c r="C38" s="734">
        <f>1-(100%-C36)*C37</f>
        <v>0.18928281234531263</v>
      </c>
      <c r="D38" s="734">
        <f>1-(100%-D36)*D37</f>
        <v>0.18900475688694851</v>
      </c>
      <c r="E38" s="734">
        <f t="shared" si="24"/>
        <v>0.25385980113336282</v>
      </c>
      <c r="F38" s="734">
        <f t="shared" si="24"/>
        <v>0.27362565705882957</v>
      </c>
      <c r="G38" s="734">
        <f t="shared" si="24"/>
        <v>0.21966871537305621</v>
      </c>
      <c r="H38" s="734">
        <f t="shared" si="24"/>
        <v>0.18024275003620038</v>
      </c>
      <c r="I38" s="734">
        <f t="shared" si="24"/>
        <v>0.20927624306979498</v>
      </c>
      <c r="J38" s="734">
        <f t="shared" si="24"/>
        <v>0.2195159126507279</v>
      </c>
      <c r="K38" s="734">
        <f t="shared" si="24"/>
        <v>0.2246604074370897</v>
      </c>
      <c r="L38" s="734">
        <f t="shared" si="24"/>
        <v>0.14920445607743782</v>
      </c>
      <c r="M38" s="735">
        <f t="shared" ref="M38:N38" si="25">1-(100%-M36)*M37</f>
        <v>0.18904013761467886</v>
      </c>
      <c r="N38" s="735">
        <f t="shared" si="25"/>
        <v>0.17407506057098243</v>
      </c>
      <c r="O38" s="514"/>
      <c r="P38" s="97"/>
    </row>
    <row r="39" spans="1:16">
      <c r="A39" s="1193"/>
    </row>
    <row r="41" spans="1:16" ht="13">
      <c r="A41" s="1190" t="s">
        <v>1981</v>
      </c>
      <c r="B41" s="2193"/>
      <c r="C41" s="2193"/>
      <c r="D41" s="2193"/>
      <c r="E41" s="2193"/>
      <c r="F41" s="2193"/>
      <c r="G41" s="2193"/>
      <c r="H41" s="2193"/>
      <c r="I41" s="2193"/>
      <c r="J41" s="2193"/>
      <c r="K41" s="2193"/>
      <c r="L41" s="2193"/>
      <c r="M41" s="2193"/>
      <c r="N41" s="2193"/>
    </row>
    <row r="42" spans="1:16">
      <c r="A42" s="1191" t="s">
        <v>1615</v>
      </c>
      <c r="B42" s="1192">
        <f>(B7-B14)/B7</f>
        <v>0.23762499565280262</v>
      </c>
      <c r="C42" s="1192">
        <f t="shared" ref="C42" si="26">(C7-C14)/C7</f>
        <v>0.21462962944444455</v>
      </c>
      <c r="D42" s="729"/>
      <c r="E42" s="1192">
        <f t="shared" ref="E42:F42" si="27">(E7-E14)/E7</f>
        <v>0.29775472022851446</v>
      </c>
      <c r="F42" s="1192">
        <f t="shared" si="27"/>
        <v>0.16429402472226035</v>
      </c>
      <c r="G42" s="1192">
        <f>(G7-G14)/G7</f>
        <v>0.20357893503733632</v>
      </c>
      <c r="H42" s="1192">
        <f t="shared" ref="H42:M42" si="28">(H7-H14)/H7</f>
        <v>0.1734598983868943</v>
      </c>
      <c r="I42" s="1192">
        <f t="shared" si="28"/>
        <v>0.22335628617935968</v>
      </c>
      <c r="J42" s="1192">
        <f t="shared" si="28"/>
        <v>0.27228966744646727</v>
      </c>
      <c r="K42" s="1192">
        <f t="shared" si="28"/>
        <v>0.1407711597939332</v>
      </c>
      <c r="L42" s="1192">
        <f t="shared" si="28"/>
        <v>0.22534133484695032</v>
      </c>
      <c r="M42" s="1192">
        <f t="shared" si="28"/>
        <v>0.22358223062381852</v>
      </c>
      <c r="N42" s="1192">
        <f t="shared" ref="N42" si="29">(N7-N14)/N7</f>
        <v>0.16573238441513372</v>
      </c>
    </row>
    <row r="43" spans="1:16">
      <c r="A43" s="1191" t="s">
        <v>1603</v>
      </c>
      <c r="B43" s="1192">
        <f>B33/B25</f>
        <v>1.0019454579315579</v>
      </c>
      <c r="C43" s="1192">
        <f t="shared" ref="C43" si="30">C33/C25</f>
        <v>0.98785510077313865</v>
      </c>
      <c r="D43" s="730"/>
      <c r="E43" s="1192">
        <f t="shared" ref="E43:M43" si="31">E33/E25</f>
        <v>0.98729631727990719</v>
      </c>
      <c r="F43" s="1192">
        <f t="shared" si="31"/>
        <v>0.78430120806008974</v>
      </c>
      <c r="G43" s="1192">
        <f t="shared" si="31"/>
        <v>0.92513692947933823</v>
      </c>
      <c r="H43" s="1192">
        <f t="shared" si="31"/>
        <v>0.9310715427657692</v>
      </c>
      <c r="I43" s="1192">
        <f t="shared" si="31"/>
        <v>0.95679435982872219</v>
      </c>
      <c r="J43" s="1192">
        <f t="shared" si="31"/>
        <v>0.99474887046217342</v>
      </c>
      <c r="K43" s="1192">
        <f t="shared" si="31"/>
        <v>0.93393261892787183</v>
      </c>
      <c r="L43" s="1192">
        <f t="shared" si="31"/>
        <v>1.0531822975506111</v>
      </c>
      <c r="M43" s="1192">
        <f t="shared" si="31"/>
        <v>0.98723079852432072</v>
      </c>
      <c r="N43" s="1192">
        <f>N33/N25</f>
        <v>0.98999999999999988</v>
      </c>
    </row>
    <row r="44" spans="1:16">
      <c r="A44" s="1191" t="s">
        <v>1756</v>
      </c>
      <c r="B44" s="1192">
        <f>1-(1-B42)*B43</f>
        <v>0.23614182715377385</v>
      </c>
      <c r="C44" s="1192">
        <f t="shared" ref="C44:F44" si="32">1-(1-C42)*C43</f>
        <v>0.22416787345060452</v>
      </c>
      <c r="D44" s="730"/>
      <c r="E44" s="1192">
        <f t="shared" si="32"/>
        <v>0.30667582145441419</v>
      </c>
      <c r="F44" s="1192">
        <f t="shared" si="32"/>
        <v>0.34455479400663336</v>
      </c>
      <c r="G44" s="1192">
        <f>1-(1-G42)*G43</f>
        <v>0.26320146138777667</v>
      </c>
      <c r="H44" s="1192">
        <f t="shared" ref="H44:N44" si="33">1-(1-H42)*H43</f>
        <v>0.23043203243331001</v>
      </c>
      <c r="I44" s="1192">
        <f t="shared" si="33"/>
        <v>0.25691167501997914</v>
      </c>
      <c r="J44" s="1192">
        <f t="shared" si="33"/>
        <v>0.27611096866872065</v>
      </c>
      <c r="K44" s="1192">
        <f t="shared" si="33"/>
        <v>0.1975381590079901</v>
      </c>
      <c r="L44" s="1192">
        <f t="shared" si="33"/>
        <v>0.18414320721662158</v>
      </c>
      <c r="M44" s="1192">
        <f t="shared" si="33"/>
        <v>0.23349646555028047</v>
      </c>
      <c r="N44" s="1192">
        <f t="shared" si="33"/>
        <v>0.17407506057098243</v>
      </c>
    </row>
    <row r="46" spans="1:16">
      <c r="B46" s="93"/>
    </row>
    <row r="47" spans="1:16">
      <c r="A47" s="727" t="s">
        <v>1615</v>
      </c>
      <c r="C47" s="97"/>
      <c r="M47" s="347"/>
      <c r="N47" s="93">
        <v>0.16569999999999999</v>
      </c>
    </row>
    <row r="48" spans="1:16">
      <c r="A48" s="727" t="s">
        <v>1603</v>
      </c>
      <c r="N48" s="223">
        <v>0.99</v>
      </c>
    </row>
    <row r="49" spans="1:14" ht="13" thickBot="1">
      <c r="A49" s="728" t="s">
        <v>1756</v>
      </c>
      <c r="N49" s="1137">
        <f>1-(1-N47)*N48</f>
        <v>0.17404299999999995</v>
      </c>
    </row>
    <row r="50" spans="1:14">
      <c r="A50" s="1135" t="s">
        <v>2328</v>
      </c>
      <c r="N50" s="1136">
        <f>1-N47</f>
        <v>0.83430000000000004</v>
      </c>
    </row>
    <row r="54" spans="1:14">
      <c r="K54" s="104"/>
    </row>
  </sheetData>
  <mergeCells count="3">
    <mergeCell ref="E2:J2"/>
    <mergeCell ref="A1:N1"/>
    <mergeCell ref="B41:N41"/>
  </mergeCells>
  <printOptions horizontalCentered="1" gridLines="1"/>
  <pageMargins left="0.19685039370078741" right="0" top="0.78740157480314965" bottom="0.19685039370078741" header="0" footer="0"/>
  <pageSetup paperSize="9" scale="92"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75">
    <pageSetUpPr fitToPage="1"/>
  </sheetPr>
  <dimension ref="B1:N68"/>
  <sheetViews>
    <sheetView topLeftCell="A47" workbookViewId="0">
      <selection activeCell="H54" sqref="H54"/>
    </sheetView>
  </sheetViews>
  <sheetFormatPr defaultRowHeight="12.5"/>
  <cols>
    <col min="1" max="1" width="5.1796875" customWidth="1"/>
    <col min="2" max="2" width="27.81640625" customWidth="1"/>
    <col min="3" max="3" width="12.54296875" bestFit="1" customWidth="1"/>
    <col min="4" max="4" width="16" customWidth="1"/>
    <col min="5" max="5" width="15.26953125" customWidth="1"/>
    <col min="6" max="6" width="16.26953125" customWidth="1"/>
    <col min="7" max="7" width="12.7265625" customWidth="1"/>
    <col min="8" max="8" width="13.54296875" bestFit="1" customWidth="1"/>
    <col min="9" max="10" width="5.7265625" bestFit="1" customWidth="1"/>
    <col min="11" max="12" width="6.81640625" bestFit="1" customWidth="1"/>
    <col min="13" max="13" width="5.7265625" bestFit="1" customWidth="1"/>
    <col min="14" max="14" width="6.81640625" bestFit="1" customWidth="1"/>
    <col min="15" max="19" width="5.7265625" bestFit="1" customWidth="1"/>
    <col min="20" max="20" width="6.81640625" bestFit="1" customWidth="1"/>
    <col min="21" max="21" width="7.81640625" bestFit="1" customWidth="1"/>
  </cols>
  <sheetData>
    <row r="1" spans="2:5" ht="13.5" thickBot="1">
      <c r="B1" s="204"/>
      <c r="E1" s="150"/>
    </row>
    <row r="2" spans="2:5" ht="13">
      <c r="B2" s="519" t="s">
        <v>370</v>
      </c>
      <c r="C2" s="524"/>
      <c r="D2" s="524"/>
      <c r="E2" s="520" t="s">
        <v>1593</v>
      </c>
    </row>
    <row r="3" spans="2:5" ht="42.75" customHeight="1">
      <c r="B3" s="521"/>
      <c r="C3" s="532" t="s">
        <v>1594</v>
      </c>
      <c r="D3" s="532" t="s">
        <v>1966</v>
      </c>
      <c r="E3" s="533" t="s">
        <v>2331</v>
      </c>
    </row>
    <row r="4" spans="2:5" ht="15.5">
      <c r="B4" s="522" t="s">
        <v>1450</v>
      </c>
      <c r="C4" s="343"/>
      <c r="D4" s="343"/>
      <c r="E4" s="435"/>
    </row>
    <row r="5" spans="2:5">
      <c r="B5" s="471" t="s">
        <v>1451</v>
      </c>
      <c r="C5" s="243"/>
      <c r="D5" s="243"/>
      <c r="E5" s="516"/>
    </row>
    <row r="6" spans="2:5">
      <c r="B6" s="471" t="s">
        <v>1088</v>
      </c>
      <c r="C6" s="243"/>
      <c r="D6" s="243"/>
      <c r="E6" s="516"/>
    </row>
    <row r="7" spans="2:5">
      <c r="B7" s="471" t="s">
        <v>1595</v>
      </c>
      <c r="C7" s="436">
        <f>CWIP!H17</f>
        <v>0</v>
      </c>
      <c r="D7" s="436">
        <f>CWIP!R17</f>
        <v>754.03384440000013</v>
      </c>
      <c r="E7" s="437">
        <f>CWIP!AC17</f>
        <v>766.19190948800019</v>
      </c>
    </row>
    <row r="8" spans="2:5" ht="26.15" customHeight="1">
      <c r="B8" s="471" t="s">
        <v>1596</v>
      </c>
      <c r="C8" s="436">
        <f>CWIP!H19</f>
        <v>12694.97031071277</v>
      </c>
      <c r="D8" s="436">
        <f>CWIP!R19</f>
        <v>18491.2</v>
      </c>
      <c r="E8" s="437">
        <f>CWIP!AC19</f>
        <v>18491.2</v>
      </c>
    </row>
    <row r="9" spans="2:5">
      <c r="B9" s="471" t="s">
        <v>532</v>
      </c>
      <c r="C9" s="436">
        <f>CWIP!H22</f>
        <v>0</v>
      </c>
      <c r="D9" s="436"/>
      <c r="E9" s="437"/>
    </row>
    <row r="10" spans="2:5" ht="13" thickBot="1">
      <c r="B10" s="525" t="s">
        <v>1597</v>
      </c>
      <c r="C10" s="527">
        <f>CWIP!H26</f>
        <v>0</v>
      </c>
      <c r="D10" s="527"/>
      <c r="E10" s="528"/>
    </row>
    <row r="11" spans="2:5">
      <c r="B11" s="526" t="s">
        <v>561</v>
      </c>
      <c r="C11" s="529"/>
      <c r="D11" s="529"/>
      <c r="E11" s="530"/>
    </row>
    <row r="12" spans="2:5">
      <c r="B12" s="471" t="s">
        <v>543</v>
      </c>
      <c r="C12" s="436"/>
      <c r="D12" s="436">
        <f>CWIP!R30</f>
        <v>7056.768</v>
      </c>
      <c r="E12" s="437">
        <f>CWIP!AC30</f>
        <v>5035.9939999999997</v>
      </c>
    </row>
    <row r="13" spans="2:5">
      <c r="B13" s="471" t="s">
        <v>544</v>
      </c>
      <c r="C13" s="436"/>
      <c r="D13" s="436">
        <f>CWIP!R31</f>
        <v>8293.98</v>
      </c>
      <c r="E13" s="437">
        <f>CWIP!AC31</f>
        <v>5693.3140000000003</v>
      </c>
    </row>
    <row r="14" spans="2:5">
      <c r="B14" s="471" t="s">
        <v>545</v>
      </c>
      <c r="C14" s="436"/>
      <c r="D14" s="436">
        <f>CWIP!R32</f>
        <v>15353.882</v>
      </c>
      <c r="E14" s="437">
        <f>CWIP!AC32</f>
        <v>12456.304</v>
      </c>
    </row>
    <row r="15" spans="2:5">
      <c r="B15" s="471" t="s">
        <v>546</v>
      </c>
      <c r="C15" s="436"/>
      <c r="D15" s="436">
        <f>CWIP!R33</f>
        <v>15186.138000000001</v>
      </c>
      <c r="E15" s="437">
        <f>CWIP!AC33</f>
        <v>20134.789999999997</v>
      </c>
    </row>
    <row r="16" spans="2:5">
      <c r="B16" s="525" t="s">
        <v>547</v>
      </c>
      <c r="C16" s="527"/>
      <c r="D16" s="527">
        <f>CWIP!R34</f>
        <v>19491.296000000002</v>
      </c>
      <c r="E16" s="528">
        <f>CWIP!AC34</f>
        <v>15702.397999999999</v>
      </c>
    </row>
    <row r="17" spans="2:9">
      <c r="B17" s="343" t="s">
        <v>1598</v>
      </c>
      <c r="C17" s="436"/>
      <c r="D17" s="436">
        <f>SUM(D12:D16)</f>
        <v>65382.063999999998</v>
      </c>
      <c r="E17" s="436">
        <f>SUM(E12:E16)</f>
        <v>59022.8</v>
      </c>
    </row>
    <row r="18" spans="2:9">
      <c r="B18" s="534" t="s">
        <v>1458</v>
      </c>
      <c r="C18" s="436">
        <f>C17+SUM(C7:C10)</f>
        <v>12694.97031071277</v>
      </c>
      <c r="D18" s="436">
        <f>D17+SUM(D7:D10)</f>
        <v>84627.297844400004</v>
      </c>
      <c r="E18" s="436">
        <f>E17+SUM(E7:E10)</f>
        <v>78280.191909488</v>
      </c>
    </row>
    <row r="19" spans="2:9">
      <c r="B19" s="471" t="s">
        <v>1100</v>
      </c>
      <c r="C19" s="436">
        <f>CWIP!H37</f>
        <v>0</v>
      </c>
      <c r="D19" s="436">
        <f>CWIP!R37</f>
        <v>100</v>
      </c>
      <c r="E19" s="437">
        <f>CWIP!AC37</f>
        <v>120</v>
      </c>
    </row>
    <row r="20" spans="2:9">
      <c r="B20" s="471" t="s">
        <v>1094</v>
      </c>
      <c r="C20" s="436">
        <f>CWIP!H38</f>
        <v>0</v>
      </c>
      <c r="D20" s="436">
        <f>CWIP!R38</f>
        <v>50</v>
      </c>
      <c r="E20" s="437">
        <f>CWIP!AC38</f>
        <v>60</v>
      </c>
    </row>
    <row r="21" spans="2:9">
      <c r="B21" s="471" t="s">
        <v>1459</v>
      </c>
      <c r="C21" s="436">
        <f>CWIP!H39</f>
        <v>0</v>
      </c>
      <c r="D21" s="436">
        <f>CWIP!R39</f>
        <v>80</v>
      </c>
      <c r="E21" s="437">
        <f>CWIP!AC39</f>
        <v>100</v>
      </c>
    </row>
    <row r="22" spans="2:9" ht="13" thickBot="1">
      <c r="B22" s="523" t="s">
        <v>145</v>
      </c>
      <c r="C22" s="531">
        <f>C18+C19+C20+C21</f>
        <v>12694.97031071277</v>
      </c>
      <c r="D22" s="531">
        <f>D18+D19+D20+D21</f>
        <v>84857.297844400004</v>
      </c>
      <c r="E22" s="531">
        <f>E18+E19+E20+E21</f>
        <v>78560.191909488</v>
      </c>
    </row>
    <row r="25" spans="2:9" ht="13">
      <c r="B25" s="3"/>
      <c r="C25" s="2"/>
      <c r="D25" s="2"/>
      <c r="E25" s="2"/>
    </row>
    <row r="27" spans="2:9" ht="13">
      <c r="B27" s="542" t="s">
        <v>1599</v>
      </c>
      <c r="C27" s="542" t="s">
        <v>101</v>
      </c>
      <c r="D27" s="542" t="s">
        <v>1965</v>
      </c>
      <c r="E27" s="542" t="s">
        <v>2332</v>
      </c>
    </row>
    <row r="28" spans="2:9" ht="13">
      <c r="B28" s="518" t="s">
        <v>100</v>
      </c>
      <c r="C28" s="94"/>
      <c r="D28" s="94"/>
      <c r="E28" s="94"/>
    </row>
    <row r="29" spans="2:9">
      <c r="B29" s="94" t="s">
        <v>44</v>
      </c>
      <c r="C29" s="535">
        <f>'T-1'!G37</f>
        <v>2581.9842146790297</v>
      </c>
      <c r="D29" s="535">
        <f>'T-1'!N37</f>
        <v>3340.5</v>
      </c>
      <c r="E29" s="535">
        <f>'T-1'!S37</f>
        <v>3544.0999999999995</v>
      </c>
      <c r="I29" s="4"/>
    </row>
    <row r="30" spans="2:9">
      <c r="B30" s="94" t="s">
        <v>76</v>
      </c>
      <c r="C30" s="535">
        <f>'T-1'!G56</f>
        <v>2164.9413414999999</v>
      </c>
      <c r="D30" s="535">
        <f>'T-1'!N56</f>
        <v>2444</v>
      </c>
      <c r="E30" s="535">
        <f>'T-1'!S56</f>
        <v>2590.0000019999998</v>
      </c>
      <c r="I30" s="4"/>
    </row>
    <row r="31" spans="2:9" ht="13">
      <c r="B31" s="537" t="s">
        <v>1600</v>
      </c>
      <c r="C31" s="538">
        <f>SUM(C29:C30)</f>
        <v>4746.9255561790296</v>
      </c>
      <c r="D31" s="538">
        <f>SUM(D29:D30)</f>
        <v>5784.5</v>
      </c>
      <c r="E31" s="538">
        <f>SUM(E29:E30)</f>
        <v>6134.1000019999992</v>
      </c>
      <c r="I31" s="4"/>
    </row>
    <row r="32" spans="2:9">
      <c r="B32" s="94" t="s">
        <v>90</v>
      </c>
      <c r="C32" s="535">
        <f>'T-1'!G69</f>
        <v>5862.6969984000007</v>
      </c>
      <c r="D32" s="535">
        <f>'T-1'!N69</f>
        <v>4930</v>
      </c>
      <c r="E32" s="535">
        <f>'T-1'!S69</f>
        <v>3480</v>
      </c>
    </row>
    <row r="33" spans="2:14" ht="13">
      <c r="B33" s="94" t="s">
        <v>145</v>
      </c>
      <c r="C33" s="536">
        <f>C32+C31</f>
        <v>10609.622554579029</v>
      </c>
      <c r="D33" s="536">
        <f>D32+D31</f>
        <v>10714.5</v>
      </c>
      <c r="E33" s="536">
        <f>E32+E31</f>
        <v>9614.1000019999992</v>
      </c>
    </row>
    <row r="34" spans="2:14">
      <c r="B34" s="94" t="s">
        <v>102</v>
      </c>
      <c r="C34" s="535">
        <f>'T-1'!G72</f>
        <v>13002.405000000001</v>
      </c>
      <c r="D34" s="535">
        <f>'T-1'!N72</f>
        <v>13080</v>
      </c>
      <c r="E34" s="535">
        <f>'T-1'!S72</f>
        <v>11524</v>
      </c>
    </row>
    <row r="35" spans="2:14">
      <c r="B35" s="537" t="s">
        <v>103</v>
      </c>
      <c r="C35" s="539">
        <f>C34-C32</f>
        <v>7139.7080016</v>
      </c>
      <c r="D35" s="539">
        <f>D34-D32</f>
        <v>8150</v>
      </c>
      <c r="E35" s="539">
        <f>E34-E32</f>
        <v>8044</v>
      </c>
    </row>
    <row r="36" spans="2:14">
      <c r="B36" s="540" t="s">
        <v>1601</v>
      </c>
      <c r="C36" s="541">
        <f>'T-1'!G90</f>
        <v>0</v>
      </c>
      <c r="D36" s="541">
        <f>'T-1'!N90</f>
        <v>0</v>
      </c>
      <c r="E36" s="541">
        <f>'T-1'!S90</f>
        <v>0</v>
      </c>
      <c r="F36" s="93"/>
    </row>
    <row r="37" spans="2:14" ht="13">
      <c r="B37" s="542" t="s">
        <v>1602</v>
      </c>
      <c r="C37" s="543">
        <f>(C34-C33)/C34</f>
        <v>0.18402614327280001</v>
      </c>
      <c r="D37" s="543">
        <f>(D34-D33)/D34</f>
        <v>0.18084862385321102</v>
      </c>
      <c r="E37" s="543">
        <f>(E34-E33)/E34</f>
        <v>0.16573238441513372</v>
      </c>
    </row>
    <row r="38" spans="2:14">
      <c r="B38" s="94"/>
      <c r="C38" s="24"/>
      <c r="D38" s="24"/>
      <c r="E38" s="24"/>
    </row>
    <row r="39" spans="2:14">
      <c r="B39" s="537" t="s">
        <v>1603</v>
      </c>
      <c r="C39" s="544">
        <f>'T-1'!G75</f>
        <v>1.0014472055915009</v>
      </c>
      <c r="D39" s="545">
        <f>'T-1'!N75</f>
        <v>0.99</v>
      </c>
      <c r="E39" s="545">
        <f>'T-1'!S75</f>
        <v>0.99</v>
      </c>
    </row>
    <row r="40" spans="2:14">
      <c r="B40" s="537" t="s">
        <v>1604</v>
      </c>
      <c r="C40" s="544">
        <f>1-(1-C37)*C39</f>
        <v>0.18284526134482582</v>
      </c>
      <c r="D40" s="544">
        <f>1-(1-D37)*D39</f>
        <v>0.18904013761467886</v>
      </c>
      <c r="E40" s="544">
        <f>1-(1-E37)*E39</f>
        <v>0.17407506057098243</v>
      </c>
    </row>
    <row r="41" spans="2:14" ht="13" thickBot="1">
      <c r="E41" s="97"/>
    </row>
    <row r="42" spans="2:14" ht="13.5" thickBot="1">
      <c r="B42" s="547"/>
      <c r="C42" s="548" t="s">
        <v>101</v>
      </c>
      <c r="D42" s="2194" t="s">
        <v>1964</v>
      </c>
      <c r="E42" s="2194"/>
      <c r="F42" s="2194"/>
      <c r="G42" s="2194"/>
      <c r="H42" s="520" t="s">
        <v>2268</v>
      </c>
    </row>
    <row r="43" spans="2:14" ht="52.5" customHeight="1" thickTop="1">
      <c r="B43" s="549" t="s">
        <v>370</v>
      </c>
      <c r="C43" s="712" t="s">
        <v>2333</v>
      </c>
      <c r="D43" s="713" t="s">
        <v>1607</v>
      </c>
      <c r="E43" s="714" t="s">
        <v>2334</v>
      </c>
      <c r="F43" s="714" t="s">
        <v>2335</v>
      </c>
      <c r="G43" s="714" t="s">
        <v>2336</v>
      </c>
      <c r="H43" s="715" t="s">
        <v>2337</v>
      </c>
    </row>
    <row r="44" spans="2:14">
      <c r="B44" s="92" t="s">
        <v>1608</v>
      </c>
      <c r="C44" s="75">
        <f>'T-1'!G72</f>
        <v>13002.405000000001</v>
      </c>
      <c r="D44" s="74">
        <f>Sheet2!C5</f>
        <v>13286</v>
      </c>
      <c r="E44" s="74">
        <f>'F-4'!E48</f>
        <v>6370.4692999999997</v>
      </c>
      <c r="F44" s="75">
        <f>summary!L5</f>
        <v>6709.5307000000003</v>
      </c>
      <c r="G44" s="74">
        <f>'T-1'!N72</f>
        <v>13080</v>
      </c>
      <c r="H44" s="74">
        <f>'T-1'!S72</f>
        <v>11524</v>
      </c>
    </row>
    <row r="45" spans="2:14">
      <c r="B45" s="92" t="s">
        <v>1609</v>
      </c>
      <c r="C45" s="74">
        <f>'T-1'!G71</f>
        <v>10609.622554579029</v>
      </c>
      <c r="D45" s="74">
        <f>Sheet2!C12</f>
        <v>10883.720000000001</v>
      </c>
      <c r="E45" s="74">
        <f>'T-1'!K71</f>
        <v>5234.7073012675555</v>
      </c>
      <c r="F45" s="75">
        <f>summary!L12</f>
        <v>5479.7938078975221</v>
      </c>
      <c r="G45" s="74">
        <f>'T-1'!N71</f>
        <v>10714.5</v>
      </c>
      <c r="H45" s="74">
        <f>'T-1'!S71</f>
        <v>9614.1000019999992</v>
      </c>
      <c r="J45" s="4"/>
    </row>
    <row r="46" spans="2:14" ht="15">
      <c r="B46" s="92" t="s">
        <v>577</v>
      </c>
      <c r="C46" s="307">
        <f t="shared" ref="C46:H46" si="0">(C44-C45)/C44</f>
        <v>0.18402614327280001</v>
      </c>
      <c r="D46" s="307">
        <f>(D44-D45)/D44</f>
        <v>0.1808128857443925</v>
      </c>
      <c r="E46" s="307">
        <f>(E44-E45)/E44</f>
        <v>0.17828545202037852</v>
      </c>
      <c r="F46" s="307">
        <f>(F44-F45)/F44</f>
        <v>0.18328210229405137</v>
      </c>
      <c r="G46" s="307">
        <f>(G44-G45)/G44</f>
        <v>0.18084862385321102</v>
      </c>
      <c r="H46" s="307">
        <f t="shared" si="0"/>
        <v>0.16573238441513372</v>
      </c>
      <c r="N46" s="492"/>
    </row>
    <row r="47" spans="2:14" ht="15">
      <c r="B47" s="92" t="s">
        <v>1603</v>
      </c>
      <c r="C47" s="221">
        <f>C39</f>
        <v>1.0014472055915009</v>
      </c>
      <c r="D47" s="221">
        <v>0.99</v>
      </c>
      <c r="E47" s="221">
        <f>'T-1'!K75</f>
        <v>0.94356338068186918</v>
      </c>
      <c r="F47" s="221">
        <f>summary!L37</f>
        <v>1.0417251125662033</v>
      </c>
      <c r="G47" s="221">
        <f>'T-1'!N75</f>
        <v>0.99</v>
      </c>
      <c r="H47" s="221">
        <f>'T-1'!S75</f>
        <v>0.99</v>
      </c>
      <c r="N47" s="493"/>
    </row>
    <row r="48" spans="2:14" ht="15.5" thickBot="1">
      <c r="B48" s="550" t="s">
        <v>1610</v>
      </c>
      <c r="C48" s="716">
        <f t="shared" ref="C48:H48" si="1">1-(1-C46)*C47</f>
        <v>0.18284526134482582</v>
      </c>
      <c r="D48" s="716">
        <f>1-(1-D46)*D47</f>
        <v>0.18900475688694851</v>
      </c>
      <c r="E48" s="716">
        <f>1-(1-E46)*E47</f>
        <v>0.22466024315287436</v>
      </c>
      <c r="F48" s="716">
        <f>1-(1-F46)*F47</f>
        <v>0.14920445607743782</v>
      </c>
      <c r="G48" s="716">
        <f>1-(1-G46)*G47</f>
        <v>0.18904013761467886</v>
      </c>
      <c r="H48" s="716">
        <f t="shared" si="1"/>
        <v>0.17407506057098243</v>
      </c>
      <c r="N48" s="493"/>
    </row>
    <row r="49" spans="2:14" ht="15">
      <c r="B49" s="77"/>
      <c r="C49" s="77"/>
      <c r="D49" s="77"/>
      <c r="E49" s="77"/>
      <c r="F49" s="77"/>
      <c r="G49" s="77"/>
      <c r="H49" s="77"/>
      <c r="N49" s="493"/>
    </row>
    <row r="50" spans="2:14" ht="26">
      <c r="B50" s="546" t="s">
        <v>370</v>
      </c>
      <c r="C50" s="546" t="s">
        <v>2333</v>
      </c>
      <c r="D50" s="546" t="s">
        <v>1607</v>
      </c>
      <c r="E50" s="546" t="s">
        <v>2334</v>
      </c>
      <c r="F50" s="546" t="s">
        <v>2335</v>
      </c>
      <c r="G50" s="546" t="s">
        <v>2336</v>
      </c>
      <c r="H50" s="546" t="s">
        <v>2337</v>
      </c>
      <c r="N50" s="494"/>
    </row>
    <row r="51" spans="2:14" ht="15">
      <c r="B51" s="551" t="s">
        <v>1611</v>
      </c>
      <c r="C51" s="551"/>
      <c r="D51" s="551"/>
      <c r="E51" s="551"/>
      <c r="F51" s="551"/>
      <c r="G51" s="551"/>
      <c r="H51" s="551"/>
      <c r="N51" s="494"/>
    </row>
    <row r="52" spans="2:14" ht="15">
      <c r="B52" s="551" t="s">
        <v>44</v>
      </c>
      <c r="C52" s="552">
        <f>'T-6'!J37</f>
        <v>499.76901158712769</v>
      </c>
      <c r="D52" s="552">
        <f>Sheet2!C17</f>
        <v>484.64606271212381</v>
      </c>
      <c r="E52" s="552">
        <f>'T-6 (six mth)'!J37</f>
        <v>508.13408624061401</v>
      </c>
      <c r="F52" s="552">
        <f>('T-7 (Curr)'!Z35)</f>
        <v>501.60725527850991</v>
      </c>
      <c r="G52" s="552">
        <f>(('T-6 (six mth)'!I37+'T-7 (Curr)'!AL35)/('T-6 (six mth)'!H37+'T-7 (Curr)'!D35))*10</f>
        <v>506.42290914197099</v>
      </c>
      <c r="H52" s="552">
        <f>'T-8'!AY34</f>
        <v>502.71380021064778</v>
      </c>
      <c r="L52" s="9"/>
      <c r="N52" s="493"/>
    </row>
    <row r="53" spans="2:14" ht="15">
      <c r="B53" s="551" t="s">
        <v>76</v>
      </c>
      <c r="C53" s="552">
        <f>'T-6'!J55</f>
        <v>618.73412542988285</v>
      </c>
      <c r="D53" s="552">
        <f>Sheet2!C18</f>
        <v>614.12121955987107</v>
      </c>
      <c r="E53" s="552">
        <f>'T-6 (six mth)'!J55</f>
        <v>614.12308573352345</v>
      </c>
      <c r="F53" s="552">
        <f>('T-7 (Curr)'!Z53)</f>
        <v>609.29933401536732</v>
      </c>
      <c r="G53" s="552">
        <f>(('T-6 (six mth)'!I55+'T-7 (Curr)'!AL53)/('T-6 (six mth)'!H55+'T-7 (Curr)'!D53))*10</f>
        <v>611.65683184152522</v>
      </c>
      <c r="H53" s="552">
        <f>'T-8'!AY53</f>
        <v>620.6703899232441</v>
      </c>
      <c r="L53" s="9"/>
      <c r="N53" s="495"/>
    </row>
    <row r="54" spans="2:14">
      <c r="B54" s="551" t="s">
        <v>90</v>
      </c>
      <c r="C54" s="552">
        <f>'T-6'!J68</f>
        <v>615.94657938320086</v>
      </c>
      <c r="D54" s="552">
        <f>Sheet2!C19</f>
        <v>614.03259622463816</v>
      </c>
      <c r="E54" s="552">
        <f>'T-6 (six mth)'!J68</f>
        <v>642.56382856566472</v>
      </c>
      <c r="F54" s="552">
        <f>('T-7 (Curr)'!Z66)</f>
        <v>584.23062119607175</v>
      </c>
      <c r="G54" s="552">
        <f>(('T-6 (six mth)'!I68+'T-7 (Curr)'!AL66)/('T-6 (six mth)'!H68+'T-7 (Curr)'!D66))*10</f>
        <v>612.44397878856728</v>
      </c>
      <c r="H54" s="552">
        <f>'T-8'!AY66</f>
        <v>665.4608120894577</v>
      </c>
      <c r="L54" s="9"/>
    </row>
    <row r="55" spans="2:14" ht="17.5">
      <c r="B55" s="553" t="s">
        <v>145</v>
      </c>
      <c r="C55" s="554">
        <f>'T-6'!J69</f>
        <v>588.24212801003659</v>
      </c>
      <c r="D55" s="555">
        <f>Sheet2!C20</f>
        <v>574.43502772948943</v>
      </c>
      <c r="E55" s="555">
        <f>'T-6 (six mth)'!J69</f>
        <v>594.98950920634377</v>
      </c>
      <c r="F55" s="556">
        <f>('T-7 (Curr)'!Z67)</f>
        <v>564.19705069037479</v>
      </c>
      <c r="G55" s="554">
        <f>(('T-6 (six mth)'!I69+'T-7 (Curr)'!AL67)/('T-6 (six mth)'!H69+'T-7 (Curr)'!D67))*10</f>
        <v>579.59079500929772</v>
      </c>
      <c r="H55" s="554">
        <f>'T-8'!AY67</f>
        <v>600.18842095886112</v>
      </c>
      <c r="L55" s="9"/>
    </row>
    <row r="56" spans="2:14" ht="102.75" customHeight="1">
      <c r="B56" s="2195" t="s">
        <v>1612</v>
      </c>
      <c r="C56" s="2196"/>
      <c r="D56" s="2196"/>
      <c r="E56" s="2196"/>
      <c r="F56" s="2196"/>
      <c r="G56" s="2196"/>
      <c r="H56" s="2196"/>
    </row>
    <row r="57" spans="2:14">
      <c r="C57" s="300"/>
      <c r="D57" s="300"/>
      <c r="E57" s="300"/>
      <c r="F57" s="300"/>
      <c r="H57" s="300"/>
    </row>
    <row r="58" spans="2:14">
      <c r="B58" s="1149"/>
      <c r="C58" s="1106" t="s">
        <v>796</v>
      </c>
      <c r="D58" s="1106" t="s">
        <v>797</v>
      </c>
      <c r="E58" s="1106" t="s">
        <v>145</v>
      </c>
      <c r="F58" s="9"/>
      <c r="H58" s="9"/>
    </row>
    <row r="59" spans="2:14">
      <c r="B59" s="1149" t="s">
        <v>2103</v>
      </c>
      <c r="C59" s="1155">
        <f>148+478</f>
        <v>626</v>
      </c>
      <c r="D59" s="1155">
        <f>7+1821</f>
        <v>1828</v>
      </c>
      <c r="E59" s="1155">
        <f>SUM(C59:D59)</f>
        <v>2454</v>
      </c>
    </row>
    <row r="60" spans="2:14">
      <c r="B60" s="1149" t="s">
        <v>2104</v>
      </c>
      <c r="C60" s="1155">
        <f>291</f>
        <v>291</v>
      </c>
      <c r="D60" s="1155">
        <f>98</f>
        <v>98</v>
      </c>
      <c r="E60" s="1155">
        <f>SUM(C60:D60)</f>
        <v>389</v>
      </c>
    </row>
    <row r="61" spans="2:14" ht="25">
      <c r="B61" s="1154" t="s">
        <v>2105</v>
      </c>
      <c r="C61" s="1155">
        <v>35</v>
      </c>
      <c r="D61" s="1155">
        <v>173</v>
      </c>
      <c r="E61" s="1155">
        <f>SUM(C61:D61)</f>
        <v>208</v>
      </c>
    </row>
    <row r="62" spans="2:14">
      <c r="B62" s="1149" t="s">
        <v>2106</v>
      </c>
      <c r="C62" s="1155">
        <f>C59+C60-C61</f>
        <v>882</v>
      </c>
      <c r="D62" s="1155">
        <f t="shared" ref="D62:E62" si="2">D59+D60-D61</f>
        <v>1753</v>
      </c>
      <c r="E62" s="1155">
        <f t="shared" si="2"/>
        <v>2635</v>
      </c>
    </row>
    <row r="63" spans="2:14">
      <c r="B63" s="1149" t="s">
        <v>2107</v>
      </c>
      <c r="C63" s="1155">
        <f>606+0</f>
        <v>606</v>
      </c>
      <c r="D63" s="1155">
        <v>87</v>
      </c>
      <c r="E63" s="1155">
        <f>SUM(C63:D63)</f>
        <v>693</v>
      </c>
    </row>
    <row r="64" spans="2:14" ht="25">
      <c r="B64" s="1154" t="s">
        <v>2108</v>
      </c>
      <c r="C64" s="1155">
        <f>26+5</f>
        <v>31</v>
      </c>
      <c r="D64" s="1155">
        <f>5+104</f>
        <v>109</v>
      </c>
      <c r="E64" s="1155">
        <f>SUM(C64:D64)</f>
        <v>140</v>
      </c>
    </row>
    <row r="65" spans="2:5">
      <c r="B65" s="1149" t="s">
        <v>2109</v>
      </c>
      <c r="C65" s="1155">
        <f>C62+C63-C64</f>
        <v>1457</v>
      </c>
      <c r="D65" s="1155">
        <f t="shared" ref="D65" si="3">D62+D63-D64</f>
        <v>1731</v>
      </c>
      <c r="E65" s="1155">
        <f>SUM(C65:D65)</f>
        <v>3188</v>
      </c>
    </row>
    <row r="66" spans="2:5">
      <c r="B66" s="1149" t="s">
        <v>2110</v>
      </c>
      <c r="C66" s="1155">
        <f>647</f>
        <v>647</v>
      </c>
      <c r="D66" s="1155">
        <v>114</v>
      </c>
      <c r="E66" s="1155">
        <f>SUM(C66:D66)</f>
        <v>761</v>
      </c>
    </row>
    <row r="67" spans="2:5" ht="25">
      <c r="B67" s="1154" t="s">
        <v>2111</v>
      </c>
      <c r="C67" s="1155">
        <f>4</f>
        <v>4</v>
      </c>
      <c r="D67" s="1155">
        <v>84</v>
      </c>
      <c r="E67" s="1155">
        <f>SUM(C67:D67)</f>
        <v>88</v>
      </c>
    </row>
    <row r="68" spans="2:5">
      <c r="B68" s="883" t="s">
        <v>2112</v>
      </c>
      <c r="C68" s="884">
        <f>C65+C66-C67</f>
        <v>2100</v>
      </c>
      <c r="D68" s="884">
        <f t="shared" ref="D68:E68" si="4">D65+D66-D67</f>
        <v>1761</v>
      </c>
      <c r="E68" s="884">
        <f t="shared" si="4"/>
        <v>3861</v>
      </c>
    </row>
  </sheetData>
  <mergeCells count="2">
    <mergeCell ref="D42:G42"/>
    <mergeCell ref="B56:H56"/>
  </mergeCells>
  <phoneticPr fontId="0" type="noConversion"/>
  <printOptions horizontalCentered="1" gridLines="1"/>
  <pageMargins left="0.23622047244094491" right="0" top="0" bottom="0.23622047244094491" header="0" footer="0"/>
  <pageSetup paperSize="9" scale="73" orientation="landscape" r:id="rId1"/>
  <headerFooter alignWithMargins="0">
    <oddHeader xml:space="preserve">&amp;C&amp;"Arial,Bold"&amp;12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76">
    <tabColor rgb="FFFFFF00"/>
  </sheetPr>
  <dimension ref="A1:O54"/>
  <sheetViews>
    <sheetView topLeftCell="A17" workbookViewId="0">
      <selection activeCell="K56" sqref="K56"/>
    </sheetView>
  </sheetViews>
  <sheetFormatPr defaultRowHeight="12.5"/>
  <cols>
    <col min="1" max="1" width="3.81640625" customWidth="1"/>
    <col min="2" max="2" width="23.26953125" bestFit="1" customWidth="1"/>
    <col min="3" max="3" width="12.54296875" bestFit="1" customWidth="1"/>
    <col min="4" max="4" width="12.7265625" customWidth="1"/>
    <col min="5" max="5" width="11.81640625" bestFit="1" customWidth="1"/>
    <col min="7" max="7" width="9.7265625" bestFit="1" customWidth="1"/>
    <col min="11" max="11" width="32" bestFit="1" customWidth="1"/>
    <col min="12" max="12" width="13.26953125" customWidth="1"/>
    <col min="13" max="13" width="10.7265625" bestFit="1" customWidth="1"/>
    <col min="14" max="14" width="9.54296875" bestFit="1" customWidth="1"/>
  </cols>
  <sheetData>
    <row r="1" spans="1:15" ht="13">
      <c r="A1" s="2" t="s">
        <v>370</v>
      </c>
    </row>
    <row r="2" spans="1:15" ht="13">
      <c r="A2" s="2" t="s">
        <v>2284</v>
      </c>
    </row>
    <row r="3" spans="1:15">
      <c r="E3" t="s">
        <v>1613</v>
      </c>
    </row>
    <row r="4" spans="1:15" ht="26.25" customHeight="1" thickBot="1">
      <c r="A4" s="17"/>
      <c r="B4" s="215" t="s">
        <v>592</v>
      </c>
      <c r="C4" s="642" t="s">
        <v>2282</v>
      </c>
      <c r="D4" s="215" t="s">
        <v>2283</v>
      </c>
      <c r="E4" s="215" t="s">
        <v>1614</v>
      </c>
    </row>
    <row r="5" spans="1:15" ht="13" thickTop="1">
      <c r="B5" t="s">
        <v>102</v>
      </c>
      <c r="C5" s="643">
        <v>13286</v>
      </c>
      <c r="D5" s="4">
        <f>'T-1'!N72</f>
        <v>13080</v>
      </c>
      <c r="E5" s="4">
        <f>C5-D5</f>
        <v>206</v>
      </c>
    </row>
    <row r="6" spans="1:15">
      <c r="C6" s="235">
        <f>C32/C5/10</f>
        <v>4.1611169652265545</v>
      </c>
      <c r="D6" s="235">
        <f>D32/D5/10</f>
        <v>4.006690494418959</v>
      </c>
      <c r="E6" s="4"/>
    </row>
    <row r="7" spans="1:15">
      <c r="B7" t="s">
        <v>100</v>
      </c>
      <c r="C7" s="4"/>
      <c r="D7" s="4"/>
      <c r="E7" s="4"/>
    </row>
    <row r="8" spans="1:15">
      <c r="B8" t="s">
        <v>44</v>
      </c>
      <c r="C8" s="643">
        <v>3332.37</v>
      </c>
      <c r="D8" s="4">
        <f>'T-1'!N37</f>
        <v>3340.5</v>
      </c>
      <c r="E8" s="4">
        <f t="shared" ref="E8:E14" si="0">C8-D8</f>
        <v>-8.1300000000001091</v>
      </c>
      <c r="G8" s="4"/>
    </row>
    <row r="9" spans="1:15">
      <c r="B9" t="s">
        <v>76</v>
      </c>
      <c r="C9" s="643">
        <v>2199.81</v>
      </c>
      <c r="D9" s="4">
        <f>'T-1'!N56</f>
        <v>2444</v>
      </c>
      <c r="E9" s="4">
        <f t="shared" si="0"/>
        <v>-244.19000000000005</v>
      </c>
    </row>
    <row r="10" spans="1:15" ht="13">
      <c r="B10" t="s">
        <v>1600</v>
      </c>
      <c r="C10" s="159">
        <f>C9+C8</f>
        <v>5532.18</v>
      </c>
      <c r="D10" s="159">
        <f>D9+D8</f>
        <v>5784.5</v>
      </c>
      <c r="E10" s="159">
        <f>E9+E8</f>
        <v>-252.32000000000016</v>
      </c>
    </row>
    <row r="11" spans="1:15">
      <c r="B11" t="s">
        <v>90</v>
      </c>
      <c r="C11" s="643">
        <v>5351.54</v>
      </c>
      <c r="D11" s="4">
        <f>'T-1'!N69</f>
        <v>4930</v>
      </c>
      <c r="E11" s="4">
        <f t="shared" si="0"/>
        <v>421.53999999999996</v>
      </c>
    </row>
    <row r="12" spans="1:15" ht="13">
      <c r="B12" t="s">
        <v>145</v>
      </c>
      <c r="C12" s="159">
        <f>C11+C10</f>
        <v>10883.720000000001</v>
      </c>
      <c r="D12" s="159">
        <f>D11+D10</f>
        <v>10714.5</v>
      </c>
      <c r="E12" s="159">
        <f t="shared" si="0"/>
        <v>169.22000000000116</v>
      </c>
    </row>
    <row r="13" spans="1:15" ht="14">
      <c r="B13" s="347" t="s">
        <v>1615</v>
      </c>
      <c r="C13" s="214">
        <f>(C5-C12)/C5</f>
        <v>0.1808128857443925</v>
      </c>
      <c r="D13" s="214">
        <f>(D5-D12)/D5</f>
        <v>0.18084862385321102</v>
      </c>
      <c r="E13" s="214">
        <f t="shared" si="0"/>
        <v>-3.5738108818517134E-5</v>
      </c>
      <c r="G13" s="4"/>
      <c r="K13" s="2197"/>
      <c r="L13" s="450"/>
      <c r="M13" s="2198"/>
      <c r="N13" s="2198"/>
      <c r="O13" s="2198"/>
    </row>
    <row r="14" spans="1:15" ht="14">
      <c r="B14" s="347" t="s">
        <v>1616</v>
      </c>
      <c r="C14" s="214">
        <f>((C5-C11)-C10)/(C5-C11)</f>
        <v>0.30276540558525716</v>
      </c>
      <c r="D14" s="214">
        <f>((D5-D11)-D10)/(D5-D11)</f>
        <v>0.29024539877300615</v>
      </c>
      <c r="E14" s="214">
        <f t="shared" si="0"/>
        <v>1.2520006812251017E-2</v>
      </c>
      <c r="K14" s="2197"/>
      <c r="L14" s="450"/>
      <c r="M14" s="2198"/>
      <c r="N14" s="2198"/>
      <c r="O14" s="2198"/>
    </row>
    <row r="15" spans="1:15" ht="14">
      <c r="C15" s="214"/>
      <c r="D15" s="214"/>
      <c r="E15" s="214"/>
      <c r="K15" s="236"/>
      <c r="L15" s="237"/>
      <c r="M15" s="238"/>
      <c r="N15" s="238"/>
      <c r="O15" s="239"/>
    </row>
    <row r="16" spans="1:15" ht="14">
      <c r="B16" s="2" t="s">
        <v>1617</v>
      </c>
      <c r="K16" s="236"/>
      <c r="L16" s="237"/>
      <c r="M16" s="240"/>
      <c r="N16" s="240"/>
      <c r="O16" s="241"/>
    </row>
    <row r="17" spans="2:15" ht="14">
      <c r="B17" t="s">
        <v>44</v>
      </c>
      <c r="C17" s="9">
        <f>C22/C8*10</f>
        <v>484.64606271212381</v>
      </c>
      <c r="D17" s="9">
        <f>D22/D8*10</f>
        <v>263.81110938540746</v>
      </c>
      <c r="E17" s="9">
        <f>D17-C17</f>
        <v>-220.83495332671635</v>
      </c>
      <c r="K17" s="236"/>
      <c r="L17" s="237"/>
      <c r="M17" s="240"/>
      <c r="N17" s="240"/>
      <c r="O17" s="239"/>
    </row>
    <row r="18" spans="2:15" ht="14">
      <c r="B18" t="s">
        <v>76</v>
      </c>
      <c r="C18" s="9">
        <f>C23/C9*10</f>
        <v>614.12121955987107</v>
      </c>
      <c r="D18" s="9">
        <f>D23/D9*10</f>
        <v>317.56143423252558</v>
      </c>
      <c r="E18" s="9">
        <f>D18-C18</f>
        <v>-296.55978532734548</v>
      </c>
      <c r="K18" s="236"/>
      <c r="L18" s="237"/>
      <c r="M18" s="240"/>
      <c r="N18" s="240"/>
      <c r="O18" s="241"/>
    </row>
    <row r="19" spans="2:15" ht="14.5" thickBot="1">
      <c r="B19" t="s">
        <v>90</v>
      </c>
      <c r="C19" s="9">
        <f>C24/C11*10</f>
        <v>614.03259622463816</v>
      </c>
      <c r="D19" s="9">
        <f>D24/D11*10</f>
        <v>306.43297974517407</v>
      </c>
      <c r="E19" s="9">
        <f>D19-C19</f>
        <v>-307.59961647946409</v>
      </c>
      <c r="K19" s="236"/>
      <c r="L19" s="237"/>
      <c r="M19" s="240"/>
      <c r="N19" s="240"/>
      <c r="O19" s="241"/>
    </row>
    <row r="20" spans="2:15" ht="19" thickBot="1">
      <c r="B20" t="s">
        <v>145</v>
      </c>
      <c r="C20" s="150">
        <f>C25/C12*10</f>
        <v>574.43502772948943</v>
      </c>
      <c r="D20" s="150">
        <f>D25/D12*10</f>
        <v>295.68302266180916</v>
      </c>
      <c r="E20" s="150">
        <f>D20-C20</f>
        <v>-278.75200506768027</v>
      </c>
      <c r="K20" s="576"/>
      <c r="L20" s="237"/>
      <c r="M20" s="240"/>
      <c r="N20" s="240"/>
      <c r="O20" s="241"/>
    </row>
    <row r="21" spans="2:15" ht="19" thickBot="1">
      <c r="B21" s="2" t="s">
        <v>1618</v>
      </c>
      <c r="K21" s="576"/>
      <c r="L21" s="237"/>
      <c r="M21" s="451"/>
      <c r="N21" s="451"/>
      <c r="O21" s="452"/>
    </row>
    <row r="22" spans="2:15" ht="23" thickBot="1">
      <c r="B22" t="s">
        <v>44</v>
      </c>
      <c r="C22" s="630">
        <v>161502</v>
      </c>
      <c r="D22" s="7">
        <f>'T-7 (Curr)'!AL35-'T-7 (Curr)'!AI35</f>
        <v>88126.101090195356</v>
      </c>
      <c r="E22" s="7">
        <f>C22-D22</f>
        <v>73375.898909804644</v>
      </c>
      <c r="G22" s="7"/>
      <c r="K22" s="577"/>
      <c r="L22" s="454"/>
      <c r="M22" s="451"/>
      <c r="N22" s="451"/>
      <c r="O22" s="451"/>
    </row>
    <row r="23" spans="2:15" ht="18.5" thickBot="1">
      <c r="B23" t="s">
        <v>76</v>
      </c>
      <c r="C23" s="630">
        <v>135095</v>
      </c>
      <c r="D23" s="7">
        <f>'T-7 (Curr)'!AL53-'T-7 (Curr)'!AI53</f>
        <v>77612.014526429251</v>
      </c>
      <c r="E23" s="7">
        <f>C23-D23</f>
        <v>57482.985473570749</v>
      </c>
      <c r="F23" s="7"/>
      <c r="G23" s="7"/>
      <c r="K23" s="578">
        <v>409.49</v>
      </c>
      <c r="L23" s="237"/>
      <c r="M23" s="238"/>
      <c r="N23" s="238"/>
      <c r="O23" s="239"/>
    </row>
    <row r="24" spans="2:15" ht="18.5" thickBot="1">
      <c r="B24" t="s">
        <v>90</v>
      </c>
      <c r="C24" s="630">
        <v>328602</v>
      </c>
      <c r="D24" s="7">
        <f>'T-7 (Curr)'!AL66-'T-7 (Curr)'!AI66</f>
        <v>151071.4590143708</v>
      </c>
      <c r="E24" s="7">
        <f>C24-D24</f>
        <v>177530.5409856292</v>
      </c>
      <c r="K24" s="578">
        <v>160</v>
      </c>
      <c r="L24" s="237"/>
      <c r="M24" s="242"/>
      <c r="N24" s="242"/>
      <c r="O24" s="239"/>
    </row>
    <row r="25" spans="2:15" ht="18.5" thickBot="1">
      <c r="B25" t="s">
        <v>145</v>
      </c>
      <c r="C25" s="12">
        <f>SUM(C22:C24)</f>
        <v>625199</v>
      </c>
      <c r="D25" s="12">
        <f>SUM(D22:D24)</f>
        <v>316809.5746309954</v>
      </c>
      <c r="E25" s="12">
        <f>SUM(E22:E24)</f>
        <v>308389.4253690046</v>
      </c>
      <c r="K25" s="578">
        <v>103.39</v>
      </c>
      <c r="L25" s="237"/>
      <c r="M25" s="240"/>
      <c r="N25" s="240"/>
      <c r="O25" s="241"/>
    </row>
    <row r="26" spans="2:15" ht="18.5" thickBot="1">
      <c r="C26" s="7"/>
      <c r="D26" s="7"/>
      <c r="E26" s="7"/>
      <c r="K26" s="578">
        <v>27.42</v>
      </c>
      <c r="L26" s="237"/>
      <c r="M26" s="240"/>
      <c r="N26" s="240"/>
      <c r="O26" s="241"/>
    </row>
    <row r="27" spans="2:15" ht="18.5" thickBot="1">
      <c r="B27" t="s">
        <v>368</v>
      </c>
      <c r="C27" s="630">
        <v>40033</v>
      </c>
      <c r="D27" s="7">
        <f>'F-22'!C8+'F-22'!C9</f>
        <v>46020.786410000001</v>
      </c>
      <c r="E27" s="7">
        <f>C27-D27</f>
        <v>-5987.7864100000006</v>
      </c>
      <c r="K27" s="578">
        <v>36.24</v>
      </c>
      <c r="L27" s="237"/>
      <c r="M27" s="240"/>
      <c r="N27" s="240"/>
      <c r="O27" s="241"/>
    </row>
    <row r="28" spans="2:15" ht="18.5" thickBot="1">
      <c r="B28" t="s">
        <v>237</v>
      </c>
      <c r="C28" s="12">
        <f>C27+C25</f>
        <v>665232</v>
      </c>
      <c r="D28" s="12">
        <f>D27+D25</f>
        <v>362830.3610409954</v>
      </c>
      <c r="E28" s="12">
        <f>E27+E25</f>
        <v>302401.6389590046</v>
      </c>
      <c r="K28" s="578">
        <v>34.369999999999997</v>
      </c>
      <c r="L28" s="237"/>
      <c r="M28" s="451"/>
      <c r="N28" s="451"/>
      <c r="O28" s="452"/>
    </row>
    <row r="29" spans="2:15" ht="23" thickBot="1">
      <c r="C29" s="12"/>
      <c r="D29" s="12"/>
      <c r="E29" s="12"/>
      <c r="K29" s="577"/>
      <c r="L29" s="237"/>
      <c r="M29" s="240"/>
      <c r="N29" s="240"/>
      <c r="O29" s="452"/>
    </row>
    <row r="30" spans="2:15" ht="18.5" thickBot="1">
      <c r="C30" s="7"/>
      <c r="D30" s="7"/>
      <c r="E30" s="7"/>
      <c r="K30" s="578">
        <v>48</v>
      </c>
      <c r="L30" s="237"/>
      <c r="M30" s="240"/>
      <c r="N30" s="240"/>
      <c r="O30" s="241"/>
    </row>
    <row r="31" spans="2:15" ht="14">
      <c r="B31" s="2" t="s">
        <v>1619</v>
      </c>
      <c r="C31" s="7"/>
      <c r="D31" s="7"/>
      <c r="E31" s="7"/>
      <c r="K31" s="236"/>
      <c r="L31" s="237"/>
      <c r="M31" s="240"/>
      <c r="N31" s="240"/>
      <c r="O31" s="241"/>
    </row>
    <row r="32" spans="2:15" ht="14">
      <c r="B32" t="s">
        <v>634</v>
      </c>
      <c r="C32" s="630">
        <v>552846</v>
      </c>
      <c r="D32" s="7">
        <f>'F-22'!C12</f>
        <v>524075.11666999984</v>
      </c>
      <c r="E32" s="7">
        <f t="shared" ref="E32:E44" si="1">C32-D32</f>
        <v>28770.883330000157</v>
      </c>
      <c r="F32">
        <f>C32/100</f>
        <v>5528.46</v>
      </c>
      <c r="K32" s="453"/>
      <c r="L32" s="454"/>
      <c r="M32" s="455"/>
      <c r="N32" s="455"/>
      <c r="O32" s="451"/>
    </row>
    <row r="33" spans="2:6">
      <c r="B33" t="s">
        <v>1620</v>
      </c>
      <c r="C33" s="630">
        <v>58057</v>
      </c>
      <c r="D33" s="7">
        <f>'F-12'!W32</f>
        <v>58270.781067866672</v>
      </c>
      <c r="E33" s="7">
        <f t="shared" si="1"/>
        <v>-213.78106786667195</v>
      </c>
      <c r="F33">
        <f t="shared" ref="F33:F46" si="2">C33/100</f>
        <v>580.57000000000005</v>
      </c>
    </row>
    <row r="34" spans="2:6">
      <c r="B34" t="s">
        <v>958</v>
      </c>
      <c r="C34" s="630">
        <v>15812</v>
      </c>
      <c r="D34" s="7">
        <f>'F-14'!F66</f>
        <v>19108.758718334575</v>
      </c>
      <c r="E34" s="7">
        <f t="shared" si="1"/>
        <v>-3296.758718334575</v>
      </c>
      <c r="F34">
        <f t="shared" si="2"/>
        <v>158.12</v>
      </c>
    </row>
    <row r="35" spans="2:6">
      <c r="B35" t="s">
        <v>1178</v>
      </c>
      <c r="C35" s="630">
        <v>28199</v>
      </c>
      <c r="D35" s="7">
        <f>'F-13'!E15</f>
        <v>28199</v>
      </c>
      <c r="E35" s="7">
        <f t="shared" si="1"/>
        <v>0</v>
      </c>
      <c r="F35">
        <f t="shared" si="2"/>
        <v>281.99</v>
      </c>
    </row>
    <row r="36" spans="2:6">
      <c r="B36" t="s">
        <v>1621</v>
      </c>
      <c r="C36" s="630">
        <v>6252</v>
      </c>
      <c r="D36" s="7">
        <f>'F-6'!L16</f>
        <v>6282.6909357848854</v>
      </c>
      <c r="E36" s="7">
        <f t="shared" si="1"/>
        <v>-30.690935784885369</v>
      </c>
      <c r="F36">
        <f t="shared" si="2"/>
        <v>62.52</v>
      </c>
    </row>
    <row r="37" spans="2:6">
      <c r="B37" t="s">
        <v>1622</v>
      </c>
      <c r="C37" s="630">
        <v>7293</v>
      </c>
      <c r="D37" s="7">
        <f>'F-22'!C15</f>
        <v>9158.1080899472217</v>
      </c>
      <c r="E37" s="7">
        <f t="shared" si="1"/>
        <v>-1865.1080899472217</v>
      </c>
      <c r="F37">
        <f t="shared" si="2"/>
        <v>72.930000000000007</v>
      </c>
    </row>
    <row r="38" spans="2:6">
      <c r="B38" t="s">
        <v>1623</v>
      </c>
      <c r="C38" s="630">
        <v>17150</v>
      </c>
      <c r="D38" s="7">
        <f>'F-22'!C19</f>
        <v>15934.157243754507</v>
      </c>
      <c r="E38" s="7">
        <f t="shared" si="1"/>
        <v>1215.8427562454926</v>
      </c>
      <c r="F38">
        <f t="shared" si="2"/>
        <v>171.5</v>
      </c>
    </row>
    <row r="39" spans="2:6" ht="13">
      <c r="B39" t="s">
        <v>879</v>
      </c>
      <c r="C39" s="12">
        <f>SUM(C32:C38)</f>
        <v>685609</v>
      </c>
      <c r="D39" s="12">
        <f>SUM(D32:D38)</f>
        <v>661028.61272568768</v>
      </c>
      <c r="E39" s="12">
        <f>SUM(E32:E38)</f>
        <v>24580.387274312296</v>
      </c>
      <c r="F39">
        <f t="shared" si="2"/>
        <v>6856.09</v>
      </c>
    </row>
    <row r="40" spans="2:6">
      <c r="B40" t="s">
        <v>1624</v>
      </c>
      <c r="C40" s="630">
        <f>2567+1758</f>
        <v>4325</v>
      </c>
      <c r="D40" s="7">
        <f>'F-12'!W33</f>
        <v>2227.2948944</v>
      </c>
      <c r="E40" s="7">
        <f t="shared" si="1"/>
        <v>2097.7051056</v>
      </c>
      <c r="F40">
        <f t="shared" si="2"/>
        <v>43.25</v>
      </c>
    </row>
    <row r="41" spans="2:6" ht="13">
      <c r="B41" t="s">
        <v>1625</v>
      </c>
      <c r="C41" s="12">
        <f>C39-C40</f>
        <v>681284</v>
      </c>
      <c r="D41" s="12">
        <f>D39-D40</f>
        <v>658801.31783128763</v>
      </c>
      <c r="E41" s="12">
        <f>E39-E40</f>
        <v>22482.682168712294</v>
      </c>
      <c r="F41">
        <f t="shared" si="2"/>
        <v>6812.84</v>
      </c>
    </row>
    <row r="42" spans="2:6">
      <c r="B42" t="s">
        <v>1626</v>
      </c>
      <c r="C42" s="630">
        <v>5759</v>
      </c>
      <c r="D42" s="7">
        <v>10944</v>
      </c>
      <c r="E42" s="7">
        <f t="shared" si="1"/>
        <v>-5185</v>
      </c>
      <c r="F42">
        <f t="shared" si="2"/>
        <v>57.59</v>
      </c>
    </row>
    <row r="43" spans="2:6">
      <c r="B43" s="347" t="s">
        <v>1852</v>
      </c>
      <c r="C43" s="630">
        <v>27738</v>
      </c>
      <c r="D43" s="7"/>
      <c r="E43" s="7"/>
      <c r="F43">
        <f t="shared" si="2"/>
        <v>277.38</v>
      </c>
    </row>
    <row r="44" spans="2:6">
      <c r="B44" t="s">
        <v>1627</v>
      </c>
      <c r="C44" s="630">
        <v>0</v>
      </c>
      <c r="D44" s="7">
        <f>'F-22'!C27</f>
        <v>0</v>
      </c>
      <c r="E44" s="7">
        <f t="shared" si="1"/>
        <v>0</v>
      </c>
      <c r="F44">
        <f t="shared" si="2"/>
        <v>0</v>
      </c>
    </row>
    <row r="45" spans="2:6" ht="13">
      <c r="B45" t="s">
        <v>1628</v>
      </c>
      <c r="C45" s="12">
        <f>C41+C42+C44-C43</f>
        <v>659305</v>
      </c>
      <c r="D45" s="12">
        <f>D41+D42+D44</f>
        <v>669745.31783128763</v>
      </c>
      <c r="E45" s="12">
        <f>E41+E42+E44</f>
        <v>17297.682168712294</v>
      </c>
      <c r="F45">
        <f t="shared" si="2"/>
        <v>6593.05</v>
      </c>
    </row>
    <row r="46" spans="2:6">
      <c r="B46" t="s">
        <v>1629</v>
      </c>
      <c r="C46" s="7">
        <f>C28-C45</f>
        <v>5927</v>
      </c>
      <c r="D46" s="7">
        <f>D28-D45</f>
        <v>-306914.95679029223</v>
      </c>
      <c r="E46" s="7">
        <f>C46-D46</f>
        <v>312841.95679029223</v>
      </c>
      <c r="F46">
        <f t="shared" si="2"/>
        <v>59.27</v>
      </c>
    </row>
    <row r="47" spans="2:6">
      <c r="C47" s="7"/>
      <c r="D47" s="7"/>
      <c r="E47" s="7"/>
    </row>
    <row r="48" spans="2:6">
      <c r="D48" s="7"/>
    </row>
    <row r="49" spans="2:5">
      <c r="B49" t="s">
        <v>1630</v>
      </c>
    </row>
    <row r="50" spans="2:5">
      <c r="B50" t="s">
        <v>1631</v>
      </c>
      <c r="C50" s="228">
        <f>C28-C24</f>
        <v>336630</v>
      </c>
      <c r="D50" s="228">
        <f>D28-D24</f>
        <v>211758.90202662459</v>
      </c>
      <c r="E50" s="228">
        <f>D50-C50</f>
        <v>-124871.09797337541</v>
      </c>
    </row>
    <row r="51" spans="2:5">
      <c r="B51" t="s">
        <v>1632</v>
      </c>
      <c r="C51" s="228">
        <f>C45-(C11*C6*10)</f>
        <v>436621.16115911485</v>
      </c>
      <c r="D51" s="228">
        <f>D45-(D11*D6*10)</f>
        <v>472215.47645643295</v>
      </c>
      <c r="E51" s="228">
        <f>D51-C51</f>
        <v>35594.315297318099</v>
      </c>
    </row>
    <row r="52" spans="2:5">
      <c r="C52" s="228">
        <f>C50-C51</f>
        <v>-99991.161159114854</v>
      </c>
      <c r="D52" s="228">
        <f>D50-D51</f>
        <v>-260456.57442980836</v>
      </c>
      <c r="E52" s="228">
        <f>D52-C52</f>
        <v>-160465.41327069351</v>
      </c>
    </row>
    <row r="53" spans="2:5">
      <c r="B53" t="s">
        <v>1633</v>
      </c>
      <c r="C53" s="228">
        <f>(C11*(C19-C6*100))/10</f>
        <v>105918.16115911484</v>
      </c>
      <c r="D53" s="228">
        <f>(D11*(D19-D6*100))/10</f>
        <v>-46458.382360483854</v>
      </c>
      <c r="E53" s="228">
        <f>D53-C53</f>
        <v>-152376.54351959869</v>
      </c>
    </row>
    <row r="54" spans="2:5">
      <c r="B54" t="s">
        <v>1634</v>
      </c>
      <c r="C54" s="228">
        <f>C52+C53</f>
        <v>5926.9999999999854</v>
      </c>
      <c r="D54" s="228">
        <f>D52+D53</f>
        <v>-306914.95679029223</v>
      </c>
      <c r="E54" s="228">
        <f>D54-C54</f>
        <v>-312841.95679029223</v>
      </c>
    </row>
  </sheetData>
  <mergeCells count="4">
    <mergeCell ref="K13:K14"/>
    <mergeCell ref="M13:M14"/>
    <mergeCell ref="N13:N14"/>
    <mergeCell ref="O13:O14"/>
  </mergeCells>
  <phoneticPr fontId="0" type="noConversion"/>
  <printOptions horizontalCentered="1" gridLines="1"/>
  <pageMargins left="0.25" right="0" top="0.75" bottom="0.75" header="0" footer="0"/>
  <pageSetup paperSize="9" scale="11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X180"/>
  <sheetViews>
    <sheetView showGridLines="0" view="pageBreakPreview" zoomScale="80" zoomScaleNormal="75" zoomScaleSheetLayoutView="80" workbookViewId="0">
      <pane xSplit="2" ySplit="7" topLeftCell="C65" activePane="bottomRight" state="frozen"/>
      <selection activeCell="I9" sqref="I9"/>
      <selection pane="topRight" activeCell="I9" sqref="I9"/>
      <selection pane="bottomLeft" activeCell="I9" sqref="I9"/>
      <selection pane="bottomRight" activeCell="N13" sqref="N13"/>
    </sheetView>
  </sheetViews>
  <sheetFormatPr defaultColWidth="14.7265625" defaultRowHeight="25"/>
  <cols>
    <col min="1" max="1" width="6.453125" style="38" customWidth="1"/>
    <col min="2" max="2" width="34.7265625" style="38" customWidth="1"/>
    <col min="3" max="3" width="12.54296875" style="62" customWidth="1"/>
    <col min="4" max="4" width="10.81640625" style="38" bestFit="1" customWidth="1"/>
    <col min="5" max="9" width="10.36328125" style="38" bestFit="1" customWidth="1"/>
    <col min="10" max="10" width="13.54296875" style="38" bestFit="1" customWidth="1"/>
    <col min="11" max="11" width="12.90625" style="38" bestFit="1" customWidth="1"/>
    <col min="12" max="12" width="13.453125" style="38" customWidth="1"/>
    <col min="13" max="13" width="13.7265625" style="38" customWidth="1"/>
    <col min="14" max="14" width="14.7265625" style="156" customWidth="1"/>
    <col min="15" max="15" width="14.7265625" style="648"/>
    <col min="16" max="16384" width="14.7265625" style="38"/>
  </cols>
  <sheetData>
    <row r="1" spans="1:102" ht="16.5" customHeight="1">
      <c r="B1" s="60" t="s">
        <v>104</v>
      </c>
      <c r="C1" s="274"/>
    </row>
    <row r="2" spans="1:102" ht="21" customHeight="1" thickBot="1">
      <c r="B2" s="287" t="s">
        <v>155</v>
      </c>
      <c r="C2" s="282"/>
      <c r="J2" s="40"/>
      <c r="L2" s="63" t="s">
        <v>156</v>
      </c>
      <c r="M2" s="274"/>
    </row>
    <row r="3" spans="1:102" ht="19.5" customHeight="1">
      <c r="A3" s="829"/>
      <c r="B3" s="830"/>
      <c r="C3" s="1935" t="s">
        <v>157</v>
      </c>
      <c r="D3" s="1937" t="s">
        <v>2278</v>
      </c>
      <c r="E3" s="1938"/>
      <c r="F3" s="1938"/>
      <c r="G3" s="1938"/>
      <c r="H3" s="1938"/>
      <c r="I3" s="1938"/>
      <c r="J3" s="1938"/>
      <c r="K3" s="1938"/>
      <c r="L3" s="1939"/>
      <c r="M3" s="1940" t="s">
        <v>159</v>
      </c>
    </row>
    <row r="4" spans="1:102" ht="36.75" customHeight="1" thickBot="1">
      <c r="A4" s="831" t="s">
        <v>2035</v>
      </c>
      <c r="B4" s="832" t="s">
        <v>735</v>
      </c>
      <c r="C4" s="1936"/>
      <c r="D4" s="1129">
        <v>45017</v>
      </c>
      <c r="E4" s="1130">
        <v>45047</v>
      </c>
      <c r="F4" s="1130">
        <v>45078</v>
      </c>
      <c r="G4" s="1130">
        <v>45108</v>
      </c>
      <c r="H4" s="1130">
        <v>45139</v>
      </c>
      <c r="I4" s="1130">
        <v>45170</v>
      </c>
      <c r="J4" s="833" t="s">
        <v>160</v>
      </c>
      <c r="K4" s="833" t="s">
        <v>161</v>
      </c>
      <c r="L4" s="943" t="s">
        <v>162</v>
      </c>
      <c r="M4" s="1941"/>
      <c r="O4" s="625"/>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row>
    <row r="5" spans="1:102">
      <c r="A5" s="834"/>
      <c r="B5" s="944" t="s">
        <v>163</v>
      </c>
      <c r="C5" s="1497">
        <f>+'T-1'!G72</f>
        <v>13002.405000000001</v>
      </c>
      <c r="D5" s="1615">
        <v>1010.9063</v>
      </c>
      <c r="E5" s="1616">
        <v>1131.99</v>
      </c>
      <c r="F5" s="1616">
        <v>1021.992</v>
      </c>
      <c r="G5" s="1616">
        <v>1095.4680000000001</v>
      </c>
      <c r="H5" s="1616">
        <v>1047.4059999999999</v>
      </c>
      <c r="I5" s="1616">
        <v>1062.7070000000001</v>
      </c>
      <c r="J5" s="1616">
        <f>SUM(D5:I5)</f>
        <v>6370.4692999999997</v>
      </c>
      <c r="K5" s="1616">
        <f>+J5/6</f>
        <v>1061.7448833333333</v>
      </c>
      <c r="L5" s="1617">
        <f>+'T-1'!N72</f>
        <v>13080</v>
      </c>
      <c r="M5" s="1618">
        <f>+'T-1'!S72</f>
        <v>11524</v>
      </c>
      <c r="O5" s="625"/>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row>
    <row r="6" spans="1:102" ht="15.75" customHeight="1">
      <c r="A6" s="835"/>
      <c r="B6" s="945" t="s">
        <v>164</v>
      </c>
      <c r="C6" s="842"/>
      <c r="D6" s="844"/>
      <c r="E6" s="695"/>
      <c r="F6" s="695"/>
      <c r="G6" s="695"/>
      <c r="H6" s="695"/>
      <c r="I6" s="695"/>
      <c r="J6" s="695"/>
      <c r="K6" s="695"/>
      <c r="L6" s="845"/>
      <c r="M6" s="1619"/>
      <c r="O6" s="625"/>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row>
    <row r="7" spans="1:102" ht="18.75" customHeight="1">
      <c r="A7" s="1498"/>
      <c r="B7" s="1499" t="s">
        <v>165</v>
      </c>
      <c r="C7" s="1500"/>
      <c r="D7" s="1501"/>
      <c r="E7" s="1502"/>
      <c r="F7" s="1503"/>
      <c r="G7" s="1503"/>
      <c r="H7" s="1503"/>
      <c r="I7" s="1503"/>
      <c r="J7" s="1504"/>
      <c r="K7" s="1504"/>
      <c r="L7" s="1620"/>
      <c r="M7" s="1621"/>
      <c r="O7" s="625"/>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row>
    <row r="8" spans="1:102" ht="18.75" customHeight="1">
      <c r="A8" s="1505">
        <v>1</v>
      </c>
      <c r="B8" s="1273" t="s">
        <v>166</v>
      </c>
      <c r="C8" s="1506"/>
      <c r="D8" s="846"/>
      <c r="E8" s="694"/>
      <c r="F8" s="694"/>
      <c r="G8" s="694"/>
      <c r="H8" s="694"/>
      <c r="I8" s="694"/>
      <c r="J8" s="694"/>
      <c r="K8" s="694"/>
      <c r="L8" s="1622"/>
      <c r="M8" s="1623"/>
      <c r="O8" s="625"/>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row>
    <row r="9" spans="1:102" ht="18.75" customHeight="1">
      <c r="A9" s="1505" t="s">
        <v>167</v>
      </c>
      <c r="B9" s="1273" t="s">
        <v>168</v>
      </c>
      <c r="C9" s="1506">
        <f>+'T-6'!H12</f>
        <v>10.155375318092499</v>
      </c>
      <c r="D9" s="846">
        <v>0.87465499999999996</v>
      </c>
      <c r="E9" s="694">
        <f>1.8701-0.583</f>
        <v>1.2871000000000001</v>
      </c>
      <c r="F9" s="694">
        <v>1.2503599999999999</v>
      </c>
      <c r="G9" s="694">
        <v>1.3028299999999999</v>
      </c>
      <c r="H9" s="694">
        <f>1.1729-0.583</f>
        <v>0.58990000000000009</v>
      </c>
      <c r="I9" s="694">
        <v>0.58267999999999998</v>
      </c>
      <c r="J9" s="694">
        <f>'T-6 (six mth)'!H12</f>
        <v>5.8882555059753203</v>
      </c>
      <c r="K9" s="694">
        <f>+J9/6</f>
        <v>0.98137591766255339</v>
      </c>
      <c r="L9" s="1514">
        <f>+'T-1'!N13</f>
        <v>11</v>
      </c>
      <c r="M9" s="1515">
        <f>+'T-1'!S13</f>
        <v>20</v>
      </c>
      <c r="N9" s="1624"/>
      <c r="O9" s="649"/>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row>
    <row r="10" spans="1:102" ht="18.75" customHeight="1">
      <c r="A10" s="1505" t="s">
        <v>169</v>
      </c>
      <c r="B10" s="1273" t="s">
        <v>49</v>
      </c>
      <c r="C10" s="1506"/>
      <c r="D10" s="846"/>
      <c r="E10" s="694"/>
      <c r="F10" s="694"/>
      <c r="G10" s="694"/>
      <c r="H10" s="694"/>
      <c r="I10" s="694"/>
      <c r="J10" s="694"/>
      <c r="K10" s="694"/>
      <c r="L10" s="1514"/>
      <c r="M10" s="1515"/>
      <c r="O10" s="625"/>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row>
    <row r="11" spans="1:102" ht="18.75" customHeight="1">
      <c r="A11" s="1505"/>
      <c r="B11" s="1273" t="s">
        <v>170</v>
      </c>
      <c r="C11" s="1506">
        <f>+'T-6'!H14</f>
        <v>411.77046728493838</v>
      </c>
      <c r="D11" s="846"/>
      <c r="E11" s="694"/>
      <c r="F11" s="694"/>
      <c r="G11" s="694"/>
      <c r="H11" s="694"/>
      <c r="I11" s="694"/>
      <c r="J11" s="694">
        <f>'T-6 (six mth)'!H14</f>
        <v>330.41482601807866</v>
      </c>
      <c r="K11" s="694">
        <f>+J11/6</f>
        <v>55.069137669679776</v>
      </c>
      <c r="L11" s="1514">
        <f>+'T-1'!N15</f>
        <v>690.22970356458995</v>
      </c>
      <c r="M11" s="1515">
        <f>+'T-1'!S15</f>
        <v>726.55758269956834</v>
      </c>
      <c r="N11" s="1624"/>
      <c r="O11" s="625"/>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row>
    <row r="12" spans="1:102" ht="18.75" customHeight="1">
      <c r="A12" s="1505"/>
      <c r="B12" s="1273" t="s">
        <v>52</v>
      </c>
      <c r="C12" s="1506">
        <f>+'T-6'!H15</f>
        <v>632.82246395604056</v>
      </c>
      <c r="D12" s="846"/>
      <c r="E12" s="694"/>
      <c r="F12" s="694"/>
      <c r="G12" s="694"/>
      <c r="H12" s="694"/>
      <c r="I12" s="694"/>
      <c r="J12" s="694">
        <f>'T-6 (six mth)'!H15</f>
        <v>392.80173154977115</v>
      </c>
      <c r="K12" s="694">
        <f>+J12/6</f>
        <v>65.466955258295187</v>
      </c>
      <c r="L12" s="1514">
        <f>+'T-1'!N16</f>
        <v>820.55465244898437</v>
      </c>
      <c r="M12" s="1515">
        <f>+'T-1'!S16</f>
        <v>863.74173941998345</v>
      </c>
      <c r="N12" s="1624"/>
      <c r="O12" s="625"/>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row>
    <row r="13" spans="1:102" ht="18.75" customHeight="1">
      <c r="A13" s="1505"/>
      <c r="B13" s="1273" t="s">
        <v>53</v>
      </c>
      <c r="C13" s="1506">
        <f>+'T-6'!H16</f>
        <v>246.5514213189908</v>
      </c>
      <c r="D13" s="846"/>
      <c r="E13" s="694"/>
      <c r="F13" s="694"/>
      <c r="G13" s="694"/>
      <c r="H13" s="694"/>
      <c r="I13" s="694"/>
      <c r="J13" s="694">
        <f>'T-6 (six mth)'!H16</f>
        <v>153.12268822491527</v>
      </c>
      <c r="K13" s="694">
        <f>+J13/6</f>
        <v>25.520448037485878</v>
      </c>
      <c r="L13" s="1514">
        <f>+'T-1'!N17</f>
        <v>319.87011290078601</v>
      </c>
      <c r="M13" s="1515">
        <f>+'T-1'!S17</f>
        <v>336.70538200082734</v>
      </c>
      <c r="N13" s="1624"/>
      <c r="O13" s="625"/>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row>
    <row r="14" spans="1:102" ht="18.75" customHeight="1">
      <c r="A14" s="1505"/>
      <c r="B14" s="1273" t="s">
        <v>54</v>
      </c>
      <c r="C14" s="1506">
        <f>+'T-6'!H17</f>
        <v>299.10833631907815</v>
      </c>
      <c r="D14" s="846"/>
      <c r="E14" s="694"/>
      <c r="F14" s="694"/>
      <c r="G14" s="694"/>
      <c r="H14" s="694"/>
      <c r="I14" s="694"/>
      <c r="J14" s="694">
        <f>'T-6 (six mth)'!H17</f>
        <v>187.8168669402985</v>
      </c>
      <c r="K14" s="694">
        <f>+J14/6</f>
        <v>31.302811156716416</v>
      </c>
      <c r="L14" s="1514">
        <f>+'T-1'!N18</f>
        <v>392.34553108563955</v>
      </c>
      <c r="M14" s="1515">
        <f>+'T-1'!S18</f>
        <v>412.99529587962053</v>
      </c>
      <c r="N14" s="1624"/>
      <c r="O14" s="625"/>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row>
    <row r="15" spans="1:102" ht="18.75" customHeight="1">
      <c r="A15" s="1505"/>
      <c r="B15" s="1273"/>
      <c r="C15" s="1506">
        <f>(SUM(C11:C14)*0+'T-6'!H18)*0+1590.25268887907</f>
        <v>1590.2526888790701</v>
      </c>
      <c r="D15" s="846">
        <v>147.2741</v>
      </c>
      <c r="E15" s="694">
        <v>213.54329999999999</v>
      </c>
      <c r="F15" s="694">
        <v>213.89099999999999</v>
      </c>
      <c r="G15" s="694">
        <v>210.8913</v>
      </c>
      <c r="H15" s="694">
        <v>164.0839</v>
      </c>
      <c r="I15" s="694">
        <v>114.4723</v>
      </c>
      <c r="J15" s="1264">
        <f>'T-6 (six mth)'!H18</f>
        <v>1064.1561127330635</v>
      </c>
      <c r="K15" s="1264">
        <f t="shared" ref="K15:M15" si="0">SUM(K11:K14)</f>
        <v>177.35935212217726</v>
      </c>
      <c r="L15" s="1267">
        <f t="shared" si="0"/>
        <v>2223</v>
      </c>
      <c r="M15" s="1511">
        <f t="shared" si="0"/>
        <v>2339.9999999999995</v>
      </c>
      <c r="N15" s="1625"/>
      <c r="O15" s="649"/>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row>
    <row r="16" spans="1:102" ht="18.75" customHeight="1">
      <c r="A16" s="1505"/>
      <c r="B16" s="1274" t="s">
        <v>171</v>
      </c>
      <c r="C16" s="1626">
        <f t="shared" ref="C16:M16" si="1">C15+C9</f>
        <v>1600.4080641971625</v>
      </c>
      <c r="D16" s="1517">
        <f t="shared" si="1"/>
        <v>148.14875499999999</v>
      </c>
      <c r="E16" s="1264">
        <f t="shared" si="1"/>
        <v>214.8304</v>
      </c>
      <c r="F16" s="1264">
        <f t="shared" si="1"/>
        <v>215.14135999999999</v>
      </c>
      <c r="G16" s="1264">
        <f t="shared" si="1"/>
        <v>212.19413</v>
      </c>
      <c r="H16" s="1264">
        <f t="shared" si="1"/>
        <v>164.6738</v>
      </c>
      <c r="I16" s="1264">
        <f t="shared" si="1"/>
        <v>115.05498</v>
      </c>
      <c r="J16" s="1264">
        <f t="shared" si="1"/>
        <v>1070.0443682390389</v>
      </c>
      <c r="K16" s="1264">
        <f t="shared" si="1"/>
        <v>178.3407280398398</v>
      </c>
      <c r="L16" s="1267">
        <f t="shared" si="1"/>
        <v>2234</v>
      </c>
      <c r="M16" s="1511">
        <f t="shared" si="1"/>
        <v>2359.9999999999995</v>
      </c>
      <c r="N16" s="1624"/>
      <c r="O16" s="649"/>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row>
    <row r="17" spans="1:102" ht="18.75" customHeight="1">
      <c r="A17" s="1505">
        <v>2</v>
      </c>
      <c r="B17" s="1273" t="s">
        <v>172</v>
      </c>
      <c r="C17" s="1506"/>
      <c r="D17" s="846"/>
      <c r="E17" s="694"/>
      <c r="F17" s="694"/>
      <c r="G17" s="694"/>
      <c r="H17" s="694"/>
      <c r="I17" s="694"/>
      <c r="J17" s="694"/>
      <c r="K17" s="694"/>
      <c r="L17" s="1514"/>
      <c r="M17" s="1515"/>
      <c r="N17" s="210"/>
      <c r="O17" s="625"/>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row>
    <row r="18" spans="1:102" ht="18.75" customHeight="1">
      <c r="A18" s="1505"/>
      <c r="B18" s="1273" t="s">
        <v>57</v>
      </c>
      <c r="C18" s="1506"/>
      <c r="D18" s="846"/>
      <c r="E18" s="694"/>
      <c r="F18" s="694"/>
      <c r="G18" s="694"/>
      <c r="H18" s="694"/>
      <c r="I18" s="694"/>
      <c r="J18" s="694"/>
      <c r="K18" s="694"/>
      <c r="L18" s="1514"/>
      <c r="M18" s="1515"/>
      <c r="N18" s="210"/>
      <c r="O18" s="625"/>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c r="CV18" s="346"/>
      <c r="CW18" s="346"/>
      <c r="CX18" s="346"/>
    </row>
    <row r="19" spans="1:102" ht="18.75" customHeight="1">
      <c r="A19" s="1505"/>
      <c r="B19" s="1273" t="s">
        <v>58</v>
      </c>
      <c r="C19" s="1506">
        <f>+'T-6'!H22</f>
        <v>38.137794031436307</v>
      </c>
      <c r="D19" s="846"/>
      <c r="E19" s="694"/>
      <c r="F19" s="694"/>
      <c r="G19" s="694"/>
      <c r="H19" s="694"/>
      <c r="I19" s="694"/>
      <c r="J19" s="694">
        <f>'T-6 (six mth)'!H22</f>
        <v>25.597150672002467</v>
      </c>
      <c r="K19" s="694">
        <f t="shared" ref="K19:K33" si="2">+J19/6</f>
        <v>4.2661917786670775</v>
      </c>
      <c r="L19" s="1514">
        <f>+'T-1'!N22</f>
        <v>52.636259663294517</v>
      </c>
      <c r="M19" s="1515">
        <f>+'T-1'!S22</f>
        <v>56.213481193809677</v>
      </c>
      <c r="N19" s="1624"/>
      <c r="O19" s="625"/>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46"/>
      <c r="CQ19" s="346"/>
      <c r="CR19" s="346"/>
      <c r="CS19" s="346"/>
      <c r="CT19" s="346"/>
      <c r="CU19" s="346"/>
      <c r="CV19" s="346"/>
      <c r="CW19" s="346"/>
      <c r="CX19" s="346"/>
    </row>
    <row r="20" spans="1:102" ht="18.75" customHeight="1">
      <c r="A20" s="1505"/>
      <c r="B20" s="1273" t="s">
        <v>59</v>
      </c>
      <c r="C20" s="1506">
        <f>+'T-6'!H23</f>
        <v>53.045925314074886</v>
      </c>
      <c r="D20" s="846"/>
      <c r="E20" s="694"/>
      <c r="F20" s="694"/>
      <c r="G20" s="694"/>
      <c r="H20" s="694"/>
      <c r="I20" s="694"/>
      <c r="J20" s="694">
        <f>'T-6 (six mth)'!H23</f>
        <v>30.026729760167079</v>
      </c>
      <c r="K20" s="694">
        <f t="shared" si="2"/>
        <v>5.0044549600278465</v>
      </c>
      <c r="L20" s="1514">
        <f>+'T-1'!N23</f>
        <v>61.744948285374342</v>
      </c>
      <c r="M20" s="1515">
        <f>+'T-1'!S23</f>
        <v>65.941206906710462</v>
      </c>
      <c r="N20" s="1624"/>
      <c r="O20" s="625"/>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c r="CF20" s="346"/>
      <c r="CG20" s="346"/>
      <c r="CH20" s="346"/>
      <c r="CI20" s="346"/>
      <c r="CJ20" s="346"/>
      <c r="CK20" s="346"/>
      <c r="CL20" s="346"/>
      <c r="CM20" s="346"/>
      <c r="CN20" s="346"/>
      <c r="CO20" s="346"/>
      <c r="CP20" s="346"/>
      <c r="CQ20" s="346"/>
      <c r="CR20" s="346"/>
      <c r="CS20" s="346"/>
      <c r="CT20" s="346"/>
      <c r="CU20" s="346"/>
      <c r="CV20" s="346"/>
      <c r="CW20" s="346"/>
      <c r="CX20" s="346"/>
    </row>
    <row r="21" spans="1:102" ht="18.75" customHeight="1">
      <c r="A21" s="1505"/>
      <c r="B21" s="1273" t="s">
        <v>60</v>
      </c>
      <c r="C21" s="1506">
        <f>+'T-6'!H24</f>
        <v>330.07166327710979</v>
      </c>
      <c r="D21" s="846"/>
      <c r="E21" s="694"/>
      <c r="F21" s="694"/>
      <c r="G21" s="694"/>
      <c r="H21" s="694"/>
      <c r="I21" s="694"/>
      <c r="J21" s="694">
        <f>'T-6 (six mth)'!H24</f>
        <v>194.82196584201029</v>
      </c>
      <c r="K21" s="694">
        <f t="shared" si="2"/>
        <v>32.47032764033505</v>
      </c>
      <c r="L21" s="1514">
        <f>+'T-1'!N24</f>
        <v>400.61879205133113</v>
      </c>
      <c r="M21" s="1515">
        <f>+'T-1'!S24</f>
        <v>427.84531189947984</v>
      </c>
      <c r="N21" s="1624"/>
      <c r="O21" s="625"/>
      <c r="P21" s="346"/>
      <c r="Q21" s="346"/>
      <c r="R21" s="346"/>
      <c r="S21" s="346"/>
      <c r="T21" s="346"/>
      <c r="U21" s="346"/>
      <c r="V21" s="346"/>
      <c r="W21" s="346"/>
      <c r="X21" s="346"/>
      <c r="Y21" s="346"/>
      <c r="Z21" s="346"/>
      <c r="AA21" s="346"/>
      <c r="AB21" s="346"/>
      <c r="AC21" s="346"/>
      <c r="AD21" s="346"/>
      <c r="AE21" s="174"/>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c r="CW21" s="346"/>
      <c r="CX21" s="346"/>
    </row>
    <row r="22" spans="1:102" ht="18.75" customHeight="1">
      <c r="A22" s="1505"/>
      <c r="B22" s="1274" t="s">
        <v>173</v>
      </c>
      <c r="C22" s="1626">
        <f>SUM(C19:C21)</f>
        <v>421.25538262262097</v>
      </c>
      <c r="D22" s="1517">
        <v>34.401575000000001</v>
      </c>
      <c r="E22" s="1264">
        <v>46.046002000000001</v>
      </c>
      <c r="F22" s="1264">
        <v>48.325347999999998</v>
      </c>
      <c r="G22" s="1264">
        <v>47.900726800000001</v>
      </c>
      <c r="H22" s="1264">
        <v>39.098875</v>
      </c>
      <c r="I22" s="1264">
        <v>34.673316</v>
      </c>
      <c r="J22" s="1264">
        <f>'T-6 (six mth)'!H25</f>
        <v>250.44460500000002</v>
      </c>
      <c r="K22" s="1264">
        <f t="shared" ref="K22:M22" si="3">SUM(K19:K21)</f>
        <v>41.740974379029979</v>
      </c>
      <c r="L22" s="1267">
        <f>SUM(L19:L21)</f>
        <v>515</v>
      </c>
      <c r="M22" s="1511">
        <f t="shared" si="3"/>
        <v>550</v>
      </c>
      <c r="N22" s="1624"/>
      <c r="O22" s="649"/>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c r="CV22" s="346"/>
      <c r="CW22" s="346"/>
      <c r="CX22" s="346"/>
    </row>
    <row r="23" spans="1:102" ht="18.75" customHeight="1">
      <c r="A23" s="1505">
        <v>3</v>
      </c>
      <c r="B23" s="1273" t="s">
        <v>62</v>
      </c>
      <c r="C23" s="1506">
        <f>+'T-6'!H26</f>
        <v>309.98265355926839</v>
      </c>
      <c r="D23" s="846">
        <v>37.50779</v>
      </c>
      <c r="E23" s="694">
        <v>34.955500000000001</v>
      </c>
      <c r="F23" s="694">
        <v>12.2493</v>
      </c>
      <c r="G23" s="694">
        <v>24.814319000000001</v>
      </c>
      <c r="H23" s="694">
        <v>28.586600000000001</v>
      </c>
      <c r="I23" s="694">
        <v>12.487500000000001</v>
      </c>
      <c r="J23" s="694">
        <f>'T-6 (six mth)'!H26</f>
        <v>150.60125000000002</v>
      </c>
      <c r="K23" s="694">
        <f t="shared" si="2"/>
        <v>25.100208333333338</v>
      </c>
      <c r="L23" s="1514">
        <f>+'T-1'!N26</f>
        <v>330.4</v>
      </c>
      <c r="M23" s="1515">
        <f>+'T-1'!S26</f>
        <v>360</v>
      </c>
      <c r="N23" s="1624"/>
      <c r="O23" s="649"/>
      <c r="P23" s="276"/>
      <c r="Q23" s="276"/>
      <c r="R23" s="27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c r="CW23" s="346"/>
      <c r="CX23" s="346"/>
    </row>
    <row r="24" spans="1:102" ht="18.75" customHeight="1">
      <c r="A24" s="1505">
        <v>4</v>
      </c>
      <c r="B24" s="1273" t="s">
        <v>63</v>
      </c>
      <c r="C24" s="1506">
        <f>+'T-6'!H27</f>
        <v>8.9870999999999999</v>
      </c>
      <c r="D24" s="846">
        <v>0.60563500000000003</v>
      </c>
      <c r="E24" s="694">
        <v>0.96530000000000005</v>
      </c>
      <c r="F24" s="694">
        <v>1.1089</v>
      </c>
      <c r="G24" s="694">
        <v>0.90786</v>
      </c>
      <c r="H24" s="694">
        <v>0.82437000000000005</v>
      </c>
      <c r="I24" s="694">
        <v>0.81025000000000003</v>
      </c>
      <c r="J24" s="694">
        <f>'T-6 (six mth)'!H27</f>
        <v>5.2224000000000004</v>
      </c>
      <c r="K24" s="694">
        <f t="shared" si="2"/>
        <v>0.87040000000000006</v>
      </c>
      <c r="L24" s="1514">
        <f>+'T-1'!N27</f>
        <v>10.5</v>
      </c>
      <c r="M24" s="1515">
        <f>+'T-1'!S27</f>
        <v>11</v>
      </c>
      <c r="N24" s="1624"/>
      <c r="O24" s="625"/>
      <c r="P24" s="276"/>
      <c r="Q24" s="276"/>
      <c r="R24" s="27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CU24" s="346"/>
      <c r="CV24" s="346"/>
      <c r="CW24" s="346"/>
      <c r="CX24" s="346"/>
    </row>
    <row r="25" spans="1:102" ht="18.75" customHeight="1">
      <c r="A25" s="1505">
        <v>5</v>
      </c>
      <c r="B25" s="1273" t="s">
        <v>64</v>
      </c>
      <c r="C25" s="1506">
        <f>+'T-6'!H28</f>
        <v>2.4552084000000001</v>
      </c>
      <c r="D25" s="846">
        <v>0.33460000000000001</v>
      </c>
      <c r="E25" s="694">
        <v>0.32701200000000002</v>
      </c>
      <c r="F25" s="694">
        <v>0.33195999999999998</v>
      </c>
      <c r="G25" s="694">
        <v>0.38346999999999998</v>
      </c>
      <c r="H25" s="694">
        <v>0.18107999999999999</v>
      </c>
      <c r="I25" s="694">
        <v>0.108222</v>
      </c>
      <c r="J25" s="694">
        <f>'T-6 (six mth)'!H28</f>
        <v>1.6664000000000001</v>
      </c>
      <c r="K25" s="694">
        <f t="shared" si="2"/>
        <v>0.27773333333333333</v>
      </c>
      <c r="L25" s="1514">
        <f>+'T-1'!N28</f>
        <v>2.5</v>
      </c>
      <c r="M25" s="1515">
        <f>+'T-1'!S28</f>
        <v>3</v>
      </c>
      <c r="N25" s="1624"/>
      <c r="O25" s="625"/>
      <c r="P25" s="276"/>
      <c r="Q25" s="276"/>
      <c r="R25" s="27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c r="CV25" s="346"/>
      <c r="CW25" s="346"/>
      <c r="CX25" s="346"/>
    </row>
    <row r="26" spans="1:102" ht="18.75" customHeight="1">
      <c r="A26" s="1505">
        <v>6</v>
      </c>
      <c r="B26" s="1273" t="s">
        <v>65</v>
      </c>
      <c r="C26" s="1506">
        <f>+'T-6'!H29</f>
        <v>49.295755</v>
      </c>
      <c r="D26" s="846">
        <v>3.6293299999999999</v>
      </c>
      <c r="E26" s="694">
        <v>4.0457000000000001</v>
      </c>
      <c r="F26" s="694">
        <v>4.047288</v>
      </c>
      <c r="G26" s="694">
        <v>4.0760800000000001</v>
      </c>
      <c r="H26" s="694">
        <v>4.0118</v>
      </c>
      <c r="I26" s="694">
        <v>3.3754110000000002</v>
      </c>
      <c r="J26" s="694">
        <f>'T-6 (six mth)'!H29</f>
        <v>23.185760000000002</v>
      </c>
      <c r="K26" s="694">
        <f t="shared" si="2"/>
        <v>3.8642933333333338</v>
      </c>
      <c r="L26" s="1514">
        <f>+'T-1'!N29</f>
        <v>50</v>
      </c>
      <c r="M26" s="1515">
        <f>+'T-1'!S29</f>
        <v>52</v>
      </c>
      <c r="N26" s="1624"/>
      <c r="O26" s="625"/>
      <c r="P26" s="407"/>
      <c r="Q26" s="407"/>
      <c r="R26" s="407"/>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6"/>
    </row>
    <row r="27" spans="1:102" ht="18.75" customHeight="1">
      <c r="A27" s="1505">
        <v>7</v>
      </c>
      <c r="B27" s="1273" t="s">
        <v>174</v>
      </c>
      <c r="C27" s="1506">
        <f>+'T-6'!H30</f>
        <v>19.8373609</v>
      </c>
      <c r="D27" s="846">
        <v>0.57150000000000001</v>
      </c>
      <c r="E27" s="694">
        <v>2.3317000000000001</v>
      </c>
      <c r="F27" s="694">
        <v>1.5672999999999999</v>
      </c>
      <c r="G27" s="694">
        <v>1.6286</v>
      </c>
      <c r="H27" s="694">
        <v>1.4386000000000001</v>
      </c>
      <c r="I27" s="694">
        <v>0.65669999999999995</v>
      </c>
      <c r="J27" s="694">
        <f>'T-6 (six mth)'!H30</f>
        <v>8.1945899999999998</v>
      </c>
      <c r="K27" s="694">
        <f t="shared" si="2"/>
        <v>1.3657649999999999</v>
      </c>
      <c r="L27" s="1514">
        <f>+'T-1'!N30</f>
        <v>20</v>
      </c>
      <c r="M27" s="1515">
        <f>+'T-1'!S30</f>
        <v>21</v>
      </c>
      <c r="N27" s="1624"/>
      <c r="O27" s="625"/>
      <c r="P27"/>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row>
    <row r="28" spans="1:102" ht="18.75" customHeight="1">
      <c r="A28" s="1505">
        <v>8</v>
      </c>
      <c r="B28" s="1273" t="s">
        <v>175</v>
      </c>
      <c r="C28" s="1506">
        <f>+'T-6'!H31</f>
        <v>58.311154000000002</v>
      </c>
      <c r="D28" s="846">
        <v>4.3905399999999997</v>
      </c>
      <c r="E28" s="694">
        <v>4.8177000000000003</v>
      </c>
      <c r="F28" s="694">
        <v>4.3569000000000004</v>
      </c>
      <c r="G28" s="694">
        <v>4.6555</v>
      </c>
      <c r="H28" s="694">
        <v>4.0141</v>
      </c>
      <c r="I28" s="694">
        <v>4.2644000000000002</v>
      </c>
      <c r="J28" s="694">
        <f>'T-6 (six mth)'!H31</f>
        <v>26.499207999999999</v>
      </c>
      <c r="K28" s="694">
        <f t="shared" si="2"/>
        <v>4.4165346666666663</v>
      </c>
      <c r="L28" s="1514">
        <f>+'T-1'!N31</f>
        <v>60</v>
      </c>
      <c r="M28" s="1515">
        <f>+'T-1'!S31</f>
        <v>63</v>
      </c>
      <c r="N28" s="1624"/>
      <c r="O28" s="649"/>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row>
    <row r="29" spans="1:102" ht="18.75" customHeight="1">
      <c r="A29" s="1505">
        <v>9</v>
      </c>
      <c r="B29" s="1274" t="s">
        <v>176</v>
      </c>
      <c r="C29" s="1506">
        <f>+'T-6'!H32</f>
        <v>56.459928300000001</v>
      </c>
      <c r="D29" s="846">
        <v>4.6063999999999998</v>
      </c>
      <c r="E29" s="694">
        <v>5.0968999999999998</v>
      </c>
      <c r="F29" s="694">
        <v>3.8968500000000001</v>
      </c>
      <c r="G29" s="694">
        <v>5.6349900000000002</v>
      </c>
      <c r="H29" s="694">
        <v>6.9227999999999996</v>
      </c>
      <c r="I29" s="694">
        <v>4.4443999999999999</v>
      </c>
      <c r="J29" s="694">
        <f>'T-6 (six mth)'!H32</f>
        <v>30.602579999999996</v>
      </c>
      <c r="K29" s="694">
        <f t="shared" si="2"/>
        <v>5.1004299999999994</v>
      </c>
      <c r="L29" s="1514">
        <f>+'T-1'!N32</f>
        <v>61</v>
      </c>
      <c r="M29" s="1515">
        <f>+'T-1'!S32</f>
        <v>64</v>
      </c>
      <c r="N29" s="1624"/>
      <c r="O29" s="625"/>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6"/>
    </row>
    <row r="30" spans="1:102" ht="18.75" customHeight="1">
      <c r="A30" s="1505">
        <v>10</v>
      </c>
      <c r="B30" s="1273" t="s">
        <v>177</v>
      </c>
      <c r="C30" s="1506">
        <f>+'T-6'!H33</f>
        <v>54.902704999999997</v>
      </c>
      <c r="D30" s="846">
        <v>4.0386100000000003</v>
      </c>
      <c r="E30" s="694">
        <v>5.0965999999999996</v>
      </c>
      <c r="F30" s="694">
        <v>5.5644999999999998</v>
      </c>
      <c r="G30" s="694">
        <v>5.6688000000000001</v>
      </c>
      <c r="H30" s="694">
        <v>4.1775099999999998</v>
      </c>
      <c r="I30" s="694">
        <v>3.9323000000000001</v>
      </c>
      <c r="J30" s="694">
        <f>'T-6 (six mth)'!H33</f>
        <v>28.47852</v>
      </c>
      <c r="K30" s="694">
        <f t="shared" si="2"/>
        <v>4.7464199999999996</v>
      </c>
      <c r="L30" s="1514">
        <f>+'T-1'!N33</f>
        <v>57</v>
      </c>
      <c r="M30" s="1515">
        <f>+'T-1'!S33</f>
        <v>60</v>
      </c>
      <c r="N30" s="1624"/>
      <c r="O30" s="625"/>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c r="CV30" s="346"/>
      <c r="CW30" s="346"/>
      <c r="CX30" s="346"/>
    </row>
    <row r="31" spans="1:102" ht="18.75" customHeight="1">
      <c r="A31" s="1505">
        <v>11</v>
      </c>
      <c r="B31" s="1273" t="s">
        <v>178</v>
      </c>
      <c r="C31" s="1506">
        <f>+'T-6'!H34</f>
        <v>8.8902700000000001E-2</v>
      </c>
      <c r="D31" s="846">
        <v>0</v>
      </c>
      <c r="E31" s="694">
        <v>1.7099999999999999E-3</v>
      </c>
      <c r="F31" s="694">
        <v>0</v>
      </c>
      <c r="G31" s="694">
        <v>0</v>
      </c>
      <c r="H31" s="694">
        <v>0</v>
      </c>
      <c r="I31" s="694">
        <v>0</v>
      </c>
      <c r="J31" s="694">
        <f>'T-6 (six mth)'!H34</f>
        <v>1.714E-3</v>
      </c>
      <c r="K31" s="694">
        <f t="shared" si="2"/>
        <v>2.8566666666666665E-4</v>
      </c>
      <c r="L31" s="1514">
        <f>+'T-1'!N34</f>
        <v>0.1</v>
      </c>
      <c r="M31" s="1515">
        <f>+'T-1'!S34</f>
        <v>0.1</v>
      </c>
      <c r="N31" s="1624"/>
      <c r="O31" s="625"/>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c r="CV31" s="346"/>
      <c r="CW31" s="346"/>
      <c r="CX31" s="346"/>
    </row>
    <row r="32" spans="1:102" ht="18.75" customHeight="1">
      <c r="A32" s="1505">
        <v>12</v>
      </c>
      <c r="B32" s="1274" t="s">
        <v>179</v>
      </c>
      <c r="C32" s="1627">
        <f>+'T-6'!H35</f>
        <v>0</v>
      </c>
      <c r="D32" s="846">
        <v>0</v>
      </c>
      <c r="E32" s="694">
        <v>0</v>
      </c>
      <c r="F32" s="694">
        <v>0</v>
      </c>
      <c r="G32" s="694">
        <v>0</v>
      </c>
      <c r="H32" s="694">
        <v>0</v>
      </c>
      <c r="I32" s="694">
        <v>0</v>
      </c>
      <c r="J32" s="694">
        <f>'T-6 (six mth)'!H35</f>
        <v>0</v>
      </c>
      <c r="K32" s="694">
        <f t="shared" si="2"/>
        <v>0</v>
      </c>
      <c r="L32" s="1514">
        <f>+'T-1'!N35</f>
        <v>0</v>
      </c>
      <c r="M32" s="1515">
        <f>+'T-1'!S35</f>
        <v>0</v>
      </c>
      <c r="N32" s="1624"/>
      <c r="O32" s="625"/>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c r="CV32" s="346"/>
      <c r="CW32" s="346"/>
      <c r="CX32" s="346"/>
    </row>
    <row r="33" spans="1:102" ht="18.75" customHeight="1">
      <c r="A33" s="1505">
        <v>13</v>
      </c>
      <c r="B33" s="1274" t="s">
        <v>72</v>
      </c>
      <c r="C33" s="1627">
        <f>+'T-6'!H36</f>
        <v>0</v>
      </c>
      <c r="D33" s="846"/>
      <c r="E33" s="694"/>
      <c r="F33" s="694"/>
      <c r="G33" s="694"/>
      <c r="H33" s="694"/>
      <c r="I33" s="694"/>
      <c r="J33" s="1507">
        <f>'T-6 (six mth)'!H36</f>
        <v>0</v>
      </c>
      <c r="K33" s="1507">
        <f t="shared" si="2"/>
        <v>0</v>
      </c>
      <c r="L33" s="1508">
        <f>+'T-1'!N36</f>
        <v>0</v>
      </c>
      <c r="M33" s="1509">
        <f>+'T-1'!S36</f>
        <v>0</v>
      </c>
      <c r="N33" s="1624"/>
      <c r="O33" s="649"/>
      <c r="P33" s="346"/>
      <c r="Q33" s="262"/>
      <c r="R33" s="262"/>
      <c r="S33" s="262"/>
      <c r="T33" s="262"/>
      <c r="U33" s="262"/>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c r="CV33" s="346"/>
      <c r="CW33" s="346"/>
      <c r="CX33" s="346"/>
    </row>
    <row r="34" spans="1:102" ht="18.75" customHeight="1">
      <c r="A34" s="1505"/>
      <c r="B34" s="1510" t="s">
        <v>180</v>
      </c>
      <c r="C34" s="1626">
        <f>SUM(C22:C33)+C16</f>
        <v>2581.9842146790515</v>
      </c>
      <c r="D34" s="1517">
        <f t="shared" ref="D34:M34" si="4">SUM(D22:D33)+D16</f>
        <v>238.234735</v>
      </c>
      <c r="E34" s="1264">
        <f t="shared" si="4"/>
        <v>318.51452399999999</v>
      </c>
      <c r="F34" s="1264">
        <f t="shared" si="4"/>
        <v>296.58970599999998</v>
      </c>
      <c r="G34" s="1264">
        <f t="shared" si="4"/>
        <v>307.86447580000004</v>
      </c>
      <c r="H34" s="1264">
        <f t="shared" si="4"/>
        <v>253.92953499999999</v>
      </c>
      <c r="I34" s="1264">
        <f t="shared" si="4"/>
        <v>179.807479</v>
      </c>
      <c r="J34" s="1264">
        <f>SUM(J22:J33)+J16</f>
        <v>1594.9413952390391</v>
      </c>
      <c r="K34" s="1264">
        <f t="shared" si="4"/>
        <v>265.82377275220313</v>
      </c>
      <c r="L34" s="1267">
        <f>SUM(L22:L33)+L16</f>
        <v>3340.5</v>
      </c>
      <c r="M34" s="1511">
        <f t="shared" si="4"/>
        <v>3544.0999999999995</v>
      </c>
      <c r="N34" s="210"/>
      <c r="O34" s="649"/>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c r="CI34" s="346"/>
      <c r="CJ34" s="346"/>
      <c r="CK34" s="346"/>
      <c r="CL34" s="346"/>
      <c r="CM34" s="346"/>
      <c r="CN34" s="346"/>
      <c r="CO34" s="346"/>
      <c r="CP34" s="346"/>
      <c r="CQ34" s="346"/>
      <c r="CR34" s="346"/>
      <c r="CS34" s="346"/>
      <c r="CT34" s="346"/>
      <c r="CU34" s="346"/>
      <c r="CV34" s="346"/>
      <c r="CW34" s="346"/>
      <c r="CX34" s="346"/>
    </row>
    <row r="35" spans="1:102" ht="20.149999999999999" customHeight="1">
      <c r="A35" s="1512"/>
      <c r="B35" s="1275" t="s">
        <v>74</v>
      </c>
      <c r="C35" s="1513"/>
      <c r="D35" s="846"/>
      <c r="E35" s="694"/>
      <c r="F35" s="694"/>
      <c r="G35" s="694"/>
      <c r="H35" s="694"/>
      <c r="I35" s="694"/>
      <c r="J35" s="694"/>
      <c r="K35" s="694"/>
      <c r="L35" s="1514"/>
      <c r="M35" s="1515"/>
      <c r="N35" s="210"/>
      <c r="O35" s="625"/>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c r="CV35" s="346"/>
      <c r="CW35" s="346"/>
      <c r="CX35" s="346"/>
    </row>
    <row r="36" spans="1:102" ht="20.149999999999999" customHeight="1">
      <c r="A36" s="1505">
        <v>14</v>
      </c>
      <c r="B36" s="1274" t="s">
        <v>75</v>
      </c>
      <c r="C36" s="1506">
        <f>+'T-6'!H39</f>
        <v>17.100010000000001</v>
      </c>
      <c r="D36" s="846">
        <v>1.5869770000000001</v>
      </c>
      <c r="E36" s="694">
        <v>1.8729</v>
      </c>
      <c r="F36" s="694">
        <v>1.93659</v>
      </c>
      <c r="G36" s="694">
        <v>1.773104</v>
      </c>
      <c r="H36" s="694">
        <v>1.7759</v>
      </c>
      <c r="I36" s="694">
        <v>1.7136579999999999</v>
      </c>
      <c r="J36" s="694">
        <f>'T-6 (six mth)'!H39</f>
        <v>10.65917</v>
      </c>
      <c r="K36" s="694">
        <f t="shared" ref="K36:K51" si="5">+J36/6</f>
        <v>1.7765283333333333</v>
      </c>
      <c r="L36" s="1514">
        <f>+'T-1'!N39</f>
        <v>22</v>
      </c>
      <c r="M36" s="1515">
        <f>+'T-1'!S39</f>
        <v>23</v>
      </c>
      <c r="N36" s="1624"/>
      <c r="O36" s="625"/>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c r="CW36" s="346"/>
      <c r="CX36" s="346"/>
    </row>
    <row r="37" spans="1:102" ht="20.149999999999999" customHeight="1">
      <c r="A37" s="1505">
        <v>15</v>
      </c>
      <c r="B37" s="1274" t="s">
        <v>62</v>
      </c>
      <c r="C37" s="1506">
        <f>+'T-6'!H40</f>
        <v>58.088250000000002</v>
      </c>
      <c r="D37" s="846">
        <v>3.8951066090170201</v>
      </c>
      <c r="E37" s="694">
        <v>1.7439348861984201</v>
      </c>
      <c r="F37" s="694">
        <v>0.289745488936064</v>
      </c>
      <c r="G37" s="694">
        <v>6.8599937763288104</v>
      </c>
      <c r="H37" s="694">
        <v>12.558583</v>
      </c>
      <c r="I37" s="694">
        <v>12.340684</v>
      </c>
      <c r="J37" s="694">
        <f>'T-6 (six mth)'!H40</f>
        <v>37.688050000000004</v>
      </c>
      <c r="K37" s="694">
        <f t="shared" si="5"/>
        <v>6.281341666666667</v>
      </c>
      <c r="L37" s="1514">
        <f>+'T-1'!N40</f>
        <v>80</v>
      </c>
      <c r="M37" s="1515">
        <f>+'T-1'!S40</f>
        <v>85</v>
      </c>
      <c r="N37" s="1624"/>
      <c r="O37" s="625"/>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c r="CV37" s="346"/>
      <c r="CW37" s="346"/>
      <c r="CX37" s="346"/>
    </row>
    <row r="38" spans="1:102" ht="20.149999999999999" customHeight="1">
      <c r="A38" s="1505">
        <v>16</v>
      </c>
      <c r="B38" s="1274" t="s">
        <v>63</v>
      </c>
      <c r="C38" s="1506">
        <f>+'T-6'!H41</f>
        <v>3.7300589999999998</v>
      </c>
      <c r="D38" s="846">
        <v>0.35753000000000001</v>
      </c>
      <c r="E38" s="694">
        <v>0.48847000000000002</v>
      </c>
      <c r="F38" s="694">
        <v>0.3871</v>
      </c>
      <c r="G38" s="694">
        <v>0.429618</v>
      </c>
      <c r="H38" s="694">
        <v>0.42233599999999999</v>
      </c>
      <c r="I38" s="694">
        <v>0.40844999999999998</v>
      </c>
      <c r="J38" s="694">
        <f>'T-6 (six mth)'!H41</f>
        <v>2.4935099999999997</v>
      </c>
      <c r="K38" s="694">
        <f t="shared" si="5"/>
        <v>0.41558499999999993</v>
      </c>
      <c r="L38" s="1514">
        <f>+'T-1'!N41</f>
        <v>5.5</v>
      </c>
      <c r="M38" s="1515">
        <f>+'T-1'!S41</f>
        <v>5.6</v>
      </c>
      <c r="N38" s="1624"/>
      <c r="O38" s="625"/>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J38" s="346"/>
      <c r="CK38" s="346"/>
      <c r="CL38" s="346"/>
      <c r="CM38" s="346"/>
      <c r="CN38" s="346"/>
      <c r="CO38" s="346"/>
      <c r="CP38" s="346"/>
      <c r="CQ38" s="346"/>
      <c r="CR38" s="346"/>
      <c r="CS38" s="346"/>
      <c r="CT38" s="346"/>
      <c r="CU38" s="346"/>
      <c r="CV38" s="346"/>
      <c r="CW38" s="346"/>
      <c r="CX38" s="346"/>
    </row>
    <row r="39" spans="1:102" ht="20.149999999999999" customHeight="1">
      <c r="A39" s="1505">
        <v>17</v>
      </c>
      <c r="B39" s="1274" t="s">
        <v>64</v>
      </c>
      <c r="C39" s="1506">
        <f>+'T-6'!H42</f>
        <v>5.6606499999999995</v>
      </c>
      <c r="D39" s="846">
        <v>0.62095</v>
      </c>
      <c r="E39" s="694">
        <v>0.71617790000000003</v>
      </c>
      <c r="F39" s="694">
        <v>0.77292000000000005</v>
      </c>
      <c r="G39" s="694">
        <v>0.67367999999999995</v>
      </c>
      <c r="H39" s="694">
        <v>0.59364099999999997</v>
      </c>
      <c r="I39" s="694">
        <v>0.56892684000000004</v>
      </c>
      <c r="J39" s="694">
        <f>'T-6 (six mth)'!H42</f>
        <v>3.9461399999999998</v>
      </c>
      <c r="K39" s="694">
        <f t="shared" si="5"/>
        <v>0.65769</v>
      </c>
      <c r="L39" s="1514">
        <f>+'T-1'!N42</f>
        <v>8</v>
      </c>
      <c r="M39" s="1515">
        <f>+'T-1'!S42</f>
        <v>8.1999999999999993</v>
      </c>
      <c r="N39" s="1624"/>
      <c r="O39" s="625"/>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346"/>
      <c r="CF39" s="346"/>
      <c r="CG39" s="346"/>
      <c r="CH39" s="346"/>
      <c r="CI39" s="346"/>
      <c r="CJ39" s="346"/>
      <c r="CK39" s="346"/>
      <c r="CL39" s="346"/>
      <c r="CM39" s="346"/>
      <c r="CN39" s="346"/>
      <c r="CO39" s="346"/>
      <c r="CP39" s="346"/>
      <c r="CQ39" s="346"/>
      <c r="CR39" s="346"/>
      <c r="CS39" s="346"/>
      <c r="CT39" s="346"/>
      <c r="CU39" s="346"/>
      <c r="CV39" s="346"/>
      <c r="CW39" s="346"/>
      <c r="CX39" s="346"/>
    </row>
    <row r="40" spans="1:102" ht="20.149999999999999" customHeight="1">
      <c r="A40" s="1505">
        <v>18</v>
      </c>
      <c r="B40" s="1274" t="s">
        <v>77</v>
      </c>
      <c r="C40" s="1506">
        <f>+'T-6'!H43</f>
        <v>31.391390000000001</v>
      </c>
      <c r="D40" s="846">
        <v>3.1769949411946401</v>
      </c>
      <c r="E40" s="694">
        <v>3.82089269298611</v>
      </c>
      <c r="F40" s="694">
        <v>3.7598532162757801</v>
      </c>
      <c r="G40" s="694">
        <v>3.8123654543643299</v>
      </c>
      <c r="H40" s="694">
        <v>3.8840932852422201</v>
      </c>
      <c r="I40" s="694">
        <v>3.78817957666908</v>
      </c>
      <c r="J40" s="694">
        <f>'T-6 (six mth)'!H43</f>
        <v>22.242190000000004</v>
      </c>
      <c r="K40" s="694">
        <f t="shared" si="5"/>
        <v>3.7070316666666674</v>
      </c>
      <c r="L40" s="1514">
        <f>+'T-1'!N43</f>
        <v>45</v>
      </c>
      <c r="M40" s="1515">
        <f>+'T-1'!S43</f>
        <v>47</v>
      </c>
      <c r="N40" s="1624"/>
      <c r="O40" s="649"/>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c r="CF40" s="346"/>
      <c r="CG40" s="346"/>
      <c r="CH40" s="346"/>
      <c r="CI40" s="346"/>
      <c r="CJ40" s="346"/>
      <c r="CK40" s="346"/>
      <c r="CL40" s="346"/>
      <c r="CM40" s="346"/>
      <c r="CN40" s="346"/>
      <c r="CO40" s="346"/>
      <c r="CP40" s="346"/>
      <c r="CQ40" s="346"/>
      <c r="CR40" s="346"/>
      <c r="CS40" s="346"/>
      <c r="CT40" s="346"/>
      <c r="CU40" s="346"/>
      <c r="CV40" s="346"/>
      <c r="CW40" s="346"/>
      <c r="CX40" s="346"/>
    </row>
    <row r="41" spans="1:102" ht="20.149999999999999" customHeight="1">
      <c r="A41" s="1505">
        <v>19</v>
      </c>
      <c r="B41" s="1274" t="s">
        <v>181</v>
      </c>
      <c r="C41" s="1627">
        <f>+'T-6'!H44</f>
        <v>0</v>
      </c>
      <c r="D41" s="846">
        <v>0</v>
      </c>
      <c r="E41" s="694">
        <v>0</v>
      </c>
      <c r="F41" s="694">
        <v>0</v>
      </c>
      <c r="G41" s="694">
        <v>0</v>
      </c>
      <c r="H41" s="694">
        <v>0</v>
      </c>
      <c r="I41" s="694">
        <v>0</v>
      </c>
      <c r="J41" s="694">
        <f>'T-6 (six mth)'!H44</f>
        <v>0</v>
      </c>
      <c r="K41" s="694">
        <f t="shared" si="5"/>
        <v>0</v>
      </c>
      <c r="L41" s="1508">
        <f>+'T-1'!N44</f>
        <v>0</v>
      </c>
      <c r="M41" s="1509">
        <f>+'T-1'!S44</f>
        <v>0</v>
      </c>
      <c r="N41" s="1624"/>
      <c r="O41" s="625"/>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c r="CV41" s="346"/>
      <c r="CW41" s="346"/>
      <c r="CX41" s="346"/>
    </row>
    <row r="42" spans="1:102" ht="20.149999999999999" customHeight="1">
      <c r="A42" s="1505">
        <v>20</v>
      </c>
      <c r="B42" s="1274" t="s">
        <v>182</v>
      </c>
      <c r="C42" s="1506">
        <f>+'T-6'!H45</f>
        <v>161.92072999999999</v>
      </c>
      <c r="D42" s="846">
        <v>15.989648501840099</v>
      </c>
      <c r="E42" s="694">
        <v>17.627558264991801</v>
      </c>
      <c r="F42" s="694">
        <v>17.47845103281</v>
      </c>
      <c r="G42" s="694">
        <v>16.553762160895602</v>
      </c>
      <c r="H42" s="694">
        <v>13.037588689276699</v>
      </c>
      <c r="I42" s="694">
        <v>16.058554252200501</v>
      </c>
      <c r="J42" s="694">
        <f>'T-6 (six mth)'!H45</f>
        <v>96.745469999999997</v>
      </c>
      <c r="K42" s="694">
        <f>+J42/6</f>
        <v>16.124244999999998</v>
      </c>
      <c r="L42" s="1514">
        <f>+'T-1'!N45</f>
        <v>190</v>
      </c>
      <c r="M42" s="1515">
        <f>+'T-1'!S45</f>
        <v>195</v>
      </c>
      <c r="N42" s="1624"/>
      <c r="O42" s="625"/>
      <c r="P42" s="346"/>
      <c r="Q42" s="346"/>
      <c r="R42" s="40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c r="CL42" s="346"/>
      <c r="CM42" s="346"/>
      <c r="CN42" s="346"/>
      <c r="CO42" s="346"/>
      <c r="CP42" s="346"/>
      <c r="CQ42" s="346"/>
      <c r="CR42" s="346"/>
      <c r="CS42" s="346"/>
      <c r="CT42" s="346"/>
      <c r="CU42" s="346"/>
      <c r="CV42" s="346"/>
      <c r="CW42" s="346"/>
      <c r="CX42" s="346"/>
    </row>
    <row r="43" spans="1:102" ht="20.149999999999999" customHeight="1">
      <c r="A43" s="1505">
        <v>21</v>
      </c>
      <c r="B43" s="1274" t="s">
        <v>183</v>
      </c>
      <c r="C43" s="1627">
        <f>+'T-6'!H46</f>
        <v>0</v>
      </c>
      <c r="D43" s="1516">
        <v>0</v>
      </c>
      <c r="E43" s="1507">
        <v>0</v>
      </c>
      <c r="F43" s="1507">
        <v>0</v>
      </c>
      <c r="G43" s="1507">
        <v>0</v>
      </c>
      <c r="H43" s="1507">
        <v>0</v>
      </c>
      <c r="I43" s="1507">
        <v>0</v>
      </c>
      <c r="J43" s="1507">
        <f>'T-6 (six mth)'!H46</f>
        <v>0</v>
      </c>
      <c r="K43" s="1507">
        <f t="shared" si="5"/>
        <v>0</v>
      </c>
      <c r="L43" s="1508">
        <f>+'T-1'!N46</f>
        <v>0</v>
      </c>
      <c r="M43" s="1509">
        <f>+'T-1'!S46</f>
        <v>0</v>
      </c>
      <c r="N43" s="1624"/>
      <c r="O43" s="649"/>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c r="CW43" s="346"/>
      <c r="CX43" s="346"/>
    </row>
    <row r="44" spans="1:102" ht="20.149999999999999" customHeight="1">
      <c r="A44" s="1505">
        <v>22</v>
      </c>
      <c r="B44" s="1274" t="s">
        <v>184</v>
      </c>
      <c r="C44" s="1506">
        <f>+'T-6'!H47</f>
        <v>45.505510000000001</v>
      </c>
      <c r="D44" s="846">
        <v>3.8472526761572698</v>
      </c>
      <c r="E44" s="694">
        <v>3.1238830478275301</v>
      </c>
      <c r="F44" s="694">
        <v>4.3814048114159299</v>
      </c>
      <c r="G44" s="694">
        <v>4.5514895900760601</v>
      </c>
      <c r="H44" s="694">
        <v>4.6058903131651396</v>
      </c>
      <c r="I44" s="694">
        <v>4.6049522141669001</v>
      </c>
      <c r="J44" s="694">
        <f>'T-6 (six mth)'!H47</f>
        <v>25.114879999999999</v>
      </c>
      <c r="K44" s="694">
        <f t="shared" si="5"/>
        <v>4.1858133333333329</v>
      </c>
      <c r="L44" s="1514">
        <f>+'T-1'!N47</f>
        <v>51</v>
      </c>
      <c r="M44" s="1515">
        <f>+'T-1'!S47</f>
        <v>52</v>
      </c>
      <c r="N44" s="1624"/>
      <c r="O44" s="625"/>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46"/>
      <c r="CC44" s="346"/>
      <c r="CD44" s="346"/>
      <c r="CE44" s="346"/>
      <c r="CF44" s="346"/>
      <c r="CG44" s="346"/>
      <c r="CH44" s="346"/>
      <c r="CI44" s="346"/>
      <c r="CJ44" s="346"/>
      <c r="CK44" s="346"/>
      <c r="CL44" s="346"/>
      <c r="CM44" s="346"/>
      <c r="CN44" s="346"/>
      <c r="CO44" s="346"/>
      <c r="CP44" s="346"/>
      <c r="CQ44" s="346"/>
      <c r="CR44" s="346"/>
      <c r="CS44" s="346"/>
      <c r="CT44" s="346"/>
      <c r="CU44" s="346"/>
      <c r="CV44" s="346"/>
      <c r="CW44" s="346"/>
      <c r="CX44" s="346"/>
    </row>
    <row r="45" spans="1:102" ht="20.149999999999999" customHeight="1">
      <c r="A45" s="1505">
        <v>23</v>
      </c>
      <c r="B45" s="1274" t="s">
        <v>72</v>
      </c>
      <c r="C45" s="1506">
        <f>+'T-6'!H48</f>
        <v>1078.4844275</v>
      </c>
      <c r="D45" s="846">
        <v>100.324147799153</v>
      </c>
      <c r="E45" s="694">
        <v>106.40837045204999</v>
      </c>
      <c r="F45" s="694">
        <v>100.945591699186</v>
      </c>
      <c r="G45" s="694">
        <v>107.9285352439</v>
      </c>
      <c r="H45" s="694">
        <v>90.962441249993304</v>
      </c>
      <c r="I45" s="694">
        <v>98.509028356400506</v>
      </c>
      <c r="J45" s="694">
        <f>'T-6 (six mth)'!H48</f>
        <v>595.39882662618902</v>
      </c>
      <c r="K45" s="694">
        <f t="shared" si="5"/>
        <v>99.233137771031508</v>
      </c>
      <c r="L45" s="1514">
        <f>+'T-1'!N48</f>
        <v>1188.5</v>
      </c>
      <c r="M45" s="1515">
        <f>+'T-1'!S48</f>
        <v>1282</v>
      </c>
      <c r="N45" s="1624"/>
      <c r="O45" s="651"/>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c r="CI45" s="346"/>
      <c r="CJ45" s="346"/>
      <c r="CK45" s="346"/>
      <c r="CL45" s="346"/>
      <c r="CM45" s="346"/>
      <c r="CN45" s="346"/>
      <c r="CO45" s="346"/>
      <c r="CP45" s="346"/>
      <c r="CQ45" s="346"/>
      <c r="CR45" s="346"/>
      <c r="CS45" s="346"/>
      <c r="CT45" s="346"/>
      <c r="CU45" s="346"/>
      <c r="CV45" s="346"/>
      <c r="CW45" s="346"/>
      <c r="CX45" s="346"/>
    </row>
    <row r="46" spans="1:102" ht="20.149999999999999" customHeight="1">
      <c r="A46" s="1505"/>
      <c r="B46" s="1274" t="s">
        <v>1962</v>
      </c>
      <c r="C46" s="1506"/>
      <c r="D46" s="846"/>
      <c r="E46" s="694"/>
      <c r="F46" s="694"/>
      <c r="G46" s="694"/>
      <c r="H46" s="694"/>
      <c r="I46" s="694"/>
      <c r="J46" s="694"/>
      <c r="K46" s="694"/>
      <c r="L46" s="1514">
        <f>+'T-1'!N49</f>
        <v>12</v>
      </c>
      <c r="M46" s="1515">
        <f>+'T-1'!S49</f>
        <v>15</v>
      </c>
      <c r="N46" s="1624"/>
      <c r="O46" s="651"/>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c r="CI46" s="346"/>
      <c r="CJ46" s="346"/>
      <c r="CK46" s="346"/>
      <c r="CL46" s="346"/>
      <c r="CM46" s="346"/>
      <c r="CN46" s="346"/>
      <c r="CO46" s="346"/>
      <c r="CP46" s="346"/>
      <c r="CQ46" s="346"/>
      <c r="CR46" s="346"/>
      <c r="CS46" s="346"/>
      <c r="CT46" s="346"/>
      <c r="CU46" s="346"/>
      <c r="CV46" s="346"/>
      <c r="CW46" s="346"/>
      <c r="CX46" s="346"/>
    </row>
    <row r="47" spans="1:102" ht="20.149999999999999" customHeight="1">
      <c r="A47" s="1505">
        <v>24</v>
      </c>
      <c r="B47" s="1274" t="s">
        <v>82</v>
      </c>
      <c r="C47" s="1506">
        <f>+'T-6'!H50</f>
        <v>589.09063000000003</v>
      </c>
      <c r="D47" s="846">
        <v>48.515660341175</v>
      </c>
      <c r="E47" s="694">
        <v>53.344177461498298</v>
      </c>
      <c r="F47" s="694">
        <v>49.970547327571701</v>
      </c>
      <c r="G47" s="694">
        <v>50.134248672428299</v>
      </c>
      <c r="H47" s="694">
        <v>46.728465</v>
      </c>
      <c r="I47" s="694">
        <v>49.955421000000001</v>
      </c>
      <c r="J47" s="694">
        <f>'T-6 (six mth)'!H50</f>
        <v>298.64850999999999</v>
      </c>
      <c r="K47" s="694">
        <f t="shared" si="5"/>
        <v>49.774751666666667</v>
      </c>
      <c r="L47" s="1514">
        <f>+'T-1'!N50</f>
        <v>610</v>
      </c>
      <c r="M47" s="1515">
        <f>+'T-1'!S50</f>
        <v>640</v>
      </c>
      <c r="N47" s="1624"/>
      <c r="O47" s="625"/>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c r="CF47" s="346"/>
      <c r="CG47" s="346"/>
      <c r="CH47" s="346"/>
      <c r="CI47" s="346"/>
      <c r="CJ47" s="346"/>
      <c r="CK47" s="346"/>
      <c r="CL47" s="346"/>
      <c r="CM47" s="346"/>
      <c r="CN47" s="346"/>
      <c r="CO47" s="346"/>
      <c r="CP47" s="346"/>
      <c r="CQ47" s="346"/>
      <c r="CR47" s="346"/>
      <c r="CS47" s="346"/>
      <c r="CT47" s="346"/>
      <c r="CU47" s="346"/>
      <c r="CV47" s="346"/>
      <c r="CW47" s="346"/>
      <c r="CX47" s="346"/>
    </row>
    <row r="48" spans="1:102" ht="20.149999999999999" customHeight="1">
      <c r="A48" s="1505">
        <v>25</v>
      </c>
      <c r="B48" s="1274" t="s">
        <v>92</v>
      </c>
      <c r="C48" s="1506">
        <f>+'T-6'!H51</f>
        <v>167.39267999999998</v>
      </c>
      <c r="D48" s="846">
        <v>14.619590994167</v>
      </c>
      <c r="E48" s="694">
        <v>14.4611681510011</v>
      </c>
      <c r="F48" s="694">
        <v>13.9736821852239</v>
      </c>
      <c r="G48" s="694">
        <v>14.303002674776099</v>
      </c>
      <c r="H48" s="694">
        <v>30.48572004</v>
      </c>
      <c r="I48" s="694">
        <v>23.37406</v>
      </c>
      <c r="J48" s="694">
        <f>'T-6 (six mth)'!H51</f>
        <v>111.21718</v>
      </c>
      <c r="K48" s="694">
        <f t="shared" si="5"/>
        <v>18.536196666666665</v>
      </c>
      <c r="L48" s="1514">
        <f>+'T-1'!N51</f>
        <v>225</v>
      </c>
      <c r="M48" s="1515">
        <f>+'T-1'!S51</f>
        <v>230</v>
      </c>
      <c r="N48" s="1624"/>
      <c r="O48" s="649"/>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6"/>
      <c r="CQ48" s="346"/>
      <c r="CR48" s="346"/>
      <c r="CS48" s="346"/>
      <c r="CT48" s="346"/>
      <c r="CU48" s="346"/>
      <c r="CV48" s="346"/>
      <c r="CW48" s="346"/>
      <c r="CX48" s="346"/>
    </row>
    <row r="49" spans="1:102" ht="20.149999999999999" customHeight="1">
      <c r="A49" s="1505">
        <v>26</v>
      </c>
      <c r="B49" s="1274" t="s">
        <v>84</v>
      </c>
      <c r="C49" s="1506">
        <f>+'T-6'!H52</f>
        <v>0</v>
      </c>
      <c r="D49" s="846"/>
      <c r="E49" s="694"/>
      <c r="F49" s="694"/>
      <c r="G49" s="694"/>
      <c r="H49" s="694"/>
      <c r="I49" s="694"/>
      <c r="J49" s="1507">
        <f>'T-6 (six mth)'!H52</f>
        <v>0</v>
      </c>
      <c r="K49" s="1507">
        <f t="shared" si="5"/>
        <v>0</v>
      </c>
      <c r="L49" s="1508">
        <f>+'T-1'!N52</f>
        <v>0</v>
      </c>
      <c r="M49" s="1509">
        <f>+'T-1'!S52</f>
        <v>9.9999999999999995E-7</v>
      </c>
      <c r="N49" s="1624"/>
      <c r="O49" s="625"/>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6"/>
      <c r="CN49" s="346"/>
      <c r="CO49" s="346"/>
      <c r="CP49" s="346"/>
      <c r="CQ49" s="346"/>
      <c r="CR49" s="346"/>
      <c r="CS49" s="346"/>
      <c r="CT49" s="346"/>
      <c r="CU49" s="346"/>
      <c r="CV49" s="346"/>
      <c r="CW49" s="346"/>
      <c r="CX49" s="346"/>
    </row>
    <row r="50" spans="1:102" ht="20.149999999999999" customHeight="1">
      <c r="A50" s="1505">
        <v>27</v>
      </c>
      <c r="B50" s="1274" t="s">
        <v>85</v>
      </c>
      <c r="C50" s="1627">
        <f>+'T-6'!H53</f>
        <v>0</v>
      </c>
      <c r="D50" s="1516"/>
      <c r="E50" s="1507"/>
      <c r="F50" s="1507"/>
      <c r="G50" s="1507"/>
      <c r="H50" s="1507"/>
      <c r="I50" s="1507"/>
      <c r="J50" s="1507">
        <f>'T-6 (six mth)'!H53</f>
        <v>0</v>
      </c>
      <c r="K50" s="1507">
        <f t="shared" si="5"/>
        <v>0</v>
      </c>
      <c r="L50" s="1508">
        <f>+'T-1'!N53</f>
        <v>0</v>
      </c>
      <c r="M50" s="1509">
        <f>+'T-1'!S53</f>
        <v>9.9999999999999995E-7</v>
      </c>
      <c r="N50" s="1624"/>
      <c r="O50" s="625"/>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c r="CQ50" s="346"/>
      <c r="CR50" s="346"/>
      <c r="CS50" s="346"/>
      <c r="CT50" s="346"/>
      <c r="CU50" s="346"/>
      <c r="CV50" s="346"/>
      <c r="CW50" s="346"/>
      <c r="CX50" s="346"/>
    </row>
    <row r="51" spans="1:102" ht="20.149999999999999" customHeight="1">
      <c r="A51" s="1505">
        <v>28</v>
      </c>
      <c r="B51" s="1274" t="s">
        <v>86</v>
      </c>
      <c r="C51" s="1506">
        <f>+'T-6'!H54</f>
        <v>6.5770049999999998</v>
      </c>
      <c r="D51" s="846">
        <v>0.59062924999999999</v>
      </c>
      <c r="E51" s="694">
        <v>0.70659581999999999</v>
      </c>
      <c r="F51" s="694">
        <v>0.73485535000000002</v>
      </c>
      <c r="G51" s="694">
        <v>0.59694312999999999</v>
      </c>
      <c r="H51" s="694">
        <v>0.59517750000000003</v>
      </c>
      <c r="I51" s="694">
        <v>0.56284694000000002</v>
      </c>
      <c r="J51" s="694">
        <f>'T-6 (six mth)'!H54</f>
        <v>3.7869655500000006</v>
      </c>
      <c r="K51" s="694">
        <f t="shared" si="5"/>
        <v>0.63116092500000009</v>
      </c>
      <c r="L51" s="1514">
        <f>+'T-1'!N54</f>
        <v>7</v>
      </c>
      <c r="M51" s="1515">
        <f>+'T-1'!S54</f>
        <v>7.2</v>
      </c>
      <c r="N51" s="1624"/>
      <c r="O51" s="649"/>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6"/>
      <c r="CQ51" s="346"/>
      <c r="CR51" s="346"/>
      <c r="CS51" s="346"/>
      <c r="CT51" s="346"/>
      <c r="CU51" s="346"/>
      <c r="CV51" s="346"/>
      <c r="CW51" s="346"/>
      <c r="CX51" s="346"/>
    </row>
    <row r="52" spans="1:102" ht="20.149999999999999" customHeight="1">
      <c r="A52" s="1505"/>
      <c r="B52" s="1510" t="s">
        <v>87</v>
      </c>
      <c r="C52" s="1626">
        <f t="shared" ref="C52:M52" si="6">SUM(C36:C51)</f>
        <v>2164.9413414999999</v>
      </c>
      <c r="D52" s="1517">
        <f t="shared" si="6"/>
        <v>193.52448811270403</v>
      </c>
      <c r="E52" s="1264">
        <f t="shared" si="6"/>
        <v>204.31412867655325</v>
      </c>
      <c r="F52" s="1264">
        <f t="shared" si="6"/>
        <v>194.63074111141938</v>
      </c>
      <c r="G52" s="1264">
        <f t="shared" si="6"/>
        <v>207.61674270276922</v>
      </c>
      <c r="H52" s="1264">
        <f t="shared" si="6"/>
        <v>205.64983607767735</v>
      </c>
      <c r="I52" s="1264">
        <f t="shared" si="6"/>
        <v>211.88476117943696</v>
      </c>
      <c r="J52" s="1264">
        <f>SUM(J36:J51)</f>
        <v>1207.9408921761892</v>
      </c>
      <c r="K52" s="1264">
        <f t="shared" si="6"/>
        <v>201.32348202936484</v>
      </c>
      <c r="L52" s="1267">
        <f t="shared" si="6"/>
        <v>2444</v>
      </c>
      <c r="M52" s="1511">
        <f t="shared" si="6"/>
        <v>2590.0000019999998</v>
      </c>
      <c r="N52" s="1624"/>
      <c r="O52" s="625"/>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6"/>
      <c r="CQ52" s="346"/>
      <c r="CR52" s="346"/>
      <c r="CS52" s="346"/>
      <c r="CT52" s="346"/>
      <c r="CU52" s="346"/>
      <c r="CV52" s="346"/>
      <c r="CW52" s="346"/>
      <c r="CX52" s="346"/>
    </row>
    <row r="53" spans="1:102" ht="20.149999999999999" customHeight="1">
      <c r="A53" s="1512"/>
      <c r="B53" s="1275" t="s">
        <v>88</v>
      </c>
      <c r="C53" s="1513"/>
      <c r="D53" s="1517"/>
      <c r="E53" s="1264"/>
      <c r="F53" s="1264"/>
      <c r="G53" s="1264"/>
      <c r="H53" s="1264"/>
      <c r="I53" s="1264"/>
      <c r="J53" s="694"/>
      <c r="K53" s="694"/>
      <c r="L53" s="1514"/>
      <c r="M53" s="1515"/>
      <c r="N53" s="210"/>
      <c r="O53" s="625"/>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c r="CI53" s="346"/>
      <c r="CJ53" s="346"/>
      <c r="CK53" s="346"/>
      <c r="CL53" s="346"/>
      <c r="CM53" s="346"/>
      <c r="CN53" s="346"/>
      <c r="CO53" s="346"/>
      <c r="CP53" s="346"/>
      <c r="CQ53" s="346"/>
      <c r="CR53" s="346"/>
      <c r="CS53" s="346"/>
      <c r="CT53" s="346"/>
      <c r="CU53" s="346"/>
      <c r="CV53" s="346"/>
      <c r="CW53" s="346"/>
      <c r="CX53" s="346"/>
    </row>
    <row r="54" spans="1:102" ht="20.149999999999999" customHeight="1">
      <c r="A54" s="1505">
        <v>29</v>
      </c>
      <c r="B54" s="1274" t="s">
        <v>89</v>
      </c>
      <c r="C54" s="1506">
        <f>+'T-6'!H57</f>
        <v>0.18132000000000001</v>
      </c>
      <c r="D54" s="846">
        <v>0.102688639295048</v>
      </c>
      <c r="E54" s="694">
        <v>2.5766750972767299E-2</v>
      </c>
      <c r="F54" s="694">
        <v>4.63932490272327E-2</v>
      </c>
      <c r="G54" s="694">
        <v>3.2500000000000001E-2</v>
      </c>
      <c r="H54" s="694">
        <v>3.3759999999999998E-2</v>
      </c>
      <c r="I54" s="694">
        <v>3.7499999999999999E-2</v>
      </c>
      <c r="J54" s="694">
        <f>'T-6 (six mth)'!H57</f>
        <v>0.27860000000000001</v>
      </c>
      <c r="K54" s="694">
        <f t="shared" ref="K54:K64" si="7">+J54/6</f>
        <v>4.6433333333333333E-2</v>
      </c>
      <c r="L54" s="1514">
        <f>+'T-1'!N58</f>
        <v>0.45</v>
      </c>
      <c r="M54" s="1515">
        <f>+'T-1'!S58</f>
        <v>0.46</v>
      </c>
      <c r="N54" s="1624"/>
      <c r="O54" s="625"/>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346"/>
      <c r="BY54" s="346"/>
      <c r="BZ54" s="346"/>
      <c r="CA54" s="346"/>
      <c r="CB54" s="346"/>
      <c r="CC54" s="346"/>
      <c r="CD54" s="346"/>
      <c r="CE54" s="346"/>
      <c r="CF54" s="346"/>
      <c r="CG54" s="346"/>
      <c r="CH54" s="346"/>
      <c r="CI54" s="346"/>
      <c r="CJ54" s="346"/>
      <c r="CK54" s="346"/>
      <c r="CL54" s="346"/>
      <c r="CM54" s="346"/>
      <c r="CN54" s="346"/>
      <c r="CO54" s="346"/>
      <c r="CP54" s="346"/>
      <c r="CQ54" s="346"/>
      <c r="CR54" s="346"/>
      <c r="CS54" s="346"/>
      <c r="CT54" s="346"/>
      <c r="CU54" s="346"/>
      <c r="CV54" s="346"/>
      <c r="CW54" s="346"/>
      <c r="CX54" s="346"/>
    </row>
    <row r="55" spans="1:102" ht="20.149999999999999" customHeight="1">
      <c r="A55" s="1505">
        <v>30</v>
      </c>
      <c r="B55" s="1274" t="s">
        <v>72</v>
      </c>
      <c r="C55" s="1506">
        <f>+'T-6'!H58</f>
        <v>510.81445600000001</v>
      </c>
      <c r="D55" s="846">
        <v>37.688934734355499</v>
      </c>
      <c r="E55" s="694">
        <v>73.878703138540601</v>
      </c>
      <c r="F55" s="694">
        <v>40.001642194159402</v>
      </c>
      <c r="G55" s="694">
        <v>50.1783515810925</v>
      </c>
      <c r="H55" s="694">
        <v>58.356371099999997</v>
      </c>
      <c r="I55" s="694">
        <v>51.329460230000002</v>
      </c>
      <c r="J55" s="694">
        <f>'T-6 (six mth)'!H58</f>
        <v>287.43349813814763</v>
      </c>
      <c r="K55" s="694">
        <f t="shared" si="7"/>
        <v>47.905583023024604</v>
      </c>
      <c r="L55" s="1514">
        <f>+'T-1'!N59</f>
        <v>570</v>
      </c>
      <c r="M55" s="1515">
        <f>+'T-1'!S59</f>
        <v>595</v>
      </c>
      <c r="N55" s="1624"/>
      <c r="O55" s="649"/>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c r="CD55" s="346"/>
      <c r="CE55" s="346"/>
      <c r="CF55" s="346"/>
      <c r="CG55" s="346"/>
      <c r="CH55" s="346"/>
      <c r="CI55" s="346"/>
      <c r="CJ55" s="346"/>
      <c r="CK55" s="346"/>
      <c r="CL55" s="346"/>
      <c r="CM55" s="346"/>
      <c r="CN55" s="346"/>
      <c r="CO55" s="346"/>
      <c r="CP55" s="346"/>
      <c r="CQ55" s="346"/>
      <c r="CR55" s="346"/>
      <c r="CS55" s="346"/>
      <c r="CT55" s="346"/>
      <c r="CU55" s="346"/>
      <c r="CV55" s="346"/>
      <c r="CW55" s="346"/>
      <c r="CX55" s="346"/>
    </row>
    <row r="56" spans="1:102" ht="20.149999999999999" customHeight="1">
      <c r="A56" s="1505"/>
      <c r="B56" s="1274" t="s">
        <v>1962</v>
      </c>
      <c r="C56" s="1506">
        <f>+'T-6'!H59</f>
        <v>25</v>
      </c>
      <c r="D56" s="846"/>
      <c r="E56" s="694"/>
      <c r="F56" s="694"/>
      <c r="G56" s="694"/>
      <c r="H56" s="694"/>
      <c r="I56" s="694"/>
      <c r="J56" s="694">
        <f>'T-6 (six mth)'!H59</f>
        <v>24</v>
      </c>
      <c r="K56" s="694"/>
      <c r="L56" s="1514">
        <f>+'T-1'!N60</f>
        <v>30</v>
      </c>
      <c r="M56" s="1515">
        <f>+'T-1'!S60</f>
        <v>50</v>
      </c>
      <c r="N56" s="1624"/>
      <c r="O56" s="649"/>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6"/>
      <c r="BW56" s="346"/>
      <c r="BX56" s="346"/>
      <c r="BY56" s="346"/>
      <c r="BZ56" s="346"/>
      <c r="CA56" s="346"/>
      <c r="CB56" s="346"/>
      <c r="CC56" s="346"/>
      <c r="CD56" s="346"/>
      <c r="CE56" s="346"/>
      <c r="CF56" s="346"/>
      <c r="CG56" s="346"/>
      <c r="CH56" s="346"/>
      <c r="CI56" s="346"/>
      <c r="CJ56" s="346"/>
      <c r="CK56" s="346"/>
      <c r="CL56" s="346"/>
      <c r="CM56" s="346"/>
      <c r="CN56" s="346"/>
      <c r="CO56" s="346"/>
      <c r="CP56" s="346"/>
      <c r="CQ56" s="346"/>
      <c r="CR56" s="346"/>
      <c r="CS56" s="346"/>
      <c r="CT56" s="346"/>
      <c r="CU56" s="346"/>
      <c r="CV56" s="346"/>
      <c r="CW56" s="346"/>
      <c r="CX56" s="346"/>
    </row>
    <row r="57" spans="1:102" ht="20.149999999999999" customHeight="1">
      <c r="A57" s="1505">
        <v>31</v>
      </c>
      <c r="B57" s="1274" t="s">
        <v>84</v>
      </c>
      <c r="C57" s="1506">
        <f>+'T-6'!H60</f>
        <v>824.50970999999993</v>
      </c>
      <c r="D57" s="846">
        <v>69.435269021828603</v>
      </c>
      <c r="E57" s="694">
        <v>76.602430878166999</v>
      </c>
      <c r="F57" s="694">
        <v>69.762812121832994</v>
      </c>
      <c r="G57" s="694">
        <v>69.299922899999999</v>
      </c>
      <c r="H57" s="694">
        <v>70.634186</v>
      </c>
      <c r="I57" s="694">
        <v>69.334190899999996</v>
      </c>
      <c r="J57" s="694">
        <f>'T-6 (six mth)'!H60</f>
        <v>425.06859000000003</v>
      </c>
      <c r="K57" s="694">
        <f t="shared" si="7"/>
        <v>70.84476500000001</v>
      </c>
      <c r="L57" s="1514">
        <f>+'T-1'!N61</f>
        <v>900</v>
      </c>
      <c r="M57" s="1515">
        <f>+'T-1'!S61</f>
        <v>945</v>
      </c>
      <c r="N57" s="1624"/>
      <c r="O57" s="625"/>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6"/>
      <c r="BV57" s="346"/>
      <c r="BW57" s="346"/>
      <c r="BX57" s="346"/>
      <c r="BY57" s="346"/>
      <c r="BZ57" s="346"/>
      <c r="CA57" s="346"/>
      <c r="CB57" s="346"/>
      <c r="CC57" s="346"/>
      <c r="CD57" s="346"/>
      <c r="CE57" s="346"/>
      <c r="CF57" s="346"/>
      <c r="CG57" s="346"/>
      <c r="CH57" s="346"/>
      <c r="CI57" s="346"/>
      <c r="CJ57" s="346"/>
      <c r="CK57" s="346"/>
      <c r="CL57" s="346"/>
      <c r="CM57" s="346"/>
      <c r="CN57" s="346"/>
      <c r="CO57" s="346"/>
      <c r="CP57" s="346"/>
      <c r="CQ57" s="346"/>
      <c r="CR57" s="346"/>
      <c r="CS57" s="346"/>
      <c r="CT57" s="346"/>
      <c r="CU57" s="346"/>
      <c r="CV57" s="346"/>
      <c r="CW57" s="346"/>
      <c r="CX57" s="346"/>
    </row>
    <row r="58" spans="1:102" ht="20.149999999999999" customHeight="1">
      <c r="A58" s="1505">
        <v>32</v>
      </c>
      <c r="B58" s="1274" t="s">
        <v>91</v>
      </c>
      <c r="C58" s="1506">
        <f>+'T-6'!H61</f>
        <v>685.86205240000004</v>
      </c>
      <c r="D58" s="846">
        <v>3.5930970124576902</v>
      </c>
      <c r="E58" s="694">
        <v>6.8308299999999997</v>
      </c>
      <c r="F58" s="694">
        <v>19.29308</v>
      </c>
      <c r="G58" s="694">
        <v>11.34186</v>
      </c>
      <c r="H58" s="694">
        <v>22.763539999999999</v>
      </c>
      <c r="I58" s="694">
        <v>53.194189999999999</v>
      </c>
      <c r="J58" s="694">
        <f>'T-6 (six mth)'!H61</f>
        <v>117.01655899999999</v>
      </c>
      <c r="K58" s="694">
        <f t="shared" si="7"/>
        <v>19.502759833333332</v>
      </c>
      <c r="L58" s="1514">
        <f>+'T-1'!N62</f>
        <v>250</v>
      </c>
      <c r="M58" s="1515">
        <f>+'T-1'!S62</f>
        <v>262</v>
      </c>
      <c r="N58" s="1624"/>
      <c r="O58" s="649"/>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c r="CI58" s="346"/>
      <c r="CJ58" s="346"/>
      <c r="CK58" s="346"/>
      <c r="CL58" s="346"/>
      <c r="CM58" s="346"/>
      <c r="CN58" s="346"/>
      <c r="CO58" s="346"/>
      <c r="CP58" s="346"/>
      <c r="CQ58" s="346"/>
      <c r="CR58" s="346"/>
      <c r="CS58" s="346"/>
      <c r="CT58" s="346"/>
      <c r="CU58" s="346"/>
      <c r="CV58" s="346"/>
      <c r="CW58" s="346"/>
      <c r="CX58" s="346"/>
    </row>
    <row r="59" spans="1:102" ht="20.149999999999999" customHeight="1">
      <c r="A59" s="1505">
        <v>33</v>
      </c>
      <c r="B59" s="1274" t="s">
        <v>82</v>
      </c>
      <c r="C59" s="1506">
        <f>+'T-6'!H62</f>
        <v>807.12273000000005</v>
      </c>
      <c r="D59" s="846">
        <f>218.171219822436-D60</f>
        <v>43.386869822436012</v>
      </c>
      <c r="E59" s="694">
        <f>303.87051699-E60</f>
        <v>64.031657989999985</v>
      </c>
      <c r="F59" s="694">
        <f>225.8180001-F60</f>
        <v>51.569184100000001</v>
      </c>
      <c r="G59" s="694">
        <f>298.8771571-G60</f>
        <v>55.355381099999988</v>
      </c>
      <c r="H59" s="694">
        <f>242.74958699-H60</f>
        <v>45.767638990000023</v>
      </c>
      <c r="I59" s="694">
        <f>260.5058529-I60</f>
        <v>42.193842899999993</v>
      </c>
      <c r="J59" s="694">
        <f>'T-6 (six mth)'!H62</f>
        <v>302.30457000000001</v>
      </c>
      <c r="K59" s="694">
        <f t="shared" si="7"/>
        <v>50.384095000000002</v>
      </c>
      <c r="L59" s="1514">
        <f>+'T-1'!N63</f>
        <v>642</v>
      </c>
      <c r="M59" s="1515">
        <f>+'T-1'!S63</f>
        <v>1583.94</v>
      </c>
      <c r="N59" s="1624"/>
      <c r="O59" s="625"/>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c r="CD59" s="346"/>
      <c r="CE59" s="346"/>
      <c r="CF59" s="346"/>
      <c r="CG59" s="346"/>
      <c r="CH59" s="346"/>
      <c r="CI59" s="346"/>
      <c r="CJ59" s="346"/>
      <c r="CK59" s="346"/>
      <c r="CL59" s="346"/>
      <c r="CM59" s="346"/>
      <c r="CN59" s="346"/>
      <c r="CO59" s="346"/>
      <c r="CP59" s="346"/>
      <c r="CQ59" s="346"/>
      <c r="CR59" s="346"/>
      <c r="CS59" s="346"/>
      <c r="CT59" s="346"/>
      <c r="CU59" s="346"/>
      <c r="CV59" s="346"/>
      <c r="CW59" s="346"/>
      <c r="CX59" s="346"/>
    </row>
    <row r="60" spans="1:102" ht="20.149999999999999" customHeight="1">
      <c r="A60" s="1505"/>
      <c r="B60" s="1274" t="s">
        <v>1963</v>
      </c>
      <c r="C60" s="1506">
        <f>+'T-6'!H63</f>
        <v>2932.8310000000001</v>
      </c>
      <c r="D60" s="846">
        <v>174.78434999999999</v>
      </c>
      <c r="E60" s="694">
        <v>239.83885900000001</v>
      </c>
      <c r="F60" s="694">
        <v>174.24881600000001</v>
      </c>
      <c r="G60" s="694">
        <v>243.52177599999999</v>
      </c>
      <c r="H60" s="694">
        <v>196.98194799999999</v>
      </c>
      <c r="I60" s="694">
        <v>218.31200999999999</v>
      </c>
      <c r="J60" s="694">
        <f>'T-6 (six mth)'!H63</f>
        <v>1247.68776</v>
      </c>
      <c r="K60" s="694"/>
      <c r="L60" s="1514">
        <f>+'T-1'!N64</f>
        <v>2500</v>
      </c>
      <c r="M60" s="1515">
        <f>+'T-1'!S64</f>
        <v>0</v>
      </c>
      <c r="N60" s="1624"/>
      <c r="O60" s="625"/>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346"/>
      <c r="BW60" s="346"/>
      <c r="BX60" s="346"/>
      <c r="BY60" s="346"/>
      <c r="BZ60" s="346"/>
      <c r="CA60" s="346"/>
      <c r="CB60" s="346"/>
      <c r="CC60" s="346"/>
      <c r="CD60" s="346"/>
      <c r="CE60" s="346"/>
      <c r="CF60" s="346"/>
      <c r="CG60" s="346"/>
      <c r="CH60" s="346"/>
      <c r="CI60" s="346"/>
      <c r="CJ60" s="346"/>
      <c r="CK60" s="346"/>
      <c r="CL60" s="346"/>
      <c r="CM60" s="346"/>
      <c r="CN60" s="346"/>
      <c r="CO60" s="346"/>
      <c r="CP60" s="346"/>
      <c r="CQ60" s="346"/>
      <c r="CR60" s="346"/>
      <c r="CS60" s="346"/>
      <c r="CT60" s="346"/>
      <c r="CU60" s="346"/>
      <c r="CV60" s="346"/>
      <c r="CW60" s="346"/>
      <c r="CX60" s="346"/>
    </row>
    <row r="61" spans="1:102" ht="20.149999999999999" customHeight="1">
      <c r="A61" s="1505">
        <v>34</v>
      </c>
      <c r="B61" s="1274" t="s">
        <v>92</v>
      </c>
      <c r="C61" s="1506">
        <f>+'T-6'!H64</f>
        <v>7.3120200000000004</v>
      </c>
      <c r="D61" s="846">
        <v>0.52556188930038605</v>
      </c>
      <c r="E61" s="694">
        <v>0.54352989031965604</v>
      </c>
      <c r="F61" s="694">
        <v>0.83305510968034302</v>
      </c>
      <c r="G61" s="694">
        <v>0.60100699999999996</v>
      </c>
      <c r="H61" s="694">
        <v>0.57707459999999999</v>
      </c>
      <c r="I61" s="694">
        <v>0.76140580000000002</v>
      </c>
      <c r="J61" s="694">
        <f>'T-6 (six mth)'!H64</f>
        <v>3.841634</v>
      </c>
      <c r="K61" s="694">
        <f t="shared" si="7"/>
        <v>0.64027233333333333</v>
      </c>
      <c r="L61" s="1514">
        <f>+'T-1'!N65</f>
        <v>7.5</v>
      </c>
      <c r="M61" s="1515">
        <f>+'T-1'!S65</f>
        <v>7.6</v>
      </c>
      <c r="N61" s="1624"/>
      <c r="O61" s="649"/>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346"/>
      <c r="CM61" s="346"/>
      <c r="CN61" s="346"/>
      <c r="CO61" s="346"/>
      <c r="CP61" s="346"/>
      <c r="CQ61" s="346"/>
      <c r="CR61" s="346"/>
      <c r="CS61" s="346"/>
      <c r="CT61" s="346"/>
      <c r="CU61" s="346"/>
      <c r="CV61" s="346"/>
      <c r="CW61" s="346"/>
      <c r="CX61" s="346"/>
    </row>
    <row r="62" spans="1:102" ht="20.149999999999999" customHeight="1">
      <c r="A62" s="1505">
        <v>35</v>
      </c>
      <c r="B62" s="1274" t="s">
        <v>85</v>
      </c>
      <c r="C62" s="1506">
        <f>+'T-6'!H65</f>
        <v>5.7659099999999999</v>
      </c>
      <c r="D62" s="846">
        <v>6.0610768452691498E-2</v>
      </c>
      <c r="E62" s="694">
        <v>3.0000000000000001E-3</v>
      </c>
      <c r="F62" s="694">
        <v>3.6299999999999999E-2</v>
      </c>
      <c r="G62" s="694">
        <v>7.5700000000000003E-2</v>
      </c>
      <c r="H62" s="694">
        <v>1.2E-2</v>
      </c>
      <c r="I62" s="694">
        <v>0.1628</v>
      </c>
      <c r="J62" s="694">
        <f>'T-6 (six mth)'!H65</f>
        <v>0.35041</v>
      </c>
      <c r="K62" s="694">
        <f t="shared" si="7"/>
        <v>5.8401666666666664E-2</v>
      </c>
      <c r="L62" s="1514">
        <f>+'T-1'!N66</f>
        <v>1</v>
      </c>
      <c r="M62" s="1515">
        <f>+'T-1'!S66</f>
        <v>1</v>
      </c>
      <c r="N62" s="1624"/>
      <c r="O62" s="625"/>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c r="CD62" s="346"/>
      <c r="CE62" s="346"/>
      <c r="CF62" s="346"/>
      <c r="CG62" s="346"/>
      <c r="CH62" s="346"/>
      <c r="CI62" s="346"/>
      <c r="CJ62" s="346"/>
      <c r="CK62" s="346"/>
      <c r="CL62" s="346"/>
      <c r="CM62" s="346"/>
      <c r="CN62" s="346"/>
      <c r="CO62" s="346"/>
      <c r="CP62" s="346"/>
      <c r="CQ62" s="346"/>
      <c r="CR62" s="346"/>
      <c r="CS62" s="346"/>
      <c r="CT62" s="346"/>
      <c r="CU62" s="346"/>
      <c r="CV62" s="346"/>
      <c r="CW62" s="346"/>
      <c r="CX62" s="346"/>
    </row>
    <row r="63" spans="1:102" ht="20.149999999999999" customHeight="1">
      <c r="A63" s="1505">
        <v>36</v>
      </c>
      <c r="B63" s="1274" t="s">
        <v>62</v>
      </c>
      <c r="C63" s="1506">
        <f>+'T-6'!H66</f>
        <v>0</v>
      </c>
      <c r="D63" s="846">
        <v>0</v>
      </c>
      <c r="E63" s="694">
        <v>0</v>
      </c>
      <c r="F63" s="694">
        <v>0</v>
      </c>
      <c r="G63" s="694">
        <v>0</v>
      </c>
      <c r="H63" s="694">
        <v>0</v>
      </c>
      <c r="I63" s="694">
        <v>0</v>
      </c>
      <c r="J63" s="694">
        <f>'T-6 (six mth)'!H66</f>
        <v>0</v>
      </c>
      <c r="K63" s="694">
        <f t="shared" si="7"/>
        <v>0</v>
      </c>
      <c r="L63" s="1514"/>
      <c r="M63" s="1515"/>
      <c r="N63" s="1624"/>
      <c r="O63" s="625"/>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c r="BR63" s="346"/>
      <c r="BS63" s="346"/>
      <c r="BT63" s="346"/>
      <c r="BU63" s="346"/>
      <c r="BV63" s="346"/>
      <c r="BW63" s="346"/>
      <c r="BX63" s="346"/>
      <c r="BY63" s="346"/>
      <c r="BZ63" s="346"/>
      <c r="CA63" s="346"/>
      <c r="CB63" s="346"/>
      <c r="CC63" s="346"/>
      <c r="CD63" s="346"/>
      <c r="CE63" s="346"/>
      <c r="CF63" s="346"/>
      <c r="CG63" s="346"/>
      <c r="CH63" s="346"/>
      <c r="CI63" s="346"/>
      <c r="CJ63" s="346"/>
      <c r="CK63" s="346"/>
      <c r="CL63" s="346"/>
      <c r="CM63" s="346"/>
      <c r="CN63" s="346"/>
      <c r="CO63" s="346"/>
      <c r="CP63" s="346"/>
      <c r="CQ63" s="346"/>
      <c r="CR63" s="346"/>
      <c r="CS63" s="346"/>
      <c r="CT63" s="346"/>
      <c r="CU63" s="346"/>
      <c r="CV63" s="346"/>
      <c r="CW63" s="346"/>
      <c r="CX63" s="346"/>
    </row>
    <row r="64" spans="1:102" ht="20.149999999999999" customHeight="1">
      <c r="A64" s="1505">
        <v>37</v>
      </c>
      <c r="B64" s="1274" t="s">
        <v>86</v>
      </c>
      <c r="C64" s="1506">
        <f>+'T-6'!H67</f>
        <v>63.297799999999995</v>
      </c>
      <c r="D64" s="846">
        <v>0.61043769999999997</v>
      </c>
      <c r="E64" s="694">
        <v>0.83146805999999995</v>
      </c>
      <c r="F64" s="694">
        <v>2.3976155299999999</v>
      </c>
      <c r="G64" s="694">
        <v>1.80177747</v>
      </c>
      <c r="H64" s="694">
        <v>2.7525523000000001</v>
      </c>
      <c r="I64" s="694">
        <v>5.7693289700000001</v>
      </c>
      <c r="J64" s="694">
        <f>'T-6 (six mth)'!H67</f>
        <v>14.163051439999997</v>
      </c>
      <c r="K64" s="694">
        <f t="shared" si="7"/>
        <v>2.3605085733333326</v>
      </c>
      <c r="L64" s="1514">
        <f>+'T-1'!N67</f>
        <v>29.05</v>
      </c>
      <c r="M64" s="1515">
        <f>+'T-1'!S67</f>
        <v>35</v>
      </c>
      <c r="N64" s="1624"/>
      <c r="O64" s="650"/>
      <c r="P64" s="62"/>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6"/>
      <c r="BV64" s="346"/>
      <c r="BW64" s="346"/>
      <c r="BX64" s="346"/>
      <c r="BY64" s="346"/>
      <c r="BZ64" s="346"/>
      <c r="CA64" s="346"/>
      <c r="CB64" s="346"/>
      <c r="CC64" s="346"/>
      <c r="CD64" s="346"/>
      <c r="CE64" s="346"/>
      <c r="CF64" s="346"/>
      <c r="CG64" s="346"/>
      <c r="CH64" s="346"/>
      <c r="CI64" s="346"/>
      <c r="CJ64" s="346"/>
      <c r="CK64" s="346"/>
      <c r="CL64" s="346"/>
      <c r="CM64" s="346"/>
      <c r="CN64" s="346"/>
      <c r="CO64" s="346"/>
      <c r="CP64" s="346"/>
      <c r="CQ64" s="346"/>
      <c r="CR64" s="346"/>
      <c r="CS64" s="346"/>
      <c r="CT64" s="346"/>
      <c r="CU64" s="346"/>
      <c r="CV64" s="346"/>
      <c r="CW64" s="346"/>
      <c r="CX64" s="346"/>
    </row>
    <row r="65" spans="1:102" ht="20.149999999999999" customHeight="1">
      <c r="A65" s="1505"/>
      <c r="B65" s="1510" t="s">
        <v>185</v>
      </c>
      <c r="C65" s="1626">
        <f>SUM(C54:C64)</f>
        <v>5862.6969984000007</v>
      </c>
      <c r="D65" s="1517">
        <f t="shared" ref="D65:M65" si="8">SUM(D54:D64)</f>
        <v>330.18781958812593</v>
      </c>
      <c r="E65" s="1264">
        <f t="shared" si="8"/>
        <v>462.58624570799998</v>
      </c>
      <c r="F65" s="1264">
        <f t="shared" si="8"/>
        <v>358.18889830469999</v>
      </c>
      <c r="G65" s="1264">
        <f t="shared" si="8"/>
        <v>432.20827605109247</v>
      </c>
      <c r="H65" s="1264">
        <f t="shared" si="8"/>
        <v>397.87907099</v>
      </c>
      <c r="I65" s="1264">
        <f t="shared" si="8"/>
        <v>441.09472879999993</v>
      </c>
      <c r="J65" s="1264">
        <f t="shared" si="8"/>
        <v>2422.1446725781475</v>
      </c>
      <c r="K65" s="1264">
        <f t="shared" si="8"/>
        <v>191.74281876302462</v>
      </c>
      <c r="L65" s="1267">
        <f t="shared" si="8"/>
        <v>4930</v>
      </c>
      <c r="M65" s="1511">
        <f t="shared" si="8"/>
        <v>3480</v>
      </c>
      <c r="N65" s="1624"/>
      <c r="O65" s="649"/>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c r="CD65" s="346"/>
      <c r="CE65" s="346"/>
      <c r="CF65" s="346"/>
      <c r="CG65" s="346"/>
      <c r="CH65" s="346"/>
      <c r="CI65" s="346"/>
      <c r="CJ65" s="346"/>
      <c r="CK65" s="346"/>
      <c r="CL65" s="346"/>
      <c r="CM65" s="346"/>
      <c r="CN65" s="346"/>
      <c r="CO65" s="346"/>
      <c r="CP65" s="346"/>
      <c r="CQ65" s="346"/>
      <c r="CR65" s="346"/>
      <c r="CS65" s="346"/>
      <c r="CT65" s="346"/>
      <c r="CU65" s="346"/>
      <c r="CV65" s="346"/>
      <c r="CW65" s="346"/>
      <c r="CX65" s="346"/>
    </row>
    <row r="66" spans="1:102" ht="20.149999999999999" customHeight="1">
      <c r="A66" s="1505"/>
      <c r="B66" s="1628" t="s">
        <v>94</v>
      </c>
      <c r="C66" s="1626">
        <f t="shared" ref="C66:M66" si="9">C65+C52+C34</f>
        <v>10609.622554579051</v>
      </c>
      <c r="D66" s="1517">
        <f t="shared" si="9"/>
        <v>761.94704270083002</v>
      </c>
      <c r="E66" s="1264">
        <f t="shared" si="9"/>
        <v>985.41489838455323</v>
      </c>
      <c r="F66" s="1264">
        <f t="shared" si="9"/>
        <v>849.40934541611932</v>
      </c>
      <c r="G66" s="1264">
        <f t="shared" si="9"/>
        <v>947.68949455386178</v>
      </c>
      <c r="H66" s="1264">
        <f t="shared" si="9"/>
        <v>857.45844206767731</v>
      </c>
      <c r="I66" s="1264">
        <f t="shared" si="9"/>
        <v>832.78696897943701</v>
      </c>
      <c r="J66" s="1264">
        <f t="shared" si="9"/>
        <v>5225.0269599933763</v>
      </c>
      <c r="K66" s="1264">
        <f t="shared" si="9"/>
        <v>658.89007354459261</v>
      </c>
      <c r="L66" s="1267">
        <f t="shared" si="9"/>
        <v>10714.5</v>
      </c>
      <c r="M66" s="1511">
        <f t="shared" si="9"/>
        <v>9614.1000019999992</v>
      </c>
      <c r="N66" s="1624"/>
      <c r="O66" s="649"/>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6"/>
      <c r="BO66" s="346"/>
      <c r="BP66" s="346"/>
      <c r="BQ66" s="346"/>
      <c r="BR66" s="346"/>
      <c r="BS66" s="346"/>
      <c r="BT66" s="346"/>
      <c r="BU66" s="346"/>
      <c r="BV66" s="346"/>
      <c r="BW66" s="346"/>
      <c r="BX66" s="346"/>
      <c r="BY66" s="346"/>
      <c r="BZ66" s="346"/>
      <c r="CA66" s="346"/>
      <c r="CB66" s="346"/>
      <c r="CC66" s="346"/>
      <c r="CD66" s="346"/>
      <c r="CE66" s="346"/>
      <c r="CF66" s="346"/>
      <c r="CG66" s="346"/>
      <c r="CH66" s="346"/>
      <c r="CI66" s="346"/>
      <c r="CJ66" s="346"/>
      <c r="CK66" s="346"/>
      <c r="CL66" s="346"/>
      <c r="CM66" s="346"/>
      <c r="CN66" s="346"/>
      <c r="CO66" s="346"/>
      <c r="CP66" s="346"/>
      <c r="CQ66" s="346"/>
      <c r="CR66" s="346"/>
      <c r="CS66" s="346"/>
      <c r="CT66" s="346"/>
      <c r="CU66" s="346"/>
      <c r="CV66" s="346"/>
      <c r="CW66" s="346"/>
      <c r="CX66" s="346"/>
    </row>
    <row r="67" spans="1:102" ht="20.149999999999999" customHeight="1" thickBot="1">
      <c r="A67" s="1518"/>
      <c r="B67" s="1629"/>
      <c r="C67" s="1519"/>
      <c r="D67" s="1520"/>
      <c r="E67" s="1269"/>
      <c r="F67" s="1269"/>
      <c r="G67" s="1269"/>
      <c r="H67" s="1269"/>
      <c r="I67" s="1269"/>
      <c r="J67" s="1269"/>
      <c r="K67" s="1269"/>
      <c r="L67" s="1271"/>
      <c r="M67" s="1521"/>
      <c r="N67" s="210"/>
      <c r="O67" s="625"/>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row>
    <row r="68" spans="1:102" ht="20.149999999999999" customHeight="1" thickBot="1">
      <c r="A68" s="1522"/>
      <c r="B68" s="1630" t="s">
        <v>186</v>
      </c>
      <c r="C68" s="1631"/>
      <c r="D68" s="1632"/>
      <c r="E68" s="1632"/>
      <c r="F68" s="1632"/>
      <c r="G68" s="1632"/>
      <c r="H68" s="1632"/>
      <c r="I68" s="1632"/>
      <c r="J68" s="1632"/>
      <c r="K68" s="1632"/>
      <c r="L68" s="1632"/>
      <c r="M68" s="1633"/>
      <c r="N68" s="210"/>
      <c r="O68" s="625"/>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6"/>
      <c r="BV68" s="346"/>
      <c r="BW68" s="346"/>
      <c r="BX68" s="346"/>
      <c r="BY68" s="346"/>
      <c r="BZ68" s="346"/>
      <c r="CA68" s="346"/>
      <c r="CB68" s="346"/>
      <c r="CC68" s="346"/>
      <c r="CD68" s="346"/>
      <c r="CE68" s="346"/>
      <c r="CF68" s="346"/>
      <c r="CG68" s="346"/>
      <c r="CH68" s="346"/>
      <c r="CI68" s="346"/>
      <c r="CJ68" s="346"/>
      <c r="CK68" s="346"/>
      <c r="CL68" s="346"/>
      <c r="CM68" s="346"/>
      <c r="CN68" s="346"/>
      <c r="CO68" s="346"/>
      <c r="CP68" s="346"/>
      <c r="CQ68" s="346"/>
      <c r="CR68" s="346"/>
      <c r="CS68" s="346"/>
      <c r="CT68" s="346"/>
      <c r="CU68" s="346"/>
      <c r="CV68" s="346"/>
      <c r="CW68" s="346"/>
      <c r="CX68" s="346"/>
    </row>
    <row r="69" spans="1:102" ht="27.75" customHeight="1">
      <c r="A69" s="1505"/>
      <c r="B69" s="1942"/>
      <c r="C69" s="1943" t="s">
        <v>187</v>
      </c>
      <c r="D69" s="1944" t="s">
        <v>188</v>
      </c>
      <c r="E69" s="1937" t="s">
        <v>158</v>
      </c>
      <c r="F69" s="1938"/>
      <c r="G69" s="1938"/>
      <c r="H69" s="1938"/>
      <c r="I69" s="1938"/>
      <c r="J69" s="1938"/>
      <c r="K69" s="1938"/>
      <c r="L69" s="1939"/>
      <c r="M69" s="1945" t="s">
        <v>159</v>
      </c>
      <c r="N69" s="210"/>
      <c r="O69" s="625"/>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6"/>
      <c r="BW69" s="346"/>
      <c r="BX69" s="346"/>
      <c r="BY69" s="346"/>
      <c r="BZ69" s="346"/>
      <c r="CA69" s="346"/>
      <c r="CB69" s="346"/>
      <c r="CC69" s="346"/>
      <c r="CD69" s="346"/>
      <c r="CE69" s="346"/>
      <c r="CF69" s="346"/>
      <c r="CG69" s="346"/>
      <c r="CH69" s="346"/>
      <c r="CI69" s="346"/>
      <c r="CJ69" s="346"/>
      <c r="CK69" s="346"/>
      <c r="CL69" s="346"/>
      <c r="CM69" s="346"/>
      <c r="CN69" s="346"/>
      <c r="CO69" s="346"/>
      <c r="CP69" s="346"/>
      <c r="CQ69" s="346"/>
      <c r="CR69" s="346"/>
      <c r="CS69" s="346"/>
      <c r="CT69" s="346"/>
      <c r="CU69" s="346"/>
      <c r="CV69" s="346"/>
      <c r="CW69" s="346"/>
      <c r="CX69" s="346"/>
    </row>
    <row r="70" spans="1:102" ht="36" customHeight="1">
      <c r="A70" s="1505"/>
      <c r="B70" s="1942"/>
      <c r="C70" s="1943"/>
      <c r="D70" s="1944"/>
      <c r="E70" s="849">
        <v>45017</v>
      </c>
      <c r="F70" s="490">
        <v>45047</v>
      </c>
      <c r="G70" s="490">
        <v>45078</v>
      </c>
      <c r="H70" s="490">
        <v>45108</v>
      </c>
      <c r="I70" s="490">
        <v>45139</v>
      </c>
      <c r="J70" s="490">
        <v>45170</v>
      </c>
      <c r="K70" s="717" t="s">
        <v>161</v>
      </c>
      <c r="L70" s="845" t="s">
        <v>162</v>
      </c>
      <c r="M70" s="1945"/>
      <c r="N70" s="210"/>
      <c r="O70" s="625"/>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6"/>
      <c r="BV70" s="346"/>
      <c r="BW70" s="346"/>
      <c r="BX70" s="346"/>
      <c r="BY70" s="346"/>
      <c r="BZ70" s="346"/>
      <c r="CA70" s="346"/>
      <c r="CB70" s="346"/>
      <c r="CC70" s="346"/>
      <c r="CD70" s="346"/>
      <c r="CE70" s="346"/>
      <c r="CF70" s="346"/>
      <c r="CG70" s="346"/>
      <c r="CH70" s="346"/>
      <c r="CI70" s="346"/>
      <c r="CJ70" s="346"/>
      <c r="CK70" s="346"/>
      <c r="CL70" s="346"/>
      <c r="CM70" s="346"/>
      <c r="CN70" s="346"/>
      <c r="CO70" s="346"/>
      <c r="CP70" s="346"/>
      <c r="CQ70" s="346"/>
      <c r="CR70" s="346"/>
      <c r="CS70" s="346"/>
      <c r="CT70" s="346"/>
      <c r="CU70" s="346"/>
      <c r="CV70" s="346"/>
      <c r="CW70" s="346"/>
      <c r="CX70" s="346"/>
    </row>
    <row r="71" spans="1:102" ht="20.149999999999999" customHeight="1">
      <c r="A71" s="1505"/>
      <c r="B71" s="945" t="s">
        <v>189</v>
      </c>
      <c r="C71" s="652">
        <v>1594.6379999999999</v>
      </c>
      <c r="D71" s="847">
        <v>1794.126</v>
      </c>
      <c r="E71" s="1634">
        <v>1676.126</v>
      </c>
      <c r="F71" s="1635">
        <v>1568.8869999999999</v>
      </c>
      <c r="G71" s="1635">
        <v>1555.828</v>
      </c>
      <c r="H71" s="1635">
        <v>1423.038</v>
      </c>
      <c r="I71" s="1635">
        <v>1540.306</v>
      </c>
      <c r="J71" s="1635">
        <v>1545.6210000000001</v>
      </c>
      <c r="K71" s="1635">
        <f>AVERAGE(E71:J71)</f>
        <v>1551.6343333333334</v>
      </c>
      <c r="L71" s="1636">
        <v>1710.27</v>
      </c>
      <c r="M71" s="1637">
        <v>1850</v>
      </c>
      <c r="N71" s="210"/>
      <c r="O71" s="625"/>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6"/>
      <c r="BV71" s="346"/>
      <c r="BW71" s="346"/>
      <c r="BX71" s="346"/>
      <c r="BY71" s="346"/>
      <c r="BZ71" s="346"/>
      <c r="CA71" s="346"/>
      <c r="CB71" s="346"/>
      <c r="CC71" s="346"/>
      <c r="CD71" s="346"/>
      <c r="CE71" s="346"/>
      <c r="CF71" s="346"/>
      <c r="CG71" s="346"/>
      <c r="CH71" s="346"/>
      <c r="CI71" s="346"/>
      <c r="CJ71" s="346"/>
      <c r="CK71" s="346"/>
      <c r="CL71" s="346"/>
      <c r="CM71" s="346"/>
      <c r="CN71" s="346"/>
      <c r="CO71" s="346"/>
      <c r="CP71" s="346"/>
      <c r="CQ71" s="346"/>
      <c r="CR71" s="346"/>
      <c r="CS71" s="346"/>
      <c r="CT71" s="346"/>
      <c r="CU71" s="346"/>
      <c r="CV71" s="346"/>
      <c r="CW71" s="346"/>
      <c r="CX71" s="346"/>
    </row>
    <row r="72" spans="1:102" ht="20.149999999999999" customHeight="1" thickBot="1">
      <c r="A72" s="1638"/>
      <c r="B72" s="839"/>
      <c r="C72" s="840"/>
      <c r="D72" s="848"/>
      <c r="E72" s="850"/>
      <c r="F72" s="841"/>
      <c r="G72" s="841"/>
      <c r="H72" s="841"/>
      <c r="I72" s="841"/>
      <c r="J72" s="841"/>
      <c r="K72" s="841"/>
      <c r="L72" s="838"/>
      <c r="M72" s="843"/>
      <c r="N72" s="210"/>
      <c r="O72" s="625"/>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346"/>
      <c r="BS72" s="346"/>
      <c r="BT72" s="346"/>
      <c r="BU72" s="346"/>
      <c r="BV72" s="346"/>
      <c r="BW72" s="346"/>
      <c r="BX72" s="346"/>
      <c r="BY72" s="346"/>
      <c r="BZ72" s="346"/>
      <c r="CA72" s="346"/>
      <c r="CB72" s="346"/>
      <c r="CC72" s="346"/>
      <c r="CD72" s="346"/>
      <c r="CE72" s="346"/>
      <c r="CF72" s="346"/>
      <c r="CG72" s="346"/>
      <c r="CH72" s="346"/>
      <c r="CI72" s="346"/>
      <c r="CJ72" s="346"/>
      <c r="CK72" s="346"/>
      <c r="CL72" s="346"/>
      <c r="CM72" s="346"/>
      <c r="CN72" s="346"/>
      <c r="CO72" s="346"/>
      <c r="CP72" s="346"/>
      <c r="CQ72" s="346"/>
      <c r="CR72" s="346"/>
      <c r="CS72" s="346"/>
      <c r="CT72" s="346"/>
      <c r="CU72" s="346"/>
      <c r="CV72" s="346"/>
      <c r="CW72" s="346"/>
      <c r="CX72" s="346"/>
    </row>
    <row r="73" spans="1:102" ht="20.149999999999999" customHeight="1">
      <c r="O73" s="625"/>
    </row>
    <row r="74" spans="1:102" ht="20.149999999999999" customHeight="1">
      <c r="E74" s="110"/>
      <c r="F74" s="310"/>
      <c r="G74" s="310"/>
      <c r="H74" s="310"/>
      <c r="I74" s="310"/>
      <c r="J74" s="310"/>
      <c r="K74" s="158"/>
      <c r="O74" s="625"/>
    </row>
    <row r="75" spans="1:102" ht="20.149999999999999" customHeight="1">
      <c r="D75" s="110"/>
      <c r="E75" s="110"/>
      <c r="F75" s="110"/>
      <c r="G75" s="110"/>
      <c r="H75" s="110"/>
      <c r="I75" s="110"/>
      <c r="O75" s="625"/>
    </row>
    <row r="76" spans="1:102" ht="20.149999999999999" customHeight="1">
      <c r="C76" s="309"/>
      <c r="D76" s="310"/>
      <c r="E76" s="310"/>
      <c r="F76" s="310"/>
      <c r="G76" s="310"/>
      <c r="H76" s="310"/>
      <c r="I76" s="310"/>
      <c r="J76" s="310"/>
      <c r="K76" s="310"/>
      <c r="L76" s="310"/>
      <c r="M76" s="310"/>
      <c r="N76" s="310"/>
      <c r="O76" s="625"/>
    </row>
    <row r="77" spans="1:102" ht="20.149999999999999" customHeight="1">
      <c r="O77" s="625"/>
    </row>
    <row r="78" spans="1:102" ht="20.149999999999999" customHeight="1">
      <c r="O78" s="625"/>
    </row>
    <row r="79" spans="1:102" ht="20.149999999999999" customHeight="1">
      <c r="O79" s="625"/>
    </row>
    <row r="80" spans="1:102" ht="20.149999999999999" customHeight="1">
      <c r="O80" s="625"/>
    </row>
    <row r="81" spans="15:15" ht="20.149999999999999" customHeight="1">
      <c r="O81" s="625"/>
    </row>
    <row r="82" spans="15:15" ht="20.149999999999999" customHeight="1">
      <c r="O82" s="625"/>
    </row>
    <row r="83" spans="15:15" ht="20.149999999999999" customHeight="1">
      <c r="O83" s="625"/>
    </row>
    <row r="84" spans="15:15" ht="20.149999999999999" customHeight="1">
      <c r="O84" s="625"/>
    </row>
    <row r="85" spans="15:15" ht="20.149999999999999" customHeight="1">
      <c r="O85" s="625"/>
    </row>
    <row r="86" spans="15:15" ht="20.149999999999999" customHeight="1">
      <c r="O86" s="625"/>
    </row>
    <row r="87" spans="15:15" ht="20.149999999999999" customHeight="1"/>
    <row r="88" spans="15:15" ht="20.149999999999999" customHeight="1"/>
    <row r="89" spans="15:15" ht="20.149999999999999" customHeight="1"/>
    <row r="90" spans="15:15" ht="20.149999999999999" customHeight="1"/>
    <row r="91" spans="15:15" ht="20.149999999999999" customHeight="1"/>
    <row r="92" spans="15:15" ht="20.149999999999999" customHeight="1"/>
    <row r="93" spans="15:15" ht="20.149999999999999" customHeight="1"/>
    <row r="94" spans="15:15" ht="20.149999999999999" customHeight="1"/>
    <row r="95" spans="15:15" ht="20.149999999999999" customHeight="1"/>
    <row r="96" spans="15:15"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row r="158" ht="20.149999999999999" customHeight="1"/>
    <row r="159" ht="20.149999999999999" customHeight="1"/>
    <row r="160" ht="20.149999999999999" customHeight="1"/>
    <row r="161" ht="20.149999999999999" customHeight="1"/>
    <row r="162" ht="20.149999999999999" customHeight="1"/>
    <row r="163" ht="20.149999999999999" customHeight="1"/>
    <row r="164" ht="20.149999999999999" customHeight="1"/>
    <row r="165" ht="20.149999999999999" customHeight="1"/>
    <row r="166" ht="20.149999999999999" customHeight="1"/>
    <row r="167" ht="20.149999999999999" customHeight="1"/>
    <row r="168" ht="20.149999999999999" customHeight="1"/>
    <row r="169" ht="20.149999999999999" customHeight="1"/>
    <row r="170" ht="20.149999999999999" customHeight="1"/>
    <row r="171" ht="20.149999999999999" customHeight="1"/>
    <row r="172" ht="20.149999999999999" customHeight="1"/>
    <row r="173" ht="20.149999999999999" customHeight="1"/>
    <row r="174" ht="20.149999999999999" customHeight="1"/>
    <row r="175" ht="20.149999999999999" customHeight="1"/>
    <row r="176" ht="20.149999999999999" customHeight="1"/>
    <row r="177" ht="20.149999999999999" customHeight="1"/>
    <row r="178" ht="20.149999999999999" customHeight="1"/>
    <row r="179" ht="20.149999999999999" customHeight="1"/>
    <row r="180" ht="20.149999999999999" customHeight="1"/>
  </sheetData>
  <mergeCells count="8">
    <mergeCell ref="C3:C4"/>
    <mergeCell ref="D3:L3"/>
    <mergeCell ref="M3:M4"/>
    <mergeCell ref="B69:B70"/>
    <mergeCell ref="C69:C70"/>
    <mergeCell ref="D69:D70"/>
    <mergeCell ref="E69:L69"/>
    <mergeCell ref="M69:M70"/>
  </mergeCells>
  <printOptions horizontalCentered="1" verticalCentered="1" gridLines="1"/>
  <pageMargins left="0.11811023622047245" right="0" top="0.23622047244094491" bottom="0" header="0" footer="0.19685039370078741"/>
  <pageSetup paperSize="9" scale="82" fitToWidth="3" fitToHeight="3" orientation="landscape" r:id="rId1"/>
  <headerFooter alignWithMargins="0">
    <oddFooter>&amp;R&amp;"Arial,Bold"&amp;12OERC FORM &amp;A</oddFooter>
  </headerFooter>
  <rowBreaks count="2" manualBreakCount="2">
    <brk id="34" max="12" man="1"/>
    <brk id="52" max="1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78">
    <tabColor rgb="FFFFFF00"/>
  </sheetPr>
  <dimension ref="A1:I33"/>
  <sheetViews>
    <sheetView workbookViewId="0">
      <selection activeCell="F33" sqref="F33"/>
    </sheetView>
  </sheetViews>
  <sheetFormatPr defaultRowHeight="12.5"/>
  <cols>
    <col min="1" max="1" width="5" customWidth="1"/>
    <col min="2" max="2" width="33.7265625" customWidth="1"/>
    <col min="3" max="3" width="10.1796875" customWidth="1"/>
    <col min="4" max="4" width="10.26953125" customWidth="1"/>
    <col min="5" max="5" width="11.1796875" customWidth="1"/>
    <col min="6" max="6" width="10" bestFit="1" customWidth="1"/>
  </cols>
  <sheetData>
    <row r="1" spans="1:8" ht="13">
      <c r="B1" s="2" t="s">
        <v>370</v>
      </c>
    </row>
    <row r="2" spans="1:8" ht="15.5">
      <c r="A2" s="109" t="s">
        <v>107</v>
      </c>
      <c r="B2" s="5" t="s">
        <v>1651</v>
      </c>
    </row>
    <row r="3" spans="1:8" ht="32" thickBot="1">
      <c r="A3" s="218"/>
      <c r="B3" s="218"/>
      <c r="C3" s="220" t="s">
        <v>2338</v>
      </c>
      <c r="D3" s="220" t="s">
        <v>1652</v>
      </c>
      <c r="E3" s="220" t="s">
        <v>1653</v>
      </c>
      <c r="F3" s="220" t="s">
        <v>1654</v>
      </c>
      <c r="G3" s="217"/>
    </row>
    <row r="4" spans="1:8" ht="13" thickTop="1"/>
    <row r="5" spans="1:8">
      <c r="B5" t="s">
        <v>1655</v>
      </c>
    </row>
    <row r="6" spans="1:8">
      <c r="A6">
        <v>1</v>
      </c>
      <c r="B6" t="s">
        <v>1656</v>
      </c>
      <c r="C6" s="9">
        <f>'T-1'!G72</f>
        <v>13002.405000000001</v>
      </c>
      <c r="D6" s="9">
        <f>Sheet2!C5</f>
        <v>13286</v>
      </c>
      <c r="E6" s="9">
        <f>'T-1'!N72</f>
        <v>13080</v>
      </c>
      <c r="F6" s="9">
        <f>'T-1'!S72</f>
        <v>11524</v>
      </c>
    </row>
    <row r="7" spans="1:8">
      <c r="A7">
        <v>2</v>
      </c>
      <c r="B7" t="s">
        <v>1657</v>
      </c>
      <c r="C7" s="303">
        <f>(3.04+3.226)/2+0.25+0.00154</f>
        <v>3.3845399999999999</v>
      </c>
      <c r="D7" s="303">
        <f>(3.37)+0.28+0.00154</f>
        <v>3.6515400000000002</v>
      </c>
      <c r="E7" s="303">
        <f>'F-5'!K14/100</f>
        <v>4.4806148759174302</v>
      </c>
      <c r="F7" s="303">
        <f>'F-5'!O14/100</f>
        <v>4.1397878861506419</v>
      </c>
      <c r="H7">
        <f>120/7750</f>
        <v>1.5483870967741935E-2</v>
      </c>
    </row>
    <row r="8" spans="1:8">
      <c r="A8">
        <v>3</v>
      </c>
      <c r="B8" t="s">
        <v>1658</v>
      </c>
      <c r="C8" s="9">
        <f>'T-4 '!D71</f>
        <v>1794.126</v>
      </c>
      <c r="D8">
        <v>1350</v>
      </c>
      <c r="E8" s="9">
        <f>'T-4 '!L71</f>
        <v>1710.27</v>
      </c>
      <c r="F8" s="9">
        <f>'T-4 '!M71</f>
        <v>1850</v>
      </c>
      <c r="H8" s="202"/>
    </row>
    <row r="9" spans="1:8">
      <c r="A9">
        <v>4</v>
      </c>
      <c r="B9" t="s">
        <v>1659</v>
      </c>
      <c r="H9" s="7"/>
    </row>
    <row r="10" spans="1:8">
      <c r="A10">
        <v>5</v>
      </c>
      <c r="B10" t="s">
        <v>1660</v>
      </c>
    </row>
    <row r="11" spans="1:8" ht="13" thickBot="1">
      <c r="A11" s="16"/>
      <c r="B11" s="16" t="s">
        <v>1661</v>
      </c>
      <c r="C11" s="15">
        <f>C6*C7*10</f>
        <v>440071.59818699997</v>
      </c>
      <c r="D11" s="15">
        <f>D6*D7*10</f>
        <v>485143.60440000007</v>
      </c>
      <c r="E11" s="15">
        <f>'F-6'!L10</f>
        <v>586064.42576999986</v>
      </c>
      <c r="F11" s="15">
        <f>'F-6'!P10</f>
        <v>477069.15600000002</v>
      </c>
    </row>
    <row r="12" spans="1:8" ht="13" thickTop="1">
      <c r="B12" t="s">
        <v>1662</v>
      </c>
    </row>
    <row r="13" spans="1:8">
      <c r="E13" s="9"/>
    </row>
    <row r="14" spans="1:8" ht="15.5">
      <c r="A14" s="109" t="s">
        <v>135</v>
      </c>
      <c r="B14" s="5" t="s">
        <v>1663</v>
      </c>
    </row>
    <row r="15" spans="1:8" ht="32.5" thickBot="1">
      <c r="A15" s="16"/>
      <c r="B15" s="17"/>
      <c r="C15" s="220" t="s">
        <v>2338</v>
      </c>
      <c r="D15" s="220" t="s">
        <v>1664</v>
      </c>
      <c r="E15" s="220" t="s">
        <v>1653</v>
      </c>
      <c r="F15" s="220" t="s">
        <v>1654</v>
      </c>
    </row>
    <row r="16" spans="1:8" ht="13.5" thickTop="1">
      <c r="B16" s="2" t="s">
        <v>1665</v>
      </c>
    </row>
    <row r="17" spans="1:9">
      <c r="A17">
        <v>1</v>
      </c>
      <c r="B17" t="s">
        <v>1666</v>
      </c>
      <c r="C17" s="9">
        <f>'T-1'!G72</f>
        <v>13002.405000000001</v>
      </c>
      <c r="D17" s="9">
        <f>'T-1'!K72</f>
        <v>6370.4692999999997</v>
      </c>
      <c r="E17">
        <f>'T-1'!N72</f>
        <v>13080</v>
      </c>
      <c r="F17" s="9">
        <f>'T-1'!S72</f>
        <v>11524</v>
      </c>
    </row>
    <row r="18" spans="1:9">
      <c r="A18">
        <v>2</v>
      </c>
      <c r="B18" t="s">
        <v>1667</v>
      </c>
      <c r="C18" s="9">
        <f>'T-1'!G71</f>
        <v>10609.622554579029</v>
      </c>
      <c r="D18" s="9">
        <f>'T-1'!K71</f>
        <v>5234.7073012675555</v>
      </c>
      <c r="E18" s="9">
        <f>'T-1'!N71</f>
        <v>10714.5</v>
      </c>
      <c r="F18" s="9">
        <f>'T-1'!S71</f>
        <v>9614.1000019999992</v>
      </c>
    </row>
    <row r="19" spans="1:9" ht="13">
      <c r="A19">
        <v>3</v>
      </c>
      <c r="B19" s="2" t="s">
        <v>1668</v>
      </c>
      <c r="C19" s="93">
        <f>1-(C18/C17)</f>
        <v>0.18402614327279998</v>
      </c>
      <c r="D19" s="93">
        <f>1-(D18/D17)</f>
        <v>0.17828545202037849</v>
      </c>
      <c r="E19" s="93">
        <f>1-(E18/E17)</f>
        <v>0.18084862385321099</v>
      </c>
      <c r="F19" s="93">
        <f>1-(F18/F17)</f>
        <v>0.16573238441513372</v>
      </c>
      <c r="G19" s="97"/>
    </row>
    <row r="20" spans="1:9" ht="13">
      <c r="B20" s="2"/>
      <c r="C20" s="93"/>
      <c r="D20" s="93"/>
      <c r="E20" s="93"/>
      <c r="F20" s="93"/>
    </row>
    <row r="21" spans="1:9" ht="13">
      <c r="B21" s="2" t="s">
        <v>1669</v>
      </c>
      <c r="C21" s="9">
        <f>C17-'T-1'!G69</f>
        <v>7139.7080016</v>
      </c>
      <c r="D21" s="9">
        <f>D17-'T-1'!K69</f>
        <v>3948.3246274218523</v>
      </c>
      <c r="E21" s="9">
        <f>E17-'T-1'!N69</f>
        <v>8150</v>
      </c>
      <c r="F21" s="9">
        <f>F17-'T-1'!S69</f>
        <v>8044</v>
      </c>
    </row>
    <row r="22" spans="1:9" ht="13">
      <c r="B22" s="2" t="s">
        <v>1670</v>
      </c>
      <c r="C22" s="9">
        <f>C18-'T-1'!G69</f>
        <v>4746.9255561790287</v>
      </c>
      <c r="D22" s="9">
        <f>D18-'T-1'!K69</f>
        <v>2812.562628689408</v>
      </c>
      <c r="E22" s="9">
        <f>E18-'T-1'!N69</f>
        <v>5784.5</v>
      </c>
      <c r="F22" s="9">
        <f>F18-'T-1'!S69</f>
        <v>6134.1000019999992</v>
      </c>
    </row>
    <row r="23" spans="1:9" ht="13">
      <c r="B23" s="2" t="s">
        <v>1668</v>
      </c>
      <c r="C23" s="93">
        <f>1-(C22/C21)</f>
        <v>0.33513729761563804</v>
      </c>
      <c r="D23" s="93">
        <f>1-(D22/D21)</f>
        <v>0.28765669135824468</v>
      </c>
      <c r="E23" s="93">
        <f>1-(E22/E21)</f>
        <v>0.29024539877300615</v>
      </c>
      <c r="F23" s="93">
        <f>1-(F22/F21)</f>
        <v>0.23743162580805577</v>
      </c>
    </row>
    <row r="24" spans="1:9" ht="13">
      <c r="B24" s="2"/>
      <c r="C24" s="93"/>
      <c r="D24" s="93"/>
      <c r="E24" s="93"/>
      <c r="F24" s="93"/>
    </row>
    <row r="25" spans="1:9" ht="13">
      <c r="B25" s="2"/>
      <c r="C25" s="93"/>
      <c r="D25" s="93"/>
      <c r="E25" s="93"/>
      <c r="F25" s="93"/>
    </row>
    <row r="26" spans="1:9" ht="13">
      <c r="B26" s="2" t="s">
        <v>1671</v>
      </c>
    </row>
    <row r="27" spans="1:9">
      <c r="B27" t="s">
        <v>1672</v>
      </c>
      <c r="C27" s="97">
        <f>'T-1'!G75</f>
        <v>1.0014472055915009</v>
      </c>
      <c r="D27" s="97">
        <f>'T-1'!K75</f>
        <v>0.94356338068186918</v>
      </c>
      <c r="E27" s="97">
        <f>'T-1'!N75</f>
        <v>0.99</v>
      </c>
      <c r="F27" s="253">
        <f>'T-1'!S75</f>
        <v>0.99</v>
      </c>
    </row>
    <row r="28" spans="1:9" ht="13">
      <c r="B28" s="2" t="s">
        <v>1673</v>
      </c>
      <c r="C28" s="93">
        <f>1-(1-C19)*C27</f>
        <v>0.18284526134482582</v>
      </c>
      <c r="D28" s="93">
        <f>1-(1-D19)*D27</f>
        <v>0.22466024315287436</v>
      </c>
      <c r="E28" s="93">
        <f>1-(1-E19)*E27</f>
        <v>0.18904013761467886</v>
      </c>
      <c r="F28" s="93">
        <f>1-(1-F19)*F27</f>
        <v>0.17407506057098243</v>
      </c>
    </row>
    <row r="29" spans="1:9">
      <c r="C29" s="118"/>
      <c r="D29" s="118"/>
      <c r="E29" s="118"/>
      <c r="F29" s="118"/>
    </row>
    <row r="30" spans="1:9" ht="13">
      <c r="B30" s="561" t="s">
        <v>1674</v>
      </c>
      <c r="C30" s="353">
        <f>(290965-113602)/(330988.2-108329.98)</f>
        <v>0.79657063637713432</v>
      </c>
      <c r="D30" s="562">
        <v>0.92</v>
      </c>
      <c r="E30" s="562">
        <v>0.93</v>
      </c>
      <c r="F30" s="562">
        <v>0.95</v>
      </c>
      <c r="I30">
        <v>88409.60603119999</v>
      </c>
    </row>
    <row r="31" spans="1:9" ht="13">
      <c r="B31" s="561" t="s">
        <v>1673</v>
      </c>
      <c r="C31" s="563">
        <f>1-(1-C23)*C30</f>
        <v>0.47038989405826759</v>
      </c>
      <c r="D31" s="563">
        <f>1-(1-D23)*D30</f>
        <v>0.34464415604958509</v>
      </c>
      <c r="E31" s="563">
        <f>1-(1-E23)*E30</f>
        <v>0.33992822085889574</v>
      </c>
      <c r="F31" s="563">
        <f>1-(1-F23)*F30</f>
        <v>0.27556004451765304</v>
      </c>
      <c r="I31">
        <v>261810.4431792</v>
      </c>
    </row>
    <row r="32" spans="1:9">
      <c r="C32" s="118"/>
      <c r="D32" s="118"/>
      <c r="E32" s="118"/>
      <c r="F32" s="118"/>
    </row>
    <row r="33" spans="2:6">
      <c r="B33" t="s">
        <v>1675</v>
      </c>
      <c r="C33" s="93">
        <v>0.99</v>
      </c>
      <c r="D33" s="118"/>
      <c r="E33" s="93">
        <v>0.99</v>
      </c>
      <c r="F33" s="93">
        <v>0.99</v>
      </c>
    </row>
  </sheetData>
  <phoneticPr fontId="0" type="noConversion"/>
  <printOptions horizontalCentered="1" gridLines="1"/>
  <pageMargins left="0.25" right="0" top="1.5" bottom="0.5" header="0" footer="0"/>
  <pageSetup scale="125" orientation="portrait"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77">
    <tabColor rgb="FFFFFF00"/>
  </sheetPr>
  <dimension ref="A1:F22"/>
  <sheetViews>
    <sheetView zoomScale="110" zoomScaleNormal="110" workbookViewId="0">
      <selection activeCell="F8" sqref="F8"/>
    </sheetView>
  </sheetViews>
  <sheetFormatPr defaultRowHeight="12.5"/>
  <cols>
    <col min="1" max="1" width="51.1796875" bestFit="1" customWidth="1"/>
    <col min="2" max="3" width="9.7265625" bestFit="1" customWidth="1"/>
    <col min="4" max="4" width="12.1796875" bestFit="1" customWidth="1"/>
  </cols>
  <sheetData>
    <row r="1" spans="1:6" ht="18">
      <c r="A1" s="2199" t="s">
        <v>2339</v>
      </c>
      <c r="B1" s="2200"/>
      <c r="C1" s="2200"/>
      <c r="D1" s="2201"/>
    </row>
    <row r="2" spans="1:6" ht="15.5">
      <c r="A2" s="88"/>
      <c r="D2" s="302" t="s">
        <v>1635</v>
      </c>
    </row>
    <row r="3" spans="1:6" ht="15.5">
      <c r="A3" s="227" t="s">
        <v>1636</v>
      </c>
      <c r="B3" s="232" t="s">
        <v>1637</v>
      </c>
      <c r="C3" s="257" t="s">
        <v>1967</v>
      </c>
      <c r="D3" s="257" t="s">
        <v>2332</v>
      </c>
    </row>
    <row r="4" spans="1:6">
      <c r="A4" s="88"/>
      <c r="D4" s="86"/>
    </row>
    <row r="5" spans="1:6">
      <c r="A5" s="88" t="s">
        <v>1638</v>
      </c>
      <c r="B5" s="7">
        <f>'F-22'!B12/100</f>
        <v>4380.3069160999994</v>
      </c>
      <c r="C5" s="7">
        <f>'F-22'!C12/100+'F-22'!C13/100</f>
        <v>5860.644257699998</v>
      </c>
      <c r="D5" s="87">
        <f>'F-22'!D12/100</f>
        <v>4770.6915600000002</v>
      </c>
    </row>
    <row r="6" spans="1:6">
      <c r="A6" s="88" t="s">
        <v>1639</v>
      </c>
      <c r="B6" s="7">
        <f>'F-22'!B14/100+'F-22'!B22/100-'F-22'!B25/100</f>
        <v>1004.542892453</v>
      </c>
      <c r="C6" s="7">
        <f>'F-22'!C14/100+'F-22'!C22/100</f>
        <v>1132.4673078603578</v>
      </c>
      <c r="D6" s="87">
        <f>'F-22'!D14/100+'F-22'!D22/100</f>
        <v>1292.2936042962638</v>
      </c>
    </row>
    <row r="7" spans="1:6">
      <c r="A7" s="88" t="s">
        <v>1640</v>
      </c>
      <c r="B7" s="7">
        <f>'F-22'!B15/100</f>
        <v>44.265456197775514</v>
      </c>
      <c r="C7" s="7">
        <f>'F-22'!C15/100</f>
        <v>91.581080899472212</v>
      </c>
      <c r="D7" s="87">
        <f>'F-22'!D15/100</f>
        <v>125.98395848869873</v>
      </c>
    </row>
    <row r="8" spans="1:6">
      <c r="A8" s="88" t="s">
        <v>1641</v>
      </c>
      <c r="B8" s="7">
        <f>'F-22'!B19/100</f>
        <v>81.450740236999991</v>
      </c>
      <c r="C8" s="7">
        <f>'F-22'!C19/100</f>
        <v>159.34157243754507</v>
      </c>
      <c r="D8" s="87">
        <f>'F-22'!D19/100</f>
        <v>184.57726466292962</v>
      </c>
    </row>
    <row r="9" spans="1:6">
      <c r="A9" s="88" t="s">
        <v>1642</v>
      </c>
      <c r="B9" s="7"/>
      <c r="C9" s="7">
        <v>0</v>
      </c>
      <c r="D9" s="87">
        <f>'F-6'!P28/100</f>
        <v>0</v>
      </c>
    </row>
    <row r="10" spans="1:6">
      <c r="A10" s="510" t="s">
        <v>1643</v>
      </c>
      <c r="B10" s="7"/>
      <c r="C10" s="7"/>
      <c r="D10" s="87">
        <f>'F-6'!P29/100</f>
        <v>-371.11911928829272</v>
      </c>
    </row>
    <row r="11" spans="1:6">
      <c r="A11" s="88" t="s">
        <v>1644</v>
      </c>
      <c r="B11" s="7"/>
      <c r="C11" s="7">
        <f>'F-22'!C27/100+'F-6'!L21/100</f>
        <v>107.40780561811198</v>
      </c>
      <c r="D11" s="87">
        <f>'F-22'!D27/100+'F-6'!P21/100</f>
        <v>135.42966942611199</v>
      </c>
      <c r="E11" s="7"/>
    </row>
    <row r="12" spans="1:6">
      <c r="A12" s="88"/>
      <c r="B12" s="7"/>
      <c r="C12" s="7"/>
      <c r="D12" s="87"/>
    </row>
    <row r="13" spans="1:6" ht="13">
      <c r="A13" s="88" t="s">
        <v>1645</v>
      </c>
      <c r="B13" s="12">
        <f>SUM(B5:B12)</f>
        <v>5510.5660049877742</v>
      </c>
      <c r="C13" s="12">
        <f>SUM(C5:C12)</f>
        <v>7351.4420245154852</v>
      </c>
      <c r="D13" s="89">
        <f>SUM(D5:D12)</f>
        <v>6137.8569375857114</v>
      </c>
    </row>
    <row r="14" spans="1:6">
      <c r="A14" s="88" t="s">
        <v>1646</v>
      </c>
      <c r="B14" s="72">
        <f>-('F-22'!B8+'F-22'!B9)/100</f>
        <v>-843.85884906799993</v>
      </c>
      <c r="C14" s="72">
        <f>-('F-22'!C8+'F-22'!C9)/100</f>
        <v>-460.20786409999999</v>
      </c>
      <c r="D14" s="226">
        <f>-('F-22'!D8+'F-22'!D9)/100</f>
        <v>-386.02131475500005</v>
      </c>
      <c r="F14" s="7">
        <f>D13-143-98-7.78</f>
        <v>5889.0769375857117</v>
      </c>
    </row>
    <row r="15" spans="1:6">
      <c r="A15" s="88" t="s">
        <v>1647</v>
      </c>
      <c r="B15" s="72">
        <f>-'F-22'!B23/100</f>
        <v>638.780029947</v>
      </c>
      <c r="C15" s="72"/>
      <c r="D15" s="226"/>
      <c r="F15">
        <f>2973+143+98+7.78</f>
        <v>3221.78</v>
      </c>
    </row>
    <row r="16" spans="1:6">
      <c r="A16" s="88" t="s">
        <v>1648</v>
      </c>
      <c r="B16" s="7">
        <f>B13+B14+B15</f>
        <v>5305.4871858667739</v>
      </c>
      <c r="C16" s="7">
        <f>C13+C14</f>
        <v>6891.2341604154853</v>
      </c>
      <c r="D16" s="87">
        <f>D13+D14</f>
        <v>5751.8356228307111</v>
      </c>
    </row>
    <row r="17" spans="1:4">
      <c r="A17" s="88" t="s">
        <v>1649</v>
      </c>
      <c r="B17" s="7">
        <f>'F-22'!B6/100</f>
        <v>4589.8314413765502</v>
      </c>
      <c r="C17" s="7">
        <f>'F-22'!C6/100+'F-22'!C7/100</f>
        <v>6282.6909357848854</v>
      </c>
      <c r="D17" s="87">
        <f>'F-22'!D6/100</f>
        <v>5751.162147717725</v>
      </c>
    </row>
    <row r="18" spans="1:4" ht="13.5" thickBot="1">
      <c r="A18" s="90" t="s">
        <v>1650</v>
      </c>
      <c r="B18" s="279">
        <f>B17-B16</f>
        <v>-715.6557444902237</v>
      </c>
      <c r="C18" s="279">
        <f>C17-C16</f>
        <v>-608.54322463059998</v>
      </c>
      <c r="D18" s="280">
        <f>D17-D16</f>
        <v>-0.67347511298612517</v>
      </c>
    </row>
    <row r="20" spans="1:4">
      <c r="C20" s="7"/>
    </row>
    <row r="22" spans="1:4">
      <c r="C22" s="7"/>
    </row>
  </sheetData>
  <mergeCells count="1">
    <mergeCell ref="A1:D1"/>
  </mergeCells>
  <phoneticPr fontId="0" type="noConversion"/>
  <printOptions horizontalCentered="1" gridLines="1"/>
  <pageMargins left="0.25" right="0" top="0.75" bottom="0.5" header="0" footer="0"/>
  <pageSetup paperSize="9" scale="136" orientation="landscape" vertic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A5858-6846-4084-BC6A-3D43FCCC6B92}">
  <dimension ref="A1"/>
  <sheetViews>
    <sheetView workbookViewId="0"/>
  </sheetViews>
  <sheetFormatPr defaultRowHeight="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80"/>
  <dimension ref="A1:AI42"/>
  <sheetViews>
    <sheetView workbookViewId="0">
      <selection activeCell="A2" sqref="A2:E22"/>
    </sheetView>
  </sheetViews>
  <sheetFormatPr defaultRowHeight="12.5"/>
  <cols>
    <col min="1" max="1" width="27.26953125" customWidth="1"/>
    <col min="2" max="2" width="12.54296875" customWidth="1"/>
    <col min="3" max="3" width="13.81640625" customWidth="1"/>
    <col min="4" max="4" width="14.7265625" bestFit="1" customWidth="1"/>
    <col min="5" max="5" width="13.7265625" bestFit="1" customWidth="1"/>
  </cols>
  <sheetData>
    <row r="1" spans="1:7" ht="13.5" thickBot="1">
      <c r="A1" s="2" t="s">
        <v>1676</v>
      </c>
      <c r="B1" s="2"/>
      <c r="C1" s="2"/>
      <c r="D1" s="2"/>
      <c r="E1" s="2"/>
    </row>
    <row r="2" spans="1:7" ht="14">
      <c r="A2" s="2202"/>
      <c r="B2" s="456" t="s">
        <v>1288</v>
      </c>
      <c r="C2" s="2204" t="s">
        <v>1677</v>
      </c>
      <c r="D2" s="2204" t="s">
        <v>1678</v>
      </c>
      <c r="E2" s="2204" t="s">
        <v>1614</v>
      </c>
    </row>
    <row r="3" spans="1:7" ht="14.5" thickBot="1">
      <c r="A3" s="2203" t="s">
        <v>1679</v>
      </c>
      <c r="B3" s="457" t="s">
        <v>268</v>
      </c>
      <c r="C3" s="2205">
        <v>4260</v>
      </c>
      <c r="D3" s="2205">
        <f>'T-1'!N71</f>
        <v>10714.5</v>
      </c>
      <c r="E3" s="2205">
        <f t="shared" ref="E3:E9" si="0">+C3-D3</f>
        <v>-6454.5</v>
      </c>
    </row>
    <row r="4" spans="1:7" s="10" customFormat="1" ht="15" thickBot="1">
      <c r="A4" s="250" t="s">
        <v>1679</v>
      </c>
      <c r="B4" s="251" t="s">
        <v>268</v>
      </c>
      <c r="C4" s="263">
        <f>summary!D12</f>
        <v>10883.720000000001</v>
      </c>
      <c r="D4" s="263">
        <f>'T-1'!N71</f>
        <v>10714.5</v>
      </c>
      <c r="E4" s="263">
        <f>C4-D4</f>
        <v>169.22000000000116</v>
      </c>
      <c r="F4" s="347"/>
      <c r="G4" s="347"/>
    </row>
    <row r="5" spans="1:7" ht="15" thickBot="1">
      <c r="A5" s="249" t="s">
        <v>1680</v>
      </c>
      <c r="B5" s="248" t="s">
        <v>1681</v>
      </c>
      <c r="C5" s="264">
        <f>C6/C4*10</f>
        <v>5.7443502772948953</v>
      </c>
      <c r="D5" s="264">
        <f>'T-7 (Curr)'!Z67/100</f>
        <v>5.641970506903748</v>
      </c>
      <c r="E5" s="265">
        <f t="shared" si="0"/>
        <v>0.10237977039114732</v>
      </c>
    </row>
    <row r="6" spans="1:7" ht="14.5" thickBot="1">
      <c r="A6" s="245" t="s">
        <v>1682</v>
      </c>
      <c r="B6" s="230" t="s">
        <v>1683</v>
      </c>
      <c r="C6" s="281">
        <f>summary!D23/100</f>
        <v>6251.99</v>
      </c>
      <c r="D6" s="281">
        <f>'F-22'!C6/100+'F-22'!C7/100</f>
        <v>6282.6909357848854</v>
      </c>
      <c r="E6" s="265">
        <f t="shared" si="0"/>
        <v>-30.700935784885587</v>
      </c>
    </row>
    <row r="7" spans="1:7" ht="14.5" thickBot="1">
      <c r="A7" s="245" t="s">
        <v>1684</v>
      </c>
      <c r="B7" s="230" t="s">
        <v>1683</v>
      </c>
      <c r="C7" s="281">
        <f>Sheet2!C36/100</f>
        <v>62.52</v>
      </c>
      <c r="D7" s="281">
        <f>'F-6'!L16/100</f>
        <v>62.826909357848855</v>
      </c>
      <c r="E7" s="265">
        <f t="shared" si="0"/>
        <v>-0.30690935784885198</v>
      </c>
    </row>
    <row r="8" spans="1:7" ht="14.5" thickBot="1">
      <c r="A8" s="245" t="s">
        <v>1685</v>
      </c>
      <c r="B8" s="230" t="s">
        <v>1683</v>
      </c>
      <c r="C8" s="281">
        <f>+C6-C7</f>
        <v>6189.4699999999993</v>
      </c>
      <c r="D8" s="281">
        <f>+D6-D7</f>
        <v>6219.8640264270362</v>
      </c>
      <c r="E8" s="281">
        <f t="shared" si="0"/>
        <v>-30.394026427036806</v>
      </c>
    </row>
    <row r="9" spans="1:7" ht="14.5" thickBot="1">
      <c r="A9" s="245" t="s">
        <v>368</v>
      </c>
      <c r="B9" s="230" t="s">
        <v>1683</v>
      </c>
      <c r="C9" s="265">
        <f>Sheet2!C27/100</f>
        <v>400.33</v>
      </c>
      <c r="D9" s="265">
        <f>'F-6'!L34/100</f>
        <v>460.20786409999999</v>
      </c>
      <c r="E9" s="265">
        <f t="shared" si="0"/>
        <v>-59.877864100000011</v>
      </c>
    </row>
    <row r="10" spans="1:7" ht="14.5" thickBot="1">
      <c r="A10" s="458" t="s">
        <v>1686</v>
      </c>
      <c r="B10" s="459" t="s">
        <v>1683</v>
      </c>
      <c r="C10" s="460">
        <f>+C8+C9</f>
        <v>6589.7999999999993</v>
      </c>
      <c r="D10" s="460">
        <f>+D8+D9</f>
        <v>6680.071890527036</v>
      </c>
      <c r="E10" s="461">
        <f>+E8+E9</f>
        <v>-90.271890527036817</v>
      </c>
    </row>
    <row r="11" spans="1:7" ht="15" thickBot="1">
      <c r="A11" s="249" t="s">
        <v>1599</v>
      </c>
      <c r="B11" s="248" t="s">
        <v>369</v>
      </c>
      <c r="C11" s="266">
        <f>+(C12-C4)/C12</f>
        <v>0.1808128857443925</v>
      </c>
      <c r="D11" s="266">
        <f>+(D12-D4)/D12</f>
        <v>0.18084862385321102</v>
      </c>
      <c r="E11" s="266">
        <f>D11-C11</f>
        <v>3.5738108818517134E-5</v>
      </c>
    </row>
    <row r="12" spans="1:7" ht="15" thickBot="1">
      <c r="A12" s="249" t="s">
        <v>1687</v>
      </c>
      <c r="B12" s="248" t="s">
        <v>268</v>
      </c>
      <c r="C12" s="267">
        <f>Sheet2!C5</f>
        <v>13286</v>
      </c>
      <c r="D12" s="267">
        <f>'T-1'!N72</f>
        <v>13080</v>
      </c>
      <c r="E12" s="267">
        <f>+C12-D12</f>
        <v>206</v>
      </c>
    </row>
    <row r="13" spans="1:7" ht="15" thickBot="1">
      <c r="A13" s="249" t="s">
        <v>1688</v>
      </c>
      <c r="B13" s="248" t="s">
        <v>1681</v>
      </c>
      <c r="C13" s="264">
        <f>C15/C12*10</f>
        <v>4.1611169652265545</v>
      </c>
      <c r="D13" s="264">
        <f>D15/D12*10</f>
        <v>4.4806148759174302</v>
      </c>
      <c r="E13" s="264">
        <f t="shared" ref="E13:E21" si="1">+C13-D13</f>
        <v>-0.31949791069087574</v>
      </c>
      <c r="F13" s="234"/>
      <c r="G13" s="234"/>
    </row>
    <row r="14" spans="1:7" ht="6" customHeight="1" thickBot="1">
      <c r="A14" s="249"/>
      <c r="B14" s="248"/>
      <c r="C14" s="264"/>
      <c r="D14" s="264"/>
      <c r="E14" s="264"/>
      <c r="F14" s="234"/>
      <c r="G14" s="234"/>
    </row>
    <row r="15" spans="1:7" ht="14.5" thickBot="1">
      <c r="A15" s="245" t="s">
        <v>634</v>
      </c>
      <c r="B15" s="230" t="s">
        <v>1683</v>
      </c>
      <c r="C15" s="281">
        <f>Sheet2!C32/100</f>
        <v>5528.46</v>
      </c>
      <c r="D15" s="281">
        <f>'F-6'!L10/100</f>
        <v>5860.6442576999989</v>
      </c>
      <c r="E15" s="265">
        <f t="shared" si="1"/>
        <v>-332.18425769999885</v>
      </c>
    </row>
    <row r="16" spans="1:7" ht="14.5" thickBot="1">
      <c r="A16" s="245" t="s">
        <v>1689</v>
      </c>
      <c r="B16" s="230" t="s">
        <v>1683</v>
      </c>
      <c r="C16" s="265">
        <f>(Sheet2!C33+Sheet2!C34+Sheet2!C35-Sheet2!C40)/100</f>
        <v>977.43</v>
      </c>
      <c r="D16" s="265">
        <f>('F-6'!L13+'F-6'!L14+'F-6'!L15-'F-6'!L24-'F-6'!L25+'F-6'!L22)/100</f>
        <v>1066.8070651691758</v>
      </c>
      <c r="E16" s="265">
        <f t="shared" si="1"/>
        <v>-89.377065169175808</v>
      </c>
    </row>
    <row r="17" spans="1:35" ht="14.5" thickBot="1">
      <c r="A17" s="245" t="s">
        <v>1690</v>
      </c>
      <c r="B17" s="230" t="s">
        <v>1683</v>
      </c>
      <c r="C17" s="265">
        <f>Sheet2!C38/100</f>
        <v>171.5</v>
      </c>
      <c r="D17" s="265">
        <f>('F-6'!L18+'F-6'!L19+'F-6'!L20+'F-6'!L23)/100</f>
        <v>160.39561808176023</v>
      </c>
      <c r="E17" s="265">
        <f t="shared" si="1"/>
        <v>11.104381918239767</v>
      </c>
    </row>
    <row r="18" spans="1:35" ht="14.5" thickBot="1">
      <c r="A18" s="245" t="s">
        <v>685</v>
      </c>
      <c r="B18" s="230" t="s">
        <v>1683</v>
      </c>
      <c r="C18" s="265">
        <f>Sheet2!C37/100</f>
        <v>72.930000000000007</v>
      </c>
      <c r="D18" s="265">
        <f>'F-6'!L17/100</f>
        <v>91.581080899472212</v>
      </c>
      <c r="E18" s="265">
        <f t="shared" si="1"/>
        <v>-18.651080899472205</v>
      </c>
    </row>
    <row r="19" spans="1:35" s="2" customFormat="1" ht="14.5" thickBot="1">
      <c r="A19" s="458" t="s">
        <v>1691</v>
      </c>
      <c r="B19" s="459" t="s">
        <v>1683</v>
      </c>
      <c r="C19" s="460">
        <f>+C15+C16+C17+C18</f>
        <v>6750.3200000000006</v>
      </c>
      <c r="D19" s="460">
        <f>+D15+D16+D17+D18</f>
        <v>7179.4280218504073</v>
      </c>
      <c r="E19" s="461">
        <f t="shared" si="1"/>
        <v>-429.10802185040666</v>
      </c>
    </row>
    <row r="20" spans="1:35" ht="14.5" thickBot="1">
      <c r="A20" s="247" t="s">
        <v>2166</v>
      </c>
      <c r="B20" s="230" t="s">
        <v>1683</v>
      </c>
      <c r="C20" s="265">
        <v>150</v>
      </c>
      <c r="D20" s="265">
        <f>'F-22'!C27/100</f>
        <v>0</v>
      </c>
      <c r="E20" s="265">
        <f t="shared" si="1"/>
        <v>150</v>
      </c>
    </row>
    <row r="21" spans="1:35" ht="14.5" thickBot="1">
      <c r="A21" s="247" t="s">
        <v>1692</v>
      </c>
      <c r="B21" s="230" t="s">
        <v>1683</v>
      </c>
      <c r="C21" s="265">
        <f>Sheet2!C42/100</f>
        <v>57.59</v>
      </c>
      <c r="D21" s="265">
        <f>('F-6'!L21)/100</f>
        <v>107.40780561811198</v>
      </c>
      <c r="E21" s="268">
        <f t="shared" si="1"/>
        <v>-49.817805618111976</v>
      </c>
    </row>
    <row r="22" spans="1:35" s="246" customFormat="1" ht="17.25" customHeight="1" thickBot="1">
      <c r="A22" s="458" t="s">
        <v>1693</v>
      </c>
      <c r="B22" s="462" t="s">
        <v>1683</v>
      </c>
      <c r="C22" s="463">
        <f>C10-C19+C20-C21</f>
        <v>-68.110000000001349</v>
      </c>
      <c r="D22" s="463">
        <f>D10-D19-D20-D21</f>
        <v>-606.76393694148328</v>
      </c>
      <c r="E22" s="464">
        <f>C22-D22</f>
        <v>538.6539369414819</v>
      </c>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row>
    <row r="24" spans="1:35">
      <c r="C24" s="942"/>
      <c r="D24" s="7"/>
    </row>
    <row r="27" spans="1:35" ht="13">
      <c r="B27" s="2055" t="s">
        <v>1694</v>
      </c>
      <c r="C27" s="2055"/>
      <c r="D27" s="2055"/>
      <c r="E27" s="2055"/>
    </row>
    <row r="28" spans="1:35" ht="43.5">
      <c r="B28" s="466" t="s">
        <v>1695</v>
      </c>
      <c r="C28" s="467" t="s">
        <v>1696</v>
      </c>
      <c r="D28" s="467" t="s">
        <v>1697</v>
      </c>
      <c r="E28" s="467" t="s">
        <v>1698</v>
      </c>
    </row>
    <row r="29" spans="1:35" ht="14.5">
      <c r="B29" s="468" t="s">
        <v>1699</v>
      </c>
      <c r="C29" s="468">
        <v>473.44</v>
      </c>
      <c r="D29" s="468">
        <v>412.13</v>
      </c>
      <c r="E29" s="271">
        <f>D29-C29</f>
        <v>-61.31</v>
      </c>
    </row>
    <row r="30" spans="1:35" ht="14.5">
      <c r="B30" s="468" t="s">
        <v>1544</v>
      </c>
      <c r="C30" s="468">
        <v>562.92999999999995</v>
      </c>
      <c r="D30" s="468">
        <v>452.63</v>
      </c>
      <c r="E30" s="271">
        <f t="shared" ref="E30:E42" si="2">D30-C30</f>
        <v>-110.29999999999995</v>
      </c>
    </row>
    <row r="31" spans="1:35" ht="14.5">
      <c r="B31" s="468" t="s">
        <v>1545</v>
      </c>
      <c r="C31" s="468">
        <v>618.49</v>
      </c>
      <c r="D31" s="468">
        <v>489.44</v>
      </c>
      <c r="E31" s="271">
        <f t="shared" si="2"/>
        <v>-129.05000000000001</v>
      </c>
    </row>
    <row r="32" spans="1:35" ht="14.5">
      <c r="B32" s="468" t="s">
        <v>1546</v>
      </c>
      <c r="C32" s="468">
        <v>653.89</v>
      </c>
      <c r="D32" s="468">
        <v>601.94000000000005</v>
      </c>
      <c r="E32" s="271">
        <f t="shared" si="2"/>
        <v>-51.949999999999932</v>
      </c>
    </row>
    <row r="33" spans="2:5" ht="14.5">
      <c r="B33" s="468" t="s">
        <v>1547</v>
      </c>
      <c r="C33" s="468">
        <v>697.18</v>
      </c>
      <c r="D33" s="468">
        <v>652.41</v>
      </c>
      <c r="E33" s="271">
        <f t="shared" si="2"/>
        <v>-44.769999999999982</v>
      </c>
    </row>
    <row r="34" spans="2:5" ht="14.5">
      <c r="B34" s="468" t="s">
        <v>1548</v>
      </c>
      <c r="C34" s="468">
        <v>760.5</v>
      </c>
      <c r="D34" s="468">
        <v>730.94</v>
      </c>
      <c r="E34" s="271">
        <f t="shared" si="2"/>
        <v>-29.559999999999945</v>
      </c>
    </row>
    <row r="35" spans="2:5" ht="14.5">
      <c r="B35" s="468" t="s">
        <v>1549</v>
      </c>
      <c r="C35" s="468">
        <v>809.26</v>
      </c>
      <c r="D35" s="468">
        <v>786.75</v>
      </c>
      <c r="E35" s="271">
        <f t="shared" si="2"/>
        <v>-22.509999999999991</v>
      </c>
    </row>
    <row r="36" spans="2:5" ht="14.5">
      <c r="B36" s="468" t="s">
        <v>1538</v>
      </c>
      <c r="C36" s="468">
        <v>875.68</v>
      </c>
      <c r="D36" s="468">
        <v>907.82</v>
      </c>
      <c r="E36" s="271">
        <f t="shared" si="2"/>
        <v>32.1400000000001</v>
      </c>
    </row>
    <row r="37" spans="2:5" ht="14.5">
      <c r="B37" s="468" t="s">
        <v>1540</v>
      </c>
      <c r="C37" s="468">
        <v>1132.6600000000001</v>
      </c>
      <c r="D37" s="468">
        <v>1083.51</v>
      </c>
      <c r="E37" s="271">
        <f t="shared" si="2"/>
        <v>-49.150000000000091</v>
      </c>
    </row>
    <row r="38" spans="2:5" ht="14.5">
      <c r="B38" s="468" t="s">
        <v>1542</v>
      </c>
      <c r="C38" s="468">
        <v>1544.14</v>
      </c>
      <c r="D38" s="468">
        <v>1557.01</v>
      </c>
      <c r="E38" s="271">
        <f t="shared" si="2"/>
        <v>12.869999999999891</v>
      </c>
    </row>
    <row r="39" spans="2:5" ht="14.5">
      <c r="B39" s="468" t="s">
        <v>1700</v>
      </c>
      <c r="C39" s="468">
        <v>1388.93</v>
      </c>
      <c r="D39" s="468">
        <v>1361.33</v>
      </c>
      <c r="E39" s="271">
        <f t="shared" si="2"/>
        <v>-27.600000000000136</v>
      </c>
    </row>
    <row r="40" spans="2:5" ht="14.5">
      <c r="B40" s="468" t="s">
        <v>1701</v>
      </c>
      <c r="C40" s="468">
        <f>1397.55+284.97+14.14+44.73+2.31-4.15</f>
        <v>1739.55</v>
      </c>
      <c r="D40" s="468">
        <v>1699.6</v>
      </c>
      <c r="E40" s="271">
        <f t="shared" si="2"/>
        <v>-39.950000000000045</v>
      </c>
    </row>
    <row r="41" spans="2:5" ht="14.5">
      <c r="B41" s="468" t="s">
        <v>1702</v>
      </c>
      <c r="D41" s="468"/>
      <c r="E41" s="271"/>
    </row>
    <row r="42" spans="2:5" ht="14.5">
      <c r="B42" s="469" t="s">
        <v>145</v>
      </c>
      <c r="C42" s="470">
        <f>SUM(C29:C41)</f>
        <v>11256.65</v>
      </c>
      <c r="D42" s="470">
        <f>SUM(D29:D41)</f>
        <v>10735.51</v>
      </c>
      <c r="E42" s="272">
        <f t="shared" si="2"/>
        <v>-521.13999999999942</v>
      </c>
    </row>
  </sheetData>
  <mergeCells count="5">
    <mergeCell ref="B27:E27"/>
    <mergeCell ref="A2:A3"/>
    <mergeCell ref="C2:C3"/>
    <mergeCell ref="D2:D3"/>
    <mergeCell ref="E2:E3"/>
  </mergeCells>
  <phoneticPr fontId="60" type="noConversion"/>
  <printOptions horizontalCentered="1"/>
  <pageMargins left="0.5" right="0.25" top="0.75" bottom="0.25" header="0" footer="0"/>
  <pageSetup paperSize="9" scale="110"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81">
    <pageSetUpPr fitToPage="1"/>
  </sheetPr>
  <dimension ref="A1:K23"/>
  <sheetViews>
    <sheetView showGridLines="0" zoomScaleSheetLayoutView="85" workbookViewId="0">
      <selection activeCell="F5" sqref="F5"/>
    </sheetView>
  </sheetViews>
  <sheetFormatPr defaultColWidth="14.7265625" defaultRowHeight="12.75" customHeight="1"/>
  <cols>
    <col min="1" max="1" width="4.1796875" style="187" customWidth="1"/>
    <col min="2" max="2" width="29.7265625" style="188" bestFit="1" customWidth="1"/>
    <col min="3" max="3" width="22.54296875" style="189" bestFit="1" customWidth="1"/>
    <col min="4" max="4" width="10.54296875" style="189" bestFit="1" customWidth="1"/>
    <col min="5" max="16384" width="14.7265625" style="187"/>
  </cols>
  <sheetData>
    <row r="1" spans="1:11" s="190" customFormat="1" ht="16" thickBot="1">
      <c r="A1" s="439"/>
      <c r="B1" s="2212" t="s">
        <v>1703</v>
      </c>
      <c r="C1" s="2212"/>
      <c r="D1" s="2212"/>
      <c r="E1" s="2212"/>
      <c r="F1" s="2212"/>
      <c r="G1" s="2212"/>
      <c r="H1" s="2212"/>
      <c r="I1" s="2212"/>
      <c r="J1" s="2212"/>
      <c r="K1" s="2212"/>
    </row>
    <row r="2" spans="1:11" ht="12.75" customHeight="1" thickBot="1">
      <c r="A2" s="584"/>
      <c r="B2" s="2206"/>
      <c r="C2" s="2207"/>
      <c r="D2" s="2207"/>
      <c r="E2" s="2207"/>
      <c r="F2" s="2207"/>
      <c r="G2" s="2207"/>
      <c r="H2" s="2208"/>
      <c r="I2" s="570"/>
      <c r="J2" s="559"/>
      <c r="K2" s="559"/>
    </row>
    <row r="3" spans="1:11" ht="12.75" customHeight="1" thickBot="1">
      <c r="A3" s="584"/>
      <c r="B3" s="2209" t="s">
        <v>1946</v>
      </c>
      <c r="C3" s="2210"/>
      <c r="D3" s="2210"/>
      <c r="E3" s="2210"/>
      <c r="F3" s="2210"/>
      <c r="G3" s="2210"/>
      <c r="H3" s="2211"/>
      <c r="I3" s="559"/>
      <c r="J3" s="559"/>
      <c r="K3" s="559"/>
    </row>
    <row r="4" spans="1:11" ht="12.75" customHeight="1">
      <c r="A4" s="584"/>
      <c r="B4" s="564" t="s">
        <v>1619</v>
      </c>
      <c r="C4" s="565" t="s">
        <v>1945</v>
      </c>
      <c r="D4" s="565" t="s">
        <v>1704</v>
      </c>
      <c r="E4" s="565" t="s">
        <v>1705</v>
      </c>
      <c r="F4" s="565" t="s">
        <v>1947</v>
      </c>
      <c r="G4" s="565" t="s">
        <v>1706</v>
      </c>
      <c r="H4" s="571" t="s">
        <v>1948</v>
      </c>
      <c r="I4" s="572" t="s">
        <v>1707</v>
      </c>
      <c r="J4" s="572" t="s">
        <v>1708</v>
      </c>
      <c r="K4" s="572" t="s">
        <v>1709</v>
      </c>
    </row>
    <row r="5" spans="1:11" ht="12.75" customHeight="1">
      <c r="A5" s="584"/>
      <c r="B5" s="566" t="s">
        <v>1710</v>
      </c>
      <c r="C5" s="657">
        <v>2898.2</v>
      </c>
      <c r="D5" s="474">
        <v>1815.64</v>
      </c>
      <c r="E5" s="474">
        <v>642.95000000000005</v>
      </c>
      <c r="F5" s="660">
        <v>3142.3820698660002</v>
      </c>
      <c r="G5" s="567">
        <v>-47.81</v>
      </c>
      <c r="H5" s="663"/>
      <c r="I5" s="474">
        <v>2458.59</v>
      </c>
      <c r="J5" s="474">
        <v>626.6</v>
      </c>
      <c r="K5" s="474">
        <v>16.350000000000001</v>
      </c>
    </row>
    <row r="6" spans="1:11" ht="12.75" customHeight="1">
      <c r="A6" s="584"/>
      <c r="B6" s="566" t="s">
        <v>1711</v>
      </c>
      <c r="C6" s="657">
        <v>240.8</v>
      </c>
      <c r="D6" s="474">
        <v>136.96</v>
      </c>
      <c r="E6" s="474">
        <v>48.79</v>
      </c>
      <c r="F6" s="660">
        <v>252.1113411</v>
      </c>
      <c r="G6" s="567">
        <v>-14.25</v>
      </c>
      <c r="H6" s="663"/>
      <c r="I6" s="474">
        <v>185.75</v>
      </c>
      <c r="J6" s="474">
        <v>50</v>
      </c>
      <c r="K6" s="474">
        <v>-1.21</v>
      </c>
    </row>
    <row r="7" spans="1:11" ht="12.75" customHeight="1">
      <c r="A7" s="584"/>
      <c r="B7" s="566" t="s">
        <v>1712</v>
      </c>
      <c r="C7" s="657">
        <v>1.48</v>
      </c>
      <c r="D7" s="474">
        <v>0.91</v>
      </c>
      <c r="E7" s="474">
        <v>0.31</v>
      </c>
      <c r="F7" s="660">
        <v>1.4826842</v>
      </c>
      <c r="G7" s="567">
        <v>0</v>
      </c>
      <c r="H7" s="663"/>
      <c r="I7" s="474">
        <v>1.22</v>
      </c>
      <c r="J7" s="474">
        <v>0.30499999999999999</v>
      </c>
      <c r="K7" s="474">
        <v>5.0000000000000001E-3</v>
      </c>
    </row>
    <row r="8" spans="1:11" ht="12.75" customHeight="1">
      <c r="A8" s="584"/>
      <c r="B8" s="564" t="s">
        <v>1713</v>
      </c>
      <c r="C8" s="658">
        <f>SUM(C5:C7)</f>
        <v>3140.48</v>
      </c>
      <c r="D8" s="565">
        <v>1953.51</v>
      </c>
      <c r="E8" s="565">
        <v>692.05</v>
      </c>
      <c r="F8" s="661">
        <f>SUM(F5:F7)</f>
        <v>3395.9760951660005</v>
      </c>
      <c r="G8" s="565">
        <v>-62.06</v>
      </c>
      <c r="H8" s="664">
        <v>3367.72</v>
      </c>
      <c r="I8" s="565">
        <v>2645.56</v>
      </c>
      <c r="J8" s="565">
        <v>676.90499999999997</v>
      </c>
      <c r="K8" s="565">
        <v>15.145</v>
      </c>
    </row>
    <row r="9" spans="1:11" ht="12.75" customHeight="1">
      <c r="A9" s="584"/>
      <c r="B9" s="566" t="s">
        <v>1714</v>
      </c>
      <c r="C9" s="657">
        <v>409.49</v>
      </c>
      <c r="D9" s="474">
        <v>382.47</v>
      </c>
      <c r="E9" s="474">
        <v>79.849999999999994</v>
      </c>
      <c r="F9" s="660">
        <v>483.67676769316074</v>
      </c>
      <c r="G9" s="567">
        <v>101.3</v>
      </c>
      <c r="H9" s="665">
        <v>483.67676769316074</v>
      </c>
      <c r="I9" s="474">
        <v>462.32</v>
      </c>
      <c r="J9" s="474">
        <v>90.254999999999995</v>
      </c>
      <c r="K9" s="474">
        <v>-10.404999999999999</v>
      </c>
    </row>
    <row r="10" spans="1:11" ht="12.75" customHeight="1">
      <c r="A10" s="584"/>
      <c r="B10" s="566" t="s">
        <v>1212</v>
      </c>
      <c r="C10" s="657">
        <v>160</v>
      </c>
      <c r="D10" s="474">
        <v>14.91</v>
      </c>
      <c r="E10" s="474">
        <v>5.75</v>
      </c>
      <c r="F10" s="657">
        <v>137.05000000000001</v>
      </c>
      <c r="G10" s="567">
        <v>-71.58</v>
      </c>
      <c r="H10" s="665">
        <v>137.05000000000001</v>
      </c>
      <c r="I10" s="474">
        <v>20.66</v>
      </c>
      <c r="J10" s="474">
        <v>23.06</v>
      </c>
      <c r="K10" s="474">
        <v>-17.309999999999999</v>
      </c>
    </row>
    <row r="11" spans="1:11" ht="12.75" customHeight="1">
      <c r="A11" s="584"/>
      <c r="B11" s="566" t="s">
        <v>1715</v>
      </c>
      <c r="C11" s="657">
        <f>63.66+39.51</f>
        <v>103.16999999999999</v>
      </c>
      <c r="D11" s="474">
        <v>48.67</v>
      </c>
      <c r="E11" s="573">
        <v>109.45</v>
      </c>
      <c r="F11" s="657">
        <v>113.27</v>
      </c>
      <c r="G11" s="567">
        <v>105.32</v>
      </c>
      <c r="H11" s="665">
        <v>113.27</v>
      </c>
      <c r="I11" s="474">
        <v>52.8</v>
      </c>
      <c r="J11" s="474">
        <v>13.2</v>
      </c>
      <c r="K11" s="474">
        <v>23.25</v>
      </c>
    </row>
    <row r="12" spans="1:11" ht="12.75" customHeight="1">
      <c r="A12" s="584"/>
      <c r="B12" s="566" t="s">
        <v>1716</v>
      </c>
      <c r="C12" s="657">
        <v>27.42</v>
      </c>
      <c r="D12" s="474">
        <v>350.16</v>
      </c>
      <c r="E12" s="474">
        <v>8.5299999999999994</v>
      </c>
      <c r="F12" s="660">
        <v>45.025525739999992</v>
      </c>
      <c r="G12" s="567">
        <v>335.3</v>
      </c>
      <c r="H12" s="665">
        <v>45.025525739999992</v>
      </c>
      <c r="I12" s="474">
        <v>23.39</v>
      </c>
      <c r="J12" s="474">
        <v>5.8475000000000001</v>
      </c>
      <c r="K12" s="474">
        <v>2.6825000000000001</v>
      </c>
    </row>
    <row r="13" spans="1:11" ht="12.75" customHeight="1">
      <c r="A13" s="584"/>
      <c r="B13" s="566" t="s">
        <v>685</v>
      </c>
      <c r="C13" s="657">
        <v>36.340000000000003</v>
      </c>
      <c r="D13" s="474">
        <v>48.31</v>
      </c>
      <c r="E13" s="474">
        <v>16.399999999999999</v>
      </c>
      <c r="F13" s="660">
        <v>24.452520932885594</v>
      </c>
      <c r="G13" s="567">
        <v>3.31</v>
      </c>
      <c r="H13" s="665">
        <v>24.452520932885594</v>
      </c>
      <c r="I13" s="474">
        <v>64.709999999999994</v>
      </c>
      <c r="J13" s="474">
        <v>15.35</v>
      </c>
      <c r="K13" s="474">
        <v>1.05</v>
      </c>
    </row>
    <row r="14" spans="1:11" ht="12.75" customHeight="1">
      <c r="A14" s="584"/>
      <c r="B14" s="566" t="s">
        <v>1717</v>
      </c>
      <c r="C14" s="657">
        <v>34.369999999999997</v>
      </c>
      <c r="D14" s="474">
        <v>87.75</v>
      </c>
      <c r="E14" s="474">
        <v>10.94</v>
      </c>
      <c r="F14" s="660">
        <v>42.935717459999999</v>
      </c>
      <c r="G14" s="567">
        <v>45.49</v>
      </c>
      <c r="H14" s="665">
        <v>42.935717459999999</v>
      </c>
      <c r="I14" s="474">
        <v>53.2</v>
      </c>
      <c r="J14" s="474">
        <v>13.3</v>
      </c>
      <c r="K14" s="474">
        <v>-2.36</v>
      </c>
    </row>
    <row r="15" spans="1:11" ht="12.75" customHeight="1">
      <c r="A15" s="584"/>
      <c r="B15" s="564" t="s">
        <v>1718</v>
      </c>
      <c r="C15" s="658">
        <f>SUM(C9:C14)-0.01</f>
        <v>770.78</v>
      </c>
      <c r="D15" s="565">
        <v>932.27</v>
      </c>
      <c r="E15" s="565">
        <v>230.92</v>
      </c>
      <c r="F15" s="661">
        <f>SUM(F9:F14)</f>
        <v>846.41053182604639</v>
      </c>
      <c r="G15" s="565">
        <v>519.14</v>
      </c>
      <c r="H15" s="666">
        <f>SUM(H9:H14)</f>
        <v>846.41053182604639</v>
      </c>
      <c r="I15" s="565">
        <v>677.08</v>
      </c>
      <c r="J15" s="565">
        <v>161.01249999999999</v>
      </c>
      <c r="K15" s="565">
        <v>-3.0924999999999998</v>
      </c>
    </row>
    <row r="16" spans="1:11" ht="12.75" customHeight="1">
      <c r="A16" s="584"/>
      <c r="B16" s="566" t="s">
        <v>1719</v>
      </c>
      <c r="C16" s="657">
        <v>48</v>
      </c>
      <c r="D16" s="474">
        <v>5.8380000000000001</v>
      </c>
      <c r="E16" s="474">
        <v>12</v>
      </c>
      <c r="F16" s="660">
        <f>52.794+11.925</f>
        <v>64.718999999999994</v>
      </c>
      <c r="G16" s="567">
        <v>10.058</v>
      </c>
      <c r="H16" s="665">
        <v>64.718999999999994</v>
      </c>
      <c r="I16" s="474">
        <v>17.78</v>
      </c>
      <c r="J16" s="474">
        <v>1.9450000000000001</v>
      </c>
      <c r="K16" s="474">
        <v>10.055</v>
      </c>
    </row>
    <row r="17" spans="2:11" ht="12.75" customHeight="1">
      <c r="B17" s="564" t="s">
        <v>1720</v>
      </c>
      <c r="C17" s="658">
        <f>C15+C16</f>
        <v>818.78</v>
      </c>
      <c r="D17" s="565">
        <v>938.10799999999995</v>
      </c>
      <c r="E17" s="565">
        <v>242.92</v>
      </c>
      <c r="F17" s="661">
        <f>F15+F16</f>
        <v>911.12953182604633</v>
      </c>
      <c r="G17" s="565">
        <v>529.19799999999998</v>
      </c>
      <c r="H17" s="666">
        <f>H15+H16</f>
        <v>911.12953182604633</v>
      </c>
      <c r="I17" s="565">
        <v>694.86</v>
      </c>
      <c r="J17" s="565">
        <v>162.95750000000001</v>
      </c>
      <c r="K17" s="565">
        <v>6.9625000000000004</v>
      </c>
    </row>
    <row r="18" spans="2:11" ht="12.75" customHeight="1">
      <c r="B18" s="566" t="s">
        <v>1721</v>
      </c>
      <c r="C18" s="657">
        <v>237.45</v>
      </c>
      <c r="D18" s="474">
        <v>233.25</v>
      </c>
      <c r="E18" s="474">
        <v>29.06</v>
      </c>
      <c r="F18" s="660">
        <v>167.42575286099998</v>
      </c>
      <c r="G18" s="567">
        <v>70.92</v>
      </c>
      <c r="H18" s="665">
        <v>110.76311743199997</v>
      </c>
      <c r="I18" s="474">
        <v>262.31</v>
      </c>
      <c r="J18" s="474">
        <v>47.847499999999997</v>
      </c>
      <c r="K18" s="474">
        <v>-18.787500000000001</v>
      </c>
    </row>
    <row r="19" spans="2:11" ht="12.75" customHeight="1">
      <c r="B19" s="564" t="s">
        <v>1722</v>
      </c>
      <c r="C19" s="658">
        <f>C17-C18</f>
        <v>581.32999999999993</v>
      </c>
      <c r="D19" s="565">
        <v>704.85799999999995</v>
      </c>
      <c r="E19" s="574">
        <v>213.86</v>
      </c>
      <c r="F19" s="661">
        <f>F17-F18</f>
        <v>743.70377896504635</v>
      </c>
      <c r="G19" s="565">
        <v>458.27800000000002</v>
      </c>
      <c r="H19" s="666">
        <f>H17-H18</f>
        <v>800.36641439404639</v>
      </c>
      <c r="I19" s="565">
        <v>432.55</v>
      </c>
      <c r="J19" s="565">
        <v>115.11</v>
      </c>
      <c r="K19" s="565">
        <v>25.75</v>
      </c>
    </row>
    <row r="20" spans="2:11" ht="12.75" customHeight="1">
      <c r="B20" s="566" t="s">
        <v>1723</v>
      </c>
      <c r="C20" s="657" t="s">
        <v>1724</v>
      </c>
      <c r="D20" s="474" t="s">
        <v>1724</v>
      </c>
      <c r="E20" s="474" t="s">
        <v>1724</v>
      </c>
      <c r="F20" s="657" t="s">
        <v>1724</v>
      </c>
      <c r="G20" s="567">
        <v>0</v>
      </c>
      <c r="H20" s="663" t="s">
        <v>1724</v>
      </c>
      <c r="I20" s="474" t="s">
        <v>1724</v>
      </c>
      <c r="J20" s="474" t="s">
        <v>1724</v>
      </c>
      <c r="K20" s="474" t="s">
        <v>1724</v>
      </c>
    </row>
    <row r="21" spans="2:11" ht="12.75" customHeight="1">
      <c r="B21" s="564" t="s">
        <v>1725</v>
      </c>
      <c r="C21" s="658">
        <f>C8+C19</f>
        <v>3721.81</v>
      </c>
      <c r="D21" s="565">
        <v>2658.3679999999999</v>
      </c>
      <c r="E21" s="565">
        <v>905.91</v>
      </c>
      <c r="F21" s="661">
        <f>F8+F19</f>
        <v>4139.6798741310467</v>
      </c>
      <c r="G21" s="565">
        <v>396.21800000000002</v>
      </c>
      <c r="H21" s="666">
        <f>H8+H19</f>
        <v>4168.0864143940462</v>
      </c>
      <c r="I21" s="565">
        <v>3078.11</v>
      </c>
      <c r="J21" s="565">
        <v>792.01499999999999</v>
      </c>
      <c r="K21" s="565">
        <v>40.895000000000003</v>
      </c>
    </row>
    <row r="22" spans="2:11" ht="12.75" customHeight="1">
      <c r="B22" s="566" t="s">
        <v>1726</v>
      </c>
      <c r="C22" s="657">
        <v>3705.75</v>
      </c>
      <c r="D22" s="474">
        <v>2216.7399999999998</v>
      </c>
      <c r="E22" s="474">
        <v>892.89</v>
      </c>
      <c r="F22" s="660">
        <v>4691.8523974610007</v>
      </c>
      <c r="G22" s="567">
        <v>-78.180000000000007</v>
      </c>
      <c r="H22" s="665">
        <v>4691.8523974610007</v>
      </c>
      <c r="I22" s="474">
        <v>3109.63</v>
      </c>
      <c r="J22" s="474">
        <v>796.95249999999999</v>
      </c>
      <c r="K22" s="474">
        <v>95.9375</v>
      </c>
    </row>
    <row r="23" spans="2:11" ht="12.75" customHeight="1" thickBot="1">
      <c r="B23" s="568" t="s">
        <v>1727</v>
      </c>
      <c r="C23" s="659">
        <f>C22-C21</f>
        <v>-16.059999999999945</v>
      </c>
      <c r="D23" s="569">
        <v>-441.62799999999999</v>
      </c>
      <c r="E23" s="575">
        <v>-13.02</v>
      </c>
      <c r="F23" s="662">
        <f>F22-F21</f>
        <v>552.17252332995395</v>
      </c>
      <c r="G23" s="569">
        <v>-474.39800000000002</v>
      </c>
      <c r="H23" s="667">
        <f>(H22-H21)-((H22-(92.9455740111292%*H22)))</f>
        <v>192.78272818100777</v>
      </c>
      <c r="I23" s="565">
        <v>31.52</v>
      </c>
      <c r="J23" s="565">
        <v>4.9375</v>
      </c>
      <c r="K23" s="565">
        <v>55.042499999999997</v>
      </c>
    </row>
  </sheetData>
  <mergeCells count="3">
    <mergeCell ref="B2:H2"/>
    <mergeCell ref="B3:H3"/>
    <mergeCell ref="B1:K1"/>
  </mergeCells>
  <phoneticPr fontId="46" type="noConversion"/>
  <printOptions horizontalCentered="1"/>
  <pageMargins left="0.5" right="0.25" top="0.75" bottom="0.75" header="0.25" footer="0.25"/>
  <pageSetup paperSize="9" orientation="landscape" r:id="rId1"/>
  <headerFooter alignWithMargins="0">
    <oddHeader xml:space="preserve">&amp;R
</oddHeader>
    <oddFooter xml:space="preserve">&amp;C
</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48"/>
  <sheetViews>
    <sheetView workbookViewId="0">
      <selection activeCell="I4" sqref="I4"/>
    </sheetView>
  </sheetViews>
  <sheetFormatPr defaultRowHeight="12.5"/>
  <cols>
    <col min="1" max="1" width="28.81640625" customWidth="1"/>
    <col min="2" max="2" width="11.54296875" customWidth="1"/>
    <col min="3" max="4" width="11.54296875" bestFit="1" customWidth="1"/>
    <col min="5" max="5" width="11.54296875" customWidth="1"/>
    <col min="6" max="6" width="12.453125" customWidth="1"/>
    <col min="7" max="7" width="11.453125" customWidth="1"/>
    <col min="8" max="8" width="11.81640625" customWidth="1"/>
  </cols>
  <sheetData>
    <row r="1" spans="1:8" ht="30.75" customHeight="1">
      <c r="A1" s="2221" t="s">
        <v>735</v>
      </c>
      <c r="B1" s="2223" t="s">
        <v>1780</v>
      </c>
      <c r="C1" s="2224"/>
      <c r="D1" s="2225" t="s">
        <v>1758</v>
      </c>
      <c r="E1" s="2226"/>
      <c r="F1" s="319" t="s">
        <v>1781</v>
      </c>
      <c r="G1" s="2227" t="s">
        <v>1782</v>
      </c>
      <c r="H1" s="2228"/>
    </row>
    <row r="2" spans="1:8" ht="25.5" customHeight="1">
      <c r="A2" s="2222"/>
      <c r="B2" s="320" t="s">
        <v>1783</v>
      </c>
      <c r="C2" s="320" t="s">
        <v>1784</v>
      </c>
      <c r="D2" s="320" t="s">
        <v>1785</v>
      </c>
      <c r="E2" s="320" t="s">
        <v>1786</v>
      </c>
      <c r="F2" s="320" t="s">
        <v>1784</v>
      </c>
      <c r="G2" s="320" t="s">
        <v>1787</v>
      </c>
      <c r="H2" s="320" t="s">
        <v>1788</v>
      </c>
    </row>
    <row r="3" spans="1:8" ht="15.5">
      <c r="A3" s="321" t="s">
        <v>1619</v>
      </c>
      <c r="B3" s="322"/>
      <c r="C3" s="322"/>
      <c r="D3" s="322"/>
      <c r="E3" s="322"/>
      <c r="F3" s="323"/>
      <c r="G3" s="323"/>
      <c r="H3" s="323"/>
    </row>
    <row r="4" spans="1:8" ht="15.5">
      <c r="A4" s="323" t="s">
        <v>1789</v>
      </c>
      <c r="B4" s="324">
        <v>2428.69</v>
      </c>
      <c r="C4" s="324">
        <v>2660.26</v>
      </c>
      <c r="D4" s="333">
        <v>2506.4</v>
      </c>
      <c r="E4" s="333">
        <v>2898.21</v>
      </c>
      <c r="F4" s="333">
        <f>'F-6'!G6/100</f>
        <v>4806.2572651999999</v>
      </c>
      <c r="G4" s="333">
        <f>'F-6'!L6/100</f>
        <v>5195.7490282999988</v>
      </c>
      <c r="H4" s="333">
        <f>'F-6'!P6/100</f>
        <v>4492.2289199999996</v>
      </c>
    </row>
    <row r="5" spans="1:8" ht="15.5">
      <c r="A5" s="323" t="s">
        <v>1790</v>
      </c>
      <c r="B5" s="324">
        <v>199.62</v>
      </c>
      <c r="C5" s="324">
        <v>206.12</v>
      </c>
      <c r="D5" s="333">
        <v>200</v>
      </c>
      <c r="E5" s="333">
        <v>240.8</v>
      </c>
      <c r="F5" s="333">
        <f>'F-6'!G8/100</f>
        <v>356.6599185</v>
      </c>
      <c r="G5" s="333">
        <f>'F-6'!L8/100</f>
        <v>310.89648979999998</v>
      </c>
      <c r="H5" s="333">
        <f>'F-6'!P8/100</f>
        <v>276.40607999999997</v>
      </c>
    </row>
    <row r="6" spans="1:8" ht="15.5">
      <c r="A6" s="323" t="s">
        <v>1791</v>
      </c>
      <c r="B6" s="324">
        <v>1.2</v>
      </c>
      <c r="C6" s="324">
        <v>1.22</v>
      </c>
      <c r="D6" s="333">
        <v>1.22</v>
      </c>
      <c r="E6" s="333">
        <v>1.48</v>
      </c>
      <c r="F6" s="333">
        <f>'F-6'!G9/100</f>
        <v>1.66716</v>
      </c>
      <c r="G6" s="333">
        <f>'F-6'!L9/100</f>
        <v>2.0565600000000002</v>
      </c>
      <c r="H6" s="333">
        <f>'F-6'!P9/100</f>
        <v>2.0565600000000002</v>
      </c>
    </row>
    <row r="7" spans="1:8" ht="31">
      <c r="A7" s="325" t="s">
        <v>1792</v>
      </c>
      <c r="B7" s="334">
        <f t="shared" ref="B7" si="0">SUM(B4:B6)</f>
        <v>2629.5099999999998</v>
      </c>
      <c r="C7" s="334">
        <f t="shared" ref="C7:E7" si="1">SUM(C4:C6)</f>
        <v>2867.6</v>
      </c>
      <c r="D7" s="334">
        <f t="shared" ref="D7" si="2">SUM(D4:D6)</f>
        <v>2707.62</v>
      </c>
      <c r="E7" s="334">
        <f t="shared" si="1"/>
        <v>3140.4900000000002</v>
      </c>
      <c r="F7" s="334">
        <f>SUM(F4:F6)</f>
        <v>5164.5843436999994</v>
      </c>
      <c r="G7" s="334">
        <f>SUM(G4:G6)</f>
        <v>5508.7020780999992</v>
      </c>
      <c r="H7" s="334">
        <f>SUM(H4:H6)</f>
        <v>4770.6915599999993</v>
      </c>
    </row>
    <row r="8" spans="1:8" ht="15.5">
      <c r="A8" s="323" t="s">
        <v>1793</v>
      </c>
      <c r="B8" s="324">
        <v>432.27</v>
      </c>
      <c r="C8" s="324">
        <v>523.86</v>
      </c>
      <c r="D8" s="333">
        <v>361.02</v>
      </c>
      <c r="E8" s="333">
        <v>409.49</v>
      </c>
      <c r="F8" s="333">
        <f>'F-6'!G13/100</f>
        <v>474.40364187660003</v>
      </c>
      <c r="G8" s="333">
        <f>'F-6'!L13/100</f>
        <v>582.70781067866676</v>
      </c>
      <c r="H8" s="333">
        <f>'F-6'!P13/100</f>
        <v>626.58819106660519</v>
      </c>
    </row>
    <row r="9" spans="1:8" ht="15.5">
      <c r="A9" s="323" t="s">
        <v>1794</v>
      </c>
      <c r="B9" s="324">
        <v>101.86</v>
      </c>
      <c r="C9" s="324">
        <v>109.53</v>
      </c>
      <c r="D9" s="333">
        <v>92.24</v>
      </c>
      <c r="E9" s="333">
        <v>160</v>
      </c>
      <c r="F9" s="333">
        <f>'F-6'!G14/100</f>
        <v>237.55997211889996</v>
      </c>
      <c r="G9" s="333">
        <f>'F-6'!L14/100</f>
        <v>281.99</v>
      </c>
      <c r="H9" s="333">
        <f>'F-6'!P14/100</f>
        <v>336.86397853959903</v>
      </c>
    </row>
    <row r="10" spans="1:8" ht="31">
      <c r="A10" s="323" t="s">
        <v>1795</v>
      </c>
      <c r="B10" s="324">
        <v>88.75</v>
      </c>
      <c r="C10" s="324">
        <v>83.38</v>
      </c>
      <c r="D10" s="333">
        <v>52.8</v>
      </c>
      <c r="E10" s="333">
        <v>103</v>
      </c>
      <c r="F10" s="333">
        <f>'F-6'!G15/100</f>
        <v>146.45432944749999</v>
      </c>
      <c r="G10" s="333">
        <f>'F-6'!L15/100</f>
        <v>191.08758718334576</v>
      </c>
      <c r="H10" s="333">
        <f>'F-6'!P15/100</f>
        <v>245.86534678618003</v>
      </c>
    </row>
    <row r="11" spans="1:8" ht="31">
      <c r="A11" s="323" t="s">
        <v>1796</v>
      </c>
      <c r="B11" s="324">
        <v>83.97</v>
      </c>
      <c r="C11" s="324">
        <v>90.62</v>
      </c>
      <c r="D11" s="333">
        <v>23.39</v>
      </c>
      <c r="E11" s="333">
        <v>27.42</v>
      </c>
      <c r="F11" s="333">
        <f>'F-6'!G16/100</f>
        <v>129.41027389999999</v>
      </c>
      <c r="G11" s="333">
        <f>'F-6'!L16/100</f>
        <v>62.826909357848855</v>
      </c>
      <c r="H11" s="333">
        <f>'F-6'!P16/100</f>
        <v>57.51162147717725</v>
      </c>
    </row>
    <row r="12" spans="1:8" ht="15.5">
      <c r="A12" s="323" t="s">
        <v>1797</v>
      </c>
      <c r="B12" s="324">
        <v>67.760000000000005</v>
      </c>
      <c r="C12" s="324">
        <v>72.89</v>
      </c>
      <c r="D12" s="333">
        <v>61.4</v>
      </c>
      <c r="E12" s="333">
        <v>36.340000000000003</v>
      </c>
      <c r="F12" s="333">
        <f>'F-6'!G17/100</f>
        <v>44.265456197775514</v>
      </c>
      <c r="G12" s="333">
        <f>'F-6'!L17/100</f>
        <v>91.581080899472212</v>
      </c>
      <c r="H12" s="333">
        <f>'F-6'!P17/100</f>
        <v>125.98395848869873</v>
      </c>
    </row>
    <row r="13" spans="1:8" ht="31">
      <c r="A13" s="323" t="s">
        <v>1798</v>
      </c>
      <c r="B13" s="324">
        <v>89.13</v>
      </c>
      <c r="C13" s="324">
        <v>84.2</v>
      </c>
      <c r="D13" s="333">
        <v>53.2</v>
      </c>
      <c r="E13" s="333">
        <v>34.369999999999997</v>
      </c>
      <c r="F13" s="333">
        <f>'F-6'!G18/100+'F-6'!G20/100</f>
        <v>75.521149790999999</v>
      </c>
      <c r="G13" s="333">
        <f>'F-6'!L18/100+'F-6'!L20/100</f>
        <v>101.60353321572833</v>
      </c>
      <c r="H13" s="333">
        <f>'F-6'!P18/100+'F-6'!P20/100</f>
        <v>130.99008241248333</v>
      </c>
    </row>
    <row r="14" spans="1:8" ht="31">
      <c r="A14" s="323" t="s">
        <v>1799</v>
      </c>
      <c r="B14" s="324"/>
      <c r="C14" s="324"/>
      <c r="D14" s="333"/>
      <c r="E14" s="333"/>
      <c r="F14" s="324"/>
      <c r="G14" s="324"/>
      <c r="H14" s="324"/>
    </row>
    <row r="15" spans="1:8" ht="15.5">
      <c r="A15" s="326" t="s">
        <v>1800</v>
      </c>
      <c r="B15" s="335">
        <f t="shared" ref="B15:D15" si="3">SUM(B8:B14)</f>
        <v>863.74</v>
      </c>
      <c r="C15" s="335">
        <f t="shared" si="3"/>
        <v>964.48</v>
      </c>
      <c r="D15" s="335">
        <f t="shared" si="3"/>
        <v>644.05000000000007</v>
      </c>
      <c r="E15" s="335">
        <f t="shared" ref="E15" si="4">SUM(E8:E14)</f>
        <v>770.62</v>
      </c>
      <c r="F15" s="335">
        <f>SUM(F8:F14)</f>
        <v>1107.6148233317756</v>
      </c>
      <c r="G15" s="335">
        <f t="shared" ref="G15:H15" si="5">SUM(G8:G14)</f>
        <v>1311.7969213350618</v>
      </c>
      <c r="H15" s="335">
        <f t="shared" si="5"/>
        <v>1523.8031787707437</v>
      </c>
    </row>
    <row r="16" spans="1:8" ht="15.5">
      <c r="A16" s="323" t="s">
        <v>1801</v>
      </c>
      <c r="B16" s="324">
        <v>0</v>
      </c>
      <c r="C16" s="324">
        <v>0</v>
      </c>
      <c r="D16" s="333"/>
      <c r="E16" s="333"/>
      <c r="F16" s="333">
        <f>'F-6'!G24/100</f>
        <v>15.230258300000001</v>
      </c>
      <c r="G16" s="333">
        <f>'F-6'!L24/100</f>
        <v>22.272948943999999</v>
      </c>
      <c r="H16" s="333">
        <f>'F-6'!P24/100</f>
        <v>20.08898512288</v>
      </c>
    </row>
    <row r="17" spans="1:8" ht="15.5">
      <c r="A17" s="323" t="s">
        <v>1802</v>
      </c>
      <c r="B17" s="324"/>
      <c r="C17" s="324"/>
      <c r="D17" s="333"/>
      <c r="E17" s="333"/>
      <c r="F17" s="333">
        <f>'F-6'!G25/100</f>
        <v>3.6433526000000001</v>
      </c>
      <c r="G17" s="333">
        <f>'F-6'!L25/100</f>
        <v>2.8333333333333339</v>
      </c>
      <c r="H17" s="333">
        <f>'F-6'!P25/100</f>
        <v>13.533333333333333</v>
      </c>
    </row>
    <row r="18" spans="1:8" ht="31">
      <c r="A18" s="321" t="s">
        <v>1803</v>
      </c>
      <c r="B18" s="336">
        <f t="shared" ref="B18:D18" si="6">B15-B16-B17</f>
        <v>863.74</v>
      </c>
      <c r="C18" s="336">
        <f t="shared" si="6"/>
        <v>964.48</v>
      </c>
      <c r="D18" s="336">
        <f t="shared" si="6"/>
        <v>644.05000000000007</v>
      </c>
      <c r="E18" s="336">
        <f t="shared" ref="E18" si="7">E15-E16-E17</f>
        <v>770.62</v>
      </c>
      <c r="F18" s="336">
        <f>F15-F16-F17</f>
        <v>1088.7412124317755</v>
      </c>
      <c r="G18" s="336">
        <f t="shared" ref="G18:H18" si="8">G15-G16-G17</f>
        <v>1286.6906390577285</v>
      </c>
      <c r="H18" s="336">
        <f t="shared" si="8"/>
        <v>1490.1808603145303</v>
      </c>
    </row>
    <row r="19" spans="1:8" ht="18">
      <c r="A19" s="327" t="s">
        <v>1804</v>
      </c>
      <c r="B19" s="328">
        <v>7.78</v>
      </c>
      <c r="C19" s="328">
        <v>7.78</v>
      </c>
      <c r="D19" s="338">
        <v>7.78</v>
      </c>
      <c r="E19" s="338">
        <v>48</v>
      </c>
      <c r="F19" s="328">
        <f>'F-6'!G21/100</f>
        <v>67.210771679999993</v>
      </c>
      <c r="G19" s="328">
        <f>'F-6'!L21/100</f>
        <v>107.40780561811198</v>
      </c>
      <c r="H19" s="328">
        <f>'F-6'!P21/100</f>
        <v>135.42966942611199</v>
      </c>
    </row>
    <row r="20" spans="1:8" ht="18">
      <c r="A20" s="329" t="s">
        <v>1805</v>
      </c>
      <c r="B20" s="337">
        <f t="shared" ref="B20" si="9">B19+B18</f>
        <v>871.52</v>
      </c>
      <c r="C20" s="337">
        <f t="shared" ref="C20:E20" si="10">C19+C18</f>
        <v>972.26</v>
      </c>
      <c r="D20" s="337">
        <f t="shared" ref="D20" si="11">D19+D18</f>
        <v>651.83000000000004</v>
      </c>
      <c r="E20" s="337">
        <f t="shared" si="10"/>
        <v>818.62</v>
      </c>
      <c r="F20" s="337">
        <f>F19+F18</f>
        <v>1155.9519841117753</v>
      </c>
      <c r="G20" s="337">
        <f t="shared" ref="G20:H20" si="12">G19+G18</f>
        <v>1394.0984446758405</v>
      </c>
      <c r="H20" s="337">
        <f t="shared" si="12"/>
        <v>1625.6105297406423</v>
      </c>
    </row>
    <row r="21" spans="1:8" ht="36">
      <c r="A21" s="327" t="s">
        <v>1806</v>
      </c>
      <c r="B21" s="328"/>
      <c r="C21" s="328"/>
      <c r="D21" s="338"/>
      <c r="E21" s="338"/>
      <c r="F21" s="328"/>
      <c r="G21" s="328"/>
      <c r="H21" s="328"/>
    </row>
    <row r="22" spans="1:8" ht="18">
      <c r="A22" s="327" t="s">
        <v>1807</v>
      </c>
      <c r="B22" s="328"/>
      <c r="C22" s="328">
        <v>0</v>
      </c>
      <c r="D22" s="338"/>
      <c r="E22" s="338"/>
      <c r="F22" s="328"/>
      <c r="G22" s="328"/>
      <c r="H22" s="328"/>
    </row>
    <row r="23" spans="1:8" ht="36">
      <c r="A23" s="327" t="s">
        <v>1808</v>
      </c>
      <c r="B23" s="328">
        <v>7.07</v>
      </c>
      <c r="C23" s="328">
        <v>7.61</v>
      </c>
      <c r="D23" s="338"/>
      <c r="E23" s="338"/>
      <c r="F23" s="328">
        <f>'F-6'!G30/100</f>
        <v>0</v>
      </c>
      <c r="G23" s="338">
        <f>'F-6'!L30/100</f>
        <v>0</v>
      </c>
      <c r="H23" s="338">
        <f>'F-6'!P30/100</f>
        <v>0</v>
      </c>
    </row>
    <row r="24" spans="1:8" ht="36">
      <c r="A24" s="330" t="s">
        <v>1809</v>
      </c>
      <c r="B24" s="331">
        <f t="shared" ref="B24" si="13">SUM(B21:B23)</f>
        <v>7.07</v>
      </c>
      <c r="C24" s="331">
        <f t="shared" ref="C24:H24" si="14">SUM(C21:C23)</f>
        <v>7.61</v>
      </c>
      <c r="D24" s="340">
        <f t="shared" ref="D24" si="15">SUM(D21:D23)</f>
        <v>0</v>
      </c>
      <c r="E24" s="340">
        <f t="shared" si="14"/>
        <v>0</v>
      </c>
      <c r="F24" s="331">
        <f t="shared" si="14"/>
        <v>0</v>
      </c>
      <c r="G24" s="340">
        <f t="shared" si="14"/>
        <v>0</v>
      </c>
      <c r="H24" s="340">
        <f t="shared" si="14"/>
        <v>0</v>
      </c>
    </row>
    <row r="25" spans="1:8" ht="18">
      <c r="A25" s="332" t="s">
        <v>1810</v>
      </c>
      <c r="B25" s="339">
        <f t="shared" ref="B25" si="16">B24+B20+B7</f>
        <v>3508.1</v>
      </c>
      <c r="C25" s="339">
        <f t="shared" ref="C25:H25" si="17">C24+C20+C7</f>
        <v>3847.47</v>
      </c>
      <c r="D25" s="339">
        <f t="shared" ref="D25" si="18">D24+D20+D7</f>
        <v>3359.45</v>
      </c>
      <c r="E25" s="339">
        <f t="shared" si="17"/>
        <v>3959.11</v>
      </c>
      <c r="F25" s="339">
        <f t="shared" si="17"/>
        <v>6320.5363278117748</v>
      </c>
      <c r="G25" s="339">
        <f t="shared" si="17"/>
        <v>6902.8005227758395</v>
      </c>
      <c r="H25" s="339">
        <f t="shared" si="17"/>
        <v>6396.3020897406413</v>
      </c>
    </row>
    <row r="26" spans="1:8">
      <c r="E26" s="7"/>
    </row>
    <row r="27" spans="1:8" ht="17.5">
      <c r="B27" s="7"/>
      <c r="D27" s="7"/>
      <c r="F27" s="7"/>
      <c r="G27" s="348" t="s">
        <v>1811</v>
      </c>
      <c r="H27" s="403"/>
    </row>
    <row r="28" spans="1:8" ht="33" customHeight="1">
      <c r="A28" s="2213" t="s">
        <v>735</v>
      </c>
      <c r="B28" s="2215" t="s">
        <v>1780</v>
      </c>
      <c r="C28" s="2216"/>
      <c r="D28" s="2217" t="s">
        <v>1758</v>
      </c>
      <c r="E28" s="2218"/>
      <c r="F28" s="319" t="s">
        <v>1781</v>
      </c>
      <c r="G28" s="2219" t="s">
        <v>1782</v>
      </c>
      <c r="H28" s="2220"/>
    </row>
    <row r="29" spans="1:8" ht="25.5" customHeight="1">
      <c r="A29" s="2214"/>
      <c r="B29" s="320" t="s">
        <v>1783</v>
      </c>
      <c r="C29" s="320" t="s">
        <v>1784</v>
      </c>
      <c r="D29" s="320" t="s">
        <v>1785</v>
      </c>
      <c r="E29" s="320" t="s">
        <v>1787</v>
      </c>
      <c r="F29" s="320" t="s">
        <v>1784</v>
      </c>
      <c r="G29" s="320" t="s">
        <v>1787</v>
      </c>
      <c r="H29" s="320" t="s">
        <v>1788</v>
      </c>
    </row>
    <row r="30" spans="1:8" ht="36">
      <c r="A30" s="341" t="s">
        <v>1812</v>
      </c>
      <c r="B30" s="328">
        <v>3148.97</v>
      </c>
      <c r="C30" s="328">
        <v>3398.3</v>
      </c>
      <c r="D30" s="328">
        <v>3187.81</v>
      </c>
      <c r="E30" s="328">
        <v>3705.75</v>
      </c>
      <c r="F30" s="338">
        <f>'F-6'!G37/100</f>
        <v>6180.8584413765502</v>
      </c>
      <c r="G30" s="338">
        <f>'F-6'!L37/100</f>
        <v>6282.6909357848854</v>
      </c>
      <c r="H30" s="338">
        <f>'F-6'!P37/100</f>
        <v>5751.162147717725</v>
      </c>
    </row>
    <row r="31" spans="1:8" ht="18">
      <c r="A31" s="327" t="s">
        <v>1813</v>
      </c>
      <c r="B31" s="328">
        <v>181.29</v>
      </c>
      <c r="C31" s="328">
        <v>192.25</v>
      </c>
      <c r="D31" s="328">
        <v>191.39</v>
      </c>
      <c r="E31" s="328">
        <v>237.45</v>
      </c>
      <c r="F31" s="338">
        <f>'F-6'!G34/100</f>
        <v>843.85884906799993</v>
      </c>
      <c r="G31" s="338">
        <f>'F-6'!L34/100</f>
        <v>460.20786409999999</v>
      </c>
      <c r="H31" s="338">
        <f>'F-6'!P34/100</f>
        <v>386.02131475500005</v>
      </c>
    </row>
    <row r="32" spans="1:8" ht="18">
      <c r="A32" s="332" t="s">
        <v>1814</v>
      </c>
      <c r="B32" s="339">
        <f t="shared" ref="B32" si="19">B31+B30</f>
        <v>3330.2599999999998</v>
      </c>
      <c r="C32" s="339">
        <f t="shared" ref="C32:E32" si="20">C31+C30</f>
        <v>3590.55</v>
      </c>
      <c r="D32" s="339">
        <f t="shared" ref="D32" si="21">D31+D30</f>
        <v>3379.2</v>
      </c>
      <c r="E32" s="339">
        <f t="shared" si="20"/>
        <v>3943.2</v>
      </c>
      <c r="F32" s="339">
        <f>F31+F30</f>
        <v>7024.7172904445506</v>
      </c>
      <c r="G32" s="339">
        <f>G31+G30</f>
        <v>6742.8987998848852</v>
      </c>
      <c r="H32" s="339">
        <f>H31+H30</f>
        <v>6137.1834624727253</v>
      </c>
    </row>
    <row r="33" spans="1:12" ht="36">
      <c r="A33" s="341" t="s">
        <v>1815</v>
      </c>
      <c r="B33" s="338">
        <f>B25-B31</f>
        <v>3326.81</v>
      </c>
      <c r="C33" s="338">
        <f>C25-C31</f>
        <v>3655.22</v>
      </c>
      <c r="D33" s="338">
        <f>D25-D31</f>
        <v>3168.06</v>
      </c>
      <c r="E33" s="338">
        <f>E25-E31</f>
        <v>3721.6600000000003</v>
      </c>
      <c r="F33" s="338">
        <f>'F-6'!G35/100</f>
        <v>6156.9753851467758</v>
      </c>
      <c r="G33" s="338">
        <f>'F-6'!L35/100</f>
        <v>6289.4548727263673</v>
      </c>
      <c r="H33" s="338">
        <f>'F-6'!P35/100</f>
        <v>5752.4240853446208</v>
      </c>
    </row>
    <row r="34" spans="1:12" ht="18">
      <c r="A34" s="327" t="s">
        <v>1816</v>
      </c>
      <c r="B34" s="328">
        <f>B30</f>
        <v>3148.97</v>
      </c>
      <c r="C34" s="328">
        <f>C30</f>
        <v>3398.3</v>
      </c>
      <c r="D34" s="328">
        <f>D30</f>
        <v>3187.81</v>
      </c>
      <c r="E34" s="328">
        <f>E30</f>
        <v>3705.75</v>
      </c>
      <c r="F34" s="338">
        <f>'F-6'!G37/100</f>
        <v>6180.8584413765502</v>
      </c>
      <c r="G34" s="338">
        <f>'F-6'!L37/100</f>
        <v>6282.6909357848854</v>
      </c>
      <c r="H34" s="338">
        <f>'F-6'!P37/100</f>
        <v>5751.162147717725</v>
      </c>
    </row>
    <row r="35" spans="1:12" ht="18">
      <c r="A35" s="332" t="s">
        <v>1817</v>
      </c>
      <c r="B35" s="339">
        <f t="shared" ref="B35" si="22">B34-B33</f>
        <v>-177.84000000000015</v>
      </c>
      <c r="C35" s="339">
        <f t="shared" ref="C35:E35" si="23">C34-C33</f>
        <v>-256.91999999999962</v>
      </c>
      <c r="D35" s="339">
        <f t="shared" ref="D35" si="24">D34-D33</f>
        <v>19.75</v>
      </c>
      <c r="E35" s="339">
        <f t="shared" si="23"/>
        <v>-15.910000000000309</v>
      </c>
      <c r="F35" s="339">
        <f>F34-F33</f>
        <v>23.883056229774411</v>
      </c>
      <c r="G35" s="339">
        <f t="shared" ref="G35:H35" si="25">G34-G33</f>
        <v>-6.7639369414819157</v>
      </c>
      <c r="H35" s="339">
        <f t="shared" si="25"/>
        <v>-1.2619376268958149</v>
      </c>
      <c r="J35" s="7"/>
    </row>
    <row r="36" spans="1:12" ht="17.5">
      <c r="G36" s="348" t="s">
        <v>1818</v>
      </c>
      <c r="H36" s="403"/>
    </row>
    <row r="37" spans="1:12" ht="18">
      <c r="A37" s="2213" t="s">
        <v>735</v>
      </c>
      <c r="B37" s="2215" t="s">
        <v>1780</v>
      </c>
      <c r="C37" s="2216"/>
      <c r="D37" s="2217" t="s">
        <v>1758</v>
      </c>
      <c r="E37" s="2218"/>
      <c r="F37" s="319" t="s">
        <v>1781</v>
      </c>
      <c r="G37" s="2219" t="s">
        <v>1782</v>
      </c>
      <c r="H37" s="2220"/>
    </row>
    <row r="38" spans="1:12" ht="15.5">
      <c r="A38" s="2214"/>
      <c r="B38" s="320" t="s">
        <v>1819</v>
      </c>
      <c r="C38" s="320" t="s">
        <v>1783</v>
      </c>
      <c r="D38" s="320" t="s">
        <v>1819</v>
      </c>
      <c r="E38" s="320" t="s">
        <v>1783</v>
      </c>
      <c r="F38" s="320" t="s">
        <v>1819</v>
      </c>
      <c r="G38" s="320" t="s">
        <v>1783</v>
      </c>
      <c r="H38" s="320" t="s">
        <v>1784</v>
      </c>
    </row>
    <row r="39" spans="1:12" ht="36">
      <c r="A39" s="341" t="s">
        <v>1812</v>
      </c>
      <c r="B39" s="328"/>
      <c r="C39" s="328"/>
      <c r="D39" s="328"/>
      <c r="E39" s="328"/>
      <c r="F39" s="338"/>
      <c r="G39" s="338"/>
      <c r="H39" s="338">
        <f>'ppt-2'!B16</f>
        <v>5108.6748273822068</v>
      </c>
    </row>
    <row r="40" spans="1:12" ht="18">
      <c r="A40" s="327" t="s">
        <v>1813</v>
      </c>
      <c r="B40" s="328"/>
      <c r="C40" s="328"/>
      <c r="D40" s="328"/>
      <c r="E40" s="328"/>
      <c r="F40" s="338"/>
      <c r="G40" s="338"/>
      <c r="H40" s="338">
        <f>'F-6'!P34/100</f>
        <v>386.02131475500005</v>
      </c>
    </row>
    <row r="41" spans="1:12" ht="18">
      <c r="A41" s="332" t="s">
        <v>1814</v>
      </c>
      <c r="B41" s="339">
        <f t="shared" ref="B41" si="26">B40+B39</f>
        <v>0</v>
      </c>
      <c r="C41" s="339">
        <f t="shared" ref="C41" si="27">C40+C39</f>
        <v>0</v>
      </c>
      <c r="D41" s="339">
        <f t="shared" ref="D41" si="28">D40+D39</f>
        <v>0</v>
      </c>
      <c r="E41" s="339">
        <f t="shared" ref="E41" si="29">E40+E39</f>
        <v>0</v>
      </c>
      <c r="F41" s="339">
        <f>F40+F39</f>
        <v>0</v>
      </c>
      <c r="G41" s="339">
        <f>G40+G39</f>
        <v>0</v>
      </c>
      <c r="H41" s="339">
        <f>H40+H39</f>
        <v>5494.6961421372071</v>
      </c>
    </row>
    <row r="42" spans="1:12" ht="36">
      <c r="A42" s="341" t="s">
        <v>1815</v>
      </c>
      <c r="B42" s="328"/>
      <c r="C42" s="338"/>
      <c r="D42" s="328"/>
      <c r="E42" s="328"/>
      <c r="F42" s="338"/>
      <c r="G42" s="338"/>
      <c r="H42" s="338">
        <f>'F-6'!P35/100-('ppt-2'!B5*3.48/10)</f>
        <v>5423.5640849966212</v>
      </c>
      <c r="J42" s="7"/>
      <c r="L42" s="7">
        <f>3177.28-J42</f>
        <v>3177.28</v>
      </c>
    </row>
    <row r="43" spans="1:12" ht="18">
      <c r="A43" s="327" t="s">
        <v>1816</v>
      </c>
      <c r="B43" s="328"/>
      <c r="C43" s="328"/>
      <c r="D43" s="328"/>
      <c r="E43" s="328"/>
      <c r="F43" s="338"/>
      <c r="G43" s="338"/>
      <c r="H43" s="338">
        <f>'F-6'!P37/100-(('T-8'!BQ58)+('T-8'!BQ49))/100</f>
        <v>5115.0997005763174</v>
      </c>
      <c r="J43" s="7"/>
    </row>
    <row r="44" spans="1:12" ht="18">
      <c r="A44" s="332" t="s">
        <v>1817</v>
      </c>
      <c r="B44" s="339">
        <f t="shared" ref="B44" si="30">B43-B42</f>
        <v>0</v>
      </c>
      <c r="C44" s="339">
        <f t="shared" ref="C44" si="31">C43-C42</f>
        <v>0</v>
      </c>
      <c r="D44" s="339">
        <f t="shared" ref="D44" si="32">D43-D42</f>
        <v>0</v>
      </c>
      <c r="E44" s="339">
        <f t="shared" ref="E44" si="33">E43-E42</f>
        <v>0</v>
      </c>
      <c r="F44" s="339">
        <f>F43-F42</f>
        <v>0</v>
      </c>
      <c r="G44" s="339">
        <f t="shared" ref="G44" si="34">G43-G42</f>
        <v>0</v>
      </c>
      <c r="H44" s="339">
        <f t="shared" ref="H44" si="35">H43-H42</f>
        <v>-308.46438442030376</v>
      </c>
      <c r="J44" s="7"/>
    </row>
    <row r="45" spans="1:12">
      <c r="J45" s="7"/>
    </row>
    <row r="46" spans="1:12">
      <c r="H46" s="7"/>
    </row>
    <row r="48" spans="1:12">
      <c r="H48" s="7">
        <f>H44-H35</f>
        <v>-307.20244679340794</v>
      </c>
    </row>
  </sheetData>
  <mergeCells count="12">
    <mergeCell ref="A37:A38"/>
    <mergeCell ref="B37:C37"/>
    <mergeCell ref="D37:E37"/>
    <mergeCell ref="G37:H37"/>
    <mergeCell ref="A1:A2"/>
    <mergeCell ref="B1:C1"/>
    <mergeCell ref="D1:E1"/>
    <mergeCell ref="G1:H1"/>
    <mergeCell ref="A28:A29"/>
    <mergeCell ref="B28:C28"/>
    <mergeCell ref="D28:E28"/>
    <mergeCell ref="G28:H28"/>
  </mergeCells>
  <printOptions horizontalCentered="1" gridLines="1"/>
  <pageMargins left="0.19685039370078741" right="0" top="0.39370078740157483" bottom="0.39370078740157483" header="0" footer="0"/>
  <pageSetup paperSize="9" scale="90" orientation="portrait" verticalDpi="300" r:id="rId1"/>
  <rowBreaks count="1" manualBreakCount="1">
    <brk id="35" max="7"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20"/>
  <sheetViews>
    <sheetView workbookViewId="0">
      <selection activeCell="T8" sqref="T8"/>
    </sheetView>
  </sheetViews>
  <sheetFormatPr defaultRowHeight="12.5"/>
  <cols>
    <col min="1" max="1" width="43.453125" bestFit="1" customWidth="1"/>
    <col min="2" max="2" width="10.81640625" customWidth="1"/>
  </cols>
  <sheetData>
    <row r="1" spans="1:2" ht="18">
      <c r="A1" s="6" t="s">
        <v>1820</v>
      </c>
    </row>
    <row r="2" spans="1:2">
      <c r="A2" s="343" t="s">
        <v>1821</v>
      </c>
      <c r="B2" s="75">
        <f>'T-1'!K52+'T-1'!K61</f>
        <v>425.06859000000003</v>
      </c>
    </row>
    <row r="3" spans="1:2">
      <c r="A3" s="343" t="s">
        <v>1822</v>
      </c>
      <c r="B3" s="75">
        <f>B4-B2</f>
        <v>474.93140999999997</v>
      </c>
    </row>
    <row r="4" spans="1:2">
      <c r="A4" s="343" t="s">
        <v>1823</v>
      </c>
      <c r="B4" s="75">
        <f>'T-1'!N61+'T-1'!N52</f>
        <v>900</v>
      </c>
    </row>
    <row r="5" spans="1:2">
      <c r="A5" s="343" t="s">
        <v>1824</v>
      </c>
      <c r="B5" s="75">
        <f>'T-1'!S52+'T-1'!S61</f>
        <v>945.000001</v>
      </c>
    </row>
    <row r="6" spans="1:2">
      <c r="A6" s="23"/>
      <c r="B6" s="23"/>
    </row>
    <row r="7" spans="1:2" ht="13">
      <c r="A7" s="28" t="s">
        <v>735</v>
      </c>
      <c r="B7" s="28" t="s">
        <v>1825</v>
      </c>
    </row>
    <row r="8" spans="1:2" ht="13">
      <c r="A8" s="23"/>
      <c r="B8" s="35" t="s">
        <v>101</v>
      </c>
    </row>
    <row r="9" spans="1:2">
      <c r="A9" s="343" t="s">
        <v>1826</v>
      </c>
      <c r="B9" s="75">
        <f>'ppt-1'!I4-B5</f>
        <v>10578.999999</v>
      </c>
    </row>
    <row r="10" spans="1:2">
      <c r="A10" s="343" t="s">
        <v>1762</v>
      </c>
      <c r="B10" s="75"/>
    </row>
    <row r="11" spans="1:2">
      <c r="A11" s="343" t="s">
        <v>44</v>
      </c>
      <c r="B11" s="75">
        <f>'ppt-1'!I6</f>
        <v>3544.0999999999995</v>
      </c>
    </row>
    <row r="12" spans="1:2">
      <c r="A12" s="343" t="s">
        <v>76</v>
      </c>
      <c r="B12" s="75">
        <f>'ppt-1'!I7-'T-1'!S52</f>
        <v>2590.0000009999999</v>
      </c>
    </row>
    <row r="13" spans="1:2">
      <c r="A13" s="343" t="s">
        <v>90</v>
      </c>
      <c r="B13" s="75">
        <f>'ppt-1'!I8-'T-1'!S61</f>
        <v>2535</v>
      </c>
    </row>
    <row r="14" spans="1:2" ht="13">
      <c r="A14" s="343" t="s">
        <v>145</v>
      </c>
      <c r="B14" s="311">
        <f>SUM(B11:B13)</f>
        <v>8669.1000009999989</v>
      </c>
    </row>
    <row r="15" spans="1:2">
      <c r="A15" s="343" t="s">
        <v>1827</v>
      </c>
      <c r="B15" s="307">
        <f>(B9-B14)/B9</f>
        <v>0.18053691257968973</v>
      </c>
    </row>
    <row r="16" spans="1:2">
      <c r="A16" s="23" t="s">
        <v>1764</v>
      </c>
      <c r="B16" s="36">
        <f>'ppt-1'!I11-'T-8'!BB58/100-'T-8'!BB49/100</f>
        <v>5108.6748273822068</v>
      </c>
    </row>
    <row r="17" spans="1:2">
      <c r="A17" s="23" t="s">
        <v>1765</v>
      </c>
      <c r="B17" s="36">
        <f>'ppt-1'!I12-'T-8'!BB49/100-'T-8'!BB58/100</f>
        <v>5051.1632059050289</v>
      </c>
    </row>
    <row r="18" spans="1:2">
      <c r="A18" s="23" t="s">
        <v>1766</v>
      </c>
      <c r="B18" s="307">
        <f>B17/B16</f>
        <v>0.98874236011873007</v>
      </c>
    </row>
    <row r="19" spans="1:2">
      <c r="A19" s="23" t="s">
        <v>1767</v>
      </c>
      <c r="B19" s="221">
        <f>1-((1-B15)*B18)</f>
        <v>0.18976213291386124</v>
      </c>
    </row>
    <row r="20" spans="1:2">
      <c r="A20" s="23" t="s">
        <v>1768</v>
      </c>
      <c r="B20" s="23">
        <v>1600</v>
      </c>
    </row>
  </sheetData>
  <printOptions horizontalCentered="1" gridLines="1"/>
  <pageMargins left="0.70866141732283472" right="0.70866141732283472" top="0.74803149606299213" bottom="0.74803149606299213"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6B105-476F-4B94-9093-B2238D470994}">
  <dimension ref="A1:K31"/>
  <sheetViews>
    <sheetView zoomScaleNormal="100" workbookViewId="0">
      <selection activeCell="B21" sqref="B21"/>
    </sheetView>
  </sheetViews>
  <sheetFormatPr defaultColWidth="29.1796875" defaultRowHeight="12.5"/>
  <cols>
    <col min="2" max="3" width="19.453125" customWidth="1"/>
    <col min="4" max="4" width="7.54296875" customWidth="1"/>
    <col min="6" max="6" width="18.7265625" customWidth="1"/>
    <col min="7" max="7" width="7.1796875" customWidth="1"/>
    <col min="9" max="9" width="12.453125" customWidth="1"/>
  </cols>
  <sheetData>
    <row r="1" spans="1:11" ht="13" thickBot="1"/>
    <row r="2" spans="1:11" ht="15.5" thickBot="1">
      <c r="A2" s="2229" t="s">
        <v>2184</v>
      </c>
      <c r="B2" s="2230"/>
      <c r="C2" s="1071"/>
      <c r="E2" s="2229" t="s">
        <v>2098</v>
      </c>
      <c r="F2" s="2230"/>
      <c r="H2" s="2229" t="s">
        <v>2090</v>
      </c>
      <c r="I2" s="2230"/>
    </row>
    <row r="3" spans="1:11" ht="15">
      <c r="A3" s="508" t="s">
        <v>1769</v>
      </c>
      <c r="B3" s="509" t="s">
        <v>1828</v>
      </c>
      <c r="C3" s="1072"/>
      <c r="E3" s="508" t="s">
        <v>1769</v>
      </c>
      <c r="F3" s="509" t="s">
        <v>1828</v>
      </c>
      <c r="H3" s="508" t="s">
        <v>1829</v>
      </c>
      <c r="I3" s="509">
        <f>summary!N5</f>
        <v>11524</v>
      </c>
    </row>
    <row r="4" spans="1:11" ht="30">
      <c r="A4" s="498" t="s">
        <v>1830</v>
      </c>
      <c r="B4" s="499">
        <f>('F-6'!P33)/100-B5-B6</f>
        <v>6374.1348499618007</v>
      </c>
      <c r="C4" s="1073">
        <f>('F-6'!Q33/100)-'Revenue gap'!B5-'Revenue gap'!B6</f>
        <v>235.68944986218074</v>
      </c>
      <c r="E4" s="498" t="s">
        <v>1830</v>
      </c>
      <c r="F4" s="499">
        <f>('F-6'!P33-'F-6'!P21-'F-6'!P31)/100</f>
        <v>6374.1348499618016</v>
      </c>
      <c r="H4" s="496" t="s">
        <v>1831</v>
      </c>
      <c r="I4" s="497">
        <f>summary!N12</f>
        <v>9614.1000019999992</v>
      </c>
    </row>
    <row r="5" spans="1:11" ht="30">
      <c r="A5" s="498" t="s">
        <v>1832</v>
      </c>
      <c r="B5" s="499">
        <f>'F-6'!P21/100</f>
        <v>135.42966942611199</v>
      </c>
      <c r="C5" s="1073">
        <f>B5</f>
        <v>135.42966942611199</v>
      </c>
      <c r="E5" s="498" t="s">
        <v>1832</v>
      </c>
      <c r="F5" s="499">
        <f>'F-6'!P21/100</f>
        <v>135.42966942611199</v>
      </c>
      <c r="H5" s="496" t="s">
        <v>1833</v>
      </c>
      <c r="I5" s="880">
        <f>summary!N36</f>
        <v>0.16573238441513372</v>
      </c>
    </row>
    <row r="6" spans="1:11" ht="15">
      <c r="A6" s="498" t="s">
        <v>2091</v>
      </c>
      <c r="B6" s="499">
        <f>'F-6'!P31/100</f>
        <v>-371.11911928829272</v>
      </c>
      <c r="C6" s="1073">
        <f>B6</f>
        <v>-371.11911928829272</v>
      </c>
      <c r="E6" s="498" t="s">
        <v>2091</v>
      </c>
      <c r="F6" s="499">
        <f>'F-6'!P31/100</f>
        <v>-371.11911928829272</v>
      </c>
      <c r="H6" s="496"/>
      <c r="I6" s="503"/>
    </row>
    <row r="7" spans="1:11" ht="15">
      <c r="A7" s="498" t="s">
        <v>1834</v>
      </c>
      <c r="B7" s="500">
        <f>B5+B4+B6</f>
        <v>6138.4454000996202</v>
      </c>
      <c r="C7" s="1074">
        <f>C4+C5+C6</f>
        <v>0</v>
      </c>
      <c r="E7" s="498" t="s">
        <v>1834</v>
      </c>
      <c r="F7" s="500">
        <f>F5+F4+F6</f>
        <v>6138.4454000996211</v>
      </c>
      <c r="H7" s="496" t="s">
        <v>1835</v>
      </c>
      <c r="I7" s="880">
        <f>0.1808</f>
        <v>0.18079999999999999</v>
      </c>
    </row>
    <row r="8" spans="1:11" ht="30">
      <c r="A8" s="498" t="s">
        <v>1836</v>
      </c>
      <c r="B8" s="499">
        <f>('F-6'!P37+'F-6'!P38)/100</f>
        <v>5751.162147717725</v>
      </c>
      <c r="C8" s="1073">
        <f>B8</f>
        <v>5751.162147717725</v>
      </c>
      <c r="E8" s="498" t="s">
        <v>1836</v>
      </c>
      <c r="F8" s="499">
        <f>('F-6'!P37+'F-6'!P38)/100</f>
        <v>5751.162147717725</v>
      </c>
      <c r="H8" s="496" t="s">
        <v>1837</v>
      </c>
      <c r="I8" s="504">
        <f>I4/(100%-I7)</f>
        <v>11735.961916503904</v>
      </c>
    </row>
    <row r="9" spans="1:11" ht="30">
      <c r="A9" s="498" t="s">
        <v>1838</v>
      </c>
      <c r="B9" s="499">
        <f>'F-6'!P34/100</f>
        <v>386.02131475500005</v>
      </c>
      <c r="C9" s="1073">
        <f>B9</f>
        <v>386.02131475500005</v>
      </c>
      <c r="E9" s="498" t="s">
        <v>1838</v>
      </c>
      <c r="F9" s="499">
        <f>'F-6'!P34/100</f>
        <v>386.02131475500005</v>
      </c>
      <c r="H9" s="496" t="s">
        <v>1839</v>
      </c>
      <c r="I9" s="497">
        <f>I3*3.88/10</f>
        <v>4471.3119999999999</v>
      </c>
    </row>
    <row r="10" spans="1:11" ht="30.5" thickBot="1">
      <c r="A10" s="501" t="s">
        <v>1840</v>
      </c>
      <c r="B10" s="502">
        <f>B7-B8-B9</f>
        <v>1.2619376268951328</v>
      </c>
      <c r="C10" s="1074">
        <f>C7-C8-C9</f>
        <v>-6137.1834624727253</v>
      </c>
      <c r="E10" s="501" t="s">
        <v>1840</v>
      </c>
      <c r="F10" s="502">
        <f>F7-F8-F9</f>
        <v>1.2619376268960423</v>
      </c>
      <c r="H10" s="496" t="s">
        <v>1841</v>
      </c>
      <c r="I10" s="505">
        <f>I8*3.88/10</f>
        <v>4553.5532236035151</v>
      </c>
    </row>
    <row r="11" spans="1:11" ht="45.5" thickBot="1">
      <c r="E11" s="496" t="s">
        <v>2186</v>
      </c>
      <c r="F11" s="505">
        <f>I11</f>
        <v>-82.241223603515209</v>
      </c>
      <c r="H11" s="506" t="s">
        <v>2185</v>
      </c>
      <c r="I11" s="507">
        <f>I9-I10</f>
        <v>-82.241223603515209</v>
      </c>
    </row>
    <row r="12" spans="1:11" ht="15.5" thickBot="1">
      <c r="E12" s="501" t="s">
        <v>2092</v>
      </c>
      <c r="F12" s="507">
        <f>F10+F11</f>
        <v>-80.979285976619167</v>
      </c>
      <c r="H12" s="878"/>
      <c r="I12" s="879"/>
    </row>
    <row r="14" spans="1:11" ht="13" thickBot="1"/>
    <row r="15" spans="1:11" ht="30" customHeight="1" thickBot="1">
      <c r="A15" s="2229" t="s">
        <v>2187</v>
      </c>
      <c r="B15" s="2230"/>
      <c r="C15" s="1071"/>
      <c r="E15" s="2231" t="s">
        <v>2093</v>
      </c>
      <c r="F15" s="2232"/>
      <c r="H15" s="2229" t="s">
        <v>2088</v>
      </c>
      <c r="I15" s="2230"/>
    </row>
    <row r="16" spans="1:11" ht="15">
      <c r="A16" s="508" t="s">
        <v>1769</v>
      </c>
      <c r="B16" s="509" t="s">
        <v>1828</v>
      </c>
      <c r="C16" s="1072"/>
      <c r="E16" s="496" t="s">
        <v>1769</v>
      </c>
      <c r="F16" s="497" t="s">
        <v>1828</v>
      </c>
      <c r="H16" s="508" t="s">
        <v>1842</v>
      </c>
      <c r="I16" s="509">
        <f>summary!M5</f>
        <v>13080</v>
      </c>
      <c r="K16">
        <f>'T-1'!G72</f>
        <v>13002.405000000001</v>
      </c>
    </row>
    <row r="17" spans="1:11" ht="30">
      <c r="A17" s="498" t="s">
        <v>1830</v>
      </c>
      <c r="B17" s="499">
        <f>('F-6'!L33-'F-6'!L21)/100</f>
        <v>6642.2549312082565</v>
      </c>
      <c r="C17" s="1073"/>
      <c r="E17" s="498" t="s">
        <v>1830</v>
      </c>
      <c r="F17" s="499">
        <f>('F-6'!L33-'F-6'!L21)/100</f>
        <v>6642.2549312082565</v>
      </c>
      <c r="H17" s="496" t="s">
        <v>1843</v>
      </c>
      <c r="I17" s="497">
        <f>summary!M12</f>
        <v>10714.5</v>
      </c>
      <c r="K17">
        <f>'T-1'!G71</f>
        <v>10609.622554579029</v>
      </c>
    </row>
    <row r="18" spans="1:11" ht="30">
      <c r="A18" s="498" t="s">
        <v>1832</v>
      </c>
      <c r="B18" s="499">
        <f>'F-6'!L21/100</f>
        <v>107.40780561811198</v>
      </c>
      <c r="C18" s="1073"/>
      <c r="E18" s="498" t="s">
        <v>1832</v>
      </c>
      <c r="F18" s="499">
        <f>'F-6'!L21/100</f>
        <v>107.40780561811198</v>
      </c>
      <c r="H18" s="496" t="s">
        <v>1844</v>
      </c>
      <c r="I18" s="880">
        <f>summary!M36</f>
        <v>0.18084862385321102</v>
      </c>
      <c r="K18" s="97">
        <f>'T-1'!G76</f>
        <v>0.18284526134482582</v>
      </c>
    </row>
    <row r="19" spans="1:11" ht="15">
      <c r="A19" s="498" t="s">
        <v>1834</v>
      </c>
      <c r="B19" s="500">
        <f>B18+B17</f>
        <v>6749.6627368263689</v>
      </c>
      <c r="C19" s="1074"/>
      <c r="E19" s="498" t="s">
        <v>1834</v>
      </c>
      <c r="F19" s="500">
        <f>F18+F17</f>
        <v>6749.6627368263689</v>
      </c>
      <c r="H19" s="496" t="s">
        <v>1835</v>
      </c>
      <c r="I19" s="503">
        <f>summary!D36</f>
        <v>0.1808128857443925</v>
      </c>
      <c r="K19" s="1078">
        <f>I19</f>
        <v>0.1808128857443925</v>
      </c>
    </row>
    <row r="20" spans="1:11" ht="30">
      <c r="A20" s="498" t="s">
        <v>1836</v>
      </c>
      <c r="B20" s="499">
        <f>('F-6'!L37+'F-6'!L38)/100</f>
        <v>6282.6909357848854</v>
      </c>
      <c r="C20" s="1073"/>
      <c r="E20" s="498" t="s">
        <v>1836</v>
      </c>
      <c r="F20" s="499">
        <f>('F-6'!L37+'F-6'!L38)/100</f>
        <v>6282.6909357848854</v>
      </c>
      <c r="H20" s="496" t="s">
        <v>1837</v>
      </c>
      <c r="I20" s="504">
        <f>I17/(100%-I19)</f>
        <v>13079.429367899944</v>
      </c>
      <c r="K20" s="504">
        <f>K17/(100%-K19)</f>
        <v>12951.403128722253</v>
      </c>
    </row>
    <row r="21" spans="1:11" ht="30">
      <c r="A21" s="498" t="s">
        <v>1838</v>
      </c>
      <c r="B21" s="499">
        <f>'F-6'!L34/100</f>
        <v>460.20786409999999</v>
      </c>
      <c r="C21" s="1073"/>
      <c r="E21" s="498" t="s">
        <v>1838</v>
      </c>
      <c r="F21" s="499">
        <f>'F-6'!L34/100</f>
        <v>460.20786409999999</v>
      </c>
      <c r="H21" s="496" t="s">
        <v>1845</v>
      </c>
      <c r="I21" s="497">
        <f>I16*3.88/10</f>
        <v>5075.04</v>
      </c>
      <c r="K21" s="497">
        <f>K16*3.65/10</f>
        <v>4745.8778250000005</v>
      </c>
    </row>
    <row r="22" spans="1:11" ht="30.5" thickBot="1">
      <c r="A22" s="501" t="s">
        <v>1840</v>
      </c>
      <c r="B22" s="502">
        <f>B19-B20-B21</f>
        <v>6.7639369414835642</v>
      </c>
      <c r="C22" s="1074"/>
      <c r="E22" s="498" t="s">
        <v>1840</v>
      </c>
      <c r="F22" s="500">
        <f>F19-F20-F21</f>
        <v>6.7639369414835642</v>
      </c>
      <c r="H22" s="496" t="s">
        <v>1841</v>
      </c>
      <c r="I22" s="505">
        <f>I20*3.88/10</f>
        <v>5074.8185947451784</v>
      </c>
      <c r="K22" s="505">
        <f>K20*3.65/10</f>
        <v>4727.2621419836223</v>
      </c>
    </row>
    <row r="23" spans="1:11" ht="45.5" thickBot="1">
      <c r="E23" s="496" t="s">
        <v>2094</v>
      </c>
      <c r="F23" s="505">
        <f>I23</f>
        <v>0.22140525482154771</v>
      </c>
      <c r="H23" s="506" t="s">
        <v>2089</v>
      </c>
      <c r="I23" s="507">
        <f>I21-I22</f>
        <v>0.22140525482154771</v>
      </c>
      <c r="K23" s="507">
        <f>K21-K22</f>
        <v>18.615683016378171</v>
      </c>
    </row>
    <row r="24" spans="1:11" ht="15.5" thickBot="1">
      <c r="E24" s="501" t="s">
        <v>2092</v>
      </c>
      <c r="F24" s="507">
        <f>F22-F23</f>
        <v>6.5425316866620165</v>
      </c>
    </row>
    <row r="27" spans="1:11">
      <c r="F27" t="s">
        <v>2095</v>
      </c>
      <c r="G27" s="93">
        <v>0.81920000000000004</v>
      </c>
    </row>
    <row r="28" spans="1:11">
      <c r="F28" t="s">
        <v>2096</v>
      </c>
      <c r="G28" s="253">
        <v>0.99</v>
      </c>
    </row>
    <row r="29" spans="1:11">
      <c r="F29" t="s">
        <v>2097</v>
      </c>
      <c r="G29" s="93">
        <f>1-(G28*G27)</f>
        <v>0.18899199999999994</v>
      </c>
    </row>
    <row r="31" spans="1:11">
      <c r="G31" s="93">
        <f>100%-G27</f>
        <v>0.18079999999999996</v>
      </c>
    </row>
  </sheetData>
  <mergeCells count="6">
    <mergeCell ref="A2:B2"/>
    <mergeCell ref="E2:F2"/>
    <mergeCell ref="A15:B15"/>
    <mergeCell ref="E15:F15"/>
    <mergeCell ref="H15:I15"/>
    <mergeCell ref="H2:I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FEA5B-1337-4D0C-8426-3A5A28D870C4}">
  <dimension ref="A1:S61"/>
  <sheetViews>
    <sheetView showGridLines="0" view="pageBreakPreview" zoomScale="70" zoomScaleNormal="75" zoomScaleSheetLayoutView="70" workbookViewId="0">
      <selection activeCell="B54" sqref="B54:F67"/>
    </sheetView>
  </sheetViews>
  <sheetFormatPr defaultColWidth="14.7265625" defaultRowHeight="15.5"/>
  <cols>
    <col min="1" max="1" width="25.7265625" style="382" customWidth="1"/>
    <col min="2" max="2" width="15.54296875" style="382" customWidth="1"/>
    <col min="3" max="4" width="17.453125" style="382" customWidth="1"/>
    <col min="5" max="5" width="14.54296875" style="382" customWidth="1"/>
    <col min="6" max="8" width="17.453125" style="382" customWidth="1"/>
    <col min="9" max="10" width="16" style="382" customWidth="1"/>
    <col min="11" max="11" width="14.81640625" style="382" customWidth="1"/>
    <col min="12" max="12" width="13" style="382" customWidth="1"/>
    <col min="13" max="13" width="13.7265625" style="382" customWidth="1"/>
    <col min="14" max="15" width="14.7265625" style="382"/>
    <col min="16" max="16" width="20.1796875" style="382" bestFit="1" customWidth="1"/>
    <col min="17" max="256" width="14.7265625" style="382"/>
    <col min="257" max="257" width="25.7265625" style="382" customWidth="1"/>
    <col min="258" max="258" width="15.54296875" style="382" customWidth="1"/>
    <col min="259" max="260" width="17.453125" style="382" customWidth="1"/>
    <col min="261" max="261" width="14.54296875" style="382" customWidth="1"/>
    <col min="262" max="264" width="17.453125" style="382" customWidth="1"/>
    <col min="265" max="266" width="16" style="382" customWidth="1"/>
    <col min="267" max="267" width="14.81640625" style="382" customWidth="1"/>
    <col min="268" max="268" width="13" style="382" customWidth="1"/>
    <col min="269" max="269" width="13.7265625" style="382" customWidth="1"/>
    <col min="270" max="512" width="14.7265625" style="382"/>
    <col min="513" max="513" width="25.7265625" style="382" customWidth="1"/>
    <col min="514" max="514" width="15.54296875" style="382" customWidth="1"/>
    <col min="515" max="516" width="17.453125" style="382" customWidth="1"/>
    <col min="517" max="517" width="14.54296875" style="382" customWidth="1"/>
    <col min="518" max="520" width="17.453125" style="382" customWidth="1"/>
    <col min="521" max="522" width="16" style="382" customWidth="1"/>
    <col min="523" max="523" width="14.81640625" style="382" customWidth="1"/>
    <col min="524" max="524" width="13" style="382" customWidth="1"/>
    <col min="525" max="525" width="13.7265625" style="382" customWidth="1"/>
    <col min="526" max="768" width="14.7265625" style="382"/>
    <col min="769" max="769" width="25.7265625" style="382" customWidth="1"/>
    <col min="770" max="770" width="15.54296875" style="382" customWidth="1"/>
    <col min="771" max="772" width="17.453125" style="382" customWidth="1"/>
    <col min="773" max="773" width="14.54296875" style="382" customWidth="1"/>
    <col min="774" max="776" width="17.453125" style="382" customWidth="1"/>
    <col min="777" max="778" width="16" style="382" customWidth="1"/>
    <col min="779" max="779" width="14.81640625" style="382" customWidth="1"/>
    <col min="780" max="780" width="13" style="382" customWidth="1"/>
    <col min="781" max="781" width="13.7265625" style="382" customWidth="1"/>
    <col min="782" max="1024" width="14.7265625" style="382"/>
    <col min="1025" max="1025" width="25.7265625" style="382" customWidth="1"/>
    <col min="1026" max="1026" width="15.54296875" style="382" customWidth="1"/>
    <col min="1027" max="1028" width="17.453125" style="382" customWidth="1"/>
    <col min="1029" max="1029" width="14.54296875" style="382" customWidth="1"/>
    <col min="1030" max="1032" width="17.453125" style="382" customWidth="1"/>
    <col min="1033" max="1034" width="16" style="382" customWidth="1"/>
    <col min="1035" max="1035" width="14.81640625" style="382" customWidth="1"/>
    <col min="1036" max="1036" width="13" style="382" customWidth="1"/>
    <col min="1037" max="1037" width="13.7265625" style="382" customWidth="1"/>
    <col min="1038" max="1280" width="14.7265625" style="382"/>
    <col min="1281" max="1281" width="25.7265625" style="382" customWidth="1"/>
    <col min="1282" max="1282" width="15.54296875" style="382" customWidth="1"/>
    <col min="1283" max="1284" width="17.453125" style="382" customWidth="1"/>
    <col min="1285" max="1285" width="14.54296875" style="382" customWidth="1"/>
    <col min="1286" max="1288" width="17.453125" style="382" customWidth="1"/>
    <col min="1289" max="1290" width="16" style="382" customWidth="1"/>
    <col min="1291" max="1291" width="14.81640625" style="382" customWidth="1"/>
    <col min="1292" max="1292" width="13" style="382" customWidth="1"/>
    <col min="1293" max="1293" width="13.7265625" style="382" customWidth="1"/>
    <col min="1294" max="1536" width="14.7265625" style="382"/>
    <col min="1537" max="1537" width="25.7265625" style="382" customWidth="1"/>
    <col min="1538" max="1538" width="15.54296875" style="382" customWidth="1"/>
    <col min="1539" max="1540" width="17.453125" style="382" customWidth="1"/>
    <col min="1541" max="1541" width="14.54296875" style="382" customWidth="1"/>
    <col min="1542" max="1544" width="17.453125" style="382" customWidth="1"/>
    <col min="1545" max="1546" width="16" style="382" customWidth="1"/>
    <col min="1547" max="1547" width="14.81640625" style="382" customWidth="1"/>
    <col min="1548" max="1548" width="13" style="382" customWidth="1"/>
    <col min="1549" max="1549" width="13.7265625" style="382" customWidth="1"/>
    <col min="1550" max="1792" width="14.7265625" style="382"/>
    <col min="1793" max="1793" width="25.7265625" style="382" customWidth="1"/>
    <col min="1794" max="1794" width="15.54296875" style="382" customWidth="1"/>
    <col min="1795" max="1796" width="17.453125" style="382" customWidth="1"/>
    <col min="1797" max="1797" width="14.54296875" style="382" customWidth="1"/>
    <col min="1798" max="1800" width="17.453125" style="382" customWidth="1"/>
    <col min="1801" max="1802" width="16" style="382" customWidth="1"/>
    <col min="1803" max="1803" width="14.81640625" style="382" customWidth="1"/>
    <col min="1804" max="1804" width="13" style="382" customWidth="1"/>
    <col min="1805" max="1805" width="13.7265625" style="382" customWidth="1"/>
    <col min="1806" max="2048" width="14.7265625" style="382"/>
    <col min="2049" max="2049" width="25.7265625" style="382" customWidth="1"/>
    <col min="2050" max="2050" width="15.54296875" style="382" customWidth="1"/>
    <col min="2051" max="2052" width="17.453125" style="382" customWidth="1"/>
    <col min="2053" max="2053" width="14.54296875" style="382" customWidth="1"/>
    <col min="2054" max="2056" width="17.453125" style="382" customWidth="1"/>
    <col min="2057" max="2058" width="16" style="382" customWidth="1"/>
    <col min="2059" max="2059" width="14.81640625" style="382" customWidth="1"/>
    <col min="2060" max="2060" width="13" style="382" customWidth="1"/>
    <col min="2061" max="2061" width="13.7265625" style="382" customWidth="1"/>
    <col min="2062" max="2304" width="14.7265625" style="382"/>
    <col min="2305" max="2305" width="25.7265625" style="382" customWidth="1"/>
    <col min="2306" max="2306" width="15.54296875" style="382" customWidth="1"/>
    <col min="2307" max="2308" width="17.453125" style="382" customWidth="1"/>
    <col min="2309" max="2309" width="14.54296875" style="382" customWidth="1"/>
    <col min="2310" max="2312" width="17.453125" style="382" customWidth="1"/>
    <col min="2313" max="2314" width="16" style="382" customWidth="1"/>
    <col min="2315" max="2315" width="14.81640625" style="382" customWidth="1"/>
    <col min="2316" max="2316" width="13" style="382" customWidth="1"/>
    <col min="2317" max="2317" width="13.7265625" style="382" customWidth="1"/>
    <col min="2318" max="2560" width="14.7265625" style="382"/>
    <col min="2561" max="2561" width="25.7265625" style="382" customWidth="1"/>
    <col min="2562" max="2562" width="15.54296875" style="382" customWidth="1"/>
    <col min="2563" max="2564" width="17.453125" style="382" customWidth="1"/>
    <col min="2565" max="2565" width="14.54296875" style="382" customWidth="1"/>
    <col min="2566" max="2568" width="17.453125" style="382" customWidth="1"/>
    <col min="2569" max="2570" width="16" style="382" customWidth="1"/>
    <col min="2571" max="2571" width="14.81640625" style="382" customWidth="1"/>
    <col min="2572" max="2572" width="13" style="382" customWidth="1"/>
    <col min="2573" max="2573" width="13.7265625" style="382" customWidth="1"/>
    <col min="2574" max="2816" width="14.7265625" style="382"/>
    <col min="2817" max="2817" width="25.7265625" style="382" customWidth="1"/>
    <col min="2818" max="2818" width="15.54296875" style="382" customWidth="1"/>
    <col min="2819" max="2820" width="17.453125" style="382" customWidth="1"/>
    <col min="2821" max="2821" width="14.54296875" style="382" customWidth="1"/>
    <col min="2822" max="2824" width="17.453125" style="382" customWidth="1"/>
    <col min="2825" max="2826" width="16" style="382" customWidth="1"/>
    <col min="2827" max="2827" width="14.81640625" style="382" customWidth="1"/>
    <col min="2828" max="2828" width="13" style="382" customWidth="1"/>
    <col min="2829" max="2829" width="13.7265625" style="382" customWidth="1"/>
    <col min="2830" max="3072" width="14.7265625" style="382"/>
    <col min="3073" max="3073" width="25.7265625" style="382" customWidth="1"/>
    <col min="3074" max="3074" width="15.54296875" style="382" customWidth="1"/>
    <col min="3075" max="3076" width="17.453125" style="382" customWidth="1"/>
    <col min="3077" max="3077" width="14.54296875" style="382" customWidth="1"/>
    <col min="3078" max="3080" width="17.453125" style="382" customWidth="1"/>
    <col min="3081" max="3082" width="16" style="382" customWidth="1"/>
    <col min="3083" max="3083" width="14.81640625" style="382" customWidth="1"/>
    <col min="3084" max="3084" width="13" style="382" customWidth="1"/>
    <col min="3085" max="3085" width="13.7265625" style="382" customWidth="1"/>
    <col min="3086" max="3328" width="14.7265625" style="382"/>
    <col min="3329" max="3329" width="25.7265625" style="382" customWidth="1"/>
    <col min="3330" max="3330" width="15.54296875" style="382" customWidth="1"/>
    <col min="3331" max="3332" width="17.453125" style="382" customWidth="1"/>
    <col min="3333" max="3333" width="14.54296875" style="382" customWidth="1"/>
    <col min="3334" max="3336" width="17.453125" style="382" customWidth="1"/>
    <col min="3337" max="3338" width="16" style="382" customWidth="1"/>
    <col min="3339" max="3339" width="14.81640625" style="382" customWidth="1"/>
    <col min="3340" max="3340" width="13" style="382" customWidth="1"/>
    <col min="3341" max="3341" width="13.7265625" style="382" customWidth="1"/>
    <col min="3342" max="3584" width="14.7265625" style="382"/>
    <col min="3585" max="3585" width="25.7265625" style="382" customWidth="1"/>
    <col min="3586" max="3586" width="15.54296875" style="382" customWidth="1"/>
    <col min="3587" max="3588" width="17.453125" style="382" customWidth="1"/>
    <col min="3589" max="3589" width="14.54296875" style="382" customWidth="1"/>
    <col min="3590" max="3592" width="17.453125" style="382" customWidth="1"/>
    <col min="3593" max="3594" width="16" style="382" customWidth="1"/>
    <col min="3595" max="3595" width="14.81640625" style="382" customWidth="1"/>
    <col min="3596" max="3596" width="13" style="382" customWidth="1"/>
    <col min="3597" max="3597" width="13.7265625" style="382" customWidth="1"/>
    <col min="3598" max="3840" width="14.7265625" style="382"/>
    <col min="3841" max="3841" width="25.7265625" style="382" customWidth="1"/>
    <col min="3842" max="3842" width="15.54296875" style="382" customWidth="1"/>
    <col min="3843" max="3844" width="17.453125" style="382" customWidth="1"/>
    <col min="3845" max="3845" width="14.54296875" style="382" customWidth="1"/>
    <col min="3846" max="3848" width="17.453125" style="382" customWidth="1"/>
    <col min="3849" max="3850" width="16" style="382" customWidth="1"/>
    <col min="3851" max="3851" width="14.81640625" style="382" customWidth="1"/>
    <col min="3852" max="3852" width="13" style="382" customWidth="1"/>
    <col min="3853" max="3853" width="13.7265625" style="382" customWidth="1"/>
    <col min="3854" max="4096" width="14.7265625" style="382"/>
    <col min="4097" max="4097" width="25.7265625" style="382" customWidth="1"/>
    <col min="4098" max="4098" width="15.54296875" style="382" customWidth="1"/>
    <col min="4099" max="4100" width="17.453125" style="382" customWidth="1"/>
    <col min="4101" max="4101" width="14.54296875" style="382" customWidth="1"/>
    <col min="4102" max="4104" width="17.453125" style="382" customWidth="1"/>
    <col min="4105" max="4106" width="16" style="382" customWidth="1"/>
    <col min="4107" max="4107" width="14.81640625" style="382" customWidth="1"/>
    <col min="4108" max="4108" width="13" style="382" customWidth="1"/>
    <col min="4109" max="4109" width="13.7265625" style="382" customWidth="1"/>
    <col min="4110" max="4352" width="14.7265625" style="382"/>
    <col min="4353" max="4353" width="25.7265625" style="382" customWidth="1"/>
    <col min="4354" max="4354" width="15.54296875" style="382" customWidth="1"/>
    <col min="4355" max="4356" width="17.453125" style="382" customWidth="1"/>
    <col min="4357" max="4357" width="14.54296875" style="382" customWidth="1"/>
    <col min="4358" max="4360" width="17.453125" style="382" customWidth="1"/>
    <col min="4361" max="4362" width="16" style="382" customWidth="1"/>
    <col min="4363" max="4363" width="14.81640625" style="382" customWidth="1"/>
    <col min="4364" max="4364" width="13" style="382" customWidth="1"/>
    <col min="4365" max="4365" width="13.7265625" style="382" customWidth="1"/>
    <col min="4366" max="4608" width="14.7265625" style="382"/>
    <col min="4609" max="4609" width="25.7265625" style="382" customWidth="1"/>
    <col min="4610" max="4610" width="15.54296875" style="382" customWidth="1"/>
    <col min="4611" max="4612" width="17.453125" style="382" customWidth="1"/>
    <col min="4613" max="4613" width="14.54296875" style="382" customWidth="1"/>
    <col min="4614" max="4616" width="17.453125" style="382" customWidth="1"/>
    <col min="4617" max="4618" width="16" style="382" customWidth="1"/>
    <col min="4619" max="4619" width="14.81640625" style="382" customWidth="1"/>
    <col min="4620" max="4620" width="13" style="382" customWidth="1"/>
    <col min="4621" max="4621" width="13.7265625" style="382" customWidth="1"/>
    <col min="4622" max="4864" width="14.7265625" style="382"/>
    <col min="4865" max="4865" width="25.7265625" style="382" customWidth="1"/>
    <col min="4866" max="4866" width="15.54296875" style="382" customWidth="1"/>
    <col min="4867" max="4868" width="17.453125" style="382" customWidth="1"/>
    <col min="4869" max="4869" width="14.54296875" style="382" customWidth="1"/>
    <col min="4870" max="4872" width="17.453125" style="382" customWidth="1"/>
    <col min="4873" max="4874" width="16" style="382" customWidth="1"/>
    <col min="4875" max="4875" width="14.81640625" style="382" customWidth="1"/>
    <col min="4876" max="4876" width="13" style="382" customWidth="1"/>
    <col min="4877" max="4877" width="13.7265625" style="382" customWidth="1"/>
    <col min="4878" max="5120" width="14.7265625" style="382"/>
    <col min="5121" max="5121" width="25.7265625" style="382" customWidth="1"/>
    <col min="5122" max="5122" width="15.54296875" style="382" customWidth="1"/>
    <col min="5123" max="5124" width="17.453125" style="382" customWidth="1"/>
    <col min="5125" max="5125" width="14.54296875" style="382" customWidth="1"/>
    <col min="5126" max="5128" width="17.453125" style="382" customWidth="1"/>
    <col min="5129" max="5130" width="16" style="382" customWidth="1"/>
    <col min="5131" max="5131" width="14.81640625" style="382" customWidth="1"/>
    <col min="5132" max="5132" width="13" style="382" customWidth="1"/>
    <col min="5133" max="5133" width="13.7265625" style="382" customWidth="1"/>
    <col min="5134" max="5376" width="14.7265625" style="382"/>
    <col min="5377" max="5377" width="25.7265625" style="382" customWidth="1"/>
    <col min="5378" max="5378" width="15.54296875" style="382" customWidth="1"/>
    <col min="5379" max="5380" width="17.453125" style="382" customWidth="1"/>
    <col min="5381" max="5381" width="14.54296875" style="382" customWidth="1"/>
    <col min="5382" max="5384" width="17.453125" style="382" customWidth="1"/>
    <col min="5385" max="5386" width="16" style="382" customWidth="1"/>
    <col min="5387" max="5387" width="14.81640625" style="382" customWidth="1"/>
    <col min="5388" max="5388" width="13" style="382" customWidth="1"/>
    <col min="5389" max="5389" width="13.7265625" style="382" customWidth="1"/>
    <col min="5390" max="5632" width="14.7265625" style="382"/>
    <col min="5633" max="5633" width="25.7265625" style="382" customWidth="1"/>
    <col min="5634" max="5634" width="15.54296875" style="382" customWidth="1"/>
    <col min="5635" max="5636" width="17.453125" style="382" customWidth="1"/>
    <col min="5637" max="5637" width="14.54296875" style="382" customWidth="1"/>
    <col min="5638" max="5640" width="17.453125" style="382" customWidth="1"/>
    <col min="5641" max="5642" width="16" style="382" customWidth="1"/>
    <col min="5643" max="5643" width="14.81640625" style="382" customWidth="1"/>
    <col min="5644" max="5644" width="13" style="382" customWidth="1"/>
    <col min="5645" max="5645" width="13.7265625" style="382" customWidth="1"/>
    <col min="5646" max="5888" width="14.7265625" style="382"/>
    <col min="5889" max="5889" width="25.7265625" style="382" customWidth="1"/>
    <col min="5890" max="5890" width="15.54296875" style="382" customWidth="1"/>
    <col min="5891" max="5892" width="17.453125" style="382" customWidth="1"/>
    <col min="5893" max="5893" width="14.54296875" style="382" customWidth="1"/>
    <col min="5894" max="5896" width="17.453125" style="382" customWidth="1"/>
    <col min="5897" max="5898" width="16" style="382" customWidth="1"/>
    <col min="5899" max="5899" width="14.81640625" style="382" customWidth="1"/>
    <col min="5900" max="5900" width="13" style="382" customWidth="1"/>
    <col min="5901" max="5901" width="13.7265625" style="382" customWidth="1"/>
    <col min="5902" max="6144" width="14.7265625" style="382"/>
    <col min="6145" max="6145" width="25.7265625" style="382" customWidth="1"/>
    <col min="6146" max="6146" width="15.54296875" style="382" customWidth="1"/>
    <col min="6147" max="6148" width="17.453125" style="382" customWidth="1"/>
    <col min="6149" max="6149" width="14.54296875" style="382" customWidth="1"/>
    <col min="6150" max="6152" width="17.453125" style="382" customWidth="1"/>
    <col min="6153" max="6154" width="16" style="382" customWidth="1"/>
    <col min="6155" max="6155" width="14.81640625" style="382" customWidth="1"/>
    <col min="6156" max="6156" width="13" style="382" customWidth="1"/>
    <col min="6157" max="6157" width="13.7265625" style="382" customWidth="1"/>
    <col min="6158" max="6400" width="14.7265625" style="382"/>
    <col min="6401" max="6401" width="25.7265625" style="382" customWidth="1"/>
    <col min="6402" max="6402" width="15.54296875" style="382" customWidth="1"/>
    <col min="6403" max="6404" width="17.453125" style="382" customWidth="1"/>
    <col min="6405" max="6405" width="14.54296875" style="382" customWidth="1"/>
    <col min="6406" max="6408" width="17.453125" style="382" customWidth="1"/>
    <col min="6409" max="6410" width="16" style="382" customWidth="1"/>
    <col min="6411" max="6411" width="14.81640625" style="382" customWidth="1"/>
    <col min="6412" max="6412" width="13" style="382" customWidth="1"/>
    <col min="6413" max="6413" width="13.7265625" style="382" customWidth="1"/>
    <col min="6414" max="6656" width="14.7265625" style="382"/>
    <col min="6657" max="6657" width="25.7265625" style="382" customWidth="1"/>
    <col min="6658" max="6658" width="15.54296875" style="382" customWidth="1"/>
    <col min="6659" max="6660" width="17.453125" style="382" customWidth="1"/>
    <col min="6661" max="6661" width="14.54296875" style="382" customWidth="1"/>
    <col min="6662" max="6664" width="17.453125" style="382" customWidth="1"/>
    <col min="6665" max="6666" width="16" style="382" customWidth="1"/>
    <col min="6667" max="6667" width="14.81640625" style="382" customWidth="1"/>
    <col min="6668" max="6668" width="13" style="382" customWidth="1"/>
    <col min="6669" max="6669" width="13.7265625" style="382" customWidth="1"/>
    <col min="6670" max="6912" width="14.7265625" style="382"/>
    <col min="6913" max="6913" width="25.7265625" style="382" customWidth="1"/>
    <col min="6914" max="6914" width="15.54296875" style="382" customWidth="1"/>
    <col min="6915" max="6916" width="17.453125" style="382" customWidth="1"/>
    <col min="6917" max="6917" width="14.54296875" style="382" customWidth="1"/>
    <col min="6918" max="6920" width="17.453125" style="382" customWidth="1"/>
    <col min="6921" max="6922" width="16" style="382" customWidth="1"/>
    <col min="6923" max="6923" width="14.81640625" style="382" customWidth="1"/>
    <col min="6924" max="6924" width="13" style="382" customWidth="1"/>
    <col min="6925" max="6925" width="13.7265625" style="382" customWidth="1"/>
    <col min="6926" max="7168" width="14.7265625" style="382"/>
    <col min="7169" max="7169" width="25.7265625" style="382" customWidth="1"/>
    <col min="7170" max="7170" width="15.54296875" style="382" customWidth="1"/>
    <col min="7171" max="7172" width="17.453125" style="382" customWidth="1"/>
    <col min="7173" max="7173" width="14.54296875" style="382" customWidth="1"/>
    <col min="7174" max="7176" width="17.453125" style="382" customWidth="1"/>
    <col min="7177" max="7178" width="16" style="382" customWidth="1"/>
    <col min="7179" max="7179" width="14.81640625" style="382" customWidth="1"/>
    <col min="7180" max="7180" width="13" style="382" customWidth="1"/>
    <col min="7181" max="7181" width="13.7265625" style="382" customWidth="1"/>
    <col min="7182" max="7424" width="14.7265625" style="382"/>
    <col min="7425" max="7425" width="25.7265625" style="382" customWidth="1"/>
    <col min="7426" max="7426" width="15.54296875" style="382" customWidth="1"/>
    <col min="7427" max="7428" width="17.453125" style="382" customWidth="1"/>
    <col min="7429" max="7429" width="14.54296875" style="382" customWidth="1"/>
    <col min="7430" max="7432" width="17.453125" style="382" customWidth="1"/>
    <col min="7433" max="7434" width="16" style="382" customWidth="1"/>
    <col min="7435" max="7435" width="14.81640625" style="382" customWidth="1"/>
    <col min="7436" max="7436" width="13" style="382" customWidth="1"/>
    <col min="7437" max="7437" width="13.7265625" style="382" customWidth="1"/>
    <col min="7438" max="7680" width="14.7265625" style="382"/>
    <col min="7681" max="7681" width="25.7265625" style="382" customWidth="1"/>
    <col min="7682" max="7682" width="15.54296875" style="382" customWidth="1"/>
    <col min="7683" max="7684" width="17.453125" style="382" customWidth="1"/>
    <col min="7685" max="7685" width="14.54296875" style="382" customWidth="1"/>
    <col min="7686" max="7688" width="17.453125" style="382" customWidth="1"/>
    <col min="7689" max="7690" width="16" style="382" customWidth="1"/>
    <col min="7691" max="7691" width="14.81640625" style="382" customWidth="1"/>
    <col min="7692" max="7692" width="13" style="382" customWidth="1"/>
    <col min="7693" max="7693" width="13.7265625" style="382" customWidth="1"/>
    <col min="7694" max="7936" width="14.7265625" style="382"/>
    <col min="7937" max="7937" width="25.7265625" style="382" customWidth="1"/>
    <col min="7938" max="7938" width="15.54296875" style="382" customWidth="1"/>
    <col min="7939" max="7940" width="17.453125" style="382" customWidth="1"/>
    <col min="7941" max="7941" width="14.54296875" style="382" customWidth="1"/>
    <col min="7942" max="7944" width="17.453125" style="382" customWidth="1"/>
    <col min="7945" max="7946" width="16" style="382" customWidth="1"/>
    <col min="7947" max="7947" width="14.81640625" style="382" customWidth="1"/>
    <col min="7948" max="7948" width="13" style="382" customWidth="1"/>
    <col min="7949" max="7949" width="13.7265625" style="382" customWidth="1"/>
    <col min="7950" max="8192" width="14.7265625" style="382"/>
    <col min="8193" max="8193" width="25.7265625" style="382" customWidth="1"/>
    <col min="8194" max="8194" width="15.54296875" style="382" customWidth="1"/>
    <col min="8195" max="8196" width="17.453125" style="382" customWidth="1"/>
    <col min="8197" max="8197" width="14.54296875" style="382" customWidth="1"/>
    <col min="8198" max="8200" width="17.453125" style="382" customWidth="1"/>
    <col min="8201" max="8202" width="16" style="382" customWidth="1"/>
    <col min="8203" max="8203" width="14.81640625" style="382" customWidth="1"/>
    <col min="8204" max="8204" width="13" style="382" customWidth="1"/>
    <col min="8205" max="8205" width="13.7265625" style="382" customWidth="1"/>
    <col min="8206" max="8448" width="14.7265625" style="382"/>
    <col min="8449" max="8449" width="25.7265625" style="382" customWidth="1"/>
    <col min="8450" max="8450" width="15.54296875" style="382" customWidth="1"/>
    <col min="8451" max="8452" width="17.453125" style="382" customWidth="1"/>
    <col min="8453" max="8453" width="14.54296875" style="382" customWidth="1"/>
    <col min="8454" max="8456" width="17.453125" style="382" customWidth="1"/>
    <col min="8457" max="8458" width="16" style="382" customWidth="1"/>
    <col min="8459" max="8459" width="14.81640625" style="382" customWidth="1"/>
    <col min="8460" max="8460" width="13" style="382" customWidth="1"/>
    <col min="8461" max="8461" width="13.7265625" style="382" customWidth="1"/>
    <col min="8462" max="8704" width="14.7265625" style="382"/>
    <col min="8705" max="8705" width="25.7265625" style="382" customWidth="1"/>
    <col min="8706" max="8706" width="15.54296875" style="382" customWidth="1"/>
    <col min="8707" max="8708" width="17.453125" style="382" customWidth="1"/>
    <col min="8709" max="8709" width="14.54296875" style="382" customWidth="1"/>
    <col min="8710" max="8712" width="17.453125" style="382" customWidth="1"/>
    <col min="8713" max="8714" width="16" style="382" customWidth="1"/>
    <col min="8715" max="8715" width="14.81640625" style="382" customWidth="1"/>
    <col min="8716" max="8716" width="13" style="382" customWidth="1"/>
    <col min="8717" max="8717" width="13.7265625" style="382" customWidth="1"/>
    <col min="8718" max="8960" width="14.7265625" style="382"/>
    <col min="8961" max="8961" width="25.7265625" style="382" customWidth="1"/>
    <col min="8962" max="8962" width="15.54296875" style="382" customWidth="1"/>
    <col min="8963" max="8964" width="17.453125" style="382" customWidth="1"/>
    <col min="8965" max="8965" width="14.54296875" style="382" customWidth="1"/>
    <col min="8966" max="8968" width="17.453125" style="382" customWidth="1"/>
    <col min="8969" max="8970" width="16" style="382" customWidth="1"/>
    <col min="8971" max="8971" width="14.81640625" style="382" customWidth="1"/>
    <col min="8972" max="8972" width="13" style="382" customWidth="1"/>
    <col min="8973" max="8973" width="13.7265625" style="382" customWidth="1"/>
    <col min="8974" max="9216" width="14.7265625" style="382"/>
    <col min="9217" max="9217" width="25.7265625" style="382" customWidth="1"/>
    <col min="9218" max="9218" width="15.54296875" style="382" customWidth="1"/>
    <col min="9219" max="9220" width="17.453125" style="382" customWidth="1"/>
    <col min="9221" max="9221" width="14.54296875" style="382" customWidth="1"/>
    <col min="9222" max="9224" width="17.453125" style="382" customWidth="1"/>
    <col min="9225" max="9226" width="16" style="382" customWidth="1"/>
    <col min="9227" max="9227" width="14.81640625" style="382" customWidth="1"/>
    <col min="9228" max="9228" width="13" style="382" customWidth="1"/>
    <col min="9229" max="9229" width="13.7265625" style="382" customWidth="1"/>
    <col min="9230" max="9472" width="14.7265625" style="382"/>
    <col min="9473" max="9473" width="25.7265625" style="382" customWidth="1"/>
    <col min="9474" max="9474" width="15.54296875" style="382" customWidth="1"/>
    <col min="9475" max="9476" width="17.453125" style="382" customWidth="1"/>
    <col min="9477" max="9477" width="14.54296875" style="382" customWidth="1"/>
    <col min="9478" max="9480" width="17.453125" style="382" customWidth="1"/>
    <col min="9481" max="9482" width="16" style="382" customWidth="1"/>
    <col min="9483" max="9483" width="14.81640625" style="382" customWidth="1"/>
    <col min="9484" max="9484" width="13" style="382" customWidth="1"/>
    <col min="9485" max="9485" width="13.7265625" style="382" customWidth="1"/>
    <col min="9486" max="9728" width="14.7265625" style="382"/>
    <col min="9729" max="9729" width="25.7265625" style="382" customWidth="1"/>
    <col min="9730" max="9730" width="15.54296875" style="382" customWidth="1"/>
    <col min="9731" max="9732" width="17.453125" style="382" customWidth="1"/>
    <col min="9733" max="9733" width="14.54296875" style="382" customWidth="1"/>
    <col min="9734" max="9736" width="17.453125" style="382" customWidth="1"/>
    <col min="9737" max="9738" width="16" style="382" customWidth="1"/>
    <col min="9739" max="9739" width="14.81640625" style="382" customWidth="1"/>
    <col min="9740" max="9740" width="13" style="382" customWidth="1"/>
    <col min="9741" max="9741" width="13.7265625" style="382" customWidth="1"/>
    <col min="9742" max="9984" width="14.7265625" style="382"/>
    <col min="9985" max="9985" width="25.7265625" style="382" customWidth="1"/>
    <col min="9986" max="9986" width="15.54296875" style="382" customWidth="1"/>
    <col min="9987" max="9988" width="17.453125" style="382" customWidth="1"/>
    <col min="9989" max="9989" width="14.54296875" style="382" customWidth="1"/>
    <col min="9990" max="9992" width="17.453125" style="382" customWidth="1"/>
    <col min="9993" max="9994" width="16" style="382" customWidth="1"/>
    <col min="9995" max="9995" width="14.81640625" style="382" customWidth="1"/>
    <col min="9996" max="9996" width="13" style="382" customWidth="1"/>
    <col min="9997" max="9997" width="13.7265625" style="382" customWidth="1"/>
    <col min="9998" max="10240" width="14.7265625" style="382"/>
    <col min="10241" max="10241" width="25.7265625" style="382" customWidth="1"/>
    <col min="10242" max="10242" width="15.54296875" style="382" customWidth="1"/>
    <col min="10243" max="10244" width="17.453125" style="382" customWidth="1"/>
    <col min="10245" max="10245" width="14.54296875" style="382" customWidth="1"/>
    <col min="10246" max="10248" width="17.453125" style="382" customWidth="1"/>
    <col min="10249" max="10250" width="16" style="382" customWidth="1"/>
    <col min="10251" max="10251" width="14.81640625" style="382" customWidth="1"/>
    <col min="10252" max="10252" width="13" style="382" customWidth="1"/>
    <col min="10253" max="10253" width="13.7265625" style="382" customWidth="1"/>
    <col min="10254" max="10496" width="14.7265625" style="382"/>
    <col min="10497" max="10497" width="25.7265625" style="382" customWidth="1"/>
    <col min="10498" max="10498" width="15.54296875" style="382" customWidth="1"/>
    <col min="10499" max="10500" width="17.453125" style="382" customWidth="1"/>
    <col min="10501" max="10501" width="14.54296875" style="382" customWidth="1"/>
    <col min="10502" max="10504" width="17.453125" style="382" customWidth="1"/>
    <col min="10505" max="10506" width="16" style="382" customWidth="1"/>
    <col min="10507" max="10507" width="14.81640625" style="382" customWidth="1"/>
    <col min="10508" max="10508" width="13" style="382" customWidth="1"/>
    <col min="10509" max="10509" width="13.7265625" style="382" customWidth="1"/>
    <col min="10510" max="10752" width="14.7265625" style="382"/>
    <col min="10753" max="10753" width="25.7265625" style="382" customWidth="1"/>
    <col min="10754" max="10754" width="15.54296875" style="382" customWidth="1"/>
    <col min="10755" max="10756" width="17.453125" style="382" customWidth="1"/>
    <col min="10757" max="10757" width="14.54296875" style="382" customWidth="1"/>
    <col min="10758" max="10760" width="17.453125" style="382" customWidth="1"/>
    <col min="10761" max="10762" width="16" style="382" customWidth="1"/>
    <col min="10763" max="10763" width="14.81640625" style="382" customWidth="1"/>
    <col min="10764" max="10764" width="13" style="382" customWidth="1"/>
    <col min="10765" max="10765" width="13.7265625" style="382" customWidth="1"/>
    <col min="10766" max="11008" width="14.7265625" style="382"/>
    <col min="11009" max="11009" width="25.7265625" style="382" customWidth="1"/>
    <col min="11010" max="11010" width="15.54296875" style="382" customWidth="1"/>
    <col min="11011" max="11012" width="17.453125" style="382" customWidth="1"/>
    <col min="11013" max="11013" width="14.54296875" style="382" customWidth="1"/>
    <col min="11014" max="11016" width="17.453125" style="382" customWidth="1"/>
    <col min="11017" max="11018" width="16" style="382" customWidth="1"/>
    <col min="11019" max="11019" width="14.81640625" style="382" customWidth="1"/>
    <col min="11020" max="11020" width="13" style="382" customWidth="1"/>
    <col min="11021" max="11021" width="13.7265625" style="382" customWidth="1"/>
    <col min="11022" max="11264" width="14.7265625" style="382"/>
    <col min="11265" max="11265" width="25.7265625" style="382" customWidth="1"/>
    <col min="11266" max="11266" width="15.54296875" style="382" customWidth="1"/>
    <col min="11267" max="11268" width="17.453125" style="382" customWidth="1"/>
    <col min="11269" max="11269" width="14.54296875" style="382" customWidth="1"/>
    <col min="11270" max="11272" width="17.453125" style="382" customWidth="1"/>
    <col min="11273" max="11274" width="16" style="382" customWidth="1"/>
    <col min="11275" max="11275" width="14.81640625" style="382" customWidth="1"/>
    <col min="11276" max="11276" width="13" style="382" customWidth="1"/>
    <col min="11277" max="11277" width="13.7265625" style="382" customWidth="1"/>
    <col min="11278" max="11520" width="14.7265625" style="382"/>
    <col min="11521" max="11521" width="25.7265625" style="382" customWidth="1"/>
    <col min="11522" max="11522" width="15.54296875" style="382" customWidth="1"/>
    <col min="11523" max="11524" width="17.453125" style="382" customWidth="1"/>
    <col min="11525" max="11525" width="14.54296875" style="382" customWidth="1"/>
    <col min="11526" max="11528" width="17.453125" style="382" customWidth="1"/>
    <col min="11529" max="11530" width="16" style="382" customWidth="1"/>
    <col min="11531" max="11531" width="14.81640625" style="382" customWidth="1"/>
    <col min="11532" max="11532" width="13" style="382" customWidth="1"/>
    <col min="11533" max="11533" width="13.7265625" style="382" customWidth="1"/>
    <col min="11534" max="11776" width="14.7265625" style="382"/>
    <col min="11777" max="11777" width="25.7265625" style="382" customWidth="1"/>
    <col min="11778" max="11778" width="15.54296875" style="382" customWidth="1"/>
    <col min="11779" max="11780" width="17.453125" style="382" customWidth="1"/>
    <col min="11781" max="11781" width="14.54296875" style="382" customWidth="1"/>
    <col min="11782" max="11784" width="17.453125" style="382" customWidth="1"/>
    <col min="11785" max="11786" width="16" style="382" customWidth="1"/>
    <col min="11787" max="11787" width="14.81640625" style="382" customWidth="1"/>
    <col min="11788" max="11788" width="13" style="382" customWidth="1"/>
    <col min="11789" max="11789" width="13.7265625" style="382" customWidth="1"/>
    <col min="11790" max="12032" width="14.7265625" style="382"/>
    <col min="12033" max="12033" width="25.7265625" style="382" customWidth="1"/>
    <col min="12034" max="12034" width="15.54296875" style="382" customWidth="1"/>
    <col min="12035" max="12036" width="17.453125" style="382" customWidth="1"/>
    <col min="12037" max="12037" width="14.54296875" style="382" customWidth="1"/>
    <col min="12038" max="12040" width="17.453125" style="382" customWidth="1"/>
    <col min="12041" max="12042" width="16" style="382" customWidth="1"/>
    <col min="12043" max="12043" width="14.81640625" style="382" customWidth="1"/>
    <col min="12044" max="12044" width="13" style="382" customWidth="1"/>
    <col min="12045" max="12045" width="13.7265625" style="382" customWidth="1"/>
    <col min="12046" max="12288" width="14.7265625" style="382"/>
    <col min="12289" max="12289" width="25.7265625" style="382" customWidth="1"/>
    <col min="12290" max="12290" width="15.54296875" style="382" customWidth="1"/>
    <col min="12291" max="12292" width="17.453125" style="382" customWidth="1"/>
    <col min="12293" max="12293" width="14.54296875" style="382" customWidth="1"/>
    <col min="12294" max="12296" width="17.453125" style="382" customWidth="1"/>
    <col min="12297" max="12298" width="16" style="382" customWidth="1"/>
    <col min="12299" max="12299" width="14.81640625" style="382" customWidth="1"/>
    <col min="12300" max="12300" width="13" style="382" customWidth="1"/>
    <col min="12301" max="12301" width="13.7265625" style="382" customWidth="1"/>
    <col min="12302" max="12544" width="14.7265625" style="382"/>
    <col min="12545" max="12545" width="25.7265625" style="382" customWidth="1"/>
    <col min="12546" max="12546" width="15.54296875" style="382" customWidth="1"/>
    <col min="12547" max="12548" width="17.453125" style="382" customWidth="1"/>
    <col min="12549" max="12549" width="14.54296875" style="382" customWidth="1"/>
    <col min="12550" max="12552" width="17.453125" style="382" customWidth="1"/>
    <col min="12553" max="12554" width="16" style="382" customWidth="1"/>
    <col min="12555" max="12555" width="14.81640625" style="382" customWidth="1"/>
    <col min="12556" max="12556" width="13" style="382" customWidth="1"/>
    <col min="12557" max="12557" width="13.7265625" style="382" customWidth="1"/>
    <col min="12558" max="12800" width="14.7265625" style="382"/>
    <col min="12801" max="12801" width="25.7265625" style="382" customWidth="1"/>
    <col min="12802" max="12802" width="15.54296875" style="382" customWidth="1"/>
    <col min="12803" max="12804" width="17.453125" style="382" customWidth="1"/>
    <col min="12805" max="12805" width="14.54296875" style="382" customWidth="1"/>
    <col min="12806" max="12808" width="17.453125" style="382" customWidth="1"/>
    <col min="12809" max="12810" width="16" style="382" customWidth="1"/>
    <col min="12811" max="12811" width="14.81640625" style="382" customWidth="1"/>
    <col min="12812" max="12812" width="13" style="382" customWidth="1"/>
    <col min="12813" max="12813" width="13.7265625" style="382" customWidth="1"/>
    <col min="12814" max="13056" width="14.7265625" style="382"/>
    <col min="13057" max="13057" width="25.7265625" style="382" customWidth="1"/>
    <col min="13058" max="13058" width="15.54296875" style="382" customWidth="1"/>
    <col min="13059" max="13060" width="17.453125" style="382" customWidth="1"/>
    <col min="13061" max="13061" width="14.54296875" style="382" customWidth="1"/>
    <col min="13062" max="13064" width="17.453125" style="382" customWidth="1"/>
    <col min="13065" max="13066" width="16" style="382" customWidth="1"/>
    <col min="13067" max="13067" width="14.81640625" style="382" customWidth="1"/>
    <col min="13068" max="13068" width="13" style="382" customWidth="1"/>
    <col min="13069" max="13069" width="13.7265625" style="382" customWidth="1"/>
    <col min="13070" max="13312" width="14.7265625" style="382"/>
    <col min="13313" max="13313" width="25.7265625" style="382" customWidth="1"/>
    <col min="13314" max="13314" width="15.54296875" style="382" customWidth="1"/>
    <col min="13315" max="13316" width="17.453125" style="382" customWidth="1"/>
    <col min="13317" max="13317" width="14.54296875" style="382" customWidth="1"/>
    <col min="13318" max="13320" width="17.453125" style="382" customWidth="1"/>
    <col min="13321" max="13322" width="16" style="382" customWidth="1"/>
    <col min="13323" max="13323" width="14.81640625" style="382" customWidth="1"/>
    <col min="13324" max="13324" width="13" style="382" customWidth="1"/>
    <col min="13325" max="13325" width="13.7265625" style="382" customWidth="1"/>
    <col min="13326" max="13568" width="14.7265625" style="382"/>
    <col min="13569" max="13569" width="25.7265625" style="382" customWidth="1"/>
    <col min="13570" max="13570" width="15.54296875" style="382" customWidth="1"/>
    <col min="13571" max="13572" width="17.453125" style="382" customWidth="1"/>
    <col min="13573" max="13573" width="14.54296875" style="382" customWidth="1"/>
    <col min="13574" max="13576" width="17.453125" style="382" customWidth="1"/>
    <col min="13577" max="13578" width="16" style="382" customWidth="1"/>
    <col min="13579" max="13579" width="14.81640625" style="382" customWidth="1"/>
    <col min="13580" max="13580" width="13" style="382" customWidth="1"/>
    <col min="13581" max="13581" width="13.7265625" style="382" customWidth="1"/>
    <col min="13582" max="13824" width="14.7265625" style="382"/>
    <col min="13825" max="13825" width="25.7265625" style="382" customWidth="1"/>
    <col min="13826" max="13826" width="15.54296875" style="382" customWidth="1"/>
    <col min="13827" max="13828" width="17.453125" style="382" customWidth="1"/>
    <col min="13829" max="13829" width="14.54296875" style="382" customWidth="1"/>
    <col min="13830" max="13832" width="17.453125" style="382" customWidth="1"/>
    <col min="13833" max="13834" width="16" style="382" customWidth="1"/>
    <col min="13835" max="13835" width="14.81640625" style="382" customWidth="1"/>
    <col min="13836" max="13836" width="13" style="382" customWidth="1"/>
    <col min="13837" max="13837" width="13.7265625" style="382" customWidth="1"/>
    <col min="13838" max="14080" width="14.7265625" style="382"/>
    <col min="14081" max="14081" width="25.7265625" style="382" customWidth="1"/>
    <col min="14082" max="14082" width="15.54296875" style="382" customWidth="1"/>
    <col min="14083" max="14084" width="17.453125" style="382" customWidth="1"/>
    <col min="14085" max="14085" width="14.54296875" style="382" customWidth="1"/>
    <col min="14086" max="14088" width="17.453125" style="382" customWidth="1"/>
    <col min="14089" max="14090" width="16" style="382" customWidth="1"/>
    <col min="14091" max="14091" width="14.81640625" style="382" customWidth="1"/>
    <col min="14092" max="14092" width="13" style="382" customWidth="1"/>
    <col min="14093" max="14093" width="13.7265625" style="382" customWidth="1"/>
    <col min="14094" max="14336" width="14.7265625" style="382"/>
    <col min="14337" max="14337" width="25.7265625" style="382" customWidth="1"/>
    <col min="14338" max="14338" width="15.54296875" style="382" customWidth="1"/>
    <col min="14339" max="14340" width="17.453125" style="382" customWidth="1"/>
    <col min="14341" max="14341" width="14.54296875" style="382" customWidth="1"/>
    <col min="14342" max="14344" width="17.453125" style="382" customWidth="1"/>
    <col min="14345" max="14346" width="16" style="382" customWidth="1"/>
    <col min="14347" max="14347" width="14.81640625" style="382" customWidth="1"/>
    <col min="14348" max="14348" width="13" style="382" customWidth="1"/>
    <col min="14349" max="14349" width="13.7265625" style="382" customWidth="1"/>
    <col min="14350" max="14592" width="14.7265625" style="382"/>
    <col min="14593" max="14593" width="25.7265625" style="382" customWidth="1"/>
    <col min="14594" max="14594" width="15.54296875" style="382" customWidth="1"/>
    <col min="14595" max="14596" width="17.453125" style="382" customWidth="1"/>
    <col min="14597" max="14597" width="14.54296875" style="382" customWidth="1"/>
    <col min="14598" max="14600" width="17.453125" style="382" customWidth="1"/>
    <col min="14601" max="14602" width="16" style="382" customWidth="1"/>
    <col min="14603" max="14603" width="14.81640625" style="382" customWidth="1"/>
    <col min="14604" max="14604" width="13" style="382" customWidth="1"/>
    <col min="14605" max="14605" width="13.7265625" style="382" customWidth="1"/>
    <col min="14606" max="14848" width="14.7265625" style="382"/>
    <col min="14849" max="14849" width="25.7265625" style="382" customWidth="1"/>
    <col min="14850" max="14850" width="15.54296875" style="382" customWidth="1"/>
    <col min="14851" max="14852" width="17.453125" style="382" customWidth="1"/>
    <col min="14853" max="14853" width="14.54296875" style="382" customWidth="1"/>
    <col min="14854" max="14856" width="17.453125" style="382" customWidth="1"/>
    <col min="14857" max="14858" width="16" style="382" customWidth="1"/>
    <col min="14859" max="14859" width="14.81640625" style="382" customWidth="1"/>
    <col min="14860" max="14860" width="13" style="382" customWidth="1"/>
    <col min="14861" max="14861" width="13.7265625" style="382" customWidth="1"/>
    <col min="14862" max="15104" width="14.7265625" style="382"/>
    <col min="15105" max="15105" width="25.7265625" style="382" customWidth="1"/>
    <col min="15106" max="15106" width="15.54296875" style="382" customWidth="1"/>
    <col min="15107" max="15108" width="17.453125" style="382" customWidth="1"/>
    <col min="15109" max="15109" width="14.54296875" style="382" customWidth="1"/>
    <col min="15110" max="15112" width="17.453125" style="382" customWidth="1"/>
    <col min="15113" max="15114" width="16" style="382" customWidth="1"/>
    <col min="15115" max="15115" width="14.81640625" style="382" customWidth="1"/>
    <col min="15116" max="15116" width="13" style="382" customWidth="1"/>
    <col min="15117" max="15117" width="13.7265625" style="382" customWidth="1"/>
    <col min="15118" max="15360" width="14.7265625" style="382"/>
    <col min="15361" max="15361" width="25.7265625" style="382" customWidth="1"/>
    <col min="15362" max="15362" width="15.54296875" style="382" customWidth="1"/>
    <col min="15363" max="15364" width="17.453125" style="382" customWidth="1"/>
    <col min="15365" max="15365" width="14.54296875" style="382" customWidth="1"/>
    <col min="15366" max="15368" width="17.453125" style="382" customWidth="1"/>
    <col min="15369" max="15370" width="16" style="382" customWidth="1"/>
    <col min="15371" max="15371" width="14.81640625" style="382" customWidth="1"/>
    <col min="15372" max="15372" width="13" style="382" customWidth="1"/>
    <col min="15373" max="15373" width="13.7265625" style="382" customWidth="1"/>
    <col min="15374" max="15616" width="14.7265625" style="382"/>
    <col min="15617" max="15617" width="25.7265625" style="382" customWidth="1"/>
    <col min="15618" max="15618" width="15.54296875" style="382" customWidth="1"/>
    <col min="15619" max="15620" width="17.453125" style="382" customWidth="1"/>
    <col min="15621" max="15621" width="14.54296875" style="382" customWidth="1"/>
    <col min="15622" max="15624" width="17.453125" style="382" customWidth="1"/>
    <col min="15625" max="15626" width="16" style="382" customWidth="1"/>
    <col min="15627" max="15627" width="14.81640625" style="382" customWidth="1"/>
    <col min="15628" max="15628" width="13" style="382" customWidth="1"/>
    <col min="15629" max="15629" width="13.7265625" style="382" customWidth="1"/>
    <col min="15630" max="15872" width="14.7265625" style="382"/>
    <col min="15873" max="15873" width="25.7265625" style="382" customWidth="1"/>
    <col min="15874" max="15874" width="15.54296875" style="382" customWidth="1"/>
    <col min="15875" max="15876" width="17.453125" style="382" customWidth="1"/>
    <col min="15877" max="15877" width="14.54296875" style="382" customWidth="1"/>
    <col min="15878" max="15880" width="17.453125" style="382" customWidth="1"/>
    <col min="15881" max="15882" width="16" style="382" customWidth="1"/>
    <col min="15883" max="15883" width="14.81640625" style="382" customWidth="1"/>
    <col min="15884" max="15884" width="13" style="382" customWidth="1"/>
    <col min="15885" max="15885" width="13.7265625" style="382" customWidth="1"/>
    <col min="15886" max="16128" width="14.7265625" style="382"/>
    <col min="16129" max="16129" width="25.7265625" style="382" customWidth="1"/>
    <col min="16130" max="16130" width="15.54296875" style="382" customWidth="1"/>
    <col min="16131" max="16132" width="17.453125" style="382" customWidth="1"/>
    <col min="16133" max="16133" width="14.54296875" style="382" customWidth="1"/>
    <col min="16134" max="16136" width="17.453125" style="382" customWidth="1"/>
    <col min="16137" max="16138" width="16" style="382" customWidth="1"/>
    <col min="16139" max="16139" width="14.81640625" style="382" customWidth="1"/>
    <col min="16140" max="16140" width="13" style="382" customWidth="1"/>
    <col min="16141" max="16141" width="13.7265625" style="382" customWidth="1"/>
    <col min="16142" max="16384" width="14.7265625" style="382"/>
  </cols>
  <sheetData>
    <row r="1" spans="1:19" ht="18">
      <c r="A1" s="355" t="s">
        <v>190</v>
      </c>
      <c r="B1" s="387"/>
      <c r="C1" s="387"/>
      <c r="D1" s="387"/>
      <c r="E1" s="387"/>
      <c r="F1" s="387"/>
      <c r="I1" s="388" t="s">
        <v>0</v>
      </c>
      <c r="J1" s="383" t="s">
        <v>191</v>
      </c>
    </row>
    <row r="2" spans="1:19" ht="18">
      <c r="A2" s="355" t="s">
        <v>192</v>
      </c>
      <c r="B2" s="355"/>
      <c r="C2" s="387"/>
      <c r="D2" s="387"/>
      <c r="E2" s="387"/>
      <c r="F2" s="387"/>
    </row>
    <row r="3" spans="1:19" ht="18">
      <c r="A3" s="389" t="s">
        <v>2345</v>
      </c>
      <c r="B3" s="355"/>
      <c r="C3" s="387"/>
      <c r="D3" s="387"/>
      <c r="E3" s="387"/>
      <c r="F3" s="387"/>
    </row>
    <row r="4" spans="1:19" s="383" customFormat="1" ht="18">
      <c r="A4" s="355"/>
      <c r="B4" s="1946" t="s">
        <v>3</v>
      </c>
      <c r="C4" s="1946"/>
      <c r="D4" s="1946"/>
      <c r="E4" s="1946"/>
      <c r="F4" s="1946"/>
      <c r="G4" s="1947" t="s">
        <v>193</v>
      </c>
      <c r="H4" s="1947"/>
      <c r="I4" s="1947"/>
      <c r="J4" s="1947"/>
      <c r="K4" s="1947"/>
    </row>
    <row r="5" spans="1:19" ht="96.75" customHeight="1">
      <c r="A5" s="705"/>
      <c r="B5" s="706" t="s">
        <v>113</v>
      </c>
      <c r="C5" s="706" t="s">
        <v>114</v>
      </c>
      <c r="D5" s="415" t="s">
        <v>121</v>
      </c>
      <c r="E5" s="415" t="s">
        <v>122</v>
      </c>
      <c r="F5" s="415" t="s">
        <v>123</v>
      </c>
      <c r="G5" s="706" t="s">
        <v>113</v>
      </c>
      <c r="H5" s="706" t="s">
        <v>114</v>
      </c>
      <c r="I5" s="415" t="s">
        <v>121</v>
      </c>
      <c r="J5" s="415" t="s">
        <v>122</v>
      </c>
      <c r="K5" s="415" t="s">
        <v>123</v>
      </c>
    </row>
    <row r="6" spans="1:19" ht="17.5">
      <c r="A6" s="391" t="s">
        <v>194</v>
      </c>
      <c r="B6" s="392"/>
      <c r="C6" s="392"/>
      <c r="D6" s="392"/>
      <c r="E6" s="391"/>
      <c r="F6" s="391"/>
      <c r="G6" s="390"/>
      <c r="H6" s="390"/>
      <c r="I6" s="393"/>
      <c r="J6" s="391"/>
      <c r="K6" s="390"/>
    </row>
    <row r="7" spans="1:19" ht="17.5">
      <c r="A7" s="394">
        <v>1</v>
      </c>
      <c r="B7" s="699">
        <v>1348</v>
      </c>
      <c r="C7" s="699">
        <v>1242.72</v>
      </c>
      <c r="D7" s="395">
        <v>1.7247323185786456</v>
      </c>
      <c r="E7" s="395">
        <v>26.809786851278641</v>
      </c>
      <c r="F7" s="395">
        <v>28.812252904505765</v>
      </c>
      <c r="G7" s="699">
        <v>1620</v>
      </c>
      <c r="H7" s="699">
        <v>1519.9580200000007</v>
      </c>
      <c r="I7" s="395">
        <v>0.93814073835083434</v>
      </c>
      <c r="J7" s="395">
        <v>14.10793345529942</v>
      </c>
      <c r="K7" s="395">
        <v>9.9092053294959239</v>
      </c>
      <c r="O7" s="704"/>
      <c r="P7" s="704"/>
      <c r="Q7" s="157"/>
      <c r="R7" s="703"/>
    </row>
    <row r="8" spans="1:19" ht="17.5">
      <c r="A8" s="394">
        <v>2</v>
      </c>
      <c r="B8" s="699">
        <v>6928</v>
      </c>
      <c r="C8" s="699">
        <v>11036.499999999998</v>
      </c>
      <c r="D8" s="395">
        <v>16.127396640062283</v>
      </c>
      <c r="E8" s="395">
        <v>227.03595165372471</v>
      </c>
      <c r="F8" s="395">
        <v>203.02053437396503</v>
      </c>
      <c r="G8" s="699">
        <v>7402</v>
      </c>
      <c r="H8" s="699">
        <v>11430.142060000015</v>
      </c>
      <c r="I8" s="395">
        <v>7.4062185217728924</v>
      </c>
      <c r="J8" s="395">
        <v>109.53668845010432</v>
      </c>
      <c r="K8" s="395">
        <v>58.705679147535385</v>
      </c>
      <c r="O8" s="704"/>
      <c r="P8" s="704"/>
      <c r="Q8" s="157"/>
      <c r="R8" s="703"/>
    </row>
    <row r="9" spans="1:19" ht="17.5">
      <c r="A9" s="394">
        <v>3</v>
      </c>
      <c r="B9" s="699">
        <v>53261</v>
      </c>
      <c r="C9" s="699">
        <v>132996.72000000003</v>
      </c>
      <c r="D9" s="395">
        <v>212.56486287100827</v>
      </c>
      <c r="E9" s="395">
        <v>2958.5001959467595</v>
      </c>
      <c r="F9" s="395">
        <v>1715.0669836639688</v>
      </c>
      <c r="G9" s="699">
        <v>60052</v>
      </c>
      <c r="H9" s="699">
        <v>150539.51679999995</v>
      </c>
      <c r="I9" s="395">
        <v>104.21942879822454</v>
      </c>
      <c r="J9" s="395">
        <v>1534.4874358266163</v>
      </c>
      <c r="K9" s="395">
        <v>393.70896626989355</v>
      </c>
      <c r="M9" s="398"/>
      <c r="O9" s="704"/>
      <c r="P9" s="704"/>
      <c r="Q9" s="157"/>
      <c r="R9" s="703"/>
    </row>
    <row r="10" spans="1:19" ht="17.5">
      <c r="A10" s="394">
        <v>4</v>
      </c>
      <c r="B10" s="699">
        <v>7132</v>
      </c>
      <c r="C10" s="699">
        <v>26961.439999999999</v>
      </c>
      <c r="D10" s="395">
        <v>23.352613418013636</v>
      </c>
      <c r="E10" s="395">
        <v>326.51829401538612</v>
      </c>
      <c r="F10" s="395">
        <v>229.09914244935618</v>
      </c>
      <c r="G10" s="699">
        <v>8445</v>
      </c>
      <c r="H10" s="699">
        <v>33063.049999999974</v>
      </c>
      <c r="I10" s="395">
        <v>10.692077166549245</v>
      </c>
      <c r="J10" s="395">
        <v>156.91474127075239</v>
      </c>
      <c r="K10" s="395">
        <v>70.307162016436095</v>
      </c>
      <c r="O10" s="704"/>
      <c r="P10" s="704"/>
      <c r="Q10" s="157"/>
      <c r="R10" s="703"/>
    </row>
    <row r="11" spans="1:19" ht="17.5">
      <c r="A11" s="394">
        <v>5</v>
      </c>
      <c r="B11" s="699">
        <v>259</v>
      </c>
      <c r="C11" s="699">
        <v>1259.3</v>
      </c>
      <c r="D11" s="395">
        <v>1.7116424215626094</v>
      </c>
      <c r="E11" s="395">
        <v>27.81320572207294</v>
      </c>
      <c r="F11" s="395">
        <v>30.429235511601807</v>
      </c>
      <c r="G11" s="699">
        <v>419</v>
      </c>
      <c r="H11" s="699">
        <v>2067.2504000000004</v>
      </c>
      <c r="I11" s="395">
        <v>1.0807845133360934</v>
      </c>
      <c r="J11" s="395">
        <v>17.343631989795828</v>
      </c>
      <c r="K11" s="395">
        <v>15.069682768553124</v>
      </c>
      <c r="O11" s="704"/>
      <c r="P11" s="704"/>
      <c r="Q11" s="157"/>
      <c r="R11" s="703"/>
    </row>
    <row r="12" spans="1:19" ht="17.5">
      <c r="A12" s="394">
        <v>6</v>
      </c>
      <c r="B12" s="699">
        <v>413</v>
      </c>
      <c r="C12" s="699">
        <v>2517.4899999999998</v>
      </c>
      <c r="D12" s="395">
        <v>2.7704033122888916</v>
      </c>
      <c r="E12" s="395">
        <v>41.948514316861498</v>
      </c>
      <c r="F12" s="395">
        <v>114.63066474960341</v>
      </c>
      <c r="G12" s="699">
        <v>474</v>
      </c>
      <c r="H12" s="699">
        <v>2708.2460000000001</v>
      </c>
      <c r="I12" s="395">
        <v>1.7236934973710907</v>
      </c>
      <c r="J12" s="395">
        <v>27.949958221521943</v>
      </c>
      <c r="K12" s="395">
        <v>19.988323711721719</v>
      </c>
      <c r="O12" s="704"/>
      <c r="P12" s="704"/>
      <c r="Q12" s="157"/>
      <c r="R12" s="703"/>
    </row>
    <row r="13" spans="1:19" ht="17.5">
      <c r="A13" s="394">
        <v>7</v>
      </c>
      <c r="B13" s="699">
        <v>47</v>
      </c>
      <c r="C13" s="699">
        <v>315.52999999999997</v>
      </c>
      <c r="D13" s="395">
        <v>0.47402812907953945</v>
      </c>
      <c r="E13" s="395">
        <v>8.626122730875263</v>
      </c>
      <c r="F13" s="395">
        <v>11.18838896967527</v>
      </c>
      <c r="G13" s="699">
        <v>51</v>
      </c>
      <c r="H13" s="699">
        <v>352.52488</v>
      </c>
      <c r="I13" s="395">
        <v>0.26809163913754847</v>
      </c>
      <c r="J13" s="395">
        <v>4.7552366760649898</v>
      </c>
      <c r="K13" s="395">
        <v>4.3671872287656557</v>
      </c>
      <c r="O13" s="704"/>
      <c r="P13" s="704"/>
      <c r="Q13" s="157"/>
      <c r="R13" s="703"/>
    </row>
    <row r="14" spans="1:19" ht="17.5">
      <c r="A14" s="391" t="s">
        <v>195</v>
      </c>
      <c r="B14" s="699">
        <v>6600</v>
      </c>
      <c r="C14" s="699">
        <v>183731.78999999998</v>
      </c>
      <c r="D14" s="395">
        <v>130.17824184867447</v>
      </c>
      <c r="E14" s="395">
        <v>3859.8675814906514</v>
      </c>
      <c r="F14" s="395">
        <v>4879.3495290770343</v>
      </c>
      <c r="G14" s="699">
        <v>7045</v>
      </c>
      <c r="H14" s="699">
        <v>195639.70074000082</v>
      </c>
      <c r="I14" s="395">
        <v>75.289458026853296</v>
      </c>
      <c r="J14" s="395">
        <v>2342.7226455374571</v>
      </c>
      <c r="K14" s="395">
        <v>1444.0350692913673</v>
      </c>
      <c r="O14" s="704"/>
      <c r="P14" s="704"/>
      <c r="Q14" s="157"/>
      <c r="R14" s="703"/>
    </row>
    <row r="15" spans="1:19" ht="18">
      <c r="A15" s="700" t="s">
        <v>196</v>
      </c>
      <c r="B15" s="701">
        <f>SUM(B7:B14)</f>
        <v>75988</v>
      </c>
      <c r="C15" s="701">
        <f>SUM(C7:C14)</f>
        <v>360061.49</v>
      </c>
      <c r="D15" s="702">
        <f>SUM(D7:D14)</f>
        <v>388.90392095926836</v>
      </c>
      <c r="E15" s="702">
        <f t="shared" ref="E15:K15" si="0">SUM(E7:E14)</f>
        <v>7477.1196527276097</v>
      </c>
      <c r="F15" s="702">
        <f t="shared" si="0"/>
        <v>7211.5967316997103</v>
      </c>
      <c r="G15" s="700">
        <f t="shared" si="0"/>
        <v>85508</v>
      </c>
      <c r="H15" s="701">
        <f t="shared" si="0"/>
        <v>397320.38890000072</v>
      </c>
      <c r="I15" s="702">
        <f t="shared" si="0"/>
        <v>201.61789290159555</v>
      </c>
      <c r="J15" s="702">
        <f t="shared" si="0"/>
        <v>4207.8182714276118</v>
      </c>
      <c r="K15" s="702">
        <f t="shared" si="0"/>
        <v>2016.0912757637686</v>
      </c>
      <c r="L15" s="398"/>
      <c r="O15" s="704"/>
      <c r="P15" s="704"/>
      <c r="Q15" s="157"/>
      <c r="R15" s="711"/>
      <c r="S15" s="383">
        <v>227424</v>
      </c>
    </row>
    <row r="16" spans="1:19" ht="18">
      <c r="A16" s="360" t="s">
        <v>197</v>
      </c>
      <c r="B16" s="387"/>
      <c r="C16" s="387"/>
      <c r="D16" s="387"/>
      <c r="E16" s="387"/>
      <c r="F16" s="475"/>
      <c r="G16" s="387"/>
      <c r="H16" s="387"/>
      <c r="I16" s="387"/>
      <c r="J16" s="387"/>
      <c r="O16" s="707"/>
      <c r="P16" s="707"/>
    </row>
    <row r="17" spans="1:16" ht="18">
      <c r="A17" s="360"/>
      <c r="B17" s="1946" t="s">
        <v>3</v>
      </c>
      <c r="C17" s="1946"/>
      <c r="D17" s="1946"/>
      <c r="E17" s="1946"/>
      <c r="F17" s="1946"/>
      <c r="G17" s="356"/>
      <c r="H17" s="1947" t="s">
        <v>193</v>
      </c>
      <c r="I17" s="1947"/>
      <c r="J17" s="1947"/>
      <c r="K17" s="1947"/>
      <c r="L17" s="1947"/>
      <c r="O17" s="707"/>
      <c r="P17" s="707"/>
    </row>
    <row r="18" spans="1:16" ht="36" customHeight="1">
      <c r="A18" s="360"/>
      <c r="B18" s="1932" t="s">
        <v>198</v>
      </c>
      <c r="C18" s="1934"/>
      <c r="D18" s="1932" t="s">
        <v>199</v>
      </c>
      <c r="E18" s="1934"/>
      <c r="F18" s="1932" t="s">
        <v>200</v>
      </c>
      <c r="G18" s="1934"/>
      <c r="H18" s="1932" t="s">
        <v>198</v>
      </c>
      <c r="I18" s="1934"/>
      <c r="J18" s="1932" t="s">
        <v>199</v>
      </c>
      <c r="K18" s="1934"/>
      <c r="L18" s="1932" t="s">
        <v>200</v>
      </c>
      <c r="M18" s="1934"/>
    </row>
    <row r="19" spans="1:16" ht="74.25" customHeight="1">
      <c r="A19" s="377"/>
      <c r="B19" s="415" t="s">
        <v>143</v>
      </c>
      <c r="C19" s="415" t="s">
        <v>26</v>
      </c>
      <c r="D19" s="415" t="s">
        <v>143</v>
      </c>
      <c r="E19" s="396" t="s">
        <v>26</v>
      </c>
      <c r="F19" s="415" t="s">
        <v>143</v>
      </c>
      <c r="G19" s="396" t="s">
        <v>26</v>
      </c>
      <c r="H19" s="415" t="s">
        <v>143</v>
      </c>
      <c r="I19" s="415" t="s">
        <v>26</v>
      </c>
      <c r="J19" s="415" t="s">
        <v>143</v>
      </c>
      <c r="K19" s="415" t="s">
        <v>26</v>
      </c>
      <c r="L19" s="415" t="s">
        <v>143</v>
      </c>
      <c r="M19" s="415" t="s">
        <v>26</v>
      </c>
    </row>
    <row r="20" spans="1:16" ht="17.5">
      <c r="A20" s="391" t="s">
        <v>194</v>
      </c>
      <c r="B20" s="392"/>
      <c r="C20" s="392"/>
      <c r="D20" s="392"/>
      <c r="E20" s="392"/>
      <c r="F20" s="392"/>
      <c r="G20" s="392"/>
      <c r="H20" s="392"/>
      <c r="I20" s="392"/>
      <c r="J20" s="392"/>
      <c r="K20" s="392"/>
      <c r="L20" s="392"/>
      <c r="M20" s="392"/>
    </row>
    <row r="21" spans="1:16" ht="17.5">
      <c r="A21" s="394">
        <v>1</v>
      </c>
      <c r="B21" s="1607">
        <v>741.40000000000009</v>
      </c>
      <c r="C21" s="1608">
        <v>0.9486027752182552</v>
      </c>
      <c r="D21" s="368"/>
      <c r="E21" s="368"/>
      <c r="F21" s="1607">
        <v>606.6</v>
      </c>
      <c r="G21" s="1608">
        <v>0.77612954336039053</v>
      </c>
      <c r="H21" s="1607">
        <v>891.00000000000011</v>
      </c>
      <c r="I21" s="1608">
        <v>0.51597740609295895</v>
      </c>
      <c r="J21" s="368"/>
      <c r="K21" s="368"/>
      <c r="L21" s="1607">
        <v>729</v>
      </c>
      <c r="M21" s="1608">
        <v>0.42216333225787545</v>
      </c>
    </row>
    <row r="22" spans="1:16" ht="17.5">
      <c r="A22" s="394">
        <v>2</v>
      </c>
      <c r="B22" s="1607">
        <v>3810.4</v>
      </c>
      <c r="C22" s="1608">
        <v>8.870068152034257</v>
      </c>
      <c r="D22" s="368"/>
      <c r="E22" s="368"/>
      <c r="F22" s="1607">
        <v>3117.6</v>
      </c>
      <c r="G22" s="1608">
        <v>7.257328488028028</v>
      </c>
      <c r="H22" s="1607">
        <v>4071.1000000000004</v>
      </c>
      <c r="I22" s="1608">
        <v>4.073420186975091</v>
      </c>
      <c r="J22" s="368"/>
      <c r="K22" s="368"/>
      <c r="L22" s="1607">
        <v>3330.9</v>
      </c>
      <c r="M22" s="1608">
        <v>3.3327983347978019</v>
      </c>
    </row>
    <row r="23" spans="1:16" ht="17.5">
      <c r="A23" s="394">
        <v>3</v>
      </c>
      <c r="B23" s="1607">
        <v>29293.550000000003</v>
      </c>
      <c r="C23" s="1608">
        <v>116.91067457905456</v>
      </c>
      <c r="D23" s="368"/>
      <c r="E23" s="368"/>
      <c r="F23" s="1607">
        <v>23967.45</v>
      </c>
      <c r="G23" s="1608">
        <v>95.65418829195373</v>
      </c>
      <c r="H23" s="1607">
        <v>33028.600000000006</v>
      </c>
      <c r="I23" s="1608">
        <v>57.320685839023504</v>
      </c>
      <c r="J23" s="368"/>
      <c r="K23" s="368"/>
      <c r="L23" s="1607">
        <v>27023.4</v>
      </c>
      <c r="M23" s="1608">
        <v>46.898742959201044</v>
      </c>
    </row>
    <row r="24" spans="1:16" ht="17.5">
      <c r="A24" s="394">
        <v>4</v>
      </c>
      <c r="B24" s="1607">
        <v>3922.6000000000004</v>
      </c>
      <c r="C24" s="1608">
        <v>12.843937379907501</v>
      </c>
      <c r="D24" s="368"/>
      <c r="E24" s="368"/>
      <c r="F24" s="1607">
        <v>3209.4</v>
      </c>
      <c r="G24" s="1608">
        <v>10.508676038106136</v>
      </c>
      <c r="H24" s="1607">
        <v>4644.75</v>
      </c>
      <c r="I24" s="1608">
        <v>5.8806424416020855</v>
      </c>
      <c r="J24" s="368"/>
      <c r="K24" s="368"/>
      <c r="L24" s="1607">
        <v>3800.25</v>
      </c>
      <c r="M24" s="1608">
        <v>4.8114347249471603</v>
      </c>
    </row>
    <row r="25" spans="1:16" ht="17.5">
      <c r="A25" s="394">
        <v>5</v>
      </c>
      <c r="B25" s="1607">
        <v>142.45000000000002</v>
      </c>
      <c r="C25" s="1608">
        <v>0.94140333185943526</v>
      </c>
      <c r="D25" s="368"/>
      <c r="E25" s="368"/>
      <c r="F25" s="1607">
        <v>116.55</v>
      </c>
      <c r="G25" s="1608">
        <v>0.77023908970317423</v>
      </c>
      <c r="H25" s="1607">
        <v>230.45000000000002</v>
      </c>
      <c r="I25" s="1608">
        <v>0.59443148233485144</v>
      </c>
      <c r="J25" s="368"/>
      <c r="K25" s="368"/>
      <c r="L25" s="1607">
        <v>188.55</v>
      </c>
      <c r="M25" s="1608">
        <v>0.48635303100124205</v>
      </c>
    </row>
    <row r="26" spans="1:16" ht="17.5">
      <c r="A26" s="394">
        <v>6</v>
      </c>
      <c r="B26" s="1607">
        <v>227.15</v>
      </c>
      <c r="C26" s="1608">
        <v>1.5237218217588906</v>
      </c>
      <c r="D26" s="368"/>
      <c r="E26" s="368"/>
      <c r="F26" s="1607">
        <v>185.85</v>
      </c>
      <c r="G26" s="1608">
        <v>1.2466814905300012</v>
      </c>
      <c r="H26" s="1607">
        <v>260.70000000000005</v>
      </c>
      <c r="I26" s="1608">
        <v>0.94803142355409997</v>
      </c>
      <c r="J26" s="368"/>
      <c r="K26" s="368"/>
      <c r="L26" s="1607">
        <v>213.3</v>
      </c>
      <c r="M26" s="1608">
        <v>0.77566207381699082</v>
      </c>
    </row>
    <row r="27" spans="1:16" ht="17.5">
      <c r="A27" s="394">
        <v>7</v>
      </c>
      <c r="B27" s="1607">
        <v>25.85</v>
      </c>
      <c r="C27" s="1608">
        <v>0.2607154709937467</v>
      </c>
      <c r="D27" s="368"/>
      <c r="E27" s="368"/>
      <c r="F27" s="1607">
        <v>21.150000000000002</v>
      </c>
      <c r="G27" s="1608">
        <v>0.21331265808579275</v>
      </c>
      <c r="H27" s="1607">
        <v>28.05</v>
      </c>
      <c r="I27" s="1608">
        <v>0.14745040152565167</v>
      </c>
      <c r="J27" s="368"/>
      <c r="K27" s="368"/>
      <c r="L27" s="1607">
        <v>22.95</v>
      </c>
      <c r="M27" s="1608">
        <v>0.12064123761189681</v>
      </c>
    </row>
    <row r="28" spans="1:16" ht="18" customHeight="1">
      <c r="A28" s="391" t="s">
        <v>195</v>
      </c>
      <c r="B28" s="1607">
        <v>3630.0000000000005</v>
      </c>
      <c r="C28" s="1608">
        <v>71.59803301677097</v>
      </c>
      <c r="D28" s="368"/>
      <c r="E28" s="368"/>
      <c r="F28" s="1607">
        <v>2970</v>
      </c>
      <c r="G28" s="1608">
        <v>58.580208831903512</v>
      </c>
      <c r="H28" s="1607">
        <v>3874.7500000000005</v>
      </c>
      <c r="I28" s="1608">
        <v>41.409201914769319</v>
      </c>
      <c r="J28" s="368"/>
      <c r="K28" s="368"/>
      <c r="L28" s="1607">
        <v>3170.25</v>
      </c>
      <c r="M28" s="1608">
        <v>33.880256112083984</v>
      </c>
    </row>
    <row r="29" spans="1:16" s="383" customFormat="1" ht="18">
      <c r="A29" s="700" t="s">
        <v>196</v>
      </c>
      <c r="B29" s="1609">
        <f>SUM(B21:B28)</f>
        <v>41793.4</v>
      </c>
      <c r="C29" s="1610">
        <f t="shared" ref="C29:I29" si="1">SUM(C21:C28)</f>
        <v>213.89715652759764</v>
      </c>
      <c r="D29" s="1552"/>
      <c r="E29" s="1552"/>
      <c r="F29" s="1609">
        <f t="shared" si="1"/>
        <v>34194.600000000006</v>
      </c>
      <c r="G29" s="1610">
        <f t="shared" si="1"/>
        <v>175.00676443167075</v>
      </c>
      <c r="H29" s="1609">
        <f t="shared" si="1"/>
        <v>47029.4</v>
      </c>
      <c r="I29" s="1610">
        <f t="shared" si="1"/>
        <v>110.88984109587756</v>
      </c>
      <c r="J29" s="1552"/>
      <c r="K29" s="1552"/>
      <c r="L29" s="1609">
        <f>SUM(L21:L28)</f>
        <v>38478.600000000006</v>
      </c>
      <c r="M29" s="1610">
        <f>SUM(M21:M28)</f>
        <v>90.728051805717996</v>
      </c>
      <c r="O29" s="719"/>
      <c r="P29" s="720"/>
    </row>
    <row r="30" spans="1:16" ht="17.5">
      <c r="A30" s="397"/>
      <c r="B30" s="397"/>
      <c r="C30" s="387"/>
      <c r="D30" s="397"/>
      <c r="E30" s="397"/>
      <c r="F30" s="397"/>
    </row>
    <row r="31" spans="1:16" ht="17.5">
      <c r="A31" s="397"/>
      <c r="B31" s="397"/>
      <c r="C31" s="387"/>
      <c r="D31" s="397"/>
      <c r="E31" s="397"/>
      <c r="F31" s="397"/>
      <c r="J31" s="398"/>
    </row>
    <row r="32" spans="1:16" ht="17.5">
      <c r="A32" s="387"/>
      <c r="B32" s="359"/>
      <c r="C32" s="359"/>
      <c r="D32" s="387"/>
      <c r="E32" s="397"/>
      <c r="F32" s="359"/>
      <c r="J32" s="398"/>
    </row>
    <row r="33" spans="1:8" ht="17.5">
      <c r="A33" s="397"/>
      <c r="B33" s="359"/>
      <c r="C33" s="359"/>
      <c r="D33" s="387"/>
      <c r="E33" s="397"/>
      <c r="F33" s="359"/>
      <c r="H33" s="398"/>
    </row>
    <row r="34" spans="1:8" ht="17.5">
      <c r="A34" s="397"/>
      <c r="B34" s="359"/>
      <c r="C34" s="359"/>
      <c r="D34" s="387"/>
      <c r="E34" s="397"/>
      <c r="F34" s="359"/>
      <c r="H34" s="398"/>
    </row>
    <row r="35" spans="1:8" ht="17.5">
      <c r="A35" s="397"/>
      <c r="B35" s="359"/>
      <c r="C35" s="359"/>
      <c r="D35" s="387"/>
      <c r="E35" s="397"/>
      <c r="F35" s="359"/>
      <c r="H35" s="398"/>
    </row>
    <row r="36" spans="1:8" ht="17.5">
      <c r="A36" s="397"/>
      <c r="B36" s="359"/>
      <c r="C36" s="359"/>
      <c r="D36" s="387"/>
      <c r="E36" s="397"/>
      <c r="F36" s="359"/>
      <c r="H36" s="398"/>
    </row>
    <row r="37" spans="1:8" ht="17.5">
      <c r="A37" s="397"/>
      <c r="B37" s="359"/>
      <c r="C37" s="359"/>
      <c r="D37" s="387"/>
      <c r="E37" s="397"/>
      <c r="F37" s="359"/>
      <c r="H37" s="398"/>
    </row>
    <row r="38" spans="1:8" ht="17.5">
      <c r="A38" s="397"/>
      <c r="B38" s="359"/>
      <c r="C38" s="359"/>
      <c r="D38" s="387"/>
      <c r="E38" s="397"/>
      <c r="F38" s="359"/>
      <c r="H38" s="398"/>
    </row>
    <row r="39" spans="1:8" ht="17.5">
      <c r="A39" s="397"/>
      <c r="B39" s="359"/>
      <c r="C39" s="359"/>
      <c r="D39" s="387"/>
      <c r="E39" s="397"/>
      <c r="F39" s="359"/>
      <c r="H39" s="398"/>
    </row>
    <row r="40" spans="1:8" ht="17.5">
      <c r="A40" s="387"/>
      <c r="B40" s="387"/>
      <c r="C40" s="387"/>
      <c r="D40" s="387"/>
      <c r="E40" s="397"/>
      <c r="F40" s="397"/>
      <c r="G40" s="397"/>
      <c r="H40" s="398"/>
    </row>
    <row r="41" spans="1:8" ht="17.5">
      <c r="A41" s="387"/>
      <c r="B41" s="387"/>
      <c r="C41" s="708"/>
      <c r="D41" s="387"/>
      <c r="E41" s="709"/>
      <c r="F41" s="709"/>
      <c r="G41" s="398"/>
      <c r="H41" s="398"/>
    </row>
    <row r="42" spans="1:8" ht="17.5">
      <c r="A42" s="399"/>
      <c r="B42" s="387"/>
      <c r="C42" s="387"/>
      <c r="D42" s="387"/>
      <c r="E42" s="387"/>
      <c r="F42" s="387"/>
      <c r="H42" s="398"/>
    </row>
    <row r="43" spans="1:8">
      <c r="H43" s="398"/>
    </row>
    <row r="44" spans="1:8">
      <c r="H44" s="398"/>
    </row>
    <row r="45" spans="1:8">
      <c r="B45" s="157"/>
      <c r="C45" s="157"/>
      <c r="H45" s="398"/>
    </row>
    <row r="46" spans="1:8">
      <c r="G46" s="224"/>
      <c r="H46" s="398"/>
    </row>
    <row r="47" spans="1:8">
      <c r="G47" s="224"/>
      <c r="H47" s="398"/>
    </row>
    <row r="48" spans="1:8">
      <c r="B48" s="707"/>
      <c r="C48" s="707"/>
      <c r="D48" s="707"/>
      <c r="E48" s="707"/>
    </row>
    <row r="49" spans="2:5">
      <c r="B49" s="707"/>
      <c r="C49" s="707"/>
      <c r="D49" s="707"/>
      <c r="E49" s="707"/>
    </row>
    <row r="50" spans="2:5">
      <c r="B50" s="707"/>
      <c r="C50" s="707"/>
      <c r="D50" s="707"/>
      <c r="E50" s="707"/>
    </row>
    <row r="51" spans="2:5">
      <c r="B51" s="707"/>
      <c r="C51" s="707"/>
      <c r="D51" s="707"/>
      <c r="E51" s="707"/>
    </row>
    <row r="52" spans="2:5">
      <c r="B52" s="707"/>
      <c r="C52" s="707"/>
      <c r="D52" s="707"/>
      <c r="E52" s="707"/>
    </row>
    <row r="53" spans="2:5">
      <c r="B53" s="707"/>
      <c r="C53" s="707"/>
      <c r="D53" s="707"/>
      <c r="E53" s="707"/>
    </row>
    <row r="54" spans="2:5">
      <c r="B54" s="707"/>
      <c r="C54" s="707"/>
      <c r="D54" s="707"/>
      <c r="E54" s="707"/>
    </row>
    <row r="55" spans="2:5">
      <c r="B55" s="707"/>
      <c r="C55" s="707"/>
      <c r="D55" s="707"/>
      <c r="E55" s="707"/>
    </row>
    <row r="56" spans="2:5">
      <c r="B56" s="707"/>
      <c r="C56" s="707"/>
      <c r="D56" s="707"/>
      <c r="E56" s="707"/>
    </row>
    <row r="61" spans="2:5">
      <c r="B61" s="707"/>
    </row>
  </sheetData>
  <mergeCells count="10">
    <mergeCell ref="B4:F4"/>
    <mergeCell ref="G4:K4"/>
    <mergeCell ref="B17:F17"/>
    <mergeCell ref="H17:L17"/>
    <mergeCell ref="B18:C18"/>
    <mergeCell ref="D18:E18"/>
    <mergeCell ref="F18:G18"/>
    <mergeCell ref="H18:I18"/>
    <mergeCell ref="J18:K18"/>
    <mergeCell ref="L18:M18"/>
  </mergeCells>
  <printOptions horizontalCentered="1"/>
  <pageMargins left="0.39370078740157483" right="0.31496062992125984" top="0.62992125984251968" bottom="0.47244094488188981" header="0.51181102362204722" footer="0.51181102362204722"/>
  <pageSetup paperSize="9" scale="59" orientation="landscape" errors="blank" r:id="rId1"/>
  <headerFooter alignWithMargins="0">
    <oddFooter>&amp;R&amp;"Arial,Bold"&amp;12OERC FORM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U274"/>
  <sheetViews>
    <sheetView showGridLines="0" view="pageBreakPreview" topLeftCell="A32" zoomScale="80" zoomScaleSheetLayoutView="80" workbookViewId="0">
      <selection activeCell="J40" sqref="J40"/>
    </sheetView>
  </sheetViews>
  <sheetFormatPr defaultColWidth="14.7265625" defaultRowHeight="25"/>
  <cols>
    <col min="1" max="1" width="6.453125" style="38" customWidth="1"/>
    <col min="2" max="2" width="34" style="38" customWidth="1"/>
    <col min="3" max="3" width="11.7265625" style="38" customWidth="1"/>
    <col min="4" max="4" width="10.81640625" style="38" customWidth="1"/>
    <col min="5" max="5" width="11.26953125" style="38" customWidth="1"/>
    <col min="6" max="6" width="10.26953125" style="38" customWidth="1"/>
    <col min="7" max="7" width="11" style="38" customWidth="1"/>
    <col min="8" max="8" width="12.26953125" style="38" customWidth="1"/>
    <col min="9" max="9" width="12.7265625" style="38" customWidth="1"/>
    <col min="10" max="10" width="12.26953125" style="38" customWidth="1"/>
    <col min="11" max="11" width="14.7265625" style="156" customWidth="1"/>
    <col min="12" max="12" width="18.81640625" style="38" bestFit="1" customWidth="1"/>
    <col min="13" max="16384" width="14.7265625" style="38"/>
  </cols>
  <sheetData>
    <row r="1" spans="1:99">
      <c r="H1" s="40" t="s">
        <v>0</v>
      </c>
      <c r="I1" s="63" t="s">
        <v>201</v>
      </c>
    </row>
    <row r="2" spans="1:99">
      <c r="B2" s="60" t="s">
        <v>104</v>
      </c>
    </row>
    <row r="3" spans="1:99">
      <c r="B3" s="273" t="s">
        <v>202</v>
      </c>
      <c r="F3" s="180"/>
      <c r="G3" s="180"/>
    </row>
    <row r="4" spans="1:99">
      <c r="B4" s="63" t="s">
        <v>203</v>
      </c>
      <c r="H4" s="274"/>
    </row>
    <row r="5" spans="1:99">
      <c r="C5" s="1951" t="s">
        <v>2279</v>
      </c>
      <c r="D5" s="1951"/>
      <c r="E5" s="1951"/>
      <c r="F5" s="1951"/>
      <c r="G5" s="1951"/>
      <c r="H5" s="1951"/>
    </row>
    <row r="6" spans="1:99" ht="15" customHeight="1"/>
    <row r="7" spans="1:99" ht="20.25" customHeight="1">
      <c r="A7" s="1948" t="s">
        <v>204</v>
      </c>
      <c r="B7" s="1948" t="s">
        <v>205</v>
      </c>
      <c r="C7" s="1948" t="s">
        <v>2591</v>
      </c>
      <c r="D7" s="1948" t="s">
        <v>2592</v>
      </c>
      <c r="E7" s="1948" t="s">
        <v>2593</v>
      </c>
      <c r="F7" s="1948" t="s">
        <v>2594</v>
      </c>
      <c r="G7" s="1948" t="s">
        <v>2595</v>
      </c>
      <c r="H7" s="1948" t="s">
        <v>2596</v>
      </c>
      <c r="I7" s="1948" t="s">
        <v>2597</v>
      </c>
      <c r="J7" s="1948" t="s">
        <v>206</v>
      </c>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row>
    <row r="8" spans="1:99" ht="28.5" customHeight="1">
      <c r="A8" s="1949"/>
      <c r="B8" s="1949"/>
      <c r="C8" s="1949"/>
      <c r="D8" s="1949"/>
      <c r="E8" s="1949"/>
      <c r="F8" s="1949"/>
      <c r="G8" s="1949"/>
      <c r="H8" s="1949"/>
      <c r="I8" s="1949"/>
      <c r="J8" s="1949" t="s">
        <v>207</v>
      </c>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row>
    <row r="9" spans="1:99" ht="36" customHeight="1">
      <c r="A9" s="1950"/>
      <c r="B9" s="1950"/>
      <c r="C9" s="1950"/>
      <c r="D9" s="1950"/>
      <c r="E9" s="1950"/>
      <c r="F9" s="1950"/>
      <c r="G9" s="1950"/>
      <c r="H9" s="1950"/>
      <c r="I9" s="1950"/>
      <c r="J9" s="1950"/>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row>
    <row r="10" spans="1:99" ht="21.75" customHeight="1">
      <c r="A10" s="1523"/>
      <c r="B10" s="1499" t="s">
        <v>165</v>
      </c>
      <c r="C10" s="1524"/>
      <c r="D10" s="1524"/>
      <c r="E10" s="1523"/>
      <c r="F10" s="1523"/>
      <c r="G10" s="1523"/>
      <c r="H10" s="1499"/>
      <c r="I10" s="1523"/>
      <c r="J10" s="1523"/>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row>
    <row r="11" spans="1:99" ht="20.149999999999999" customHeight="1">
      <c r="A11" s="624">
        <v>1</v>
      </c>
      <c r="B11" s="1273" t="s">
        <v>166</v>
      </c>
      <c r="C11" s="624"/>
      <c r="D11" s="624"/>
      <c r="E11" s="624"/>
      <c r="F11" s="624"/>
      <c r="G11" s="624"/>
      <c r="H11" s="624"/>
      <c r="I11" s="624"/>
      <c r="J11" s="624"/>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row>
    <row r="12" spans="1:99" ht="20.149999999999999" customHeight="1">
      <c r="A12" s="624" t="s">
        <v>167</v>
      </c>
      <c r="B12" s="1273" t="s">
        <v>168</v>
      </c>
      <c r="C12" s="1639">
        <v>0.6954321</v>
      </c>
      <c r="D12" s="1639">
        <v>0.68989999999999996</v>
      </c>
      <c r="E12" s="1639">
        <v>1.3535999999999999</v>
      </c>
      <c r="F12" s="1639">
        <v>4.4623999999999997</v>
      </c>
      <c r="G12" s="1639">
        <v>2.9540000000000002</v>
      </c>
      <c r="H12" s="1264">
        <f>'T-2(22-23)'!E43</f>
        <v>10.155375318092499</v>
      </c>
      <c r="I12" s="1448">
        <f>'T-2(22-23)'!K39+'T-2(22-23)'!K20</f>
        <v>286.02941568763862</v>
      </c>
      <c r="J12" s="1507">
        <f>I12/H12*10</f>
        <v>281.65321982542343</v>
      </c>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row>
    <row r="13" spans="1:99" ht="20.149999999999999" customHeight="1">
      <c r="A13" s="624" t="s">
        <v>169</v>
      </c>
      <c r="B13" s="1273" t="s">
        <v>49</v>
      </c>
      <c r="C13" s="1639">
        <f>403.0408+2.8946</f>
        <v>405.93540000000002</v>
      </c>
      <c r="D13" s="1639">
        <f>270.5935+0.5782</f>
        <v>271.17169999999999</v>
      </c>
      <c r="E13" s="1639">
        <f>331.2093+4.963</f>
        <v>336.17230000000001</v>
      </c>
      <c r="F13" s="1639">
        <f>334.6497+0.3004</f>
        <v>334.95010000000002</v>
      </c>
      <c r="G13" s="1639">
        <f>241.4993+0.5238</f>
        <v>242.0231</v>
      </c>
      <c r="H13" s="1264"/>
      <c r="I13" s="1448"/>
      <c r="J13" s="1507"/>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row>
    <row r="14" spans="1:99" ht="20.149999999999999" customHeight="1">
      <c r="A14" s="624"/>
      <c r="B14" s="1273" t="s">
        <v>170</v>
      </c>
      <c r="C14" s="694"/>
      <c r="D14" s="694"/>
      <c r="E14" s="694"/>
      <c r="F14" s="694"/>
      <c r="G14" s="694"/>
      <c r="H14" s="694">
        <f>'T-2(22-23)'!F43</f>
        <v>411.77046728493838</v>
      </c>
      <c r="I14" s="1448"/>
      <c r="J14" s="1448"/>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row>
    <row r="15" spans="1:99" ht="20.149999999999999" customHeight="1">
      <c r="A15" s="624"/>
      <c r="B15" s="1273" t="s">
        <v>52</v>
      </c>
      <c r="C15" s="694"/>
      <c r="D15" s="694"/>
      <c r="E15" s="694"/>
      <c r="F15" s="694"/>
      <c r="G15" s="694"/>
      <c r="H15" s="694">
        <f>'T-2(22-23)'!G43</f>
        <v>632.82246395604056</v>
      </c>
      <c r="I15" s="1448"/>
      <c r="J15" s="1448"/>
      <c r="K15" s="400"/>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row>
    <row r="16" spans="1:99" ht="20.149999999999999" customHeight="1">
      <c r="A16" s="624"/>
      <c r="B16" s="1273" t="s">
        <v>53</v>
      </c>
      <c r="C16" s="694"/>
      <c r="D16" s="694"/>
      <c r="E16" s="694"/>
      <c r="F16" s="694"/>
      <c r="G16" s="694"/>
      <c r="H16" s="694">
        <f>'T-2(22-23)'!H43</f>
        <v>246.5514213189908</v>
      </c>
      <c r="I16" s="1448"/>
      <c r="J16" s="1448"/>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row>
    <row r="17" spans="1:99" ht="20.149999999999999" customHeight="1">
      <c r="A17" s="624"/>
      <c r="B17" s="1273" t="s">
        <v>54</v>
      </c>
      <c r="C17" s="694"/>
      <c r="D17" s="694"/>
      <c r="E17" s="694"/>
      <c r="F17" s="694"/>
      <c r="G17" s="694"/>
      <c r="H17" s="694">
        <f>('T-2(22-23)'!I43)</f>
        <v>299.10833631907815</v>
      </c>
      <c r="I17" s="1448"/>
      <c r="J17" s="1448"/>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row>
    <row r="18" spans="1:99" ht="20.149999999999999" customHeight="1">
      <c r="A18" s="624"/>
      <c r="B18" s="1273"/>
      <c r="C18" s="694"/>
      <c r="D18" s="694"/>
      <c r="E18" s="694"/>
      <c r="F18" s="694"/>
      <c r="G18" s="694"/>
      <c r="H18" s="1264">
        <f>SUM(H14:H17)</f>
        <v>1590.252688879048</v>
      </c>
      <c r="I18" s="1283">
        <f>('T-2(22-23)'!K43)</f>
        <v>75117.207512991066</v>
      </c>
      <c r="J18" s="1507">
        <f>I18/H18*10</f>
        <v>472.36019808864694</v>
      </c>
      <c r="K18" s="1625"/>
      <c r="L18" s="625"/>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row>
    <row r="19" spans="1:99" ht="20.149999999999999" customHeight="1">
      <c r="A19" s="624"/>
      <c r="B19" s="1274" t="s">
        <v>171</v>
      </c>
      <c r="C19" s="1264">
        <f t="shared" ref="C19:G19" si="0">SUM(C12:C18)</f>
        <v>406.63083210000002</v>
      </c>
      <c r="D19" s="1264">
        <f t="shared" si="0"/>
        <v>271.86160000000001</v>
      </c>
      <c r="E19" s="1264">
        <f t="shared" si="0"/>
        <v>337.52589999999998</v>
      </c>
      <c r="F19" s="1264">
        <f t="shared" si="0"/>
        <v>339.41250000000002</v>
      </c>
      <c r="G19" s="1264">
        <f t="shared" si="0"/>
        <v>244.97710000000001</v>
      </c>
      <c r="H19" s="1264">
        <f>H12+H18</f>
        <v>1600.4080641971404</v>
      </c>
      <c r="I19" s="1283">
        <f>I12+I18</f>
        <v>75403.2369286787</v>
      </c>
      <c r="J19" s="1359">
        <f>I19/H19*10</f>
        <v>471.1500686326861</v>
      </c>
      <c r="K19" s="210"/>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46"/>
      <c r="CQ19" s="346"/>
      <c r="CR19" s="346"/>
      <c r="CS19" s="346"/>
      <c r="CT19" s="346"/>
      <c r="CU19" s="346"/>
    </row>
    <row r="20" spans="1:99" ht="20.149999999999999" customHeight="1">
      <c r="A20" s="624">
        <v>2</v>
      </c>
      <c r="B20" s="1273" t="s">
        <v>172</v>
      </c>
      <c r="C20" s="694">
        <v>129.639477</v>
      </c>
      <c r="D20" s="694">
        <v>51.933095999999999</v>
      </c>
      <c r="E20" s="694">
        <v>105.02253</v>
      </c>
      <c r="F20" s="694">
        <v>74.06756</v>
      </c>
      <c r="G20" s="694">
        <v>60.592716000000003</v>
      </c>
      <c r="H20" s="694">
        <f>'T-3(22-23)'!H33</f>
        <v>421.25538262262091</v>
      </c>
      <c r="I20" s="1448">
        <f>'T-3(22-23)'!I33</f>
        <v>31564.980584916804</v>
      </c>
      <c r="J20" s="1507">
        <f>I20/H20*10</f>
        <v>749.3074720707865</v>
      </c>
      <c r="K20" s="210"/>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c r="CF20" s="346"/>
      <c r="CG20" s="346"/>
      <c r="CH20" s="346"/>
      <c r="CI20" s="346"/>
      <c r="CJ20" s="346"/>
      <c r="CK20" s="346"/>
      <c r="CL20" s="346"/>
      <c r="CM20" s="346"/>
      <c r="CN20" s="346"/>
      <c r="CO20" s="346"/>
      <c r="CP20" s="346"/>
      <c r="CQ20" s="346"/>
      <c r="CR20" s="346"/>
      <c r="CS20" s="346"/>
      <c r="CT20" s="346"/>
      <c r="CU20" s="346"/>
    </row>
    <row r="21" spans="1:99" ht="20.149999999999999" customHeight="1">
      <c r="A21" s="624"/>
      <c r="B21" s="1273" t="s">
        <v>57</v>
      </c>
      <c r="C21" s="694"/>
      <c r="D21" s="694"/>
      <c r="E21" s="694"/>
      <c r="F21" s="694"/>
      <c r="G21" s="694"/>
      <c r="H21" s="694"/>
      <c r="I21" s="1448"/>
      <c r="J21" s="1507"/>
      <c r="K21" s="210"/>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row>
    <row r="22" spans="1:99" ht="20.149999999999999" customHeight="1">
      <c r="A22" s="624"/>
      <c r="B22" s="1273" t="s">
        <v>58</v>
      </c>
      <c r="C22" s="694"/>
      <c r="D22" s="694"/>
      <c r="E22" s="694"/>
      <c r="F22" s="694"/>
      <c r="G22" s="694"/>
      <c r="H22" s="694">
        <f>'T-3(22-23)'!E33</f>
        <v>38.137794031436307</v>
      </c>
      <c r="I22" s="1448"/>
      <c r="J22" s="1507"/>
      <c r="K22" s="210"/>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row>
    <row r="23" spans="1:99" ht="20.149999999999999" customHeight="1">
      <c r="A23" s="624"/>
      <c r="B23" s="1273" t="s">
        <v>59</v>
      </c>
      <c r="C23" s="694"/>
      <c r="D23" s="694"/>
      <c r="E23" s="694"/>
      <c r="F23" s="694"/>
      <c r="G23" s="694"/>
      <c r="H23" s="694">
        <f>'T-3(22-23)'!F33</f>
        <v>53.045925314074886</v>
      </c>
      <c r="I23" s="1448"/>
      <c r="J23" s="1507"/>
      <c r="K23" s="210"/>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row>
    <row r="24" spans="1:99" ht="20.149999999999999" customHeight="1">
      <c r="A24" s="624"/>
      <c r="B24" s="1273" t="s">
        <v>60</v>
      </c>
      <c r="C24" s="694"/>
      <c r="D24" s="694"/>
      <c r="E24" s="694"/>
      <c r="F24" s="694"/>
      <c r="G24" s="694"/>
      <c r="H24" s="694">
        <f>'T-3(22-23)'!G33</f>
        <v>330.07166327710979</v>
      </c>
      <c r="I24" s="1448"/>
      <c r="J24" s="1507"/>
      <c r="K24" s="210"/>
      <c r="L24" s="346"/>
      <c r="M24" s="346"/>
      <c r="N24" s="346"/>
      <c r="O24" s="346"/>
      <c r="P24" s="346"/>
      <c r="Q24" s="346"/>
      <c r="R24" s="346"/>
      <c r="S24" s="346"/>
      <c r="T24" s="346"/>
      <c r="U24" s="346"/>
      <c r="V24" s="346"/>
      <c r="W24" s="346"/>
      <c r="X24" s="346"/>
      <c r="Y24" s="346"/>
      <c r="Z24" s="346"/>
      <c r="AA24" s="346"/>
      <c r="AB24" s="174"/>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CU24" s="346"/>
    </row>
    <row r="25" spans="1:99" ht="20.149999999999999" customHeight="1">
      <c r="A25" s="624"/>
      <c r="B25" s="1274" t="s">
        <v>173</v>
      </c>
      <c r="C25" s="1264">
        <f>SUM(C20:C24)</f>
        <v>129.639477</v>
      </c>
      <c r="D25" s="1264">
        <f t="shared" ref="D25:G25" si="1">SUM(D20:D24)</f>
        <v>51.933095999999999</v>
      </c>
      <c r="E25" s="1264">
        <f t="shared" si="1"/>
        <v>105.02253</v>
      </c>
      <c r="F25" s="1264">
        <f t="shared" si="1"/>
        <v>74.06756</v>
      </c>
      <c r="G25" s="1264">
        <f t="shared" si="1"/>
        <v>60.592716000000003</v>
      </c>
      <c r="H25" s="1264">
        <f>SUM(C25:G25)</f>
        <v>421.255379</v>
      </c>
      <c r="I25" s="1283">
        <f>SUM(I20:I24)</f>
        <v>31564.980584916804</v>
      </c>
      <c r="J25" s="1359">
        <f>I25/H25*10</f>
        <v>749.30747851451895</v>
      </c>
      <c r="K25" s="210"/>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row>
    <row r="26" spans="1:99" ht="20.149999999999999" customHeight="1">
      <c r="A26" s="624">
        <v>3</v>
      </c>
      <c r="B26" s="1273" t="s">
        <v>62</v>
      </c>
      <c r="C26" s="694">
        <f>38.126+0.0845</f>
        <v>38.210499999999996</v>
      </c>
      <c r="D26" s="694">
        <f>119.2708+0.5309</f>
        <v>119.8017</v>
      </c>
      <c r="E26" s="694">
        <f>18.813+0.00162</f>
        <v>18.814619999999998</v>
      </c>
      <c r="F26" s="694">
        <f>86.8454+0.0178</f>
        <v>86.863199999999992</v>
      </c>
      <c r="G26" s="694">
        <v>46.292400000000001</v>
      </c>
      <c r="H26" s="694">
        <f>'T-5'!D15-H27-H28-H40-H41-H42</f>
        <v>309.98265355926839</v>
      </c>
      <c r="I26" s="1448">
        <f>'T-5'!E15-I27-I28-I40-I41-I42</f>
        <v>4592.8529097276096</v>
      </c>
      <c r="J26" s="1507">
        <f>I26/H26*10</f>
        <v>148.16483622524575</v>
      </c>
      <c r="K26" s="210"/>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row>
    <row r="27" spans="1:99" ht="20.149999999999999" customHeight="1">
      <c r="A27" s="624">
        <v>4</v>
      </c>
      <c r="B27" s="1273" t="s">
        <v>63</v>
      </c>
      <c r="C27" s="694">
        <v>2.3769999999999998</v>
      </c>
      <c r="D27" s="694">
        <v>1.2750999999999999</v>
      </c>
      <c r="E27" s="694">
        <v>0.69830000000000003</v>
      </c>
      <c r="F27" s="694">
        <v>3.2711000000000001</v>
      </c>
      <c r="G27" s="694">
        <v>1.3655999999999999</v>
      </c>
      <c r="H27" s="694">
        <f t="shared" ref="H27:H32" si="2">SUM(C27:G27)</f>
        <v>8.9870999999999999</v>
      </c>
      <c r="I27" s="1448">
        <f>163.415873</f>
        <v>163.415873</v>
      </c>
      <c r="J27" s="1507">
        <f>I27/H27*10</f>
        <v>181.83382069855682</v>
      </c>
      <c r="K27" s="210"/>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row>
    <row r="28" spans="1:99" ht="20.149999999999999" customHeight="1">
      <c r="A28" s="624">
        <v>5</v>
      </c>
      <c r="B28" s="1273" t="s">
        <v>64</v>
      </c>
      <c r="C28" s="694">
        <v>0.26046599999999998</v>
      </c>
      <c r="D28" s="694">
        <v>0.446579</v>
      </c>
      <c r="E28" s="694">
        <v>0.54535500000000003</v>
      </c>
      <c r="F28" s="694">
        <v>1.0145599999999999</v>
      </c>
      <c r="G28" s="694">
        <v>0.18824840000000001</v>
      </c>
      <c r="H28" s="694">
        <f t="shared" si="2"/>
        <v>2.4552084000000001</v>
      </c>
      <c r="I28" s="1448">
        <v>138.2543</v>
      </c>
      <c r="J28" s="1507">
        <f t="shared" ref="J28:J34" si="3">I28/H28*10</f>
        <v>563.10617053933174</v>
      </c>
      <c r="K28" s="210"/>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row>
    <row r="29" spans="1:99" ht="20.149999999999999" customHeight="1">
      <c r="A29" s="624">
        <v>6</v>
      </c>
      <c r="B29" s="1273" t="s">
        <v>65</v>
      </c>
      <c r="C29" s="694">
        <v>15.325699999999999</v>
      </c>
      <c r="D29" s="694">
        <v>3.93771</v>
      </c>
      <c r="E29" s="694">
        <v>13.727104000000001</v>
      </c>
      <c r="F29" s="694">
        <v>10.68906</v>
      </c>
      <c r="G29" s="694">
        <v>5.6161810000000001</v>
      </c>
      <c r="H29" s="694">
        <f t="shared" si="2"/>
        <v>49.295755</v>
      </c>
      <c r="I29" s="1448">
        <v>3160.4057400000002</v>
      </c>
      <c r="J29" s="1507">
        <f t="shared" si="3"/>
        <v>641.11113421429491</v>
      </c>
      <c r="K29" s="210"/>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row>
    <row r="30" spans="1:99" ht="20.149999999999999" customHeight="1">
      <c r="A30" s="624">
        <v>7</v>
      </c>
      <c r="B30" s="1273" t="s">
        <v>174</v>
      </c>
      <c r="C30" s="694">
        <v>4.1533949999999997</v>
      </c>
      <c r="D30" s="694">
        <v>2.2156265999999998</v>
      </c>
      <c r="E30" s="694">
        <v>5.50779</v>
      </c>
      <c r="F30" s="694">
        <v>4.0533289999999997</v>
      </c>
      <c r="G30" s="694">
        <v>3.9072203000000001</v>
      </c>
      <c r="H30" s="694">
        <f t="shared" si="2"/>
        <v>19.8373609</v>
      </c>
      <c r="I30" s="1448">
        <v>1422.7987000000001</v>
      </c>
      <c r="J30" s="1507">
        <f t="shared" si="3"/>
        <v>717.23184710522662</v>
      </c>
      <c r="K30" s="210"/>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row>
    <row r="31" spans="1:99" ht="20.149999999999999" customHeight="1">
      <c r="A31" s="624">
        <v>8</v>
      </c>
      <c r="B31" s="1273" t="s">
        <v>175</v>
      </c>
      <c r="C31" s="694">
        <f>13.83826</f>
        <v>13.83826</v>
      </c>
      <c r="D31" s="694">
        <v>5.6246039999999997</v>
      </c>
      <c r="E31" s="694">
        <f>20.03164</f>
        <v>20.031639999999999</v>
      </c>
      <c r="F31" s="694">
        <f>7.25661</f>
        <v>7.2566100000000002</v>
      </c>
      <c r="G31" s="694">
        <f>11.56004</f>
        <v>11.560040000000001</v>
      </c>
      <c r="H31" s="694">
        <f t="shared" si="2"/>
        <v>58.311154000000002</v>
      </c>
      <c r="I31" s="1448">
        <v>4649.7972</v>
      </c>
      <c r="J31" s="1507">
        <f t="shared" si="3"/>
        <v>797.41128086746482</v>
      </c>
      <c r="K31" s="210"/>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row>
    <row r="32" spans="1:99" ht="20.149999999999999" customHeight="1">
      <c r="A32" s="624">
        <v>9</v>
      </c>
      <c r="B32" s="1273" t="s">
        <v>176</v>
      </c>
      <c r="C32" s="694">
        <v>17.1712983</v>
      </c>
      <c r="D32" s="694">
        <v>4.3970000000000002</v>
      </c>
      <c r="E32" s="694">
        <v>18.172429999999999</v>
      </c>
      <c r="F32" s="694">
        <v>8.4978999999999996</v>
      </c>
      <c r="G32" s="694">
        <v>8.2212999999999994</v>
      </c>
      <c r="H32" s="694">
        <f t="shared" si="2"/>
        <v>56.459928300000001</v>
      </c>
      <c r="I32" s="1448">
        <v>3485.4918600000001</v>
      </c>
      <c r="J32" s="1507">
        <f t="shared" si="3"/>
        <v>617.33905177488509</v>
      </c>
      <c r="K32" s="210"/>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row>
    <row r="33" spans="1:99" ht="20.149999999999999" customHeight="1">
      <c r="A33" s="624">
        <v>10</v>
      </c>
      <c r="B33" s="1273" t="s">
        <v>69</v>
      </c>
      <c r="C33" s="694">
        <v>13.07138</v>
      </c>
      <c r="D33" s="694">
        <v>7.3016800000000002</v>
      </c>
      <c r="E33" s="694">
        <v>6.99322</v>
      </c>
      <c r="F33" s="694">
        <v>14.189724999999999</v>
      </c>
      <c r="G33" s="694">
        <v>13.3467</v>
      </c>
      <c r="H33" s="694">
        <f>SUM(C33:G33)</f>
        <v>54.902704999999997</v>
      </c>
      <c r="I33" s="1448">
        <v>4451.7012000000004</v>
      </c>
      <c r="J33" s="1507">
        <f t="shared" si="3"/>
        <v>810.83458456190829</v>
      </c>
      <c r="K33" s="210"/>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row>
    <row r="34" spans="1:99" ht="20.149999999999999" customHeight="1">
      <c r="A34" s="624">
        <v>11</v>
      </c>
      <c r="B34" s="1273" t="s">
        <v>70</v>
      </c>
      <c r="C34" s="694">
        <v>4.0119999999999999E-3</v>
      </c>
      <c r="D34" s="694">
        <v>5.9249999999999997E-2</v>
      </c>
      <c r="E34" s="694">
        <v>0</v>
      </c>
      <c r="F34" s="694">
        <v>2.5640699999999999E-2</v>
      </c>
      <c r="G34" s="1507">
        <v>0</v>
      </c>
      <c r="H34" s="694">
        <f>SUM(C34:G34)</f>
        <v>8.8902700000000001E-2</v>
      </c>
      <c r="I34" s="1448">
        <v>6.6344130000000003</v>
      </c>
      <c r="J34" s="1507">
        <f t="shared" si="3"/>
        <v>746.25551304965995</v>
      </c>
      <c r="K34" s="210"/>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c r="CI34" s="346"/>
      <c r="CJ34" s="346"/>
      <c r="CK34" s="346"/>
      <c r="CL34" s="346"/>
      <c r="CM34" s="346"/>
      <c r="CN34" s="346"/>
      <c r="CO34" s="346"/>
      <c r="CP34" s="346"/>
      <c r="CQ34" s="346"/>
      <c r="CR34" s="346"/>
      <c r="CS34" s="346"/>
      <c r="CT34" s="346"/>
      <c r="CU34" s="346"/>
    </row>
    <row r="35" spans="1:99" ht="20.149999999999999" customHeight="1">
      <c r="A35" s="624">
        <v>12</v>
      </c>
      <c r="B35" s="1274" t="s">
        <v>179</v>
      </c>
      <c r="C35" s="694"/>
      <c r="D35" s="694"/>
      <c r="E35" s="694"/>
      <c r="F35" s="694"/>
      <c r="G35" s="694"/>
      <c r="H35" s="694">
        <f>SUM(C35:G35)</f>
        <v>0</v>
      </c>
      <c r="I35" s="1448"/>
      <c r="J35" s="1507"/>
      <c r="K35" s="210"/>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row>
    <row r="36" spans="1:99" ht="20.149999999999999" customHeight="1">
      <c r="A36" s="624">
        <v>13</v>
      </c>
      <c r="B36" s="1274" t="s">
        <v>72</v>
      </c>
      <c r="C36" s="694"/>
      <c r="D36" s="694"/>
      <c r="E36" s="694"/>
      <c r="F36" s="694"/>
      <c r="G36" s="694"/>
      <c r="H36" s="694"/>
      <c r="I36" s="1448"/>
      <c r="J36" s="1507"/>
      <c r="K36" s="210"/>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6"/>
    </row>
    <row r="37" spans="1:99" ht="20.149999999999999" customHeight="1">
      <c r="A37" s="624"/>
      <c r="B37" s="1510" t="s">
        <v>180</v>
      </c>
      <c r="C37" s="1264">
        <f>SUM(C26:C36)+C25+C19</f>
        <v>640.68232039999998</v>
      </c>
      <c r="D37" s="1264">
        <f t="shared" ref="D37:G37" si="4">SUM(D26:D36)+D25+D19</f>
        <v>468.85394559999997</v>
      </c>
      <c r="E37" s="1264">
        <f t="shared" si="4"/>
        <v>527.03888899999993</v>
      </c>
      <c r="F37" s="1264">
        <f t="shared" si="4"/>
        <v>549.34118469999999</v>
      </c>
      <c r="G37" s="1264">
        <f t="shared" si="4"/>
        <v>396.06750569999997</v>
      </c>
      <c r="H37" s="1264">
        <f>SUM(H26:H36)+H25+H19</f>
        <v>2581.9842110564086</v>
      </c>
      <c r="I37" s="1283">
        <f>SUM(I26:I36)+I25+I19</f>
        <v>129039.56970932311</v>
      </c>
      <c r="J37" s="1359">
        <f>I37/H37*10</f>
        <v>499.76901158712769</v>
      </c>
      <c r="K37" s="210"/>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row>
    <row r="38" spans="1:99" ht="20.149999999999999" customHeight="1">
      <c r="A38" s="1274"/>
      <c r="B38" s="1275" t="s">
        <v>74</v>
      </c>
      <c r="C38" s="694"/>
      <c r="D38" s="694"/>
      <c r="E38" s="694"/>
      <c r="F38" s="694"/>
      <c r="G38" s="694"/>
      <c r="H38" s="694"/>
      <c r="I38" s="1448"/>
      <c r="J38" s="1507"/>
      <c r="K38" s="210"/>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J38" s="346"/>
      <c r="CK38" s="346"/>
      <c r="CL38" s="346"/>
      <c r="CM38" s="346"/>
      <c r="CN38" s="346"/>
      <c r="CO38" s="346"/>
      <c r="CP38" s="346"/>
      <c r="CQ38" s="346"/>
      <c r="CR38" s="346"/>
      <c r="CS38" s="346"/>
      <c r="CT38" s="346"/>
      <c r="CU38" s="346"/>
    </row>
    <row r="39" spans="1:99" ht="20.149999999999999" customHeight="1">
      <c r="A39" s="624">
        <v>14</v>
      </c>
      <c r="B39" s="1274" t="s">
        <v>75</v>
      </c>
      <c r="C39" s="1639">
        <v>6.0501100000000001</v>
      </c>
      <c r="D39" s="1639">
        <v>0.14262</v>
      </c>
      <c r="E39" s="1639">
        <v>10.90728</v>
      </c>
      <c r="F39" s="1640">
        <v>0</v>
      </c>
      <c r="G39" s="1640">
        <v>0</v>
      </c>
      <c r="H39" s="694">
        <f>SUM(C39:G39)</f>
        <v>17.100010000000001</v>
      </c>
      <c r="I39" s="1448">
        <v>876.05284400000005</v>
      </c>
      <c r="J39" s="1507">
        <f>I39/H39*10</f>
        <v>512.31130508110812</v>
      </c>
      <c r="K39" s="210"/>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346"/>
      <c r="CF39" s="346"/>
      <c r="CG39" s="346"/>
      <c r="CH39" s="346"/>
      <c r="CI39" s="346"/>
      <c r="CJ39" s="346"/>
      <c r="CK39" s="346"/>
      <c r="CL39" s="346"/>
      <c r="CM39" s="346"/>
      <c r="CN39" s="346"/>
      <c r="CO39" s="346"/>
      <c r="CP39" s="346"/>
      <c r="CQ39" s="346"/>
      <c r="CR39" s="346"/>
      <c r="CS39" s="346"/>
      <c r="CT39" s="346"/>
      <c r="CU39" s="346"/>
    </row>
    <row r="40" spans="1:99" ht="20.149999999999999" customHeight="1">
      <c r="A40" s="624">
        <v>15</v>
      </c>
      <c r="B40" s="1273" t="s">
        <v>62</v>
      </c>
      <c r="C40" s="1639">
        <v>9.9379799999999996</v>
      </c>
      <c r="D40" s="1639">
        <v>2.0341300000000002</v>
      </c>
      <c r="E40" s="1639">
        <v>5.8525700000000001</v>
      </c>
      <c r="F40" s="1639">
        <v>12.658939999999999</v>
      </c>
      <c r="G40" s="1639">
        <v>27.60463</v>
      </c>
      <c r="H40" s="694">
        <f>SUM(C40:G40)</f>
        <v>58.088250000000002</v>
      </c>
      <c r="I40" s="1448">
        <v>2221.3200000000002</v>
      </c>
      <c r="J40" s="1507">
        <f>I40/H40*10</f>
        <v>382.40435888497245</v>
      </c>
      <c r="K40" s="210"/>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c r="CF40" s="346"/>
      <c r="CG40" s="346"/>
      <c r="CH40" s="346"/>
      <c r="CI40" s="346"/>
      <c r="CJ40" s="346"/>
      <c r="CK40" s="346"/>
      <c r="CL40" s="346"/>
      <c r="CM40" s="346"/>
      <c r="CN40" s="346"/>
      <c r="CO40" s="346"/>
      <c r="CP40" s="346"/>
      <c r="CQ40" s="346"/>
      <c r="CR40" s="346"/>
      <c r="CS40" s="346"/>
      <c r="CT40" s="346"/>
      <c r="CU40" s="346"/>
    </row>
    <row r="41" spans="1:99" ht="20.149999999999999" customHeight="1">
      <c r="A41" s="624">
        <v>16</v>
      </c>
      <c r="B41" s="1273" t="s">
        <v>63</v>
      </c>
      <c r="C41" s="1639">
        <v>0</v>
      </c>
      <c r="D41" s="1639">
        <v>0.46858300000000003</v>
      </c>
      <c r="E41" s="1639">
        <v>1.8737E-2</v>
      </c>
      <c r="F41" s="1639">
        <v>3.2427389999999998</v>
      </c>
      <c r="G41" s="1640">
        <v>0</v>
      </c>
      <c r="H41" s="694">
        <f>SUM(C41:G41)</f>
        <v>3.7300589999999998</v>
      </c>
      <c r="I41" s="1448">
        <v>65.923069999999996</v>
      </c>
      <c r="J41" s="1507">
        <f t="shared" ref="J41" si="5">I41/H41*10</f>
        <v>176.73465754831224</v>
      </c>
      <c r="K41" s="210"/>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row>
    <row r="42" spans="1:99" ht="20.149999999999999" customHeight="1">
      <c r="A42" s="624">
        <v>17</v>
      </c>
      <c r="B42" s="1273" t="s">
        <v>64</v>
      </c>
      <c r="C42" s="1639">
        <v>3.86416</v>
      </c>
      <c r="D42" s="1639">
        <v>0.70032000000000005</v>
      </c>
      <c r="E42" s="1639">
        <v>0.85294999999999999</v>
      </c>
      <c r="F42" s="1639">
        <v>0.24321999999999999</v>
      </c>
      <c r="G42" s="1640">
        <v>0</v>
      </c>
      <c r="H42" s="694">
        <f>SUM(C42:G42)</f>
        <v>5.6606499999999995</v>
      </c>
      <c r="I42" s="1448">
        <v>295.3535</v>
      </c>
      <c r="J42" s="1507">
        <f>I42/H42*10</f>
        <v>521.76605160184783</v>
      </c>
      <c r="K42" s="210"/>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c r="CL42" s="346"/>
      <c r="CM42" s="346"/>
      <c r="CN42" s="346"/>
      <c r="CO42" s="346"/>
      <c r="CP42" s="346"/>
      <c r="CQ42" s="346"/>
      <c r="CR42" s="346"/>
      <c r="CS42" s="346"/>
      <c r="CT42" s="346"/>
      <c r="CU42" s="346"/>
    </row>
    <row r="43" spans="1:99" ht="20.149999999999999" customHeight="1">
      <c r="A43" s="624">
        <v>18</v>
      </c>
      <c r="B43" s="1274" t="s">
        <v>77</v>
      </c>
      <c r="C43" s="1639">
        <v>7.0079500000000001</v>
      </c>
      <c r="D43" s="1639">
        <v>1.37934</v>
      </c>
      <c r="E43" s="1639">
        <v>17.328040000000001</v>
      </c>
      <c r="F43" s="1639">
        <v>3.1335600000000001</v>
      </c>
      <c r="G43" s="1639">
        <v>2.5425</v>
      </c>
      <c r="H43" s="694">
        <f>SUM(C43:G43)</f>
        <v>31.391390000000001</v>
      </c>
      <c r="I43" s="1448">
        <v>2547.6149999999998</v>
      </c>
      <c r="J43" s="1507">
        <f>I43/H43*10</f>
        <v>811.56489088249987</v>
      </c>
      <c r="K43" s="210"/>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row>
    <row r="44" spans="1:99" ht="20.149999999999999" customHeight="1">
      <c r="A44" s="624">
        <v>19</v>
      </c>
      <c r="B44" s="1274" t="s">
        <v>208</v>
      </c>
      <c r="C44" s="1639">
        <v>0</v>
      </c>
      <c r="D44" s="1639">
        <v>0</v>
      </c>
      <c r="E44" s="1639">
        <v>0</v>
      </c>
      <c r="F44" s="1639">
        <v>0</v>
      </c>
      <c r="G44" s="1639">
        <v>0</v>
      </c>
      <c r="H44" s="694"/>
      <c r="I44" s="1448">
        <v>0</v>
      </c>
      <c r="J44" s="1507"/>
      <c r="K44" s="210"/>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46"/>
      <c r="CC44" s="346"/>
      <c r="CD44" s="346"/>
      <c r="CE44" s="346"/>
      <c r="CF44" s="346"/>
      <c r="CG44" s="346"/>
      <c r="CH44" s="346"/>
      <c r="CI44" s="346"/>
      <c r="CJ44" s="346"/>
      <c r="CK44" s="346"/>
      <c r="CL44" s="346"/>
      <c r="CM44" s="346"/>
      <c r="CN44" s="346"/>
      <c r="CO44" s="346"/>
      <c r="CP44" s="346"/>
      <c r="CQ44" s="346"/>
      <c r="CR44" s="346"/>
      <c r="CS44" s="346"/>
      <c r="CT44" s="346"/>
      <c r="CU44" s="346"/>
    </row>
    <row r="45" spans="1:99" ht="20.149999999999999" customHeight="1">
      <c r="A45" s="624">
        <v>20</v>
      </c>
      <c r="B45" s="1274" t="s">
        <v>182</v>
      </c>
      <c r="C45" s="1639">
        <v>101.33309</v>
      </c>
      <c r="D45" s="1639">
        <v>7.7978699999999996</v>
      </c>
      <c r="E45" s="1639">
        <v>41.563969999999998</v>
      </c>
      <c r="F45" s="1639">
        <v>7.8243099999999997</v>
      </c>
      <c r="G45" s="1639">
        <v>3.4014899999999999</v>
      </c>
      <c r="H45" s="694">
        <f>SUM(C45:G45)</f>
        <v>161.92072999999999</v>
      </c>
      <c r="I45" s="1448">
        <v>11438.74301</v>
      </c>
      <c r="J45" s="1507">
        <f>I45/H45*10</f>
        <v>706.44092390146716</v>
      </c>
      <c r="K45" s="210"/>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c r="CI45" s="346"/>
      <c r="CJ45" s="346"/>
      <c r="CK45" s="346"/>
      <c r="CL45" s="346"/>
      <c r="CM45" s="346"/>
      <c r="CN45" s="346"/>
      <c r="CO45" s="346"/>
      <c r="CP45" s="346"/>
      <c r="CQ45" s="346"/>
      <c r="CR45" s="346"/>
      <c r="CS45" s="346"/>
      <c r="CT45" s="346"/>
      <c r="CU45" s="346"/>
    </row>
    <row r="46" spans="1:99" ht="20.149999999999999" customHeight="1">
      <c r="A46" s="624">
        <v>21</v>
      </c>
      <c r="B46" s="1274" t="s">
        <v>183</v>
      </c>
      <c r="C46" s="1639">
        <v>0</v>
      </c>
      <c r="D46" s="1639">
        <v>0</v>
      </c>
      <c r="E46" s="1639">
        <v>0</v>
      </c>
      <c r="F46" s="1639">
        <v>0</v>
      </c>
      <c r="G46" s="1639">
        <v>0</v>
      </c>
      <c r="H46" s="1507">
        <f>SUM(C46:F46)</f>
        <v>0</v>
      </c>
      <c r="I46" s="1448">
        <v>0</v>
      </c>
      <c r="J46" s="1507"/>
      <c r="K46" s="210"/>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c r="CI46" s="346"/>
      <c r="CJ46" s="346"/>
      <c r="CK46" s="346"/>
      <c r="CL46" s="346"/>
      <c r="CM46" s="346"/>
      <c r="CN46" s="346"/>
      <c r="CO46" s="346"/>
      <c r="CP46" s="346"/>
      <c r="CQ46" s="346"/>
      <c r="CR46" s="346"/>
      <c r="CS46" s="346"/>
      <c r="CT46" s="346"/>
      <c r="CU46" s="346"/>
    </row>
    <row r="47" spans="1:99" ht="20.149999999999999" customHeight="1">
      <c r="A47" s="624">
        <v>22</v>
      </c>
      <c r="B47" s="1274" t="s">
        <v>184</v>
      </c>
      <c r="C47" s="1639">
        <v>12.42623</v>
      </c>
      <c r="D47" s="1639">
        <v>0.63239999999999996</v>
      </c>
      <c r="E47" s="1639">
        <v>20.20391</v>
      </c>
      <c r="F47" s="1639">
        <v>5.9433600000000002</v>
      </c>
      <c r="G47" s="1639">
        <v>6.2996100000000004</v>
      </c>
      <c r="H47" s="694">
        <f t="shared" ref="H47:H54" si="6">SUM(C47:G47)</f>
        <v>45.505510000000001</v>
      </c>
      <c r="I47" s="1448">
        <v>3431.4150500000001</v>
      </c>
      <c r="J47" s="1507">
        <f t="shared" ref="J47:J55" si="7">I47/H47*10</f>
        <v>754.06583730190039</v>
      </c>
      <c r="K47" s="210"/>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c r="CF47" s="346"/>
      <c r="CG47" s="346"/>
      <c r="CH47" s="346"/>
      <c r="CI47" s="346"/>
      <c r="CJ47" s="346"/>
      <c r="CK47" s="346"/>
      <c r="CL47" s="346"/>
      <c r="CM47" s="346"/>
      <c r="CN47" s="346"/>
      <c r="CO47" s="346"/>
      <c r="CP47" s="346"/>
      <c r="CQ47" s="346"/>
      <c r="CR47" s="346"/>
      <c r="CS47" s="346"/>
      <c r="CT47" s="346"/>
      <c r="CU47" s="346"/>
    </row>
    <row r="48" spans="1:99" ht="20.149999999999999" customHeight="1">
      <c r="A48" s="624">
        <v>23</v>
      </c>
      <c r="B48" s="1274" t="s">
        <v>72</v>
      </c>
      <c r="C48" s="1639">
        <v>186.5645485</v>
      </c>
      <c r="D48" s="1639">
        <v>89.500821000000002</v>
      </c>
      <c r="E48" s="1639">
        <f>698.603368</f>
        <v>698.60336800000005</v>
      </c>
      <c r="F48" s="1639">
        <v>63.64725</v>
      </c>
      <c r="G48" s="1639">
        <v>40.168439999999997</v>
      </c>
      <c r="H48" s="694">
        <f t="shared" si="6"/>
        <v>1078.4844275</v>
      </c>
      <c r="I48" s="1448">
        <v>69491.810700000002</v>
      </c>
      <c r="J48" s="1507">
        <f t="shared" si="7"/>
        <v>644.34690875497142</v>
      </c>
      <c r="K48" s="210"/>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6"/>
      <c r="CQ48" s="346"/>
      <c r="CR48" s="346"/>
      <c r="CS48" s="346"/>
      <c r="CT48" s="346"/>
      <c r="CU48" s="346"/>
    </row>
    <row r="49" spans="1:99" ht="20.149999999999999" customHeight="1">
      <c r="A49" s="624"/>
      <c r="B49" s="1274" t="s">
        <v>1962</v>
      </c>
      <c r="C49" s="1639"/>
      <c r="D49" s="1639"/>
      <c r="E49" s="1639"/>
      <c r="F49" s="1639"/>
      <c r="G49" s="1639"/>
      <c r="H49" s="694"/>
      <c r="I49" s="1448"/>
      <c r="J49" s="1507"/>
      <c r="K49" s="210"/>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6"/>
      <c r="CN49" s="346"/>
      <c r="CO49" s="346"/>
      <c r="CP49" s="346"/>
      <c r="CQ49" s="346"/>
      <c r="CR49" s="346"/>
      <c r="CS49" s="346"/>
      <c r="CT49" s="346"/>
      <c r="CU49" s="346"/>
    </row>
    <row r="50" spans="1:99" ht="20.149999999999999" customHeight="1">
      <c r="A50" s="624">
        <v>24</v>
      </c>
      <c r="B50" s="1274" t="s">
        <v>82</v>
      </c>
      <c r="C50" s="1640">
        <v>0</v>
      </c>
      <c r="D50" s="1640">
        <v>0</v>
      </c>
      <c r="E50" s="1639">
        <v>589.09063000000003</v>
      </c>
      <c r="F50" s="1640">
        <v>0</v>
      </c>
      <c r="G50" s="1640">
        <v>0</v>
      </c>
      <c r="H50" s="694">
        <f t="shared" si="6"/>
        <v>589.09063000000003</v>
      </c>
      <c r="I50" s="1448">
        <v>33833.406880000002</v>
      </c>
      <c r="J50" s="1507">
        <f t="shared" si="7"/>
        <v>574.33279629655635</v>
      </c>
      <c r="K50" s="210"/>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c r="CQ50" s="346"/>
      <c r="CR50" s="346"/>
      <c r="CS50" s="346"/>
      <c r="CT50" s="346"/>
      <c r="CU50" s="346"/>
    </row>
    <row r="51" spans="1:99" ht="20.149999999999999" customHeight="1">
      <c r="A51" s="624">
        <v>25</v>
      </c>
      <c r="B51" s="1274" t="s">
        <v>92</v>
      </c>
      <c r="C51" s="1639">
        <v>14.68558</v>
      </c>
      <c r="D51" s="1640">
        <v>0</v>
      </c>
      <c r="E51" s="1639">
        <v>152.7071</v>
      </c>
      <c r="F51" s="1640">
        <v>0</v>
      </c>
      <c r="G51" s="1640">
        <v>0</v>
      </c>
      <c r="H51" s="694">
        <f t="shared" si="6"/>
        <v>167.39267999999998</v>
      </c>
      <c r="I51" s="1448">
        <v>9427.8978999999999</v>
      </c>
      <c r="J51" s="1507">
        <f t="shared" si="7"/>
        <v>563.22044070266406</v>
      </c>
      <c r="K51" s="210"/>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6"/>
      <c r="CQ51" s="346"/>
      <c r="CR51" s="346"/>
      <c r="CS51" s="346"/>
      <c r="CT51" s="346"/>
      <c r="CU51" s="346"/>
    </row>
    <row r="52" spans="1:99" ht="20.149999999999999" customHeight="1">
      <c r="A52" s="624">
        <v>26</v>
      </c>
      <c r="B52" s="1274" t="s">
        <v>84</v>
      </c>
      <c r="C52" s="1639">
        <v>0</v>
      </c>
      <c r="D52" s="1640">
        <v>0</v>
      </c>
      <c r="E52" s="1639">
        <v>0</v>
      </c>
      <c r="F52" s="1640">
        <v>0</v>
      </c>
      <c r="G52" s="1640">
        <v>0</v>
      </c>
      <c r="H52" s="694">
        <f t="shared" si="6"/>
        <v>0</v>
      </c>
      <c r="I52" s="1448">
        <v>0</v>
      </c>
      <c r="J52" s="1507"/>
      <c r="K52" s="210"/>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6"/>
      <c r="CQ52" s="346"/>
      <c r="CR52" s="346"/>
      <c r="CS52" s="346"/>
      <c r="CT52" s="346"/>
      <c r="CU52" s="346"/>
    </row>
    <row r="53" spans="1:99" ht="20.149999999999999" customHeight="1">
      <c r="A53" s="624">
        <v>27</v>
      </c>
      <c r="B53" s="1274" t="s">
        <v>85</v>
      </c>
      <c r="C53" s="694"/>
      <c r="D53" s="694"/>
      <c r="E53" s="694"/>
      <c r="F53" s="694"/>
      <c r="G53" s="694"/>
      <c r="H53" s="694"/>
      <c r="I53" s="1448"/>
      <c r="J53" s="1507"/>
      <c r="K53" s="210"/>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c r="CI53" s="346"/>
      <c r="CJ53" s="346"/>
      <c r="CK53" s="346"/>
      <c r="CL53" s="346"/>
      <c r="CM53" s="346"/>
      <c r="CN53" s="346"/>
      <c r="CO53" s="346"/>
      <c r="CP53" s="346"/>
      <c r="CQ53" s="346"/>
      <c r="CR53" s="346"/>
      <c r="CS53" s="346"/>
      <c r="CT53" s="346"/>
      <c r="CU53" s="346"/>
    </row>
    <row r="54" spans="1:99" ht="20.149999999999999" customHeight="1">
      <c r="A54" s="624">
        <v>28</v>
      </c>
      <c r="B54" s="1274" t="s">
        <v>86</v>
      </c>
      <c r="C54" s="694">
        <v>3.193705</v>
      </c>
      <c r="D54" s="694">
        <v>5.2200000000000003E-2</v>
      </c>
      <c r="E54" s="694">
        <v>3.2603</v>
      </c>
      <c r="F54" s="694">
        <v>7.0800000000000002E-2</v>
      </c>
      <c r="G54" s="694">
        <v>0</v>
      </c>
      <c r="H54" s="694">
        <f t="shared" si="6"/>
        <v>6.5770049999999998</v>
      </c>
      <c r="I54" s="1448">
        <v>322.77080000000001</v>
      </c>
      <c r="J54" s="1507">
        <f t="shared" si="7"/>
        <v>490.75650695111227</v>
      </c>
      <c r="K54" s="210"/>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346"/>
      <c r="BY54" s="346"/>
      <c r="BZ54" s="346"/>
      <c r="CA54" s="346"/>
      <c r="CB54" s="346"/>
      <c r="CC54" s="346"/>
      <c r="CD54" s="346"/>
      <c r="CE54" s="346"/>
      <c r="CF54" s="346"/>
      <c r="CG54" s="346"/>
      <c r="CH54" s="346"/>
      <c r="CI54" s="346"/>
      <c r="CJ54" s="346"/>
      <c r="CK54" s="346"/>
      <c r="CL54" s="346"/>
      <c r="CM54" s="346"/>
      <c r="CN54" s="346"/>
      <c r="CO54" s="346"/>
      <c r="CP54" s="346"/>
      <c r="CQ54" s="346"/>
      <c r="CR54" s="346"/>
      <c r="CS54" s="346"/>
      <c r="CT54" s="346"/>
      <c r="CU54" s="346"/>
    </row>
    <row r="55" spans="1:99" ht="20.149999999999999" customHeight="1">
      <c r="A55" s="624"/>
      <c r="B55" s="1510" t="s">
        <v>87</v>
      </c>
      <c r="C55" s="1264">
        <f t="shared" ref="C55:I55" si="8">SUM(C39:C54)</f>
        <v>345.06335350000001</v>
      </c>
      <c r="D55" s="1264">
        <f t="shared" si="8"/>
        <v>102.70828400000001</v>
      </c>
      <c r="E55" s="1264">
        <f t="shared" si="8"/>
        <v>1540.3888550000001</v>
      </c>
      <c r="F55" s="1264">
        <f t="shared" si="8"/>
        <v>96.764178999999999</v>
      </c>
      <c r="G55" s="1264">
        <f t="shared" si="8"/>
        <v>80.016670000000005</v>
      </c>
      <c r="H55" s="1264">
        <f t="shared" si="8"/>
        <v>2164.9413414999999</v>
      </c>
      <c r="I55" s="1283">
        <f t="shared" si="8"/>
        <v>133952.308754</v>
      </c>
      <c r="J55" s="1359">
        <f t="shared" si="7"/>
        <v>618.73412542988285</v>
      </c>
      <c r="K55" s="210"/>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c r="CD55" s="346"/>
      <c r="CE55" s="346"/>
      <c r="CF55" s="346"/>
      <c r="CG55" s="346"/>
      <c r="CH55" s="346"/>
      <c r="CI55" s="346"/>
      <c r="CJ55" s="346"/>
      <c r="CK55" s="346"/>
      <c r="CL55" s="346"/>
      <c r="CM55" s="346"/>
      <c r="CN55" s="346"/>
      <c r="CO55" s="346"/>
      <c r="CP55" s="346"/>
      <c r="CQ55" s="346"/>
      <c r="CR55" s="346"/>
      <c r="CS55" s="346"/>
      <c r="CT55" s="346"/>
      <c r="CU55" s="346"/>
    </row>
    <row r="56" spans="1:99" ht="20.149999999999999" customHeight="1">
      <c r="A56" s="1274"/>
      <c r="B56" s="1275" t="s">
        <v>88</v>
      </c>
      <c r="C56" s="1264"/>
      <c r="D56" s="1264"/>
      <c r="E56" s="1264"/>
      <c r="F56" s="1264"/>
      <c r="G56" s="1264"/>
      <c r="H56" s="694"/>
      <c r="I56" s="1448"/>
      <c r="J56" s="1507"/>
      <c r="K56" s="210"/>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6"/>
      <c r="BW56" s="346"/>
      <c r="BX56" s="346"/>
      <c r="BY56" s="346"/>
      <c r="BZ56" s="346"/>
      <c r="CA56" s="346"/>
      <c r="CB56" s="346"/>
      <c r="CC56" s="346"/>
      <c r="CD56" s="346"/>
      <c r="CE56" s="346"/>
      <c r="CF56" s="346"/>
      <c r="CG56" s="346"/>
      <c r="CH56" s="346"/>
      <c r="CI56" s="346"/>
      <c r="CJ56" s="346"/>
      <c r="CK56" s="346"/>
      <c r="CL56" s="346"/>
      <c r="CM56" s="346"/>
      <c r="CN56" s="346"/>
      <c r="CO56" s="346"/>
      <c r="CP56" s="346"/>
      <c r="CQ56" s="346"/>
      <c r="CR56" s="346"/>
      <c r="CS56" s="346"/>
      <c r="CT56" s="346"/>
      <c r="CU56" s="346"/>
    </row>
    <row r="57" spans="1:99" ht="20.149999999999999" customHeight="1">
      <c r="A57" s="624">
        <v>29</v>
      </c>
      <c r="B57" s="1274" t="s">
        <v>89</v>
      </c>
      <c r="C57" s="1640">
        <v>0</v>
      </c>
      <c r="D57" s="1640">
        <v>0</v>
      </c>
      <c r="E57" s="1640">
        <v>0</v>
      </c>
      <c r="F57" s="1639">
        <v>0.18132000000000001</v>
      </c>
      <c r="G57" s="1640">
        <v>0</v>
      </c>
      <c r="H57" s="694">
        <f t="shared" ref="H57:H65" si="9">SUM(C57:G57)</f>
        <v>0.18132000000000001</v>
      </c>
      <c r="I57" s="1448">
        <v>16.2621</v>
      </c>
      <c r="J57" s="1507">
        <f t="shared" ref="J57:J68" si="10">I57/H57*10</f>
        <v>896.87293183322299</v>
      </c>
      <c r="K57" s="210"/>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6"/>
      <c r="BV57" s="346"/>
      <c r="BW57" s="346"/>
      <c r="BX57" s="346"/>
      <c r="BY57" s="346"/>
      <c r="BZ57" s="346"/>
      <c r="CA57" s="346"/>
      <c r="CB57" s="346"/>
      <c r="CC57" s="346"/>
      <c r="CD57" s="346"/>
      <c r="CE57" s="346"/>
      <c r="CF57" s="346"/>
      <c r="CG57" s="346"/>
      <c r="CH57" s="346"/>
      <c r="CI57" s="346"/>
      <c r="CJ57" s="346"/>
      <c r="CK57" s="346"/>
      <c r="CL57" s="346"/>
      <c r="CM57" s="346"/>
      <c r="CN57" s="346"/>
      <c r="CO57" s="346"/>
      <c r="CP57" s="346"/>
      <c r="CQ57" s="346"/>
      <c r="CR57" s="346"/>
      <c r="CS57" s="346"/>
      <c r="CT57" s="346"/>
      <c r="CU57" s="346"/>
    </row>
    <row r="58" spans="1:99" ht="20.149999999999999" customHeight="1">
      <c r="A58" s="624">
        <v>30</v>
      </c>
      <c r="B58" s="1274" t="s">
        <v>72</v>
      </c>
      <c r="C58" s="1639">
        <f>394.28083-C59</f>
        <v>369.28082999999998</v>
      </c>
      <c r="D58" s="1639">
        <v>42.390560000000001</v>
      </c>
      <c r="E58" s="1639">
        <v>61.573162000000004</v>
      </c>
      <c r="F58" s="1639">
        <v>6.6201639999999999</v>
      </c>
      <c r="G58" s="1639">
        <v>30.949739999999998</v>
      </c>
      <c r="H58" s="694">
        <f t="shared" si="9"/>
        <v>510.81445600000001</v>
      </c>
      <c r="I58" s="1448">
        <f>32815.68784-I59</f>
        <v>31365.687839999999</v>
      </c>
      <c r="J58" s="1507">
        <f t="shared" si="10"/>
        <v>614.03289338389436</v>
      </c>
      <c r="K58" s="210"/>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c r="CI58" s="346"/>
      <c r="CJ58" s="346"/>
      <c r="CK58" s="346"/>
      <c r="CL58" s="346"/>
      <c r="CM58" s="346"/>
      <c r="CN58" s="346"/>
      <c r="CO58" s="346"/>
      <c r="CP58" s="346"/>
      <c r="CQ58" s="346"/>
      <c r="CR58" s="346"/>
      <c r="CS58" s="346"/>
      <c r="CT58" s="346"/>
      <c r="CU58" s="346"/>
    </row>
    <row r="59" spans="1:99" ht="20.149999999999999" customHeight="1">
      <c r="A59" s="624"/>
      <c r="B59" s="1274" t="s">
        <v>1962</v>
      </c>
      <c r="C59" s="1639">
        <v>25</v>
      </c>
      <c r="D59" s="1639"/>
      <c r="E59" s="1639"/>
      <c r="F59" s="1639"/>
      <c r="G59" s="1639"/>
      <c r="H59" s="694">
        <f t="shared" si="9"/>
        <v>25</v>
      </c>
      <c r="I59" s="1448">
        <v>1450</v>
      </c>
      <c r="J59" s="1507">
        <f t="shared" si="10"/>
        <v>580</v>
      </c>
      <c r="K59" s="210"/>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c r="CD59" s="346"/>
      <c r="CE59" s="346"/>
      <c r="CF59" s="346"/>
      <c r="CG59" s="346"/>
      <c r="CH59" s="346"/>
      <c r="CI59" s="346"/>
      <c r="CJ59" s="346"/>
      <c r="CK59" s="346"/>
      <c r="CL59" s="346"/>
      <c r="CM59" s="346"/>
      <c r="CN59" s="346"/>
      <c r="CO59" s="346"/>
      <c r="CP59" s="346"/>
      <c r="CQ59" s="346"/>
      <c r="CR59" s="346"/>
      <c r="CS59" s="346"/>
      <c r="CT59" s="346"/>
      <c r="CU59" s="346"/>
    </row>
    <row r="60" spans="1:99" ht="20.149999999999999" customHeight="1">
      <c r="A60" s="624">
        <v>31</v>
      </c>
      <c r="B60" s="1274" t="s">
        <v>84</v>
      </c>
      <c r="C60" s="1639">
        <v>329.65044999999998</v>
      </c>
      <c r="D60" s="1639">
        <v>25.219580000000001</v>
      </c>
      <c r="E60" s="1639">
        <v>273.56455</v>
      </c>
      <c r="F60" s="1639">
        <v>82.896169999999998</v>
      </c>
      <c r="G60" s="1639">
        <v>113.17896</v>
      </c>
      <c r="H60" s="694">
        <f t="shared" si="9"/>
        <v>824.50970999999993</v>
      </c>
      <c r="I60" s="1448">
        <v>57795.223019999998</v>
      </c>
      <c r="J60" s="1507">
        <f t="shared" si="10"/>
        <v>700.96473478765938</v>
      </c>
      <c r="K60" s="210"/>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346"/>
      <c r="BW60" s="346"/>
      <c r="BX60" s="346"/>
      <c r="BY60" s="346"/>
      <c r="BZ60" s="346"/>
      <c r="CA60" s="346"/>
      <c r="CB60" s="346"/>
      <c r="CC60" s="346"/>
      <c r="CD60" s="346"/>
      <c r="CE60" s="346"/>
      <c r="CF60" s="346"/>
      <c r="CG60" s="346"/>
      <c r="CH60" s="346"/>
      <c r="CI60" s="346"/>
      <c r="CJ60" s="346"/>
      <c r="CK60" s="346"/>
      <c r="CL60" s="346"/>
      <c r="CM60" s="346"/>
      <c r="CN60" s="346"/>
      <c r="CO60" s="346"/>
      <c r="CP60" s="346"/>
      <c r="CQ60" s="346"/>
      <c r="CR60" s="346"/>
      <c r="CS60" s="346"/>
      <c r="CT60" s="346"/>
      <c r="CU60" s="346"/>
    </row>
    <row r="61" spans="1:99" ht="20.149999999999999" customHeight="1">
      <c r="A61" s="624">
        <v>32</v>
      </c>
      <c r="B61" s="1274" t="s">
        <v>91</v>
      </c>
      <c r="C61" s="1639">
        <v>192.44074000000001</v>
      </c>
      <c r="D61" s="1640">
        <v>0</v>
      </c>
      <c r="E61" s="1639">
        <v>493.42131239999998</v>
      </c>
      <c r="F61" s="1640">
        <v>0</v>
      </c>
      <c r="G61" s="1640">
        <v>0</v>
      </c>
      <c r="H61" s="694">
        <f t="shared" si="9"/>
        <v>685.86205240000004</v>
      </c>
      <c r="I61" s="1448">
        <v>49449.630539999998</v>
      </c>
      <c r="J61" s="1507">
        <f t="shared" si="10"/>
        <v>720.98507807748774</v>
      </c>
      <c r="K61" s="210"/>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346"/>
      <c r="CM61" s="346"/>
      <c r="CN61" s="346"/>
      <c r="CO61" s="346"/>
      <c r="CP61" s="346"/>
      <c r="CQ61" s="346"/>
      <c r="CR61" s="346"/>
      <c r="CS61" s="346"/>
      <c r="CT61" s="346"/>
      <c r="CU61" s="346"/>
    </row>
    <row r="62" spans="1:99" ht="20.149999999999999" customHeight="1">
      <c r="A62" s="624">
        <v>33</v>
      </c>
      <c r="B62" s="1274" t="s">
        <v>82</v>
      </c>
      <c r="C62" s="1639">
        <v>807.12273000000005</v>
      </c>
      <c r="D62" s="1640">
        <v>0</v>
      </c>
      <c r="E62" s="1640">
        <v>0</v>
      </c>
      <c r="F62" s="1640">
        <v>0</v>
      </c>
      <c r="G62" s="1640">
        <v>0</v>
      </c>
      <c r="H62" s="694">
        <f t="shared" si="9"/>
        <v>807.12273000000005</v>
      </c>
      <c r="I62" s="1448">
        <f>216903.865572464-I63</f>
        <v>57800.865572464012</v>
      </c>
      <c r="J62" s="1507">
        <f t="shared" si="10"/>
        <v>716.1347763364812</v>
      </c>
      <c r="K62" s="210"/>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c r="CD62" s="346"/>
      <c r="CE62" s="346"/>
      <c r="CF62" s="346"/>
      <c r="CG62" s="346"/>
      <c r="CH62" s="346"/>
      <c r="CI62" s="346"/>
      <c r="CJ62" s="346"/>
      <c r="CK62" s="346"/>
      <c r="CL62" s="346"/>
      <c r="CM62" s="346"/>
      <c r="CN62" s="346"/>
      <c r="CO62" s="346"/>
      <c r="CP62" s="346"/>
      <c r="CQ62" s="346"/>
      <c r="CR62" s="346"/>
      <c r="CS62" s="346"/>
      <c r="CT62" s="346"/>
      <c r="CU62" s="346"/>
    </row>
    <row r="63" spans="1:99" ht="20.149999999999999" customHeight="1">
      <c r="A63" s="624"/>
      <c r="B63" s="1274" t="s">
        <v>2287</v>
      </c>
      <c r="C63" s="1639">
        <v>2932.8310000000001</v>
      </c>
      <c r="D63" s="1640"/>
      <c r="E63" s="1640"/>
      <c r="F63" s="1640"/>
      <c r="G63" s="1640"/>
      <c r="H63" s="694">
        <f t="shared" si="9"/>
        <v>2932.8310000000001</v>
      </c>
      <c r="I63" s="1448">
        <f>159103</f>
        <v>159103</v>
      </c>
      <c r="J63" s="1507">
        <f t="shared" si="10"/>
        <v>542.48949223463603</v>
      </c>
      <c r="K63" s="210"/>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c r="BR63" s="346"/>
      <c r="BS63" s="346"/>
      <c r="BT63" s="346"/>
      <c r="BU63" s="346"/>
      <c r="BV63" s="346"/>
      <c r="BW63" s="346"/>
      <c r="BX63" s="346"/>
      <c r="BY63" s="346"/>
      <c r="BZ63" s="346"/>
      <c r="CA63" s="346"/>
      <c r="CB63" s="346"/>
      <c r="CC63" s="346"/>
      <c r="CD63" s="346"/>
      <c r="CE63" s="346"/>
      <c r="CF63" s="346"/>
      <c r="CG63" s="346"/>
      <c r="CH63" s="346"/>
      <c r="CI63" s="346"/>
      <c r="CJ63" s="346"/>
      <c r="CK63" s="346"/>
      <c r="CL63" s="346"/>
      <c r="CM63" s="346"/>
      <c r="CN63" s="346"/>
      <c r="CO63" s="346"/>
      <c r="CP63" s="346"/>
      <c r="CQ63" s="346"/>
      <c r="CR63" s="346"/>
      <c r="CS63" s="346"/>
      <c r="CT63" s="346"/>
      <c r="CU63" s="346"/>
    </row>
    <row r="64" spans="1:99" ht="20.149999999999999" customHeight="1">
      <c r="A64" s="624">
        <v>34</v>
      </c>
      <c r="B64" s="1274" t="s">
        <v>92</v>
      </c>
      <c r="C64" s="1640">
        <v>0</v>
      </c>
      <c r="D64" s="1640">
        <v>0</v>
      </c>
      <c r="E64" s="1640">
        <v>0</v>
      </c>
      <c r="F64" s="1639">
        <v>7.3120200000000004</v>
      </c>
      <c r="G64" s="1640">
        <v>0</v>
      </c>
      <c r="H64" s="694">
        <f t="shared" si="9"/>
        <v>7.3120200000000004</v>
      </c>
      <c r="I64" s="1448">
        <v>542.72367999999994</v>
      </c>
      <c r="J64" s="1507">
        <f t="shared" si="10"/>
        <v>742.23495012322155</v>
      </c>
      <c r="K64" s="210"/>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6"/>
      <c r="BV64" s="346"/>
      <c r="BW64" s="346"/>
      <c r="BX64" s="346"/>
      <c r="BY64" s="346"/>
      <c r="BZ64" s="346"/>
      <c r="CA64" s="346"/>
      <c r="CB64" s="346"/>
      <c r="CC64" s="346"/>
      <c r="CD64" s="346"/>
      <c r="CE64" s="346"/>
      <c r="CF64" s="346"/>
      <c r="CG64" s="346"/>
      <c r="CH64" s="346"/>
      <c r="CI64" s="346"/>
      <c r="CJ64" s="346"/>
      <c r="CK64" s="346"/>
      <c r="CL64" s="346"/>
      <c r="CM64" s="346"/>
      <c r="CN64" s="346"/>
      <c r="CO64" s="346"/>
      <c r="CP64" s="346"/>
      <c r="CQ64" s="346"/>
      <c r="CR64" s="346"/>
      <c r="CS64" s="346"/>
      <c r="CT64" s="346"/>
      <c r="CU64" s="346"/>
    </row>
    <row r="65" spans="1:99" ht="20.149999999999999" customHeight="1">
      <c r="A65" s="624">
        <v>35</v>
      </c>
      <c r="B65" s="1274" t="s">
        <v>85</v>
      </c>
      <c r="C65" s="1639">
        <v>5.7659099999999999</v>
      </c>
      <c r="D65" s="1640">
        <v>0</v>
      </c>
      <c r="E65" s="1640">
        <v>0</v>
      </c>
      <c r="F65" s="1640">
        <v>0</v>
      </c>
      <c r="G65" s="1640">
        <v>0</v>
      </c>
      <c r="H65" s="694">
        <f t="shared" si="9"/>
        <v>5.7659099999999999</v>
      </c>
      <c r="I65" s="1448">
        <v>517.48015999999996</v>
      </c>
      <c r="J65" s="1507">
        <f t="shared" si="10"/>
        <v>897.48220142180503</v>
      </c>
      <c r="K65" s="210"/>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c r="CD65" s="346"/>
      <c r="CE65" s="346"/>
      <c r="CF65" s="346"/>
      <c r="CG65" s="346"/>
      <c r="CH65" s="346"/>
      <c r="CI65" s="346"/>
      <c r="CJ65" s="346"/>
      <c r="CK65" s="346"/>
      <c r="CL65" s="346"/>
      <c r="CM65" s="346"/>
      <c r="CN65" s="346"/>
      <c r="CO65" s="346"/>
      <c r="CP65" s="346"/>
      <c r="CQ65" s="346"/>
      <c r="CR65" s="346"/>
      <c r="CS65" s="346"/>
      <c r="CT65" s="346"/>
      <c r="CU65" s="346"/>
    </row>
    <row r="66" spans="1:99" ht="20.149999999999999" customHeight="1">
      <c r="A66" s="624">
        <v>36</v>
      </c>
      <c r="B66" s="1274" t="s">
        <v>62</v>
      </c>
      <c r="C66" s="1640">
        <v>0</v>
      </c>
      <c r="D66" s="1640">
        <v>0</v>
      </c>
      <c r="E66" s="1640">
        <v>0</v>
      </c>
      <c r="F66" s="1640">
        <v>0</v>
      </c>
      <c r="G66" s="1639">
        <v>0</v>
      </c>
      <c r="H66" s="694">
        <f>SUM(C66:G66)</f>
        <v>0</v>
      </c>
      <c r="I66" s="1448">
        <v>0</v>
      </c>
      <c r="J66" s="1507"/>
      <c r="K66" s="210"/>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6"/>
      <c r="BO66" s="346"/>
      <c r="BP66" s="346"/>
      <c r="BQ66" s="346"/>
      <c r="BR66" s="346"/>
      <c r="BS66" s="346"/>
      <c r="BT66" s="346"/>
      <c r="BU66" s="346"/>
      <c r="BV66" s="346"/>
      <c r="BW66" s="346"/>
      <c r="BX66" s="346"/>
      <c r="BY66" s="346"/>
      <c r="BZ66" s="346"/>
      <c r="CA66" s="346"/>
      <c r="CB66" s="346"/>
      <c r="CC66" s="346"/>
      <c r="CD66" s="346"/>
      <c r="CE66" s="346"/>
      <c r="CF66" s="346"/>
      <c r="CG66" s="346"/>
      <c r="CH66" s="346"/>
      <c r="CI66" s="346"/>
      <c r="CJ66" s="346"/>
      <c r="CK66" s="346"/>
      <c r="CL66" s="346"/>
      <c r="CM66" s="346"/>
      <c r="CN66" s="346"/>
      <c r="CO66" s="346"/>
      <c r="CP66" s="346"/>
      <c r="CQ66" s="346"/>
      <c r="CR66" s="346"/>
      <c r="CS66" s="346"/>
      <c r="CT66" s="346"/>
      <c r="CU66" s="346"/>
    </row>
    <row r="67" spans="1:99" ht="20.149999999999999" customHeight="1">
      <c r="A67" s="624">
        <v>37</v>
      </c>
      <c r="B67" s="1274" t="s">
        <v>86</v>
      </c>
      <c r="C67" s="1639"/>
      <c r="D67" s="1639"/>
      <c r="E67" s="1639">
        <v>62.163899999999998</v>
      </c>
      <c r="F67" s="1639">
        <v>1.1338999999999999</v>
      </c>
      <c r="G67" s="1639">
        <v>0</v>
      </c>
      <c r="H67" s="694">
        <f>SUM(C67:G67)</f>
        <v>63.297799999999995</v>
      </c>
      <c r="I67" s="1448">
        <f>H67*4.85*10</f>
        <v>3069.9432999999995</v>
      </c>
      <c r="J67" s="1507">
        <f t="shared" si="10"/>
        <v>484.99999999999994</v>
      </c>
      <c r="K67" s="210"/>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row>
    <row r="68" spans="1:99" ht="20.149999999999999" customHeight="1">
      <c r="A68" s="624"/>
      <c r="B68" s="1510" t="s">
        <v>185</v>
      </c>
      <c r="C68" s="1264">
        <f>SUM(C57:C67)</f>
        <v>4662.09166</v>
      </c>
      <c r="D68" s="1264">
        <f t="shared" ref="D68:G68" si="11">SUM(D57:D67)</f>
        <v>67.610140000000001</v>
      </c>
      <c r="E68" s="1264">
        <f t="shared" si="11"/>
        <v>890.72292440000001</v>
      </c>
      <c r="F68" s="1264">
        <f t="shared" si="11"/>
        <v>98.143574000000001</v>
      </c>
      <c r="G68" s="1264">
        <f t="shared" si="11"/>
        <v>144.12870000000001</v>
      </c>
      <c r="H68" s="1264">
        <f>SUM(H57:H67)</f>
        <v>5862.6969984000007</v>
      </c>
      <c r="I68" s="1283">
        <f>(SUM(I57:I67))</f>
        <v>361110.81621246395</v>
      </c>
      <c r="J68" s="1359">
        <f t="shared" si="10"/>
        <v>615.94657938320086</v>
      </c>
      <c r="K68" s="210"/>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6"/>
      <c r="BV68" s="346"/>
      <c r="BW68" s="346"/>
      <c r="BX68" s="346"/>
      <c r="BY68" s="346"/>
      <c r="BZ68" s="346"/>
      <c r="CA68" s="346"/>
      <c r="CB68" s="346"/>
      <c r="CC68" s="346"/>
      <c r="CD68" s="346"/>
      <c r="CE68" s="346"/>
      <c r="CF68" s="346"/>
      <c r="CG68" s="346"/>
      <c r="CH68" s="346"/>
      <c r="CI68" s="346"/>
      <c r="CJ68" s="346"/>
      <c r="CK68" s="346"/>
      <c r="CL68" s="346"/>
      <c r="CM68" s="346"/>
      <c r="CN68" s="346"/>
      <c r="CO68" s="346"/>
      <c r="CP68" s="346"/>
      <c r="CQ68" s="346"/>
      <c r="CR68" s="346"/>
      <c r="CS68" s="346"/>
      <c r="CT68" s="346"/>
      <c r="CU68" s="346"/>
    </row>
    <row r="69" spans="1:99" ht="20.149999999999999" customHeight="1">
      <c r="A69" s="624"/>
      <c r="B69" s="1510" t="s">
        <v>94</v>
      </c>
      <c r="C69" s="1264">
        <f t="shared" ref="C69:I69" si="12">C68+C55+C37</f>
        <v>5647.8373339</v>
      </c>
      <c r="D69" s="1264">
        <f t="shared" si="12"/>
        <v>639.17236959999991</v>
      </c>
      <c r="E69" s="1264">
        <f t="shared" si="12"/>
        <v>2958.1506684000001</v>
      </c>
      <c r="F69" s="1264">
        <f t="shared" si="12"/>
        <v>744.24893769999994</v>
      </c>
      <c r="G69" s="1264">
        <f t="shared" si="12"/>
        <v>620.21287570000004</v>
      </c>
      <c r="H69" s="1264">
        <f t="shared" si="12"/>
        <v>10609.62255095641</v>
      </c>
      <c r="I69" s="1283">
        <f t="shared" si="12"/>
        <v>624102.69467578712</v>
      </c>
      <c r="J69" s="1359">
        <f>I69/H69*10</f>
        <v>588.24212801003659</v>
      </c>
      <c r="K69" s="210"/>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6"/>
      <c r="BW69" s="346"/>
      <c r="BX69" s="346"/>
      <c r="BY69" s="346"/>
      <c r="BZ69" s="346"/>
      <c r="CA69" s="346"/>
      <c r="CB69" s="346"/>
      <c r="CC69" s="346"/>
      <c r="CD69" s="346"/>
      <c r="CE69" s="346"/>
      <c r="CF69" s="346"/>
      <c r="CG69" s="346"/>
      <c r="CH69" s="346"/>
      <c r="CI69" s="346"/>
      <c r="CJ69" s="346"/>
      <c r="CK69" s="346"/>
      <c r="CL69" s="346"/>
      <c r="CM69" s="346"/>
      <c r="CN69" s="346"/>
      <c r="CO69" s="346"/>
      <c r="CP69" s="346"/>
      <c r="CQ69" s="346"/>
      <c r="CR69" s="346"/>
      <c r="CS69" s="346"/>
      <c r="CT69" s="346"/>
      <c r="CU69" s="346"/>
    </row>
    <row r="70" spans="1:99" ht="20.149999999999999" customHeight="1">
      <c r="A70" s="624">
        <v>38</v>
      </c>
      <c r="B70" s="1273" t="s">
        <v>95</v>
      </c>
      <c r="C70" s="624"/>
      <c r="D70" s="624"/>
      <c r="E70" s="624"/>
      <c r="F70" s="624"/>
      <c r="G70" s="624"/>
      <c r="H70" s="1264">
        <v>13002.405000000001</v>
      </c>
      <c r="I70" s="1448"/>
      <c r="J70" s="1507"/>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6"/>
      <c r="BV70" s="346"/>
      <c r="BW70" s="346"/>
      <c r="BX70" s="346"/>
      <c r="BY70" s="346"/>
      <c r="BZ70" s="346"/>
      <c r="CA70" s="346"/>
      <c r="CB70" s="346"/>
      <c r="CC70" s="346"/>
      <c r="CD70" s="346"/>
      <c r="CE70" s="346"/>
      <c r="CF70" s="346"/>
      <c r="CG70" s="346"/>
      <c r="CH70" s="346"/>
      <c r="CI70" s="346"/>
      <c r="CJ70" s="346"/>
      <c r="CK70" s="346"/>
      <c r="CL70" s="346"/>
      <c r="CM70" s="346"/>
      <c r="CN70" s="346"/>
      <c r="CO70" s="346"/>
      <c r="CP70" s="346"/>
      <c r="CQ70" s="346"/>
      <c r="CR70" s="346"/>
      <c r="CS70" s="346"/>
      <c r="CT70" s="346"/>
      <c r="CU70" s="346"/>
    </row>
    <row r="71" spans="1:99" ht="20.149999999999999" customHeight="1">
      <c r="A71" s="624">
        <v>39</v>
      </c>
      <c r="B71" s="1273" t="s">
        <v>209</v>
      </c>
      <c r="C71" s="624"/>
      <c r="D71" s="624"/>
      <c r="E71" s="624"/>
      <c r="F71" s="624"/>
      <c r="G71" s="624"/>
      <c r="H71" s="1264">
        <f>H70-H69</f>
        <v>2392.7824490435905</v>
      </c>
      <c r="I71" s="1448"/>
      <c r="J71" s="1507"/>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6"/>
      <c r="BV71" s="346"/>
      <c r="BW71" s="346"/>
      <c r="BX71" s="346"/>
      <c r="BY71" s="346"/>
      <c r="BZ71" s="346"/>
      <c r="CA71" s="346"/>
      <c r="CB71" s="346"/>
      <c r="CC71" s="346"/>
      <c r="CD71" s="346"/>
      <c r="CE71" s="346"/>
      <c r="CF71" s="346"/>
      <c r="CG71" s="346"/>
      <c r="CH71" s="346"/>
      <c r="CI71" s="346"/>
      <c r="CJ71" s="346"/>
      <c r="CK71" s="346"/>
      <c r="CL71" s="346"/>
      <c r="CM71" s="346"/>
      <c r="CN71" s="346"/>
      <c r="CO71" s="346"/>
      <c r="CP71" s="346"/>
      <c r="CQ71" s="346"/>
      <c r="CR71" s="346"/>
      <c r="CS71" s="346"/>
      <c r="CT71" s="346"/>
      <c r="CU71" s="346"/>
    </row>
    <row r="72" spans="1:99" ht="20.149999999999999" customHeight="1">
      <c r="A72" s="624">
        <v>40</v>
      </c>
      <c r="B72" s="1273" t="s">
        <v>210</v>
      </c>
      <c r="C72" s="624"/>
      <c r="D72" s="624"/>
      <c r="E72" s="624"/>
      <c r="F72" s="624"/>
      <c r="G72" s="624"/>
      <c r="H72" s="1641">
        <f>H71/H70</f>
        <v>0.18402614355141148</v>
      </c>
      <c r="I72" s="1448"/>
      <c r="J72" s="1507"/>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346"/>
      <c r="BS72" s="346"/>
      <c r="BT72" s="346"/>
      <c r="BU72" s="346"/>
      <c r="BV72" s="346"/>
      <c r="BW72" s="346"/>
      <c r="BX72" s="346"/>
      <c r="BY72" s="346"/>
      <c r="BZ72" s="346"/>
      <c r="CA72" s="346"/>
      <c r="CB72" s="346"/>
      <c r="CC72" s="346"/>
      <c r="CD72" s="346"/>
      <c r="CE72" s="346"/>
      <c r="CF72" s="346"/>
      <c r="CG72" s="346"/>
      <c r="CH72" s="346"/>
      <c r="CI72" s="346"/>
      <c r="CJ72" s="346"/>
      <c r="CK72" s="346"/>
      <c r="CL72" s="346"/>
      <c r="CM72" s="346"/>
      <c r="CN72" s="346"/>
      <c r="CO72" s="346"/>
      <c r="CP72" s="346"/>
      <c r="CQ72" s="346"/>
      <c r="CR72" s="346"/>
      <c r="CS72" s="346"/>
      <c r="CT72" s="346"/>
      <c r="CU72" s="346"/>
    </row>
    <row r="73" spans="1:99" ht="20.149999999999999" customHeight="1">
      <c r="A73" s="624">
        <v>41</v>
      </c>
      <c r="B73" s="1273" t="s">
        <v>211</v>
      </c>
      <c r="C73" s="624"/>
      <c r="D73" s="624"/>
      <c r="E73" s="624"/>
      <c r="F73" s="624"/>
      <c r="G73" s="624"/>
      <c r="H73" s="1641">
        <f>'T-1'!G75</f>
        <v>1.0014472055915009</v>
      </c>
      <c r="I73" s="1525"/>
      <c r="J73" s="1507"/>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6"/>
      <c r="BS73" s="346"/>
      <c r="BT73" s="346"/>
      <c r="BU73" s="346"/>
      <c r="BV73" s="346"/>
      <c r="BW73" s="346"/>
      <c r="BX73" s="346"/>
      <c r="BY73" s="346"/>
      <c r="BZ73" s="346"/>
      <c r="CA73" s="346"/>
      <c r="CB73" s="346"/>
      <c r="CC73" s="346"/>
      <c r="CD73" s="346"/>
      <c r="CE73" s="346"/>
      <c r="CF73" s="346"/>
      <c r="CG73" s="346"/>
      <c r="CH73" s="346"/>
      <c r="CI73" s="346"/>
      <c r="CJ73" s="346"/>
      <c r="CK73" s="346"/>
      <c r="CL73" s="346"/>
      <c r="CM73" s="346"/>
      <c r="CN73" s="346"/>
      <c r="CO73" s="346"/>
      <c r="CP73" s="346"/>
      <c r="CQ73" s="346"/>
      <c r="CR73" s="346"/>
      <c r="CS73" s="346"/>
      <c r="CT73" s="346"/>
      <c r="CU73" s="346"/>
    </row>
    <row r="74" spans="1:99" ht="20.149999999999999" customHeight="1">
      <c r="A74" s="624">
        <v>42</v>
      </c>
      <c r="B74" s="1273" t="s">
        <v>212</v>
      </c>
      <c r="C74" s="624"/>
      <c r="D74" s="624"/>
      <c r="E74" s="624"/>
      <c r="F74" s="624"/>
      <c r="G74" s="624"/>
      <c r="H74" s="1641">
        <f>'T-1'!G76</f>
        <v>0.18284526134482582</v>
      </c>
      <c r="I74" s="1525"/>
      <c r="J74" s="1507"/>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346"/>
      <c r="CA74" s="346"/>
      <c r="CB74" s="346"/>
      <c r="CC74" s="346"/>
      <c r="CD74" s="346"/>
      <c r="CE74" s="346"/>
      <c r="CF74" s="346"/>
      <c r="CG74" s="346"/>
      <c r="CH74" s="346"/>
      <c r="CI74" s="346"/>
      <c r="CJ74" s="346"/>
      <c r="CK74" s="346"/>
      <c r="CL74" s="346"/>
      <c r="CM74" s="346"/>
      <c r="CN74" s="346"/>
      <c r="CO74" s="346"/>
      <c r="CP74" s="346"/>
      <c r="CQ74" s="346"/>
      <c r="CR74" s="346"/>
      <c r="CS74" s="346"/>
      <c r="CT74" s="346"/>
      <c r="CU74" s="346"/>
    </row>
    <row r="75" spans="1:99" ht="20.149999999999999" customHeight="1">
      <c r="A75" s="63" t="s">
        <v>213</v>
      </c>
      <c r="C75" s="62"/>
      <c r="D75" s="62"/>
      <c r="E75" s="62"/>
      <c r="F75" s="62"/>
      <c r="G75" s="62"/>
      <c r="H75" s="62"/>
      <c r="I75" s="148"/>
      <c r="J75" s="278"/>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346"/>
      <c r="CA75" s="346"/>
      <c r="CB75" s="346"/>
      <c r="CC75" s="346"/>
      <c r="CD75" s="346"/>
      <c r="CE75" s="346"/>
      <c r="CF75" s="346"/>
      <c r="CG75" s="346"/>
      <c r="CH75" s="346"/>
      <c r="CI75" s="346"/>
      <c r="CJ75" s="346"/>
      <c r="CK75" s="346"/>
      <c r="CL75" s="346"/>
      <c r="CM75" s="346"/>
      <c r="CN75" s="346"/>
      <c r="CO75" s="346"/>
      <c r="CP75" s="346"/>
      <c r="CQ75" s="346"/>
      <c r="CR75" s="346"/>
      <c r="CS75" s="346"/>
      <c r="CT75" s="346"/>
      <c r="CU75" s="346"/>
    </row>
    <row r="76" spans="1:99" ht="20.149999999999999" customHeight="1">
      <c r="C76" s="1131"/>
      <c r="D76" s="1131"/>
      <c r="E76" s="1131"/>
      <c r="F76" s="1131"/>
      <c r="G76" s="1131"/>
      <c r="H76" s="1131"/>
      <c r="I76" s="1131"/>
      <c r="J76" s="1131"/>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6"/>
      <c r="BV76" s="346"/>
      <c r="BW76" s="346"/>
      <c r="BX76" s="346"/>
      <c r="BY76" s="346"/>
      <c r="BZ76" s="346"/>
      <c r="CA76" s="346"/>
      <c r="CB76" s="346"/>
      <c r="CC76" s="346"/>
      <c r="CD76" s="346"/>
      <c r="CE76" s="346"/>
      <c r="CF76" s="346"/>
      <c r="CG76" s="346"/>
      <c r="CH76" s="346"/>
      <c r="CI76" s="346"/>
      <c r="CJ76" s="346"/>
      <c r="CK76" s="346"/>
      <c r="CL76" s="346"/>
      <c r="CM76" s="346"/>
      <c r="CN76" s="346"/>
      <c r="CO76" s="346"/>
      <c r="CP76" s="346"/>
      <c r="CQ76" s="346"/>
      <c r="CR76" s="346"/>
      <c r="CS76" s="346"/>
      <c r="CT76" s="346"/>
      <c r="CU76" s="346"/>
    </row>
    <row r="77" spans="1:99" ht="20.149999999999999" customHeight="1">
      <c r="H77" s="276"/>
      <c r="I77" s="148"/>
      <c r="J77" s="278"/>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46"/>
      <c r="BP77" s="346"/>
      <c r="BQ77" s="346"/>
      <c r="BR77" s="346"/>
      <c r="BS77" s="346"/>
      <c r="BT77" s="346"/>
      <c r="BU77" s="346"/>
      <c r="BV77" s="346"/>
      <c r="BW77" s="346"/>
      <c r="BX77" s="346"/>
      <c r="BY77" s="346"/>
      <c r="BZ77" s="346"/>
      <c r="CA77" s="346"/>
      <c r="CB77" s="346"/>
      <c r="CC77" s="346"/>
      <c r="CD77" s="346"/>
      <c r="CE77" s="346"/>
      <c r="CF77" s="346"/>
      <c r="CG77" s="346"/>
      <c r="CH77" s="346"/>
      <c r="CI77" s="346"/>
      <c r="CJ77" s="346"/>
      <c r="CK77" s="346"/>
      <c r="CL77" s="346"/>
      <c r="CM77" s="346"/>
      <c r="CN77" s="346"/>
      <c r="CO77" s="346"/>
      <c r="CP77" s="346"/>
      <c r="CQ77" s="346"/>
      <c r="CR77" s="346"/>
      <c r="CS77" s="346"/>
      <c r="CT77" s="346"/>
      <c r="CU77" s="346"/>
    </row>
    <row r="78" spans="1:99" ht="20.149999999999999" customHeight="1">
      <c r="H78" s="110"/>
      <c r="I78" s="148"/>
      <c r="J78" s="278"/>
      <c r="L78" s="346"/>
      <c r="M78" s="346"/>
      <c r="N78" s="346"/>
    </row>
    <row r="79" spans="1:99" ht="20.149999999999999" customHeight="1">
      <c r="I79" s="96"/>
      <c r="J79" s="176"/>
      <c r="L79" s="346"/>
      <c r="M79" s="346"/>
      <c r="N79" s="346"/>
    </row>
    <row r="80" spans="1:99" ht="20.149999999999999" customHeight="1">
      <c r="L80" s="346"/>
      <c r="M80" s="346"/>
      <c r="N80" s="346"/>
    </row>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row r="158" ht="20.149999999999999" customHeight="1"/>
    <row r="159" ht="20.149999999999999" customHeight="1"/>
    <row r="160" ht="20.149999999999999" customHeight="1"/>
    <row r="161" ht="20.149999999999999" customHeight="1"/>
    <row r="162" ht="20.149999999999999" customHeight="1"/>
    <row r="163" ht="20.149999999999999" customHeight="1"/>
    <row r="164" ht="20.149999999999999" customHeight="1"/>
    <row r="165" ht="20.149999999999999" customHeight="1"/>
    <row r="166" ht="20.149999999999999" customHeight="1"/>
    <row r="167" ht="20.149999999999999" customHeight="1"/>
    <row r="168" ht="20.149999999999999" customHeight="1"/>
    <row r="169" ht="20.149999999999999" customHeight="1"/>
    <row r="170" ht="20.149999999999999" customHeight="1"/>
    <row r="171" ht="20.149999999999999" customHeight="1"/>
    <row r="172" ht="20.149999999999999" customHeight="1"/>
    <row r="173" ht="20.149999999999999" customHeight="1"/>
    <row r="174" ht="20.149999999999999" customHeight="1"/>
    <row r="175" ht="20.149999999999999" customHeight="1"/>
    <row r="176" ht="20.149999999999999" customHeight="1"/>
    <row r="177" ht="20.149999999999999" customHeight="1"/>
    <row r="178" ht="20.149999999999999" customHeight="1"/>
    <row r="179" ht="20.149999999999999" customHeight="1"/>
    <row r="180" ht="20.149999999999999" customHeight="1"/>
    <row r="181" ht="20.149999999999999" customHeight="1"/>
    <row r="182" ht="20.149999999999999" customHeight="1"/>
    <row r="183" ht="20.149999999999999" customHeight="1"/>
    <row r="184" ht="20.149999999999999" customHeight="1"/>
    <row r="185" ht="20.149999999999999" customHeight="1"/>
    <row r="186" ht="20.149999999999999" customHeight="1"/>
    <row r="187" ht="20.149999999999999" customHeight="1"/>
    <row r="188" ht="20.149999999999999" customHeight="1"/>
    <row r="189" ht="20.149999999999999" customHeight="1"/>
    <row r="190" ht="20.149999999999999" customHeight="1"/>
    <row r="191" ht="20.149999999999999" customHeight="1"/>
    <row r="192" ht="20.149999999999999" customHeight="1"/>
    <row r="193" ht="20.149999999999999" customHeight="1"/>
    <row r="194" ht="20.149999999999999" customHeight="1"/>
    <row r="195" ht="20.149999999999999" customHeight="1"/>
    <row r="196" ht="20.149999999999999" customHeight="1"/>
    <row r="197" ht="20.149999999999999" customHeight="1"/>
    <row r="198" ht="20.149999999999999" customHeight="1"/>
    <row r="199" ht="20.149999999999999" customHeight="1"/>
    <row r="200" ht="20.149999999999999" customHeight="1"/>
    <row r="201" ht="20.149999999999999" customHeight="1"/>
    <row r="202" ht="20.149999999999999" customHeight="1"/>
    <row r="203" ht="20.149999999999999" customHeight="1"/>
    <row r="204" ht="20.149999999999999" customHeight="1"/>
    <row r="205" ht="20.149999999999999" customHeight="1"/>
    <row r="206" ht="20.149999999999999" customHeight="1"/>
    <row r="207" ht="20.149999999999999" customHeight="1"/>
    <row r="208" ht="20.149999999999999" customHeight="1"/>
    <row r="209" ht="20.149999999999999" customHeight="1"/>
    <row r="210" ht="20.149999999999999" customHeight="1"/>
    <row r="211" ht="20.149999999999999" customHeight="1"/>
    <row r="212" ht="20.149999999999999" customHeight="1"/>
    <row r="213" ht="20.149999999999999" customHeight="1"/>
    <row r="214" ht="20.149999999999999" customHeight="1"/>
    <row r="215" ht="20.149999999999999" customHeight="1"/>
    <row r="216" ht="20.149999999999999" customHeight="1"/>
    <row r="217" ht="20.149999999999999" customHeight="1"/>
    <row r="218" ht="20.149999999999999" customHeight="1"/>
    <row r="219" ht="20.149999999999999" customHeight="1"/>
    <row r="220" ht="20.149999999999999" customHeight="1"/>
    <row r="221" ht="20.149999999999999" customHeight="1"/>
    <row r="222" ht="20.149999999999999" customHeight="1"/>
    <row r="223" ht="20.149999999999999" customHeight="1"/>
    <row r="224" ht="20.149999999999999" customHeight="1"/>
    <row r="225" ht="20.149999999999999" customHeight="1"/>
    <row r="226" ht="20.149999999999999" customHeight="1"/>
    <row r="227" ht="20.149999999999999" customHeight="1"/>
    <row r="228" ht="20.149999999999999" customHeight="1"/>
    <row r="229" ht="20.149999999999999" customHeight="1"/>
    <row r="230" ht="20.149999999999999" customHeight="1"/>
    <row r="231" ht="20.149999999999999" customHeight="1"/>
    <row r="232" ht="20.149999999999999" customHeight="1"/>
    <row r="233" ht="20.149999999999999" customHeight="1"/>
    <row r="234" ht="20.149999999999999" customHeight="1"/>
    <row r="235" ht="20.149999999999999" customHeight="1"/>
    <row r="236" ht="20.149999999999999" customHeight="1"/>
    <row r="237" ht="20.149999999999999" customHeight="1"/>
    <row r="238" ht="20.149999999999999" customHeight="1"/>
    <row r="239" ht="20.149999999999999" customHeight="1"/>
    <row r="240" ht="20.149999999999999" customHeight="1"/>
    <row r="241" ht="20.149999999999999" customHeight="1"/>
    <row r="242" ht="20.149999999999999" customHeight="1"/>
    <row r="243" ht="20.149999999999999" customHeight="1"/>
    <row r="244" ht="20.149999999999999" customHeight="1"/>
    <row r="245" ht="20.149999999999999" customHeight="1"/>
    <row r="246" ht="20.149999999999999" customHeight="1"/>
    <row r="247" ht="20.149999999999999" customHeight="1"/>
    <row r="248" ht="20.149999999999999" customHeight="1"/>
    <row r="249" ht="20.149999999999999" customHeight="1"/>
    <row r="250" ht="20.149999999999999" customHeight="1"/>
    <row r="251" ht="20.149999999999999" customHeight="1"/>
    <row r="252" ht="20.149999999999999" customHeight="1"/>
    <row r="253" ht="20.149999999999999" customHeight="1"/>
    <row r="254" ht="20.149999999999999" customHeight="1"/>
    <row r="255" ht="20.149999999999999" customHeight="1"/>
    <row r="256" ht="20.149999999999999" customHeight="1"/>
    <row r="257" ht="20.149999999999999" customHeight="1"/>
    <row r="258" ht="20.149999999999999" customHeight="1"/>
    <row r="259" ht="20.149999999999999" customHeight="1"/>
    <row r="260" ht="20.149999999999999" customHeight="1"/>
    <row r="261" ht="20.149999999999999" customHeight="1"/>
    <row r="262" ht="20.149999999999999" customHeight="1"/>
    <row r="263" ht="20.149999999999999" customHeight="1"/>
    <row r="264" ht="20.149999999999999" customHeight="1"/>
    <row r="265" ht="20.149999999999999" customHeight="1"/>
    <row r="266" ht="20.149999999999999" customHeight="1"/>
    <row r="267" ht="20.149999999999999" customHeight="1"/>
    <row r="268" ht="20.149999999999999" customHeight="1"/>
    <row r="269" ht="20.149999999999999" customHeight="1"/>
    <row r="270" ht="20.149999999999999" customHeight="1"/>
    <row r="271" ht="20.149999999999999" customHeight="1"/>
    <row r="272" ht="20.149999999999999" customHeight="1"/>
    <row r="273" ht="20.149999999999999" customHeight="1"/>
    <row r="274" ht="20.149999999999999" customHeight="1"/>
  </sheetData>
  <mergeCells count="11">
    <mergeCell ref="I7:I9"/>
    <mergeCell ref="J7:J9"/>
    <mergeCell ref="C5:H5"/>
    <mergeCell ref="A7:A9"/>
    <mergeCell ref="B7:B9"/>
    <mergeCell ref="C7:C9"/>
    <mergeCell ref="D7:D9"/>
    <mergeCell ref="E7:E9"/>
    <mergeCell ref="F7:F9"/>
    <mergeCell ref="G7:G9"/>
    <mergeCell ref="H7:H9"/>
  </mergeCells>
  <printOptions horizontalCentered="1"/>
  <pageMargins left="0.11811023622047245" right="0" top="0.35433070866141736" bottom="1.3779527559055118" header="0" footer="0.39370078740157483"/>
  <pageSetup paperSize="9" scale="71" fitToHeight="2" orientation="portrait" r:id="rId1"/>
  <headerFooter alignWithMargins="0"/>
  <rowBreaks count="1" manualBreakCount="1">
    <brk id="3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V274"/>
  <sheetViews>
    <sheetView showGridLines="0" view="pageBreakPreview" topLeftCell="A62" zoomScale="85" zoomScaleNormal="75" zoomScaleSheetLayoutView="85" workbookViewId="0">
      <selection activeCell="J25" sqref="J25"/>
    </sheetView>
  </sheetViews>
  <sheetFormatPr defaultColWidth="14.7265625" defaultRowHeight="25"/>
  <cols>
    <col min="1" max="1" width="6.453125" style="38" customWidth="1"/>
    <col min="2" max="2" width="34.7265625" style="38" customWidth="1"/>
    <col min="3" max="3" width="11.26953125" style="38" customWidth="1"/>
    <col min="4" max="4" width="9.7265625" style="38" customWidth="1"/>
    <col min="5" max="5" width="10.81640625" style="38" customWidth="1"/>
    <col min="6" max="6" width="10.26953125" style="38" customWidth="1"/>
    <col min="7" max="7" width="10.81640625" style="38" customWidth="1"/>
    <col min="8" max="8" width="11.26953125" style="38" customWidth="1"/>
    <col min="9" max="9" width="17" style="38" customWidth="1"/>
    <col min="10" max="10" width="11.81640625" style="38" customWidth="1"/>
    <col min="11" max="12" width="14.7265625" style="156" customWidth="1"/>
    <col min="13" max="13" width="26.453125" style="38" bestFit="1" customWidth="1"/>
    <col min="14" max="16384" width="14.7265625" style="38"/>
  </cols>
  <sheetData>
    <row r="1" spans="1:100">
      <c r="H1" s="40" t="s">
        <v>0</v>
      </c>
      <c r="I1" s="63" t="s">
        <v>201</v>
      </c>
    </row>
    <row r="2" spans="1:100">
      <c r="B2" s="60" t="s">
        <v>104</v>
      </c>
    </row>
    <row r="3" spans="1:100">
      <c r="B3" s="273" t="s">
        <v>202</v>
      </c>
      <c r="F3" s="180"/>
      <c r="G3" s="180"/>
    </row>
    <row r="4" spans="1:100">
      <c r="B4" s="63" t="s">
        <v>203</v>
      </c>
      <c r="H4" s="274"/>
    </row>
    <row r="5" spans="1:100">
      <c r="C5" s="1951" t="s">
        <v>2288</v>
      </c>
      <c r="D5" s="1951"/>
      <c r="E5" s="1951"/>
      <c r="F5" s="1951"/>
      <c r="G5" s="1951"/>
      <c r="H5" s="1951"/>
    </row>
    <row r="6" spans="1:100" ht="15" customHeight="1"/>
    <row r="7" spans="1:100" ht="20.25" customHeight="1">
      <c r="A7" s="1952" t="s">
        <v>204</v>
      </c>
      <c r="B7" s="1952" t="s">
        <v>205</v>
      </c>
      <c r="C7" s="1952" t="s">
        <v>2591</v>
      </c>
      <c r="D7" s="1952" t="s">
        <v>2592</v>
      </c>
      <c r="E7" s="1952" t="s">
        <v>2593</v>
      </c>
      <c r="F7" s="1952" t="s">
        <v>2594</v>
      </c>
      <c r="G7" s="1952" t="s">
        <v>2595</v>
      </c>
      <c r="H7" s="1952" t="s">
        <v>2596</v>
      </c>
      <c r="I7" s="1952" t="s">
        <v>2597</v>
      </c>
      <c r="J7" s="1952" t="s">
        <v>206</v>
      </c>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row>
    <row r="8" spans="1:100" ht="28.5" customHeight="1">
      <c r="A8" s="1953"/>
      <c r="B8" s="1953"/>
      <c r="C8" s="1953"/>
      <c r="D8" s="1953"/>
      <c r="E8" s="1953"/>
      <c r="F8" s="1953"/>
      <c r="G8" s="1953"/>
      <c r="H8" s="1953"/>
      <c r="I8" s="1953"/>
      <c r="J8" s="1953" t="s">
        <v>207</v>
      </c>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row>
    <row r="9" spans="1:100" ht="36" customHeight="1">
      <c r="A9" s="1954"/>
      <c r="B9" s="1954"/>
      <c r="C9" s="1954"/>
      <c r="D9" s="1954"/>
      <c r="E9" s="1954"/>
      <c r="F9" s="1954"/>
      <c r="G9" s="1954"/>
      <c r="H9" s="1954"/>
      <c r="I9" s="1954"/>
      <c r="J9" s="1954"/>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row>
    <row r="10" spans="1:100" ht="21.75" customHeight="1">
      <c r="A10" s="1523"/>
      <c r="B10" s="1499" t="s">
        <v>165</v>
      </c>
      <c r="C10" s="1524"/>
      <c r="D10" s="1524"/>
      <c r="E10" s="1523"/>
      <c r="F10" s="1523"/>
      <c r="G10" s="1523"/>
      <c r="H10" s="1499"/>
      <c r="I10" s="1523"/>
      <c r="J10" s="1523"/>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row>
    <row r="11" spans="1:100" ht="20.149999999999999" customHeight="1">
      <c r="A11" s="624">
        <v>1</v>
      </c>
      <c r="B11" s="1273" t="s">
        <v>166</v>
      </c>
      <c r="C11" s="624"/>
      <c r="D11" s="624"/>
      <c r="E11" s="624"/>
      <c r="F11" s="624"/>
      <c r="G11" s="624"/>
      <c r="H11" s="624"/>
      <c r="I11" s="624"/>
      <c r="J11" s="624"/>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row>
    <row r="12" spans="1:100" ht="20.149999999999999" customHeight="1">
      <c r="A12" s="624" t="s">
        <v>167</v>
      </c>
      <c r="B12" s="1273" t="s">
        <v>168</v>
      </c>
      <c r="C12" s="694">
        <v>0.50941999999999998</v>
      </c>
      <c r="D12" s="694">
        <v>1.0463499999999999</v>
      </c>
      <c r="E12" s="694">
        <v>0.68608999999999998</v>
      </c>
      <c r="F12" s="694">
        <v>1.7646500000000001</v>
      </c>
      <c r="G12" s="694">
        <v>1.88175</v>
      </c>
      <c r="H12" s="1642">
        <f>'T-2(1st six mth)'!E42</f>
        <v>5.8882555059753203</v>
      </c>
      <c r="I12" s="1643">
        <f>'T-2(1st six mth)'!K38+'T-2(1st six mth)'!K19</f>
        <v>165.26802988265678</v>
      </c>
      <c r="J12" s="1507">
        <f>I12/H12*10</f>
        <v>280.67401238778626</v>
      </c>
      <c r="K12" s="1624"/>
      <c r="L12" s="1624"/>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row>
    <row r="13" spans="1:100" ht="20.149999999999999" customHeight="1">
      <c r="A13" s="624" t="s">
        <v>169</v>
      </c>
      <c r="B13" s="1273" t="s">
        <v>49</v>
      </c>
      <c r="C13" s="694">
        <v>255.54676000000001</v>
      </c>
      <c r="D13" s="694">
        <v>180.17064999999999</v>
      </c>
      <c r="E13" s="694">
        <v>234.12111999999999</v>
      </c>
      <c r="F13" s="694">
        <v>219.35659999999999</v>
      </c>
      <c r="G13" s="694">
        <v>174.96098000000001</v>
      </c>
      <c r="H13" s="1642">
        <f>SUM(C13:G13)</f>
        <v>1064.1561099999999</v>
      </c>
      <c r="I13" s="1262"/>
      <c r="J13" s="1507"/>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row>
    <row r="14" spans="1:100" ht="20.149999999999999" customHeight="1">
      <c r="A14" s="624"/>
      <c r="B14" s="1273" t="s">
        <v>170</v>
      </c>
      <c r="C14" s="694"/>
      <c r="D14" s="694"/>
      <c r="E14" s="694"/>
      <c r="F14" s="694"/>
      <c r="G14" s="694"/>
      <c r="H14" s="1261">
        <f>'T-2(1st six mth)'!F42</f>
        <v>330.41482601807866</v>
      </c>
      <c r="I14" s="1262"/>
      <c r="J14" s="1448"/>
      <c r="K14" s="400"/>
      <c r="L14" s="400"/>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row>
    <row r="15" spans="1:100" ht="20.149999999999999" customHeight="1">
      <c r="A15" s="624"/>
      <c r="B15" s="1273" t="s">
        <v>52</v>
      </c>
      <c r="C15" s="694"/>
      <c r="D15" s="694"/>
      <c r="E15" s="694"/>
      <c r="F15" s="694"/>
      <c r="G15" s="694"/>
      <c r="H15" s="1261">
        <f>'T-2(1st six mth)'!G42</f>
        <v>392.80173154977115</v>
      </c>
      <c r="I15" s="1262"/>
      <c r="J15" s="1448"/>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row>
    <row r="16" spans="1:100" ht="20.149999999999999" customHeight="1">
      <c r="A16" s="624"/>
      <c r="B16" s="1273" t="s">
        <v>53</v>
      </c>
      <c r="C16" s="694"/>
      <c r="D16" s="694"/>
      <c r="E16" s="694"/>
      <c r="F16" s="694"/>
      <c r="G16" s="694"/>
      <c r="H16" s="1261">
        <f>'T-2(1st six mth)'!H42</f>
        <v>153.12268822491527</v>
      </c>
      <c r="I16" s="1262"/>
      <c r="J16" s="1448"/>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row>
    <row r="17" spans="1:100" ht="20.149999999999999" customHeight="1">
      <c r="A17" s="624"/>
      <c r="B17" s="1273" t="s">
        <v>54</v>
      </c>
      <c r="C17" s="694"/>
      <c r="D17" s="694"/>
      <c r="E17" s="694"/>
      <c r="F17" s="694"/>
      <c r="G17" s="694"/>
      <c r="H17" s="1261">
        <f>'T-2(1st six mth)'!I42</f>
        <v>187.8168669402985</v>
      </c>
      <c r="I17" s="1644"/>
      <c r="J17" s="1448"/>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row>
    <row r="18" spans="1:100" ht="20.149999999999999" customHeight="1">
      <c r="A18" s="624"/>
      <c r="B18" s="1273"/>
      <c r="C18" s="694"/>
      <c r="D18" s="694"/>
      <c r="E18" s="694"/>
      <c r="F18" s="694"/>
      <c r="G18" s="694"/>
      <c r="H18" s="1279">
        <f>SUM(H14:H17)</f>
        <v>1064.1561127330635</v>
      </c>
      <c r="I18" s="1262">
        <f>('T-2(1st six mth)'!K42)</f>
        <v>51146.609191287542</v>
      </c>
      <c r="J18" s="1507">
        <f>I18/H18*10</f>
        <v>480.63069486983557</v>
      </c>
      <c r="K18" s="1645"/>
      <c r="L18" s="1645"/>
      <c r="M18" s="408"/>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c r="CV18" s="346"/>
    </row>
    <row r="19" spans="1:100" ht="20.149999999999999" customHeight="1">
      <c r="A19" s="624"/>
      <c r="B19" s="1274" t="s">
        <v>171</v>
      </c>
      <c r="C19" s="1264">
        <f>SUM(C12:C18)</f>
        <v>256.05617999999998</v>
      </c>
      <c r="D19" s="1264">
        <f t="shared" ref="D19:F19" si="0">SUM(D12:D18)</f>
        <v>181.21699999999998</v>
      </c>
      <c r="E19" s="1264">
        <f t="shared" si="0"/>
        <v>234.80721</v>
      </c>
      <c r="F19" s="1264">
        <f t="shared" si="0"/>
        <v>221.12124999999997</v>
      </c>
      <c r="G19" s="1264">
        <f>SUM(G12:G18)</f>
        <v>176.84273000000002</v>
      </c>
      <c r="H19" s="1264">
        <f>H12+H18</f>
        <v>1070.0443682390389</v>
      </c>
      <c r="I19" s="1283">
        <f>I12+I18</f>
        <v>51311.877221170202</v>
      </c>
      <c r="J19" s="1359">
        <f>I19/H19*10</f>
        <v>479.53037036785338</v>
      </c>
      <c r="K19" s="210"/>
      <c r="L19" s="210"/>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46"/>
      <c r="CQ19" s="346"/>
      <c r="CR19" s="346"/>
      <c r="CS19" s="346"/>
      <c r="CT19" s="346"/>
      <c r="CU19" s="346"/>
      <c r="CV19" s="346"/>
    </row>
    <row r="20" spans="1:100" ht="20.149999999999999" customHeight="1">
      <c r="A20" s="624">
        <v>2</v>
      </c>
      <c r="B20" s="1273" t="s">
        <v>172</v>
      </c>
      <c r="C20" s="1379">
        <v>75.429044000000005</v>
      </c>
      <c r="D20" s="694">
        <v>31.93826</v>
      </c>
      <c r="E20" s="694">
        <v>63.952840000000002</v>
      </c>
      <c r="F20" s="694">
        <v>43.353909999999999</v>
      </c>
      <c r="G20" s="694">
        <v>35.770550999999998</v>
      </c>
      <c r="H20" s="1261">
        <f>'T-3(1st six mth)'!H35</f>
        <v>250.44584627417984</v>
      </c>
      <c r="I20" s="1262">
        <f>'T-3(1st six mth)'!I35*0+18766.6792717376</f>
        <v>18766.679271737601</v>
      </c>
      <c r="J20" s="1507">
        <f>I20/H20*10</f>
        <v>749.33082544289675</v>
      </c>
      <c r="K20" s="210"/>
      <c r="L20" s="210"/>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c r="CF20" s="346"/>
      <c r="CG20" s="346"/>
      <c r="CH20" s="346"/>
      <c r="CI20" s="346"/>
      <c r="CJ20" s="346"/>
      <c r="CK20" s="346"/>
      <c r="CL20" s="346"/>
      <c r="CM20" s="346"/>
      <c r="CN20" s="346"/>
      <c r="CO20" s="346"/>
      <c r="CP20" s="346"/>
      <c r="CQ20" s="346"/>
      <c r="CR20" s="346"/>
      <c r="CS20" s="346"/>
      <c r="CT20" s="346"/>
      <c r="CU20" s="346"/>
      <c r="CV20" s="346"/>
    </row>
    <row r="21" spans="1:100" ht="20.149999999999999" customHeight="1">
      <c r="A21" s="624"/>
      <c r="B21" s="1273" t="s">
        <v>57</v>
      </c>
      <c r="C21" s="694"/>
      <c r="D21" s="694"/>
      <c r="E21" s="694"/>
      <c r="F21" s="694"/>
      <c r="G21" s="694"/>
      <c r="H21" s="1261"/>
      <c r="I21" s="1262"/>
      <c r="J21" s="1507"/>
      <c r="K21" s="210"/>
      <c r="L21" s="210"/>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row>
    <row r="22" spans="1:100" ht="20.149999999999999" customHeight="1">
      <c r="A22" s="624"/>
      <c r="B22" s="1273" t="s">
        <v>58</v>
      </c>
      <c r="C22" s="694"/>
      <c r="D22" s="694"/>
      <c r="E22" s="694"/>
      <c r="F22" s="694"/>
      <c r="G22" s="694"/>
      <c r="H22" s="1261">
        <f>'T-3(1st six mth)'!E35</f>
        <v>25.597150672002467</v>
      </c>
      <c r="I22" s="1262"/>
      <c r="J22" s="1507"/>
      <c r="K22" s="210"/>
      <c r="L22" s="210"/>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c r="CV22" s="346"/>
    </row>
    <row r="23" spans="1:100" ht="20.149999999999999" customHeight="1">
      <c r="A23" s="624"/>
      <c r="B23" s="1273" t="s">
        <v>59</v>
      </c>
      <c r="C23" s="694"/>
      <c r="D23" s="694"/>
      <c r="E23" s="694"/>
      <c r="F23" s="694"/>
      <c r="G23" s="694"/>
      <c r="H23" s="1261">
        <f>'T-3(1st six mth)'!F35</f>
        <v>30.026729760167079</v>
      </c>
      <c r="I23" s="1262"/>
      <c r="J23" s="1507"/>
      <c r="K23" s="210"/>
      <c r="L23" s="210"/>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row>
    <row r="24" spans="1:100" ht="20.149999999999999" customHeight="1">
      <c r="A24" s="624"/>
      <c r="B24" s="1273" t="s">
        <v>60</v>
      </c>
      <c r="C24" s="694"/>
      <c r="D24" s="694"/>
      <c r="E24" s="694"/>
      <c r="F24" s="694"/>
      <c r="G24" s="694"/>
      <c r="H24" s="1261">
        <f>'T-3(1st six mth)'!G35</f>
        <v>194.82196584201029</v>
      </c>
      <c r="I24" s="1262"/>
      <c r="J24" s="1507"/>
      <c r="K24" s="210"/>
      <c r="L24" s="210"/>
      <c r="M24" s="346"/>
      <c r="N24" s="346"/>
      <c r="O24" s="346"/>
      <c r="P24" s="346"/>
      <c r="Q24" s="346"/>
      <c r="R24" s="346"/>
      <c r="S24" s="346"/>
      <c r="T24" s="346"/>
      <c r="U24" s="346"/>
      <c r="V24" s="346"/>
      <c r="W24" s="346"/>
      <c r="X24" s="346"/>
      <c r="Y24" s="346"/>
      <c r="Z24" s="346"/>
      <c r="AA24" s="346"/>
      <c r="AB24" s="346"/>
      <c r="AC24" s="174"/>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CU24" s="346"/>
      <c r="CV24" s="346"/>
    </row>
    <row r="25" spans="1:100" ht="20.149999999999999" customHeight="1">
      <c r="A25" s="624"/>
      <c r="B25" s="1274" t="s">
        <v>173</v>
      </c>
      <c r="C25" s="1264">
        <f>SUM(C20:C24)</f>
        <v>75.429044000000005</v>
      </c>
      <c r="D25" s="1264">
        <f t="shared" ref="D25:G25" si="1">SUM(D20:D24)</f>
        <v>31.93826</v>
      </c>
      <c r="E25" s="1264">
        <f t="shared" si="1"/>
        <v>63.952840000000002</v>
      </c>
      <c r="F25" s="1264">
        <f t="shared" si="1"/>
        <v>43.353909999999999</v>
      </c>
      <c r="G25" s="1264">
        <f t="shared" si="1"/>
        <v>35.770550999999998</v>
      </c>
      <c r="H25" s="1264">
        <f>SUM(C25:G25)</f>
        <v>250.44460500000002</v>
      </c>
      <c r="I25" s="1283">
        <f t="shared" ref="I25" si="2">SUM(I20:I24)</f>
        <v>18766.679271737601</v>
      </c>
      <c r="J25" s="1359">
        <f t="shared" ref="J25:J32" si="3">I25/H25*10</f>
        <v>749.33453933805436</v>
      </c>
      <c r="K25" s="210"/>
      <c r="L25" s="210"/>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c r="CV25" s="346"/>
    </row>
    <row r="26" spans="1:100" ht="20.149999999999999" customHeight="1">
      <c r="A26" s="624">
        <v>3</v>
      </c>
      <c r="B26" s="1273" t="s">
        <v>62</v>
      </c>
      <c r="C26" s="694">
        <v>13.58067</v>
      </c>
      <c r="D26" s="694">
        <v>73.702600000000004</v>
      </c>
      <c r="E26" s="694">
        <v>5.2599499999999999</v>
      </c>
      <c r="F26" s="694">
        <v>37.917949999999998</v>
      </c>
      <c r="G26" s="694">
        <v>20.140080000000001</v>
      </c>
      <c r="H26" s="1261">
        <f>('T-5'!I15-H27-H28)*0+SUM(C26:G26)</f>
        <v>150.60125000000002</v>
      </c>
      <c r="I26" s="1262">
        <f>('T-5'!J15-I27-I28)*0+2440.62127410412</f>
        <v>2440.6212741041199</v>
      </c>
      <c r="J26" s="1507">
        <f t="shared" si="3"/>
        <v>162.05850045096702</v>
      </c>
      <c r="K26" s="210"/>
      <c r="L26" s="210"/>
      <c r="M26" s="407"/>
      <c r="N26" s="407"/>
      <c r="O26" s="276"/>
      <c r="P26" s="27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row>
    <row r="27" spans="1:100" ht="20.149999999999999" customHeight="1">
      <c r="A27" s="624">
        <v>4</v>
      </c>
      <c r="B27" s="1273" t="s">
        <v>63</v>
      </c>
      <c r="C27" s="694">
        <v>1.0732999999999999</v>
      </c>
      <c r="D27" s="694">
        <v>0.66259999999999997</v>
      </c>
      <c r="E27" s="694">
        <v>0.20899999999999999</v>
      </c>
      <c r="F27" s="694">
        <v>2.2159</v>
      </c>
      <c r="G27" s="694">
        <v>1.0616000000000001</v>
      </c>
      <c r="H27" s="1261">
        <f t="shared" ref="H27:H35" si="4">SUM(C27:G27)</f>
        <v>5.2224000000000004</v>
      </c>
      <c r="I27" s="1262">
        <v>92.5</v>
      </c>
      <c r="J27" s="1507">
        <f t="shared" si="3"/>
        <v>177.12162990196077</v>
      </c>
      <c r="K27" s="1646"/>
      <c r="L27" s="1646"/>
      <c r="M27" s="407"/>
      <c r="N27" s="276"/>
      <c r="O27" s="276"/>
      <c r="P27" s="276"/>
      <c r="Q27" s="276"/>
      <c r="R27" s="27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row>
    <row r="28" spans="1:100" ht="20.149999999999999" customHeight="1">
      <c r="A28" s="624">
        <v>5</v>
      </c>
      <c r="B28" s="1273" t="s">
        <v>64</v>
      </c>
      <c r="C28" s="694">
        <v>0.17330000000000001</v>
      </c>
      <c r="D28" s="694">
        <v>0.33360000000000001</v>
      </c>
      <c r="E28" s="694">
        <v>0.26290000000000002</v>
      </c>
      <c r="F28" s="694">
        <v>0.71089999999999998</v>
      </c>
      <c r="G28" s="694">
        <v>0.1857</v>
      </c>
      <c r="H28" s="1261">
        <f t="shared" si="4"/>
        <v>1.6664000000000001</v>
      </c>
      <c r="I28" s="1262">
        <v>59.923090000000002</v>
      </c>
      <c r="J28" s="1507">
        <f t="shared" si="3"/>
        <v>359.59607537205954</v>
      </c>
      <c r="K28" s="210"/>
      <c r="L28" s="210"/>
      <c r="M28" s="407"/>
      <c r="N28" s="148"/>
      <c r="O28" s="407"/>
      <c r="P28" s="407"/>
      <c r="Q28" s="407"/>
      <c r="R28" s="407"/>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row>
    <row r="29" spans="1:100" ht="20.149999999999999" customHeight="1">
      <c r="A29" s="624">
        <v>6</v>
      </c>
      <c r="B29" s="1273" t="s">
        <v>65</v>
      </c>
      <c r="C29" s="694">
        <v>5.7649900000000001</v>
      </c>
      <c r="D29" s="694">
        <v>2.4769000000000001</v>
      </c>
      <c r="E29" s="694">
        <v>6.8837599999999997</v>
      </c>
      <c r="F29" s="694">
        <v>5.2073600000000004</v>
      </c>
      <c r="G29" s="694">
        <v>2.8527499999999999</v>
      </c>
      <c r="H29" s="1261">
        <f t="shared" si="4"/>
        <v>23.185760000000002</v>
      </c>
      <c r="I29" s="1262">
        <v>1457.4561000000001</v>
      </c>
      <c r="J29" s="1507">
        <f t="shared" si="3"/>
        <v>628.59966634693012</v>
      </c>
      <c r="K29" s="210"/>
      <c r="L29" s="210"/>
      <c r="M29" s="407"/>
      <c r="N29" s="407"/>
      <c r="O29" s="407"/>
      <c r="P29" s="407"/>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row>
    <row r="30" spans="1:100" ht="20.149999999999999" customHeight="1">
      <c r="A30" s="624">
        <v>7</v>
      </c>
      <c r="B30" s="1273" t="s">
        <v>174</v>
      </c>
      <c r="C30" s="694">
        <v>1.8769</v>
      </c>
      <c r="D30" s="694">
        <v>0.86799000000000004</v>
      </c>
      <c r="E30" s="694">
        <v>2.6870099999999999</v>
      </c>
      <c r="F30" s="694">
        <v>1.3239300000000001</v>
      </c>
      <c r="G30" s="694">
        <v>1.43876</v>
      </c>
      <c r="H30" s="1261">
        <f t="shared" si="4"/>
        <v>8.1945899999999998</v>
      </c>
      <c r="I30" s="1262">
        <v>577.74721999999997</v>
      </c>
      <c r="J30" s="1507">
        <f t="shared" si="3"/>
        <v>705.03493158291019</v>
      </c>
      <c r="K30" s="210"/>
      <c r="L30" s="210"/>
      <c r="M30"/>
      <c r="N30"/>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c r="CV30" s="346"/>
    </row>
    <row r="31" spans="1:100" ht="20.149999999999999" customHeight="1">
      <c r="A31" s="624">
        <v>8</v>
      </c>
      <c r="B31" s="1273" t="s">
        <v>175</v>
      </c>
      <c r="C31" s="694">
        <v>7.2570399999999999</v>
      </c>
      <c r="D31" s="694">
        <v>2.9605399999999999</v>
      </c>
      <c r="E31" s="694">
        <v>9.30823</v>
      </c>
      <c r="F31" s="694">
        <v>3.4475600000000002</v>
      </c>
      <c r="G31" s="694">
        <v>3.5258379999999998</v>
      </c>
      <c r="H31" s="1261">
        <f t="shared" si="4"/>
        <v>26.499207999999999</v>
      </c>
      <c r="I31" s="1262">
        <v>2193.3588399999999</v>
      </c>
      <c r="J31" s="1507">
        <f t="shared" si="3"/>
        <v>827.70731864891957</v>
      </c>
      <c r="K31" s="210"/>
      <c r="L31" s="210"/>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c r="CV31" s="346"/>
    </row>
    <row r="32" spans="1:100" ht="20.149999999999999" customHeight="1">
      <c r="A32" s="624">
        <v>9</v>
      </c>
      <c r="B32" s="1273" t="s">
        <v>176</v>
      </c>
      <c r="C32" s="1379">
        <v>10.23795</v>
      </c>
      <c r="D32" s="694">
        <v>2.8902199999999998</v>
      </c>
      <c r="E32" s="694">
        <v>6.8650200000000003</v>
      </c>
      <c r="F32" s="694">
        <v>5.3665799999999999</v>
      </c>
      <c r="G32" s="694">
        <v>5.2428100000000004</v>
      </c>
      <c r="H32" s="1261">
        <f t="shared" si="4"/>
        <v>30.602579999999996</v>
      </c>
      <c r="I32" s="1262">
        <v>2070.1579000000002</v>
      </c>
      <c r="J32" s="1507">
        <f t="shared" si="3"/>
        <v>676.46515424516508</v>
      </c>
      <c r="K32" s="210"/>
      <c r="L32" s="210"/>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c r="CV32" s="346"/>
    </row>
    <row r="33" spans="1:100" ht="20.149999999999999" customHeight="1">
      <c r="A33" s="624">
        <v>10</v>
      </c>
      <c r="B33" s="1273" t="s">
        <v>177</v>
      </c>
      <c r="C33" s="694">
        <v>6.9369500000000004</v>
      </c>
      <c r="D33" s="694">
        <v>4.9054200000000003</v>
      </c>
      <c r="E33" s="694">
        <v>3.23827</v>
      </c>
      <c r="F33" s="694">
        <v>5.97499</v>
      </c>
      <c r="G33" s="694">
        <v>7.4228899999999998</v>
      </c>
      <c r="H33" s="1261">
        <f t="shared" si="4"/>
        <v>28.47852</v>
      </c>
      <c r="I33" s="1262">
        <v>2073.8647000000001</v>
      </c>
      <c r="J33" s="1507">
        <f>I33/H33*10</f>
        <v>728.22067298441073</v>
      </c>
      <c r="K33" s="210"/>
      <c r="L33" s="210"/>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c r="CV33" s="346"/>
    </row>
    <row r="34" spans="1:100" ht="20.149999999999999" customHeight="1">
      <c r="A34" s="624">
        <v>11</v>
      </c>
      <c r="B34" s="1273" t="s">
        <v>178</v>
      </c>
      <c r="C34" s="694">
        <v>0</v>
      </c>
      <c r="D34" s="694">
        <v>1.714E-3</v>
      </c>
      <c r="E34" s="1507">
        <v>0</v>
      </c>
      <c r="F34" s="694">
        <v>0</v>
      </c>
      <c r="G34" s="1507">
        <v>0</v>
      </c>
      <c r="H34" s="1261">
        <f t="shared" si="4"/>
        <v>1.714E-3</v>
      </c>
      <c r="I34" s="1262">
        <v>0.2232307</v>
      </c>
      <c r="J34" s="1507">
        <f>I34/H34*10</f>
        <v>1302.3961493582262</v>
      </c>
      <c r="K34" s="210"/>
      <c r="L34" s="210"/>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c r="CI34" s="346"/>
      <c r="CJ34" s="346"/>
      <c r="CK34" s="346"/>
      <c r="CL34" s="346"/>
      <c r="CM34" s="346"/>
      <c r="CN34" s="346"/>
      <c r="CO34" s="346"/>
      <c r="CP34" s="346"/>
      <c r="CQ34" s="346"/>
      <c r="CR34" s="346"/>
      <c r="CS34" s="346"/>
      <c r="CT34" s="346"/>
      <c r="CU34" s="346"/>
      <c r="CV34" s="346"/>
    </row>
    <row r="35" spans="1:100" ht="20.149999999999999" customHeight="1">
      <c r="A35" s="624">
        <v>12</v>
      </c>
      <c r="B35" s="1274" t="s">
        <v>179</v>
      </c>
      <c r="C35" s="694"/>
      <c r="D35" s="694"/>
      <c r="E35" s="694"/>
      <c r="F35" s="694"/>
      <c r="G35" s="694"/>
      <c r="H35" s="1261">
        <f t="shared" si="4"/>
        <v>0</v>
      </c>
      <c r="I35" s="1262">
        <v>0</v>
      </c>
      <c r="J35" s="1507"/>
      <c r="K35" s="210"/>
      <c r="L35" s="210"/>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c r="CV35" s="346"/>
    </row>
    <row r="36" spans="1:100" ht="20.149999999999999" customHeight="1">
      <c r="A36" s="624">
        <v>13</v>
      </c>
      <c r="B36" s="1274" t="s">
        <v>72</v>
      </c>
      <c r="C36" s="694"/>
      <c r="D36" s="694"/>
      <c r="E36" s="694"/>
      <c r="F36" s="694"/>
      <c r="G36" s="694"/>
      <c r="H36" s="1526">
        <f>SUM(C36:G36)</f>
        <v>0</v>
      </c>
      <c r="I36" s="1262">
        <v>0</v>
      </c>
      <c r="J36" s="1507"/>
      <c r="K36" s="210"/>
      <c r="L36" s="210"/>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row>
    <row r="37" spans="1:100" ht="20.149999999999999" customHeight="1">
      <c r="A37" s="624"/>
      <c r="B37" s="1510" t="s">
        <v>180</v>
      </c>
      <c r="C37" s="1264">
        <f t="shared" ref="C37:I37" si="5">SUM(C26:C36)+C19+C25</f>
        <v>378.38632399999995</v>
      </c>
      <c r="D37" s="1264">
        <f t="shared" si="5"/>
        <v>301.95684400000005</v>
      </c>
      <c r="E37" s="1264">
        <f t="shared" si="5"/>
        <v>333.47418999999996</v>
      </c>
      <c r="F37" s="1264">
        <f t="shared" si="5"/>
        <v>326.64032999999995</v>
      </c>
      <c r="G37" s="1264">
        <f t="shared" si="5"/>
        <v>254.48370900000003</v>
      </c>
      <c r="H37" s="1264">
        <f t="shared" si="5"/>
        <v>1594.9413952390391</v>
      </c>
      <c r="I37" s="1283">
        <f t="shared" si="5"/>
        <v>81044.408847711922</v>
      </c>
      <c r="J37" s="1359">
        <f>I37/H37*10</f>
        <v>508.13408624061401</v>
      </c>
      <c r="K37" s="210"/>
      <c r="L37" s="210"/>
      <c r="M37" s="408"/>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c r="CV37" s="346"/>
    </row>
    <row r="38" spans="1:100" ht="20.149999999999999" customHeight="1">
      <c r="A38" s="1274"/>
      <c r="B38" s="1275" t="s">
        <v>74</v>
      </c>
      <c r="C38" s="694"/>
      <c r="D38" s="694"/>
      <c r="E38" s="694"/>
      <c r="F38" s="694"/>
      <c r="G38" s="694"/>
      <c r="H38" s="1261"/>
      <c r="I38" s="1262"/>
      <c r="J38" s="1507"/>
      <c r="K38" s="210"/>
      <c r="L38" s="210"/>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J38" s="346"/>
      <c r="CK38" s="346"/>
      <c r="CL38" s="346"/>
      <c r="CM38" s="346"/>
      <c r="CN38" s="346"/>
      <c r="CO38" s="346"/>
      <c r="CP38" s="346"/>
      <c r="CQ38" s="346"/>
      <c r="CR38" s="346"/>
      <c r="CS38" s="346"/>
      <c r="CT38" s="346"/>
      <c r="CU38" s="346"/>
      <c r="CV38" s="346"/>
    </row>
    <row r="39" spans="1:100" ht="20.149999999999999" customHeight="1">
      <c r="A39" s="624">
        <v>14</v>
      </c>
      <c r="B39" s="1274" t="s">
        <v>75</v>
      </c>
      <c r="C39" s="1639">
        <v>2.9074499999999999</v>
      </c>
      <c r="D39" s="1639">
        <v>7.1559999999999999E-2</v>
      </c>
      <c r="E39" s="1639">
        <v>7.6801599999999999</v>
      </c>
      <c r="F39" s="1640">
        <v>0</v>
      </c>
      <c r="G39" s="1640">
        <v>0</v>
      </c>
      <c r="H39" s="1261">
        <f>SUM(C39:G39)</f>
        <v>10.65917</v>
      </c>
      <c r="I39" s="1262">
        <v>541.47199999999998</v>
      </c>
      <c r="J39" s="1507">
        <f>I39/H39*10</f>
        <v>507.9870196272318</v>
      </c>
      <c r="K39" s="1647"/>
      <c r="L39" s="1647"/>
      <c r="M39" s="406"/>
      <c r="N39" s="346"/>
      <c r="O39" s="625"/>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346"/>
      <c r="CF39" s="346"/>
      <c r="CG39" s="346"/>
      <c r="CH39" s="346"/>
      <c r="CI39" s="346"/>
      <c r="CJ39" s="346"/>
      <c r="CK39" s="346"/>
      <c r="CL39" s="346"/>
      <c r="CM39" s="346"/>
      <c r="CN39" s="346"/>
      <c r="CO39" s="346"/>
      <c r="CP39" s="346"/>
      <c r="CQ39" s="346"/>
      <c r="CR39" s="346"/>
      <c r="CS39" s="346"/>
      <c r="CT39" s="346"/>
      <c r="CU39" s="346"/>
      <c r="CV39" s="346"/>
    </row>
    <row r="40" spans="1:100" ht="20.149999999999999" customHeight="1">
      <c r="A40" s="624">
        <v>15</v>
      </c>
      <c r="B40" s="1274" t="s">
        <v>62</v>
      </c>
      <c r="C40" s="1639">
        <v>4.6061100000000001</v>
      </c>
      <c r="D40" s="1639">
        <v>1.0685199999999999</v>
      </c>
      <c r="E40" s="1639">
        <v>3.5387400000000002</v>
      </c>
      <c r="F40" s="1639">
        <v>5.9660900000000003</v>
      </c>
      <c r="G40" s="1639">
        <v>22.508590000000002</v>
      </c>
      <c r="H40" s="1261">
        <f t="shared" ref="H40:H51" si="6">SUM(C40:G40)</f>
        <v>37.688050000000004</v>
      </c>
      <c r="I40" s="1262">
        <v>1436.4659999999999</v>
      </c>
      <c r="J40" s="1507">
        <f>I40/H40*10</f>
        <v>381.14627846227114</v>
      </c>
      <c r="K40" s="1647"/>
      <c r="L40" s="1647"/>
      <c r="M40" s="406"/>
      <c r="N40" s="346"/>
      <c r="O40" s="625"/>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c r="CF40" s="346"/>
      <c r="CG40" s="346"/>
      <c r="CH40" s="346"/>
      <c r="CI40" s="346"/>
      <c r="CJ40" s="346"/>
      <c r="CK40" s="346"/>
      <c r="CL40" s="346"/>
      <c r="CM40" s="346"/>
      <c r="CN40" s="346"/>
      <c r="CO40" s="346"/>
      <c r="CP40" s="346"/>
      <c r="CQ40" s="346"/>
      <c r="CR40" s="346"/>
      <c r="CS40" s="346"/>
      <c r="CT40" s="346"/>
      <c r="CU40" s="346"/>
      <c r="CV40" s="346"/>
    </row>
    <row r="41" spans="1:100" ht="20.149999999999999" customHeight="1">
      <c r="A41" s="624">
        <v>16</v>
      </c>
      <c r="B41" s="1274" t="s">
        <v>63</v>
      </c>
      <c r="C41" s="1639">
        <v>0</v>
      </c>
      <c r="D41" s="1639">
        <v>0.30343999999999999</v>
      </c>
      <c r="E41" s="1639">
        <v>0.20288999999999999</v>
      </c>
      <c r="F41" s="1639">
        <v>1.9871799999999999</v>
      </c>
      <c r="G41" s="1639">
        <v>0</v>
      </c>
      <c r="H41" s="1261">
        <f t="shared" si="6"/>
        <v>2.4935099999999997</v>
      </c>
      <c r="I41" s="1262">
        <v>43.266599999999997</v>
      </c>
      <c r="J41" s="1507">
        <f t="shared" ref="J41" si="7">I41/H41*10</f>
        <v>173.51684974193006</v>
      </c>
      <c r="K41" s="1647"/>
      <c r="L41" s="1647"/>
      <c r="M41" s="406"/>
      <c r="N41" s="346"/>
      <c r="O41" s="625"/>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c r="CV41" s="346"/>
    </row>
    <row r="42" spans="1:100" ht="20.149999999999999" customHeight="1">
      <c r="A42" s="624">
        <v>17</v>
      </c>
      <c r="B42" s="1274" t="s">
        <v>64</v>
      </c>
      <c r="C42" s="1639">
        <v>2.5520399999999999</v>
      </c>
      <c r="D42" s="1639">
        <v>0.54759999999999998</v>
      </c>
      <c r="E42" s="1639">
        <v>0.48520000000000002</v>
      </c>
      <c r="F42" s="1639">
        <v>0.1158</v>
      </c>
      <c r="G42" s="1639">
        <v>0.2455</v>
      </c>
      <c r="H42" s="1261">
        <f t="shared" si="6"/>
        <v>3.9461399999999998</v>
      </c>
      <c r="I42" s="1262">
        <v>135.04040000000001</v>
      </c>
      <c r="J42" s="1507">
        <f>I42/H42*10</f>
        <v>342.20884205831521</v>
      </c>
      <c r="K42" s="1647"/>
      <c r="L42" s="1647"/>
      <c r="M42" s="406"/>
      <c r="N42" s="346"/>
      <c r="O42" s="625"/>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c r="CL42" s="346"/>
      <c r="CM42" s="346"/>
      <c r="CN42" s="346"/>
      <c r="CO42" s="346"/>
      <c r="CP42" s="346"/>
      <c r="CQ42" s="346"/>
      <c r="CR42" s="346"/>
      <c r="CS42" s="346"/>
      <c r="CT42" s="346"/>
      <c r="CU42" s="346"/>
      <c r="CV42" s="346"/>
    </row>
    <row r="43" spans="1:100" ht="20.149999999999999" customHeight="1">
      <c r="A43" s="624">
        <v>18</v>
      </c>
      <c r="B43" s="1274" t="s">
        <v>77</v>
      </c>
      <c r="C43" s="1639">
        <v>5.6909900000000002</v>
      </c>
      <c r="D43" s="1639">
        <v>0.86529999999999996</v>
      </c>
      <c r="E43" s="1639">
        <v>11.222099999999999</v>
      </c>
      <c r="F43" s="1639">
        <v>2.4003000000000001</v>
      </c>
      <c r="G43" s="1639">
        <v>2.0634999999999999</v>
      </c>
      <c r="H43" s="1261">
        <f t="shared" si="6"/>
        <v>22.242190000000004</v>
      </c>
      <c r="I43" s="1262">
        <v>1740.135</v>
      </c>
      <c r="J43" s="1507">
        <f>I43/H43*10</f>
        <v>782.35776243256612</v>
      </c>
      <c r="K43" s="1647"/>
      <c r="L43" s="1647"/>
      <c r="M43" s="406"/>
      <c r="N43" s="346"/>
      <c r="O43" s="625"/>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row>
    <row r="44" spans="1:100" ht="20.149999999999999" customHeight="1">
      <c r="A44" s="624">
        <v>19</v>
      </c>
      <c r="B44" s="1274" t="s">
        <v>181</v>
      </c>
      <c r="C44" s="1640">
        <v>0</v>
      </c>
      <c r="D44" s="1640">
        <v>0</v>
      </c>
      <c r="E44" s="1639">
        <v>0</v>
      </c>
      <c r="F44" s="1640">
        <v>0</v>
      </c>
      <c r="G44" s="1640">
        <v>0</v>
      </c>
      <c r="H44" s="1261">
        <f t="shared" si="6"/>
        <v>0</v>
      </c>
      <c r="I44" s="1262">
        <v>0</v>
      </c>
      <c r="J44" s="1507"/>
      <c r="K44" s="1647"/>
      <c r="L44" s="1647"/>
      <c r="M44" s="406"/>
      <c r="N44" s="346"/>
      <c r="O44" s="625"/>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46"/>
      <c r="CC44" s="346"/>
      <c r="CD44" s="346"/>
      <c r="CE44" s="346"/>
      <c r="CF44" s="346"/>
      <c r="CG44" s="346"/>
      <c r="CH44" s="346"/>
      <c r="CI44" s="346"/>
      <c r="CJ44" s="346"/>
      <c r="CK44" s="346"/>
      <c r="CL44" s="346"/>
      <c r="CM44" s="346"/>
      <c r="CN44" s="346"/>
      <c r="CO44" s="346"/>
      <c r="CP44" s="346"/>
      <c r="CQ44" s="346"/>
      <c r="CR44" s="346"/>
      <c r="CS44" s="346"/>
      <c r="CT44" s="346"/>
      <c r="CU44" s="346"/>
      <c r="CV44" s="346"/>
    </row>
    <row r="45" spans="1:100" ht="20.149999999999999" customHeight="1">
      <c r="A45" s="624">
        <v>20</v>
      </c>
      <c r="B45" s="1274" t="s">
        <v>182</v>
      </c>
      <c r="C45" s="1639">
        <v>59.531790000000001</v>
      </c>
      <c r="D45" s="1639">
        <v>5.1366800000000001</v>
      </c>
      <c r="E45" s="1639">
        <v>24.328800000000001</v>
      </c>
      <c r="F45" s="1639">
        <v>5.6747300000000003</v>
      </c>
      <c r="G45" s="1639">
        <v>2.0734699999999999</v>
      </c>
      <c r="H45" s="1261">
        <f t="shared" si="6"/>
        <v>96.745469999999997</v>
      </c>
      <c r="I45" s="1262">
        <v>6851.8873000000003</v>
      </c>
      <c r="J45" s="1507">
        <f>I45/H45*10</f>
        <v>708.23856662229264</v>
      </c>
      <c r="K45" s="1647"/>
      <c r="L45" s="1647"/>
      <c r="M45" s="406"/>
      <c r="N45" s="346"/>
      <c r="O45" s="625"/>
      <c r="P45" s="40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c r="CI45" s="346"/>
      <c r="CJ45" s="346"/>
      <c r="CK45" s="346"/>
      <c r="CL45" s="346"/>
      <c r="CM45" s="346"/>
      <c r="CN45" s="346"/>
      <c r="CO45" s="346"/>
      <c r="CP45" s="346"/>
      <c r="CQ45" s="346"/>
      <c r="CR45" s="346"/>
      <c r="CS45" s="346"/>
      <c r="CT45" s="346"/>
      <c r="CU45" s="346"/>
      <c r="CV45" s="346"/>
    </row>
    <row r="46" spans="1:100" ht="20.149999999999999" customHeight="1">
      <c r="A46" s="624">
        <v>21</v>
      </c>
      <c r="B46" s="1274" t="s">
        <v>183</v>
      </c>
      <c r="C46" s="1639">
        <v>0</v>
      </c>
      <c r="D46" s="1639">
        <v>0</v>
      </c>
      <c r="E46" s="1639">
        <v>0</v>
      </c>
      <c r="F46" s="1639">
        <v>0</v>
      </c>
      <c r="G46" s="1639">
        <v>0</v>
      </c>
      <c r="H46" s="1526">
        <f t="shared" si="6"/>
        <v>0</v>
      </c>
      <c r="I46" s="1262">
        <v>0</v>
      </c>
      <c r="J46" s="1507"/>
      <c r="K46" s="1647"/>
      <c r="L46" s="1647"/>
      <c r="M46" s="406"/>
      <c r="N46" s="346"/>
      <c r="O46" s="625"/>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c r="CI46" s="346"/>
      <c r="CJ46" s="346"/>
      <c r="CK46" s="346"/>
      <c r="CL46" s="346"/>
      <c r="CM46" s="346"/>
      <c r="CN46" s="346"/>
      <c r="CO46" s="346"/>
      <c r="CP46" s="346"/>
      <c r="CQ46" s="346"/>
      <c r="CR46" s="346"/>
      <c r="CS46" s="346"/>
      <c r="CT46" s="346"/>
      <c r="CU46" s="346"/>
      <c r="CV46" s="346"/>
    </row>
    <row r="47" spans="1:100" ht="20.149999999999999" customHeight="1">
      <c r="A47" s="624">
        <v>22</v>
      </c>
      <c r="B47" s="1274" t="s">
        <v>184</v>
      </c>
      <c r="C47" s="1639">
        <v>6.6058399999999997</v>
      </c>
      <c r="D47" s="1639">
        <v>0.36393999999999999</v>
      </c>
      <c r="E47" s="1639">
        <v>12.31345</v>
      </c>
      <c r="F47" s="1639">
        <v>1.6391100000000001</v>
      </c>
      <c r="G47" s="1639">
        <v>4.1925400000000002</v>
      </c>
      <c r="H47" s="1261">
        <f t="shared" si="6"/>
        <v>25.114879999999999</v>
      </c>
      <c r="I47" s="1262">
        <v>1895.02989</v>
      </c>
      <c r="J47" s="1507">
        <f t="shared" ref="J47:J54" si="8">I47/H47*10</f>
        <v>754.54467232174704</v>
      </c>
      <c r="K47" s="1647"/>
      <c r="L47" s="1647"/>
      <c r="M47" s="406"/>
      <c r="N47" s="346"/>
      <c r="O47" s="625"/>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c r="CF47" s="346"/>
      <c r="CG47" s="346"/>
      <c r="CH47" s="346"/>
      <c r="CI47" s="346"/>
      <c r="CJ47" s="346"/>
      <c r="CK47" s="346"/>
      <c r="CL47" s="346"/>
      <c r="CM47" s="346"/>
      <c r="CN47" s="346"/>
      <c r="CO47" s="346"/>
      <c r="CP47" s="346"/>
      <c r="CQ47" s="346"/>
      <c r="CR47" s="346"/>
      <c r="CS47" s="346"/>
      <c r="CT47" s="346"/>
      <c r="CU47" s="346"/>
      <c r="CV47" s="346"/>
    </row>
    <row r="48" spans="1:100" ht="20.149999999999999" customHeight="1">
      <c r="A48" s="624">
        <v>23</v>
      </c>
      <c r="B48" s="1274" t="s">
        <v>72</v>
      </c>
      <c r="C48" s="1639">
        <v>103.1455</v>
      </c>
      <c r="D48" s="1639">
        <v>52.157299999999999</v>
      </c>
      <c r="E48" s="1639">
        <f>390.130436626189-E49</f>
        <v>380.451336626189</v>
      </c>
      <c r="F48" s="1639">
        <v>32.702620000000003</v>
      </c>
      <c r="G48" s="1639">
        <v>26.942070000000001</v>
      </c>
      <c r="H48" s="1261">
        <f t="shared" si="6"/>
        <v>595.39882662618902</v>
      </c>
      <c r="I48" s="1262">
        <f>38633.518842657-I49</f>
        <v>38149.563842657</v>
      </c>
      <c r="J48" s="1507">
        <f t="shared" si="8"/>
        <v>640.7396544402086</v>
      </c>
      <c r="K48" s="1647"/>
      <c r="L48" s="1647"/>
      <c r="M48" s="406"/>
      <c r="N48" s="346"/>
      <c r="O48" s="625"/>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6"/>
      <c r="CQ48" s="346"/>
      <c r="CR48" s="346"/>
      <c r="CS48" s="346"/>
      <c r="CT48" s="346"/>
      <c r="CU48" s="346"/>
      <c r="CV48" s="346"/>
    </row>
    <row r="49" spans="1:100" ht="20.149999999999999" customHeight="1">
      <c r="A49" s="624"/>
      <c r="B49" s="1274" t="s">
        <v>2286</v>
      </c>
      <c r="C49" s="1639"/>
      <c r="D49" s="1639"/>
      <c r="E49" s="1639">
        <v>9.6791</v>
      </c>
      <c r="F49" s="1639"/>
      <c r="G49" s="1639"/>
      <c r="H49" s="1261">
        <f t="shared" si="6"/>
        <v>9.6791</v>
      </c>
      <c r="I49" s="1262">
        <f>H49*5*10</f>
        <v>483.95499999999998</v>
      </c>
      <c r="J49" s="1507">
        <f t="shared" si="8"/>
        <v>500</v>
      </c>
      <c r="K49" s="1647"/>
      <c r="L49" s="1647"/>
      <c r="M49" s="406"/>
      <c r="N49" s="346"/>
      <c r="O49" s="625"/>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6"/>
      <c r="CN49" s="346"/>
      <c r="CO49" s="346"/>
      <c r="CP49" s="346"/>
      <c r="CQ49" s="346"/>
      <c r="CR49" s="346"/>
      <c r="CS49" s="346"/>
      <c r="CT49" s="346"/>
      <c r="CU49" s="346"/>
      <c r="CV49" s="346"/>
    </row>
    <row r="50" spans="1:100" ht="20.149999999999999" customHeight="1">
      <c r="A50" s="624">
        <v>24</v>
      </c>
      <c r="B50" s="1274" t="s">
        <v>82</v>
      </c>
      <c r="C50" s="1640">
        <v>0</v>
      </c>
      <c r="D50" s="1640">
        <v>0</v>
      </c>
      <c r="E50" s="1639">
        <v>298.64850999999999</v>
      </c>
      <c r="F50" s="1640">
        <v>0</v>
      </c>
      <c r="G50" s="1640">
        <v>0</v>
      </c>
      <c r="H50" s="1261">
        <f t="shared" si="6"/>
        <v>298.64850999999999</v>
      </c>
      <c r="I50" s="1262">
        <v>16975.253400000001</v>
      </c>
      <c r="J50" s="1507">
        <f t="shared" si="8"/>
        <v>568.40241392799862</v>
      </c>
      <c r="K50" s="1647"/>
      <c r="L50" s="1647"/>
      <c r="M50" s="406"/>
      <c r="N50" s="346"/>
      <c r="O50" s="625"/>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c r="CQ50" s="346"/>
      <c r="CR50" s="346"/>
      <c r="CS50" s="346"/>
      <c r="CT50" s="346"/>
      <c r="CU50" s="346"/>
      <c r="CV50" s="346"/>
    </row>
    <row r="51" spans="1:100" ht="20.149999999999999" customHeight="1">
      <c r="A51" s="624">
        <v>25</v>
      </c>
      <c r="B51" s="1274" t="s">
        <v>92</v>
      </c>
      <c r="C51" s="1639">
        <v>5.33988</v>
      </c>
      <c r="D51" s="1640">
        <v>0</v>
      </c>
      <c r="E51" s="1639">
        <v>105.87730000000001</v>
      </c>
      <c r="F51" s="1640">
        <v>0</v>
      </c>
      <c r="G51" s="1640">
        <v>0</v>
      </c>
      <c r="H51" s="1261">
        <f t="shared" si="6"/>
        <v>111.21718</v>
      </c>
      <c r="I51" s="1262">
        <v>6339.2239399999999</v>
      </c>
      <c r="J51" s="1507">
        <f t="shared" si="8"/>
        <v>569.98603453171529</v>
      </c>
      <c r="K51" s="1647"/>
      <c r="L51" s="1647"/>
      <c r="M51" s="406"/>
      <c r="N51" s="346"/>
      <c r="O51" s="625"/>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6"/>
      <c r="CQ51" s="346"/>
      <c r="CR51" s="346"/>
      <c r="CS51" s="346"/>
      <c r="CT51" s="346"/>
      <c r="CU51" s="346"/>
      <c r="CV51" s="346"/>
    </row>
    <row r="52" spans="1:100" ht="20.149999999999999" customHeight="1">
      <c r="A52" s="624">
        <v>26</v>
      </c>
      <c r="B52" s="1274" t="s">
        <v>84</v>
      </c>
      <c r="C52" s="1639"/>
      <c r="D52" s="1639"/>
      <c r="E52" s="1639"/>
      <c r="F52" s="1639"/>
      <c r="G52" s="1639"/>
      <c r="H52" s="1261"/>
      <c r="I52" s="1262"/>
      <c r="J52" s="1507"/>
      <c r="K52" s="1646"/>
      <c r="L52" s="1646"/>
      <c r="M52" s="406"/>
      <c r="N52" s="346"/>
      <c r="O52" s="625"/>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6"/>
      <c r="CQ52" s="346"/>
      <c r="CR52" s="346"/>
      <c r="CS52" s="346"/>
      <c r="CT52" s="346"/>
      <c r="CU52" s="346"/>
      <c r="CV52" s="346"/>
    </row>
    <row r="53" spans="1:100" ht="20.149999999999999" customHeight="1">
      <c r="A53" s="624">
        <v>27</v>
      </c>
      <c r="B53" s="1274" t="s">
        <v>85</v>
      </c>
      <c r="C53" s="1639"/>
      <c r="D53" s="1639"/>
      <c r="E53" s="1639"/>
      <c r="F53" s="1639"/>
      <c r="G53" s="1639"/>
      <c r="H53" s="1261"/>
      <c r="I53" s="1262"/>
      <c r="J53" s="1507"/>
      <c r="K53" s="210"/>
      <c r="L53" s="210"/>
      <c r="M53" s="406"/>
      <c r="N53" s="346"/>
      <c r="O53" s="625"/>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c r="CI53" s="346"/>
      <c r="CJ53" s="346"/>
      <c r="CK53" s="346"/>
      <c r="CL53" s="346"/>
      <c r="CM53" s="346"/>
      <c r="CN53" s="346"/>
      <c r="CO53" s="346"/>
      <c r="CP53" s="346"/>
      <c r="CQ53" s="346"/>
      <c r="CR53" s="346"/>
      <c r="CS53" s="346"/>
      <c r="CT53" s="346"/>
      <c r="CU53" s="346"/>
      <c r="CV53" s="346"/>
    </row>
    <row r="54" spans="1:100" ht="20.149999999999999" customHeight="1">
      <c r="A54" s="624">
        <v>28</v>
      </c>
      <c r="B54" s="1274" t="s">
        <v>86</v>
      </c>
      <c r="C54" s="1639">
        <v>2.07944</v>
      </c>
      <c r="D54" s="1639">
        <v>3.5129550000000002E-2</v>
      </c>
      <c r="E54" s="1639">
        <v>1.659</v>
      </c>
      <c r="F54" s="1639">
        <v>1.3396E-2</v>
      </c>
      <c r="G54" s="1639">
        <v>0</v>
      </c>
      <c r="H54" s="1261">
        <f t="shared" ref="H54" si="9">SUM(C54:G54)</f>
        <v>3.7869655500000006</v>
      </c>
      <c r="I54" s="1448">
        <f>(H54*4.9*10)</f>
        <v>185.56131195000003</v>
      </c>
      <c r="J54" s="1507">
        <f t="shared" si="8"/>
        <v>490</v>
      </c>
      <c r="K54" s="210"/>
      <c r="L54" s="210"/>
      <c r="M54" s="406"/>
      <c r="N54" s="346"/>
      <c r="O54" s="625"/>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346"/>
      <c r="BY54" s="346"/>
      <c r="BZ54" s="346"/>
      <c r="CA54" s="346"/>
      <c r="CB54" s="346"/>
      <c r="CC54" s="346"/>
      <c r="CD54" s="346"/>
      <c r="CE54" s="346"/>
      <c r="CF54" s="346"/>
      <c r="CG54" s="346"/>
      <c r="CH54" s="346"/>
      <c r="CI54" s="346"/>
      <c r="CJ54" s="346"/>
      <c r="CK54" s="346"/>
      <c r="CL54" s="346"/>
      <c r="CM54" s="346"/>
      <c r="CN54" s="346"/>
      <c r="CO54" s="346"/>
      <c r="CP54" s="346"/>
      <c r="CQ54" s="346"/>
      <c r="CR54" s="346"/>
      <c r="CS54" s="346"/>
      <c r="CT54" s="346"/>
      <c r="CU54" s="346"/>
      <c r="CV54" s="346"/>
    </row>
    <row r="55" spans="1:100" ht="20.149999999999999" customHeight="1">
      <c r="A55" s="624"/>
      <c r="B55" s="1510" t="s">
        <v>87</v>
      </c>
      <c r="C55" s="1264">
        <f>SUM(C39:C54)</f>
        <v>192.45903999999999</v>
      </c>
      <c r="D55" s="1264">
        <f t="shared" ref="D55:I55" si="10">SUM(D39:D54)</f>
        <v>60.549469549999998</v>
      </c>
      <c r="E55" s="1264">
        <f t="shared" si="10"/>
        <v>856.08658662618905</v>
      </c>
      <c r="F55" s="1264">
        <f t="shared" si="10"/>
        <v>50.499226000000007</v>
      </c>
      <c r="G55" s="1264">
        <f t="shared" si="10"/>
        <v>58.025670000000005</v>
      </c>
      <c r="H55" s="1264">
        <f>SUM(H39:H54)</f>
        <v>1217.6199921761893</v>
      </c>
      <c r="I55" s="1283">
        <f t="shared" si="10"/>
        <v>74776.854684607009</v>
      </c>
      <c r="J55" s="1359">
        <f>I55/H55*10</f>
        <v>614.12308573352345</v>
      </c>
      <c r="K55" s="210"/>
      <c r="L55" s="210"/>
      <c r="M55" s="406"/>
      <c r="N55" s="346"/>
      <c r="O55" s="625"/>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c r="CD55" s="346"/>
      <c r="CE55" s="346"/>
      <c r="CF55" s="346"/>
      <c r="CG55" s="346"/>
      <c r="CH55" s="346"/>
      <c r="CI55" s="346"/>
      <c r="CJ55" s="346"/>
      <c r="CK55" s="346"/>
      <c r="CL55" s="346"/>
      <c r="CM55" s="346"/>
      <c r="CN55" s="346"/>
      <c r="CO55" s="346"/>
      <c r="CP55" s="346"/>
      <c r="CQ55" s="346"/>
      <c r="CR55" s="346"/>
      <c r="CS55" s="346"/>
      <c r="CT55" s="346"/>
      <c r="CU55" s="346"/>
      <c r="CV55" s="346"/>
    </row>
    <row r="56" spans="1:100" ht="20.149999999999999" customHeight="1">
      <c r="A56" s="1274"/>
      <c r="B56" s="1275" t="s">
        <v>88</v>
      </c>
      <c r="C56" s="1264"/>
      <c r="D56" s="1264"/>
      <c r="E56" s="1264"/>
      <c r="F56" s="1264"/>
      <c r="G56" s="1264"/>
      <c r="H56" s="1261"/>
      <c r="I56" s="1262"/>
      <c r="J56" s="1507"/>
      <c r="K56" s="210"/>
      <c r="L56" s="210"/>
      <c r="M56" s="408"/>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6"/>
      <c r="BW56" s="346"/>
      <c r="BX56" s="346"/>
      <c r="BY56" s="346"/>
      <c r="BZ56" s="346"/>
      <c r="CA56" s="346"/>
      <c r="CB56" s="346"/>
      <c r="CC56" s="346"/>
      <c r="CD56" s="346"/>
      <c r="CE56" s="346"/>
      <c r="CF56" s="346"/>
      <c r="CG56" s="346"/>
      <c r="CH56" s="346"/>
      <c r="CI56" s="346"/>
      <c r="CJ56" s="346"/>
      <c r="CK56" s="346"/>
      <c r="CL56" s="346"/>
      <c r="CM56" s="346"/>
      <c r="CN56" s="346"/>
      <c r="CO56" s="346"/>
      <c r="CP56" s="346"/>
      <c r="CQ56" s="346"/>
      <c r="CR56" s="346"/>
      <c r="CS56" s="346"/>
      <c r="CT56" s="346"/>
      <c r="CU56" s="346"/>
      <c r="CV56" s="346"/>
    </row>
    <row r="57" spans="1:100" ht="20.149999999999999" customHeight="1">
      <c r="A57" s="624">
        <v>29</v>
      </c>
      <c r="B57" s="1274" t="s">
        <v>89</v>
      </c>
      <c r="C57" s="1640">
        <v>0</v>
      </c>
      <c r="D57" s="1640">
        <v>0</v>
      </c>
      <c r="E57" s="1640">
        <v>0</v>
      </c>
      <c r="F57" s="1639">
        <v>0.27860000000000001</v>
      </c>
      <c r="G57" s="1640">
        <v>0</v>
      </c>
      <c r="H57" s="1261">
        <f>SUM(C57:G57)</f>
        <v>0.27860000000000001</v>
      </c>
      <c r="I57" s="1262">
        <v>22.735900000000001</v>
      </c>
      <c r="J57" s="1507">
        <f t="shared" ref="J57:J67" si="11">I57/H57*10</f>
        <v>816.07681263460154</v>
      </c>
      <c r="K57" s="1648"/>
      <c r="L57" s="1648"/>
      <c r="M57" s="346"/>
      <c r="N57" s="425"/>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6"/>
      <c r="BV57" s="346"/>
      <c r="BW57" s="346"/>
      <c r="BX57" s="346"/>
      <c r="BY57" s="346"/>
      <c r="BZ57" s="346"/>
      <c r="CA57" s="346"/>
      <c r="CB57" s="346"/>
      <c r="CC57" s="346"/>
      <c r="CD57" s="346"/>
      <c r="CE57" s="346"/>
      <c r="CF57" s="346"/>
      <c r="CG57" s="346"/>
      <c r="CH57" s="346"/>
      <c r="CI57" s="346"/>
      <c r="CJ57" s="346"/>
      <c r="CK57" s="346"/>
      <c r="CL57" s="346"/>
      <c r="CM57" s="346"/>
      <c r="CN57" s="346"/>
      <c r="CO57" s="346"/>
      <c r="CP57" s="346"/>
      <c r="CQ57" s="346"/>
      <c r="CR57" s="346"/>
      <c r="CS57" s="346"/>
      <c r="CT57" s="346"/>
      <c r="CU57" s="346"/>
      <c r="CV57" s="346"/>
    </row>
    <row r="58" spans="1:100" ht="20.149999999999999" customHeight="1">
      <c r="A58" s="624">
        <v>30</v>
      </c>
      <c r="B58" s="1274" t="s">
        <v>72</v>
      </c>
      <c r="C58" s="1649">
        <f>211.057263574933-C59</f>
        <v>196.05726357493299</v>
      </c>
      <c r="D58" s="1649">
        <f>16.0383109549784-D59</f>
        <v>11.0383109549784</v>
      </c>
      <c r="E58" s="1649">
        <f>73.8018216622626-E59</f>
        <v>69.801821662262597</v>
      </c>
      <c r="F58" s="1649">
        <v>4.3890202849964215</v>
      </c>
      <c r="G58" s="1649">
        <v>6.1470465009771642</v>
      </c>
      <c r="H58" s="1261">
        <f>SUM(C58:G58)+0.0000351599999817154</f>
        <v>287.43349813814763</v>
      </c>
      <c r="I58" s="1262">
        <v>19372.980784588199</v>
      </c>
      <c r="J58" s="1507">
        <f t="shared" si="11"/>
        <v>673.99871309630953</v>
      </c>
      <c r="K58" s="1648"/>
      <c r="L58" s="1648"/>
      <c r="M58" s="346"/>
      <c r="N58" s="683"/>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c r="CI58" s="346"/>
      <c r="CJ58" s="346"/>
      <c r="CK58" s="346"/>
      <c r="CL58" s="346"/>
      <c r="CM58" s="346"/>
      <c r="CN58" s="346"/>
      <c r="CO58" s="346"/>
      <c r="CP58" s="346"/>
      <c r="CQ58" s="346"/>
      <c r="CR58" s="346"/>
      <c r="CS58" s="346"/>
      <c r="CT58" s="346"/>
      <c r="CU58" s="346"/>
      <c r="CV58" s="346"/>
    </row>
    <row r="59" spans="1:100" ht="20.149999999999999" customHeight="1">
      <c r="A59" s="624"/>
      <c r="B59" s="1274" t="s">
        <v>2286</v>
      </c>
      <c r="C59" s="1639">
        <v>15</v>
      </c>
      <c r="D59" s="1639">
        <v>5</v>
      </c>
      <c r="E59" s="1639">
        <v>4</v>
      </c>
      <c r="F59" s="1639"/>
      <c r="G59" s="1639"/>
      <c r="H59" s="1261">
        <f>SUM(C59:G59)</f>
        <v>24</v>
      </c>
      <c r="I59" s="1262">
        <f>H59*5.45*10</f>
        <v>1308</v>
      </c>
      <c r="J59" s="1507">
        <f t="shared" si="11"/>
        <v>545</v>
      </c>
      <c r="K59" s="1648"/>
      <c r="L59" s="1648"/>
      <c r="M59" s="346"/>
      <c r="N59" s="683"/>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c r="CD59" s="346"/>
      <c r="CE59" s="346"/>
      <c r="CF59" s="346"/>
      <c r="CG59" s="346"/>
      <c r="CH59" s="346"/>
      <c r="CI59" s="346"/>
      <c r="CJ59" s="346"/>
      <c r="CK59" s="346"/>
      <c r="CL59" s="346"/>
      <c r="CM59" s="346"/>
      <c r="CN59" s="346"/>
      <c r="CO59" s="346"/>
      <c r="CP59" s="346"/>
      <c r="CQ59" s="346"/>
      <c r="CR59" s="346"/>
      <c r="CS59" s="346"/>
      <c r="CT59" s="346"/>
      <c r="CU59" s="346"/>
      <c r="CV59" s="346"/>
    </row>
    <row r="60" spans="1:100" ht="20.149999999999999" customHeight="1">
      <c r="A60" s="624">
        <v>31</v>
      </c>
      <c r="B60" s="1274" t="s">
        <v>84</v>
      </c>
      <c r="C60" s="1639">
        <v>167.29499000000001</v>
      </c>
      <c r="D60" s="1639">
        <v>14.8803</v>
      </c>
      <c r="E60" s="1639">
        <v>132.86959999999999</v>
      </c>
      <c r="F60" s="1639">
        <v>48.557400000000001</v>
      </c>
      <c r="G60" s="1639">
        <v>61.466299999999997</v>
      </c>
      <c r="H60" s="1261">
        <f t="shared" ref="H60:H66" si="12">SUM(C60:G60)</f>
        <v>425.06859000000003</v>
      </c>
      <c r="I60" s="1262">
        <v>28577.33771</v>
      </c>
      <c r="J60" s="1507">
        <f t="shared" si="11"/>
        <v>672.29944489664592</v>
      </c>
      <c r="K60" s="1648"/>
      <c r="L60" s="1648"/>
      <c r="M60" s="346"/>
      <c r="N60" s="425"/>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346"/>
      <c r="BW60" s="346"/>
      <c r="BX60" s="346"/>
      <c r="BY60" s="346"/>
      <c r="BZ60" s="346"/>
      <c r="CA60" s="346"/>
      <c r="CB60" s="346"/>
      <c r="CC60" s="346"/>
      <c r="CD60" s="346"/>
      <c r="CE60" s="346"/>
      <c r="CF60" s="346"/>
      <c r="CG60" s="346"/>
      <c r="CH60" s="346"/>
      <c r="CI60" s="346"/>
      <c r="CJ60" s="346"/>
      <c r="CK60" s="346"/>
      <c r="CL60" s="346"/>
      <c r="CM60" s="346"/>
      <c r="CN60" s="346"/>
      <c r="CO60" s="346"/>
      <c r="CP60" s="346"/>
      <c r="CQ60" s="346"/>
      <c r="CR60" s="346"/>
      <c r="CS60" s="346"/>
      <c r="CT60" s="346"/>
      <c r="CU60" s="346"/>
      <c r="CV60" s="346"/>
    </row>
    <row r="61" spans="1:100" ht="20.149999999999999" customHeight="1">
      <c r="A61" s="624">
        <v>32</v>
      </c>
      <c r="B61" s="1274" t="s">
        <v>91</v>
      </c>
      <c r="C61" s="1639">
        <v>5.2193300000000002</v>
      </c>
      <c r="D61" s="1640">
        <v>0</v>
      </c>
      <c r="E61" s="1639">
        <v>111.7972</v>
      </c>
      <c r="F61" s="1640">
        <v>0</v>
      </c>
      <c r="G61" s="1640">
        <v>0</v>
      </c>
      <c r="H61" s="1261">
        <f>SUM(C61:G61)+0.0000289999999836255</f>
        <v>117.01655899999999</v>
      </c>
      <c r="I61" s="1262">
        <v>11309.0761</v>
      </c>
      <c r="J61" s="1507">
        <f t="shared" si="11"/>
        <v>966.45091913871795</v>
      </c>
      <c r="K61" s="1648"/>
      <c r="L61" s="1648"/>
      <c r="M61" s="346"/>
      <c r="N61" s="683"/>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346"/>
      <c r="CM61" s="346"/>
      <c r="CN61" s="346"/>
      <c r="CO61" s="346"/>
      <c r="CP61" s="346"/>
      <c r="CQ61" s="346"/>
      <c r="CR61" s="346"/>
      <c r="CS61" s="346"/>
      <c r="CT61" s="346"/>
      <c r="CU61" s="346"/>
      <c r="CV61" s="346"/>
    </row>
    <row r="62" spans="1:100" ht="20.149999999999999" customHeight="1">
      <c r="A62" s="624">
        <v>33</v>
      </c>
      <c r="B62" s="1274" t="s">
        <v>82</v>
      </c>
      <c r="C62" s="1650">
        <v>302.30457000000001</v>
      </c>
      <c r="D62" s="1640">
        <v>0</v>
      </c>
      <c r="E62" s="1640">
        <v>0</v>
      </c>
      <c r="F62" s="1640">
        <v>0</v>
      </c>
      <c r="G62" s="1640">
        <v>0</v>
      </c>
      <c r="H62" s="1261">
        <f>SUM(C62:G62)</f>
        <v>302.30457000000001</v>
      </c>
      <c r="I62" s="1262">
        <f>94050.3794205861-I63</f>
        <v>23732.379420586105</v>
      </c>
      <c r="J62" s="1507">
        <f t="shared" si="11"/>
        <v>785.04864880428715</v>
      </c>
      <c r="K62" s="1648"/>
      <c r="L62" s="1648"/>
      <c r="M62" s="346"/>
      <c r="N62" s="425"/>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c r="CD62" s="346"/>
      <c r="CE62" s="346"/>
      <c r="CF62" s="346"/>
      <c r="CG62" s="346"/>
      <c r="CH62" s="346"/>
      <c r="CI62" s="346"/>
      <c r="CJ62" s="346"/>
      <c r="CK62" s="346"/>
      <c r="CL62" s="346"/>
      <c r="CM62" s="346"/>
      <c r="CN62" s="346"/>
      <c r="CO62" s="346"/>
      <c r="CP62" s="346"/>
      <c r="CQ62" s="346"/>
      <c r="CR62" s="346"/>
      <c r="CS62" s="346"/>
      <c r="CT62" s="346"/>
      <c r="CU62" s="346"/>
      <c r="CV62" s="346"/>
    </row>
    <row r="63" spans="1:100" ht="20.149999999999999" customHeight="1">
      <c r="A63" s="624"/>
      <c r="B63" s="1274" t="s">
        <v>2323</v>
      </c>
      <c r="C63" s="1650">
        <v>1247.68776</v>
      </c>
      <c r="D63" s="1640"/>
      <c r="E63" s="1640"/>
      <c r="F63" s="1640"/>
      <c r="G63" s="1640"/>
      <c r="H63" s="1261">
        <f t="shared" si="12"/>
        <v>1247.68776</v>
      </c>
      <c r="I63" s="1262">
        <v>70318</v>
      </c>
      <c r="J63" s="1507">
        <f t="shared" si="11"/>
        <v>563.58651783199343</v>
      </c>
      <c r="K63" s="1648"/>
      <c r="L63" s="1648"/>
      <c r="M63" s="346"/>
      <c r="N63" s="425"/>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c r="BR63" s="346"/>
      <c r="BS63" s="346"/>
      <c r="BT63" s="346"/>
      <c r="BU63" s="346"/>
      <c r="BV63" s="346"/>
      <c r="BW63" s="346"/>
      <c r="BX63" s="346"/>
      <c r="BY63" s="346"/>
      <c r="BZ63" s="346"/>
      <c r="CA63" s="346"/>
      <c r="CB63" s="346"/>
      <c r="CC63" s="346"/>
      <c r="CD63" s="346"/>
      <c r="CE63" s="346"/>
      <c r="CF63" s="346"/>
      <c r="CG63" s="346"/>
      <c r="CH63" s="346"/>
      <c r="CI63" s="346"/>
      <c r="CJ63" s="346"/>
      <c r="CK63" s="346"/>
      <c r="CL63" s="346"/>
      <c r="CM63" s="346"/>
      <c r="CN63" s="346"/>
      <c r="CO63" s="346"/>
      <c r="CP63" s="346"/>
      <c r="CQ63" s="346"/>
      <c r="CR63" s="346"/>
      <c r="CS63" s="346"/>
      <c r="CT63" s="346"/>
      <c r="CU63" s="346"/>
      <c r="CV63" s="346"/>
    </row>
    <row r="64" spans="1:100" ht="20.149999999999999" customHeight="1">
      <c r="A64" s="624">
        <v>34</v>
      </c>
      <c r="B64" s="1274" t="s">
        <v>92</v>
      </c>
      <c r="C64" s="1640">
        <v>0</v>
      </c>
      <c r="D64" s="1640">
        <v>0</v>
      </c>
      <c r="E64" s="1640">
        <v>0</v>
      </c>
      <c r="F64" s="1639">
        <v>3.841634</v>
      </c>
      <c r="G64" s="1640">
        <v>0</v>
      </c>
      <c r="H64" s="1261">
        <f t="shared" si="12"/>
        <v>3.841634</v>
      </c>
      <c r="I64" s="1262">
        <v>280.68799999999999</v>
      </c>
      <c r="J64" s="1507">
        <f t="shared" si="11"/>
        <v>730.64742763105482</v>
      </c>
      <c r="K64" s="1648"/>
      <c r="L64" s="1648"/>
      <c r="M64" s="346"/>
      <c r="N64" s="683"/>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6"/>
      <c r="BV64" s="346"/>
      <c r="BW64" s="346"/>
      <c r="BX64" s="346"/>
      <c r="BY64" s="346"/>
      <c r="BZ64" s="346"/>
      <c r="CA64" s="346"/>
      <c r="CB64" s="346"/>
      <c r="CC64" s="346"/>
      <c r="CD64" s="346"/>
      <c r="CE64" s="346"/>
      <c r="CF64" s="346"/>
      <c r="CG64" s="346"/>
      <c r="CH64" s="346"/>
      <c r="CI64" s="346"/>
      <c r="CJ64" s="346"/>
      <c r="CK64" s="346"/>
      <c r="CL64" s="346"/>
      <c r="CM64" s="346"/>
      <c r="CN64" s="346"/>
      <c r="CO64" s="346"/>
      <c r="CP64" s="346"/>
      <c r="CQ64" s="346"/>
      <c r="CR64" s="346"/>
      <c r="CS64" s="346"/>
      <c r="CT64" s="346"/>
      <c r="CU64" s="346"/>
      <c r="CV64" s="346"/>
    </row>
    <row r="65" spans="1:100" ht="20.149999999999999" customHeight="1">
      <c r="A65" s="624">
        <v>35</v>
      </c>
      <c r="B65" s="1274" t="s">
        <v>85</v>
      </c>
      <c r="C65" s="1639">
        <v>0.35041</v>
      </c>
      <c r="D65" s="1640">
        <v>0</v>
      </c>
      <c r="E65" s="1640">
        <v>0</v>
      </c>
      <c r="F65" s="1640">
        <v>0</v>
      </c>
      <c r="G65" s="1640">
        <v>0</v>
      </c>
      <c r="H65" s="1261">
        <f t="shared" si="12"/>
        <v>0.35041</v>
      </c>
      <c r="I65" s="1262">
        <v>30.1435</v>
      </c>
      <c r="J65" s="1507">
        <f t="shared" si="11"/>
        <v>860.23515310636117</v>
      </c>
      <c r="K65" s="1648"/>
      <c r="L65" s="1648"/>
      <c r="M65" s="346"/>
      <c r="N65" s="425"/>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c r="CD65" s="346"/>
      <c r="CE65" s="346"/>
      <c r="CF65" s="346"/>
      <c r="CG65" s="346"/>
      <c r="CH65" s="346"/>
      <c r="CI65" s="346"/>
      <c r="CJ65" s="346"/>
      <c r="CK65" s="346"/>
      <c r="CL65" s="346"/>
      <c r="CM65" s="346"/>
      <c r="CN65" s="346"/>
      <c r="CO65" s="346"/>
      <c r="CP65" s="346"/>
      <c r="CQ65" s="346"/>
      <c r="CR65" s="346"/>
      <c r="CS65" s="346"/>
      <c r="CT65" s="346"/>
      <c r="CU65" s="346"/>
      <c r="CV65" s="346"/>
    </row>
    <row r="66" spans="1:100" ht="20.149999999999999" customHeight="1">
      <c r="A66" s="624">
        <v>36</v>
      </c>
      <c r="B66" s="1274" t="s">
        <v>62</v>
      </c>
      <c r="C66" s="1379">
        <v>0</v>
      </c>
      <c r="D66" s="1379">
        <v>0</v>
      </c>
      <c r="E66" s="1379">
        <v>0</v>
      </c>
      <c r="F66" s="1379">
        <v>0</v>
      </c>
      <c r="G66" s="1379">
        <v>0</v>
      </c>
      <c r="H66" s="1261">
        <f t="shared" si="12"/>
        <v>0</v>
      </c>
      <c r="I66" s="1262">
        <v>0</v>
      </c>
      <c r="J66" s="1507"/>
      <c r="K66" s="1648"/>
      <c r="L66" s="1648"/>
      <c r="M66" s="346"/>
      <c r="N66" s="425"/>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6"/>
      <c r="BO66" s="346"/>
      <c r="BP66" s="346"/>
      <c r="BQ66" s="346"/>
      <c r="BR66" s="346"/>
      <c r="BS66" s="346"/>
      <c r="BT66" s="346"/>
      <c r="BU66" s="346"/>
      <c r="BV66" s="346"/>
      <c r="BW66" s="346"/>
      <c r="BX66" s="346"/>
      <c r="BY66" s="346"/>
      <c r="BZ66" s="346"/>
      <c r="CA66" s="346"/>
      <c r="CB66" s="346"/>
      <c r="CC66" s="346"/>
      <c r="CD66" s="346"/>
      <c r="CE66" s="346"/>
      <c r="CF66" s="346"/>
      <c r="CG66" s="346"/>
      <c r="CH66" s="346"/>
      <c r="CI66" s="346"/>
      <c r="CJ66" s="346"/>
      <c r="CK66" s="346"/>
      <c r="CL66" s="346"/>
      <c r="CM66" s="346"/>
      <c r="CN66" s="346"/>
      <c r="CO66" s="346"/>
      <c r="CP66" s="346"/>
      <c r="CQ66" s="346"/>
      <c r="CR66" s="346"/>
      <c r="CS66" s="346"/>
      <c r="CT66" s="346"/>
      <c r="CU66" s="346"/>
      <c r="CV66" s="346"/>
    </row>
    <row r="67" spans="1:100" ht="20.149999999999999" customHeight="1">
      <c r="A67" s="624">
        <v>37</v>
      </c>
      <c r="B67" s="1274" t="s">
        <v>86</v>
      </c>
      <c r="C67" s="1640">
        <v>0</v>
      </c>
      <c r="D67" s="1640">
        <v>0</v>
      </c>
      <c r="E67" s="1639">
        <v>13.470800000000001</v>
      </c>
      <c r="F67" s="1651">
        <v>0.69230000000000003</v>
      </c>
      <c r="G67" s="1639">
        <v>0</v>
      </c>
      <c r="H67" s="1261">
        <f>SUM(C67:G67)-0.000048560000003306</f>
        <v>14.163051439999997</v>
      </c>
      <c r="I67" s="1262">
        <v>686.91399999999999</v>
      </c>
      <c r="J67" s="1507">
        <f t="shared" si="11"/>
        <v>485.00424001849149</v>
      </c>
      <c r="K67" s="1648"/>
      <c r="L67" s="1648"/>
      <c r="M67" s="346"/>
      <c r="N67" s="425"/>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row>
    <row r="68" spans="1:100" ht="20.149999999999999" customHeight="1">
      <c r="A68" s="624"/>
      <c r="B68" s="1510" t="s">
        <v>185</v>
      </c>
      <c r="C68" s="1264">
        <f>SUM(C57:C67)</f>
        <v>1933.914323574933</v>
      </c>
      <c r="D68" s="1264">
        <f t="shared" ref="D68:G68" si="13">SUM(D57:D67)</f>
        <v>30.918610954978398</v>
      </c>
      <c r="E68" s="1264">
        <f t="shared" si="13"/>
        <v>331.93942166226259</v>
      </c>
      <c r="F68" s="1264">
        <f t="shared" si="13"/>
        <v>57.758954284996427</v>
      </c>
      <c r="G68" s="1264">
        <f t="shared" si="13"/>
        <v>67.613346500977158</v>
      </c>
      <c r="H68" s="1264">
        <f>SUM(H57:H67)</f>
        <v>2422.1446725781475</v>
      </c>
      <c r="I68" s="1652">
        <f>SUM(I57:I67)</f>
        <v>155638.2554151743</v>
      </c>
      <c r="J68" s="1359">
        <f>I68/H68*10</f>
        <v>642.56382856566472</v>
      </c>
      <c r="K68" s="210"/>
      <c r="L68" s="210"/>
      <c r="M68" s="40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6"/>
      <c r="BV68" s="346"/>
      <c r="BW68" s="346"/>
      <c r="BX68" s="346"/>
      <c r="BY68" s="346"/>
      <c r="BZ68" s="346"/>
      <c r="CA68" s="346"/>
      <c r="CB68" s="346"/>
      <c r="CC68" s="346"/>
      <c r="CD68" s="346"/>
      <c r="CE68" s="346"/>
      <c r="CF68" s="346"/>
      <c r="CG68" s="346"/>
      <c r="CH68" s="346"/>
      <c r="CI68" s="346"/>
      <c r="CJ68" s="346"/>
      <c r="CK68" s="346"/>
      <c r="CL68" s="346"/>
      <c r="CM68" s="346"/>
      <c r="CN68" s="346"/>
      <c r="CO68" s="346"/>
      <c r="CP68" s="346"/>
      <c r="CQ68" s="346"/>
      <c r="CR68" s="346"/>
      <c r="CS68" s="346"/>
      <c r="CT68" s="346"/>
      <c r="CU68" s="346"/>
      <c r="CV68" s="346"/>
    </row>
    <row r="69" spans="1:100" ht="20.149999999999999" customHeight="1">
      <c r="A69" s="624"/>
      <c r="B69" s="1510" t="s">
        <v>214</v>
      </c>
      <c r="C69" s="1264">
        <f t="shared" ref="C69:I69" si="14">C68+C55+C37</f>
        <v>2504.7596875749332</v>
      </c>
      <c r="D69" s="1264">
        <f t="shared" si="14"/>
        <v>393.42492450497843</v>
      </c>
      <c r="E69" s="1264">
        <f t="shared" si="14"/>
        <v>1521.5001982884514</v>
      </c>
      <c r="F69" s="1264">
        <f t="shared" si="14"/>
        <v>434.89851028499641</v>
      </c>
      <c r="G69" s="1264">
        <f t="shared" si="14"/>
        <v>380.1227255009772</v>
      </c>
      <c r="H69" s="1279">
        <f t="shared" si="14"/>
        <v>5234.7060599933757</v>
      </c>
      <c r="I69" s="1652">
        <f t="shared" si="14"/>
        <v>311459.51894749323</v>
      </c>
      <c r="J69" s="1359">
        <f>I69/H69*10</f>
        <v>594.98950920634377</v>
      </c>
      <c r="K69" s="210"/>
      <c r="L69" s="210"/>
      <c r="M69" s="625"/>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6"/>
      <c r="BW69" s="346"/>
      <c r="BX69" s="346"/>
      <c r="BY69" s="346"/>
      <c r="BZ69" s="346"/>
      <c r="CA69" s="346"/>
      <c r="CB69" s="346"/>
      <c r="CC69" s="346"/>
      <c r="CD69" s="346"/>
      <c r="CE69" s="346"/>
      <c r="CF69" s="346"/>
      <c r="CG69" s="346"/>
      <c r="CH69" s="346"/>
      <c r="CI69" s="346"/>
      <c r="CJ69" s="346"/>
      <c r="CK69" s="346"/>
      <c r="CL69" s="346"/>
      <c r="CM69" s="346"/>
      <c r="CN69" s="346"/>
      <c r="CO69" s="346"/>
      <c r="CP69" s="346"/>
      <c r="CQ69" s="346"/>
      <c r="CR69" s="346"/>
      <c r="CS69" s="346"/>
      <c r="CT69" s="346"/>
      <c r="CU69" s="346"/>
      <c r="CV69" s="346"/>
    </row>
    <row r="70" spans="1:100" ht="20.149999999999999" customHeight="1">
      <c r="A70" s="1274">
        <v>37</v>
      </c>
      <c r="B70" s="1273" t="s">
        <v>215</v>
      </c>
      <c r="C70" s="624"/>
      <c r="D70" s="624"/>
      <c r="E70" s="624"/>
      <c r="F70" s="624"/>
      <c r="G70" s="624"/>
      <c r="H70" s="694">
        <v>6370.46911</v>
      </c>
      <c r="I70" s="1448"/>
      <c r="J70" s="1507"/>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6"/>
      <c r="BV70" s="346"/>
      <c r="BW70" s="346"/>
      <c r="BX70" s="346"/>
      <c r="BY70" s="346"/>
      <c r="BZ70" s="346"/>
      <c r="CA70" s="346"/>
      <c r="CB70" s="346"/>
      <c r="CC70" s="346"/>
      <c r="CD70" s="346"/>
      <c r="CE70" s="346"/>
      <c r="CF70" s="346"/>
      <c r="CG70" s="346"/>
      <c r="CH70" s="346"/>
      <c r="CI70" s="346"/>
      <c r="CJ70" s="346"/>
      <c r="CK70" s="346"/>
      <c r="CL70" s="346"/>
      <c r="CM70" s="346"/>
      <c r="CN70" s="346"/>
      <c r="CO70" s="346"/>
      <c r="CP70" s="346"/>
      <c r="CQ70" s="346"/>
      <c r="CR70" s="346"/>
      <c r="CS70" s="346"/>
      <c r="CT70" s="346"/>
      <c r="CU70" s="346"/>
      <c r="CV70" s="346"/>
    </row>
    <row r="71" spans="1:100" ht="20.149999999999999" customHeight="1">
      <c r="A71" s="1274">
        <v>38</v>
      </c>
      <c r="B71" s="1273" t="s">
        <v>209</v>
      </c>
      <c r="C71" s="624"/>
      <c r="D71" s="624"/>
      <c r="E71" s="624"/>
      <c r="F71" s="624"/>
      <c r="G71" s="624"/>
      <c r="H71" s="694">
        <f>H70-H69</f>
        <v>1135.7630500066243</v>
      </c>
      <c r="I71" s="1448"/>
      <c r="J71" s="1507"/>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6"/>
      <c r="BV71" s="346"/>
      <c r="BW71" s="346"/>
      <c r="BX71" s="346"/>
      <c r="BY71" s="346"/>
      <c r="BZ71" s="346"/>
      <c r="CA71" s="346"/>
      <c r="CB71" s="346"/>
      <c r="CC71" s="346"/>
      <c r="CD71" s="346"/>
      <c r="CE71" s="346"/>
      <c r="CF71" s="346"/>
      <c r="CG71" s="346"/>
      <c r="CH71" s="346"/>
      <c r="CI71" s="346"/>
      <c r="CJ71" s="346"/>
      <c r="CK71" s="346"/>
      <c r="CL71" s="346"/>
      <c r="CM71" s="346"/>
      <c r="CN71" s="346"/>
      <c r="CO71" s="346"/>
      <c r="CP71" s="346"/>
      <c r="CQ71" s="346"/>
      <c r="CR71" s="346"/>
      <c r="CS71" s="346"/>
      <c r="CT71" s="346"/>
      <c r="CU71" s="346"/>
      <c r="CV71" s="346"/>
    </row>
    <row r="72" spans="1:100" ht="20.149999999999999" customHeight="1">
      <c r="A72" s="1274">
        <v>39</v>
      </c>
      <c r="B72" s="1273" t="s">
        <v>210</v>
      </c>
      <c r="C72" s="624"/>
      <c r="D72" s="624"/>
      <c r="E72" s="624"/>
      <c r="F72" s="624"/>
      <c r="G72" s="624"/>
      <c r="H72" s="1641">
        <f>H71/H70</f>
        <v>0.17828562236080356</v>
      </c>
      <c r="I72" s="1448"/>
      <c r="J72" s="1507"/>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346"/>
      <c r="BS72" s="346"/>
      <c r="BT72" s="346"/>
      <c r="BU72" s="346"/>
      <c r="BV72" s="346"/>
      <c r="BW72" s="346"/>
      <c r="BX72" s="346"/>
      <c r="BY72" s="346"/>
      <c r="BZ72" s="346"/>
      <c r="CA72" s="346"/>
      <c r="CB72" s="346"/>
      <c r="CC72" s="346"/>
      <c r="CD72" s="346"/>
      <c r="CE72" s="346"/>
      <c r="CF72" s="346"/>
      <c r="CG72" s="346"/>
      <c r="CH72" s="346"/>
      <c r="CI72" s="346"/>
      <c r="CJ72" s="346"/>
      <c r="CK72" s="346"/>
      <c r="CL72" s="346"/>
      <c r="CM72" s="346"/>
      <c r="CN72" s="346"/>
      <c r="CO72" s="346"/>
      <c r="CP72" s="346"/>
      <c r="CQ72" s="346"/>
      <c r="CR72" s="346"/>
      <c r="CS72" s="346"/>
      <c r="CT72" s="346"/>
      <c r="CU72" s="346"/>
      <c r="CV72" s="346"/>
    </row>
    <row r="73" spans="1:100" ht="20.149999999999999" customHeight="1">
      <c r="A73" s="1274">
        <v>40</v>
      </c>
      <c r="B73" s="1273" t="s">
        <v>98</v>
      </c>
      <c r="C73" s="624"/>
      <c r="D73" s="624"/>
      <c r="E73" s="624"/>
      <c r="F73" s="624"/>
      <c r="G73" s="624"/>
      <c r="H73" s="1641">
        <f>'T-1'!K75</f>
        <v>0.94356338068186918</v>
      </c>
      <c r="I73" s="1525"/>
      <c r="J73" s="1507"/>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6"/>
      <c r="BS73" s="346"/>
      <c r="BT73" s="346"/>
      <c r="BU73" s="346"/>
      <c r="BV73" s="346"/>
      <c r="BW73" s="346"/>
      <c r="BX73" s="346"/>
      <c r="BY73" s="346"/>
      <c r="BZ73" s="346"/>
      <c r="CA73" s="346"/>
      <c r="CB73" s="346"/>
      <c r="CC73" s="346"/>
      <c r="CD73" s="346"/>
      <c r="CE73" s="346"/>
      <c r="CF73" s="346"/>
      <c r="CG73" s="346"/>
      <c r="CH73" s="346"/>
      <c r="CI73" s="346"/>
      <c r="CJ73" s="346"/>
      <c r="CK73" s="346"/>
      <c r="CL73" s="346"/>
      <c r="CM73" s="346"/>
      <c r="CN73" s="346"/>
      <c r="CO73" s="346"/>
      <c r="CP73" s="346"/>
      <c r="CQ73" s="346"/>
      <c r="CR73" s="346"/>
      <c r="CS73" s="346"/>
      <c r="CT73" s="346"/>
      <c r="CU73" s="346"/>
      <c r="CV73" s="346"/>
    </row>
    <row r="74" spans="1:100" ht="20.149999999999999" customHeight="1">
      <c r="A74" s="1274">
        <v>41</v>
      </c>
      <c r="B74" s="1273" t="s">
        <v>99</v>
      </c>
      <c r="C74" s="624"/>
      <c r="D74" s="624"/>
      <c r="E74" s="624"/>
      <c r="F74" s="624"/>
      <c r="G74" s="624"/>
      <c r="H74" s="1641">
        <f>'T-1'!K76</f>
        <v>0.22466024315287436</v>
      </c>
      <c r="I74" s="1525"/>
      <c r="J74" s="1507"/>
      <c r="M74" s="644"/>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346"/>
      <c r="CA74" s="346"/>
      <c r="CB74" s="346"/>
      <c r="CC74" s="346"/>
      <c r="CD74" s="346"/>
      <c r="CE74" s="346"/>
      <c r="CF74" s="346"/>
      <c r="CG74" s="346"/>
      <c r="CH74" s="346"/>
      <c r="CI74" s="346"/>
      <c r="CJ74" s="346"/>
      <c r="CK74" s="346"/>
      <c r="CL74" s="346"/>
      <c r="CM74" s="346"/>
      <c r="CN74" s="346"/>
      <c r="CO74" s="346"/>
      <c r="CP74" s="346"/>
      <c r="CQ74" s="346"/>
      <c r="CR74" s="346"/>
      <c r="CS74" s="346"/>
      <c r="CT74" s="346"/>
      <c r="CU74" s="346"/>
      <c r="CV74" s="346"/>
    </row>
    <row r="75" spans="1:100" ht="20.149999999999999" customHeight="1">
      <c r="A75" s="63" t="s">
        <v>213</v>
      </c>
      <c r="C75" s="62"/>
      <c r="D75" s="62"/>
      <c r="E75" s="62"/>
      <c r="F75" s="62"/>
      <c r="G75" s="62"/>
      <c r="H75" s="62"/>
      <c r="I75" s="148"/>
      <c r="J75" s="345"/>
      <c r="M75" s="644"/>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346"/>
      <c r="CA75" s="346"/>
      <c r="CB75" s="346"/>
      <c r="CC75" s="346"/>
      <c r="CD75" s="346"/>
      <c r="CE75" s="346"/>
      <c r="CF75" s="346"/>
      <c r="CG75" s="346"/>
      <c r="CH75" s="346"/>
      <c r="CI75" s="346"/>
      <c r="CJ75" s="346"/>
      <c r="CK75" s="346"/>
      <c r="CL75" s="346"/>
      <c r="CM75" s="346"/>
      <c r="CN75" s="346"/>
      <c r="CO75" s="346"/>
      <c r="CP75" s="346"/>
      <c r="CQ75" s="346"/>
      <c r="CR75" s="346"/>
      <c r="CS75" s="346"/>
      <c r="CT75" s="346"/>
      <c r="CU75" s="346"/>
      <c r="CV75" s="346"/>
    </row>
    <row r="76" spans="1:100" ht="20.149999999999999" customHeight="1">
      <c r="C76" s="62"/>
      <c r="D76" s="62"/>
      <c r="E76" s="62"/>
      <c r="F76" s="62"/>
      <c r="G76" s="62"/>
      <c r="H76" s="62"/>
      <c r="I76" s="148"/>
      <c r="J76" s="278"/>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6"/>
      <c r="BV76" s="346"/>
      <c r="BW76" s="346"/>
      <c r="BX76" s="346"/>
      <c r="BY76" s="346"/>
      <c r="BZ76" s="346"/>
      <c r="CA76" s="346"/>
      <c r="CB76" s="346"/>
      <c r="CC76" s="346"/>
      <c r="CD76" s="346"/>
      <c r="CE76" s="346"/>
      <c r="CF76" s="346"/>
      <c r="CG76" s="346"/>
      <c r="CH76" s="346"/>
      <c r="CI76" s="346"/>
      <c r="CJ76" s="346"/>
      <c r="CK76" s="346"/>
      <c r="CL76" s="346"/>
      <c r="CM76" s="346"/>
      <c r="CN76" s="346"/>
      <c r="CO76" s="346"/>
      <c r="CP76" s="346"/>
      <c r="CQ76" s="346"/>
      <c r="CR76" s="346"/>
      <c r="CS76" s="346"/>
      <c r="CT76" s="346"/>
      <c r="CU76" s="346"/>
      <c r="CV76" s="346"/>
    </row>
    <row r="77" spans="1:100" ht="20.149999999999999" customHeight="1">
      <c r="H77" s="276"/>
      <c r="I77" s="148"/>
      <c r="J77" s="278"/>
      <c r="M77" s="644"/>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46"/>
      <c r="BP77" s="346"/>
      <c r="BQ77" s="346"/>
      <c r="BR77" s="346"/>
      <c r="BS77" s="346"/>
      <c r="BT77" s="346"/>
      <c r="BU77" s="346"/>
      <c r="BV77" s="346"/>
      <c r="BW77" s="346"/>
      <c r="BX77" s="346"/>
      <c r="BY77" s="346"/>
      <c r="BZ77" s="346"/>
      <c r="CA77" s="346"/>
      <c r="CB77" s="346"/>
      <c r="CC77" s="346"/>
      <c r="CD77" s="346"/>
      <c r="CE77" s="346"/>
      <c r="CF77" s="346"/>
      <c r="CG77" s="346"/>
      <c r="CH77" s="346"/>
      <c r="CI77" s="346"/>
      <c r="CJ77" s="346"/>
      <c r="CK77" s="346"/>
      <c r="CL77" s="346"/>
      <c r="CM77" s="346"/>
      <c r="CN77" s="346"/>
      <c r="CO77" s="346"/>
      <c r="CP77" s="346"/>
      <c r="CQ77" s="346"/>
      <c r="CR77" s="346"/>
      <c r="CS77" s="346"/>
      <c r="CT77" s="346"/>
      <c r="CU77" s="346"/>
      <c r="CV77" s="346"/>
    </row>
    <row r="78" spans="1:100" ht="20.149999999999999" customHeight="1">
      <c r="I78" s="148"/>
      <c r="J78" s="278"/>
      <c r="M78" s="645"/>
      <c r="N78" s="646"/>
    </row>
    <row r="79" spans="1:100" ht="20.149999999999999" customHeight="1">
      <c r="J79" s="176"/>
      <c r="M79" s="645"/>
      <c r="N79" s="171"/>
    </row>
    <row r="80" spans="1:10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row r="158" ht="20.149999999999999" customHeight="1"/>
    <row r="159" ht="20.149999999999999" customHeight="1"/>
    <row r="160" ht="20.149999999999999" customHeight="1"/>
    <row r="161" ht="20.149999999999999" customHeight="1"/>
    <row r="162" ht="20.149999999999999" customHeight="1"/>
    <row r="163" ht="20.149999999999999" customHeight="1"/>
    <row r="164" ht="20.149999999999999" customHeight="1"/>
    <row r="165" ht="20.149999999999999" customHeight="1"/>
    <row r="166" ht="20.149999999999999" customHeight="1"/>
    <row r="167" ht="20.149999999999999" customHeight="1"/>
    <row r="168" ht="20.149999999999999" customHeight="1"/>
    <row r="169" ht="20.149999999999999" customHeight="1"/>
    <row r="170" ht="20.149999999999999" customHeight="1"/>
    <row r="171" ht="20.149999999999999" customHeight="1"/>
    <row r="172" ht="20.149999999999999" customHeight="1"/>
    <row r="173" ht="20.149999999999999" customHeight="1"/>
    <row r="174" ht="20.149999999999999" customHeight="1"/>
    <row r="175" ht="20.149999999999999" customHeight="1"/>
    <row r="176" ht="20.149999999999999" customHeight="1"/>
    <row r="177" ht="20.149999999999999" customHeight="1"/>
    <row r="178" ht="20.149999999999999" customHeight="1"/>
    <row r="179" ht="20.149999999999999" customHeight="1"/>
    <row r="180" ht="20.149999999999999" customHeight="1"/>
    <row r="181" ht="20.149999999999999" customHeight="1"/>
    <row r="182" ht="20.149999999999999" customHeight="1"/>
    <row r="183" ht="20.149999999999999" customHeight="1"/>
    <row r="184" ht="20.149999999999999" customHeight="1"/>
    <row r="185" ht="20.149999999999999" customHeight="1"/>
    <row r="186" ht="20.149999999999999" customHeight="1"/>
    <row r="187" ht="20.149999999999999" customHeight="1"/>
    <row r="188" ht="20.149999999999999" customHeight="1"/>
    <row r="189" ht="20.149999999999999" customHeight="1"/>
    <row r="190" ht="20.149999999999999" customHeight="1"/>
    <row r="191" ht="20.149999999999999" customHeight="1"/>
    <row r="192" ht="20.149999999999999" customHeight="1"/>
    <row r="193" ht="20.149999999999999" customHeight="1"/>
    <row r="194" ht="20.149999999999999" customHeight="1"/>
    <row r="195" ht="20.149999999999999" customHeight="1"/>
    <row r="196" ht="20.149999999999999" customHeight="1"/>
    <row r="197" ht="20.149999999999999" customHeight="1"/>
    <row r="198" ht="20.149999999999999" customHeight="1"/>
    <row r="199" ht="20.149999999999999" customHeight="1"/>
    <row r="200" ht="20.149999999999999" customHeight="1"/>
    <row r="201" ht="20.149999999999999" customHeight="1"/>
    <row r="202" ht="20.149999999999999" customHeight="1"/>
    <row r="203" ht="20.149999999999999" customHeight="1"/>
    <row r="204" ht="20.149999999999999" customHeight="1"/>
    <row r="205" ht="20.149999999999999" customHeight="1"/>
    <row r="206" ht="20.149999999999999" customHeight="1"/>
    <row r="207" ht="20.149999999999999" customHeight="1"/>
    <row r="208" ht="20.149999999999999" customHeight="1"/>
    <row r="209" ht="20.149999999999999" customHeight="1"/>
    <row r="210" ht="20.149999999999999" customHeight="1"/>
    <row r="211" ht="20.149999999999999" customHeight="1"/>
    <row r="212" ht="20.149999999999999" customHeight="1"/>
    <row r="213" ht="20.149999999999999" customHeight="1"/>
    <row r="214" ht="20.149999999999999" customHeight="1"/>
    <row r="215" ht="20.149999999999999" customHeight="1"/>
    <row r="216" ht="20.149999999999999" customHeight="1"/>
    <row r="217" ht="20.149999999999999" customHeight="1"/>
    <row r="218" ht="20.149999999999999" customHeight="1"/>
    <row r="219" ht="20.149999999999999" customHeight="1"/>
    <row r="220" ht="20.149999999999999" customHeight="1"/>
    <row r="221" ht="20.149999999999999" customHeight="1"/>
    <row r="222" ht="20.149999999999999" customHeight="1"/>
    <row r="223" ht="20.149999999999999" customHeight="1"/>
    <row r="224" ht="20.149999999999999" customHeight="1"/>
    <row r="225" ht="20.149999999999999" customHeight="1"/>
    <row r="226" ht="20.149999999999999" customHeight="1"/>
    <row r="227" ht="20.149999999999999" customHeight="1"/>
    <row r="228" ht="20.149999999999999" customHeight="1"/>
    <row r="229" ht="20.149999999999999" customHeight="1"/>
    <row r="230" ht="20.149999999999999" customHeight="1"/>
    <row r="231" ht="20.149999999999999" customHeight="1"/>
    <row r="232" ht="20.149999999999999" customHeight="1"/>
    <row r="233" ht="20.149999999999999" customHeight="1"/>
    <row r="234" ht="20.149999999999999" customHeight="1"/>
    <row r="235" ht="20.149999999999999" customHeight="1"/>
    <row r="236" ht="20.149999999999999" customHeight="1"/>
    <row r="237" ht="20.149999999999999" customHeight="1"/>
    <row r="238" ht="20.149999999999999" customHeight="1"/>
    <row r="239" ht="20.149999999999999" customHeight="1"/>
    <row r="240" ht="20.149999999999999" customHeight="1"/>
    <row r="241" ht="20.149999999999999" customHeight="1"/>
    <row r="242" ht="20.149999999999999" customHeight="1"/>
    <row r="243" ht="20.149999999999999" customHeight="1"/>
    <row r="244" ht="20.149999999999999" customHeight="1"/>
    <row r="245" ht="20.149999999999999" customHeight="1"/>
    <row r="246" ht="20.149999999999999" customHeight="1"/>
    <row r="247" ht="20.149999999999999" customHeight="1"/>
    <row r="248" ht="20.149999999999999" customHeight="1"/>
    <row r="249" ht="20.149999999999999" customHeight="1"/>
    <row r="250" ht="20.149999999999999" customHeight="1"/>
    <row r="251" ht="20.149999999999999" customHeight="1"/>
    <row r="252" ht="20.149999999999999" customHeight="1"/>
    <row r="253" ht="20.149999999999999" customHeight="1"/>
    <row r="254" ht="20.149999999999999" customHeight="1"/>
    <row r="255" ht="20.149999999999999" customHeight="1"/>
    <row r="256" ht="20.149999999999999" customHeight="1"/>
    <row r="257" ht="20.149999999999999" customHeight="1"/>
    <row r="258" ht="20.149999999999999" customHeight="1"/>
    <row r="259" ht="20.149999999999999" customHeight="1"/>
    <row r="260" ht="20.149999999999999" customHeight="1"/>
    <row r="261" ht="20.149999999999999" customHeight="1"/>
    <row r="262" ht="20.149999999999999" customHeight="1"/>
    <row r="263" ht="20.149999999999999" customHeight="1"/>
    <row r="264" ht="20.149999999999999" customHeight="1"/>
    <row r="265" ht="20.149999999999999" customHeight="1"/>
    <row r="266" ht="20.149999999999999" customHeight="1"/>
    <row r="267" ht="20.149999999999999" customHeight="1"/>
    <row r="268" ht="20.149999999999999" customHeight="1"/>
    <row r="269" ht="20.149999999999999" customHeight="1"/>
    <row r="270" ht="20.149999999999999" customHeight="1"/>
    <row r="271" ht="20.149999999999999" customHeight="1"/>
    <row r="272" ht="20.149999999999999" customHeight="1"/>
    <row r="273" ht="20.149999999999999" customHeight="1"/>
    <row r="274" ht="20.149999999999999" customHeight="1"/>
  </sheetData>
  <mergeCells count="11">
    <mergeCell ref="I7:I9"/>
    <mergeCell ref="J7:J9"/>
    <mergeCell ref="C5:H5"/>
    <mergeCell ref="A7:A9"/>
    <mergeCell ref="B7:B9"/>
    <mergeCell ref="C7:C9"/>
    <mergeCell ref="D7:D9"/>
    <mergeCell ref="E7:E9"/>
    <mergeCell ref="F7:F9"/>
    <mergeCell ref="G7:G9"/>
    <mergeCell ref="H7:H9"/>
  </mergeCells>
  <printOptions horizontalCentered="1"/>
  <pageMargins left="0" right="0" top="0.59055118110236227" bottom="0.51181102362204722" header="0" footer="0"/>
  <pageSetup paperSize="9" scale="76" fitToHeight="2" orientation="portrait" r:id="rId1"/>
  <headerFooter alignWithMargins="0">
    <oddFooter xml:space="preserve">&amp;R
</oddFooter>
  </headerFooter>
  <rowBreaks count="1" manualBreakCount="1">
    <brk id="37"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695B054817CC43B4543E4ED364C33A" ma:contentTypeVersion="18" ma:contentTypeDescription="Create a new document." ma:contentTypeScope="" ma:versionID="1dd75e1654f117bffb989952411b8c23">
  <xsd:schema xmlns:xsd="http://www.w3.org/2001/XMLSchema" xmlns:xs="http://www.w3.org/2001/XMLSchema" xmlns:p="http://schemas.microsoft.com/office/2006/metadata/properties" xmlns:ns3="115a6e0d-a6d3-4cd3-b965-fdb27d6c66c3" xmlns:ns4="a471eee1-5afe-4605-a7e1-85a80c306664" targetNamespace="http://schemas.microsoft.com/office/2006/metadata/properties" ma:root="true" ma:fieldsID="9d6d12b441ee19fb25a5b368d650f7e1" ns3:_="" ns4:_="">
    <xsd:import namespace="115a6e0d-a6d3-4cd3-b965-fdb27d6c66c3"/>
    <xsd:import namespace="a471eee1-5afe-4605-a7e1-85a80c3066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earchProperties" minOccurs="0"/>
                <xsd:element ref="ns3:MediaServiceSystem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5a6e0d-a6d3-4cd3-b965-fdb27d6c66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71eee1-5afe-4605-a7e1-85a80c3066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115a6e0d-a6d3-4cd3-b965-fdb27d6c66c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881773-4563-40C4-B538-619022DFD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5a6e0d-a6d3-4cd3-b965-fdb27d6c66c3"/>
    <ds:schemaRef ds:uri="a471eee1-5afe-4605-a7e1-85a80c3066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A4A843-DEFF-470F-81C7-2FEE5F094C2C}">
  <ds:schemaRefs>
    <ds:schemaRef ds:uri="http://schemas.microsoft.com/office/2006/documentManagement/types"/>
    <ds:schemaRef ds:uri="http://purl.org/dc/dcmitype/"/>
    <ds:schemaRef ds:uri="a471eee1-5afe-4605-a7e1-85a80c306664"/>
    <ds:schemaRef ds:uri="http://schemas.microsoft.com/office/2006/metadata/properties"/>
    <ds:schemaRef ds:uri="115a6e0d-a6d3-4cd3-b965-fdb27d6c66c3"/>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3796B08C-9480-4213-96F3-CB52A63918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79</vt:i4>
      </vt:variant>
    </vt:vector>
  </HeadingPairs>
  <TitlesOfParts>
    <vt:vector size="146" baseType="lpstr">
      <vt:lpstr>T-1</vt:lpstr>
      <vt:lpstr>T-2(22-23)</vt:lpstr>
      <vt:lpstr>T-2(1st six mth)</vt:lpstr>
      <vt:lpstr>T-3(22-23)</vt:lpstr>
      <vt:lpstr>T-3(1st six mth)</vt:lpstr>
      <vt:lpstr>T-4 </vt:lpstr>
      <vt:lpstr>T-5</vt:lpstr>
      <vt:lpstr>T-6</vt:lpstr>
      <vt:lpstr>T-6 (six mth)</vt:lpstr>
      <vt:lpstr>T-7</vt:lpstr>
      <vt:lpstr>T-7 (Curr)</vt:lpstr>
      <vt:lpstr>T-8</vt:lpstr>
      <vt:lpstr>T-9 </vt:lpstr>
      <vt:lpstr> F-1 </vt:lpstr>
      <vt:lpstr> F-1(b) </vt:lpstr>
      <vt:lpstr>F-2</vt:lpstr>
      <vt:lpstr>F-3</vt:lpstr>
      <vt:lpstr>F-4</vt:lpstr>
      <vt:lpstr>F-4(b)</vt:lpstr>
      <vt:lpstr>F-5</vt:lpstr>
      <vt:lpstr>F-6</vt:lpstr>
      <vt:lpstr>F-7</vt:lpstr>
      <vt:lpstr>F-8</vt:lpstr>
      <vt:lpstr>F-9</vt:lpstr>
      <vt:lpstr>F-9(b)</vt:lpstr>
      <vt:lpstr>F-10</vt:lpstr>
      <vt:lpstr>F-11</vt:lpstr>
      <vt:lpstr>F-12</vt:lpstr>
      <vt:lpstr>F-12(b)</vt:lpstr>
      <vt:lpstr>F-12(c)</vt:lpstr>
      <vt:lpstr>F-12(d)</vt:lpstr>
      <vt:lpstr>F-12(e)</vt:lpstr>
      <vt:lpstr>F-13</vt:lpstr>
      <vt:lpstr>F-13(a)</vt:lpstr>
      <vt:lpstr>F-14</vt:lpstr>
      <vt:lpstr>F-15</vt:lpstr>
      <vt:lpstr>F-16</vt:lpstr>
      <vt:lpstr>F-17</vt:lpstr>
      <vt:lpstr>F-18</vt:lpstr>
      <vt:lpstr>F-19</vt:lpstr>
      <vt:lpstr>F-20</vt:lpstr>
      <vt:lpstr>F-21</vt:lpstr>
      <vt:lpstr>F-22</vt:lpstr>
      <vt:lpstr>F-23 CASHFLOW</vt:lpstr>
      <vt:lpstr>F-24</vt:lpstr>
      <vt:lpstr>F-25</vt:lpstr>
      <vt:lpstr>F-26 </vt:lpstr>
      <vt:lpstr>F-27(22-23)</vt:lpstr>
      <vt:lpstr>F-27(23-24)</vt:lpstr>
      <vt:lpstr>Cost Allocation</vt:lpstr>
      <vt:lpstr>Demography</vt:lpstr>
      <vt:lpstr>Tariff 24-25</vt:lpstr>
      <vt:lpstr>loan&amp;int</vt:lpstr>
      <vt:lpstr>DEPCAL</vt:lpstr>
      <vt:lpstr>CWIP</vt:lpstr>
      <vt:lpstr>ppt-1</vt:lpstr>
      <vt:lpstr>summary</vt:lpstr>
      <vt:lpstr>Sheet1</vt:lpstr>
      <vt:lpstr>Sheet2</vt:lpstr>
      <vt:lpstr>Sheet3</vt:lpstr>
      <vt:lpstr>Sheet4</vt:lpstr>
      <vt:lpstr>Sheet5</vt:lpstr>
      <vt:lpstr>Current yr GAP</vt:lpstr>
      <vt:lpstr>truing 20-21</vt:lpstr>
      <vt:lpstr>PPt-3</vt:lpstr>
      <vt:lpstr>ppt-2</vt:lpstr>
      <vt:lpstr>Revenue gap</vt:lpstr>
      <vt:lpstr>' F-1 '!Print_Area</vt:lpstr>
      <vt:lpstr>' F-1(b) '!Print_Area</vt:lpstr>
      <vt:lpstr>'Cost Allocation'!Print_Area</vt:lpstr>
      <vt:lpstr>'Current yr GAP'!Print_Area</vt:lpstr>
      <vt:lpstr>CWIP!Print_Area</vt:lpstr>
      <vt:lpstr>Demography!Print_Area</vt:lpstr>
      <vt:lpstr>DEPCAL!Print_Area</vt:lpstr>
      <vt:lpstr>'F-10'!Print_Area</vt:lpstr>
      <vt:lpstr>'F-11'!Print_Area</vt:lpstr>
      <vt:lpstr>'F-12'!Print_Area</vt:lpstr>
      <vt:lpstr>'F-12(b)'!Print_Area</vt:lpstr>
      <vt:lpstr>'F-12(c)'!Print_Area</vt:lpstr>
      <vt:lpstr>'F-12(d)'!Print_Area</vt:lpstr>
      <vt:lpstr>'F-12(e)'!Print_Area</vt:lpstr>
      <vt:lpstr>'F-13'!Print_Area</vt:lpstr>
      <vt:lpstr>'F-13(a)'!Print_Area</vt:lpstr>
      <vt:lpstr>'F-14'!Print_Area</vt:lpstr>
      <vt:lpstr>'F-15'!Print_Area</vt:lpstr>
      <vt:lpstr>'F-16'!Print_Area</vt:lpstr>
      <vt:lpstr>'F-17'!Print_Area</vt:lpstr>
      <vt:lpstr>'F-18'!Print_Area</vt:lpstr>
      <vt:lpstr>'F-19'!Print_Area</vt:lpstr>
      <vt:lpstr>'F-2'!Print_Area</vt:lpstr>
      <vt:lpstr>'F-20'!Print_Area</vt:lpstr>
      <vt:lpstr>'F-21'!Print_Area</vt:lpstr>
      <vt:lpstr>'F-22'!Print_Area</vt:lpstr>
      <vt:lpstr>'F-23 CASHFLOW'!Print_Area</vt:lpstr>
      <vt:lpstr>'F-24'!Print_Area</vt:lpstr>
      <vt:lpstr>'F-25'!Print_Area</vt:lpstr>
      <vt:lpstr>'F-26 '!Print_Area</vt:lpstr>
      <vt:lpstr>'F-27(22-23)'!Print_Area</vt:lpstr>
      <vt:lpstr>'F-27(23-24)'!Print_Area</vt:lpstr>
      <vt:lpstr>'F-3'!Print_Area</vt:lpstr>
      <vt:lpstr>'F-4'!Print_Area</vt:lpstr>
      <vt:lpstr>'F-4(b)'!Print_Area</vt:lpstr>
      <vt:lpstr>'F-5'!Print_Area</vt:lpstr>
      <vt:lpstr>'F-6'!Print_Area</vt:lpstr>
      <vt:lpstr>'F-7'!Print_Area</vt:lpstr>
      <vt:lpstr>'F-9'!Print_Area</vt:lpstr>
      <vt:lpstr>'F-9(b)'!Print_Area</vt:lpstr>
      <vt:lpstr>'loan&amp;int'!Print_Area</vt:lpstr>
      <vt:lpstr>'ppt-1'!Print_Area</vt:lpstr>
      <vt:lpstr>'PPt-3'!Print_Area</vt:lpstr>
      <vt:lpstr>Sheet1!Print_Area</vt:lpstr>
      <vt:lpstr>Sheet2!Print_Area</vt:lpstr>
      <vt:lpstr>Sheet3!Print_Area</vt:lpstr>
      <vt:lpstr>summary!Print_Area</vt:lpstr>
      <vt:lpstr>'T-1'!Print_Area</vt:lpstr>
      <vt:lpstr>'T-2(1st six mth)'!Print_Area</vt:lpstr>
      <vt:lpstr>'T-2(22-23)'!Print_Area</vt:lpstr>
      <vt:lpstr>'T-3(1st six mth)'!Print_Area</vt:lpstr>
      <vt:lpstr>'T-3(22-23)'!Print_Area</vt:lpstr>
      <vt:lpstr>'T-4 '!Print_Area</vt:lpstr>
      <vt:lpstr>'T-5'!Print_Area</vt:lpstr>
      <vt:lpstr>'T-6'!Print_Area</vt:lpstr>
      <vt:lpstr>'T-6 (six mth)'!Print_Area</vt:lpstr>
      <vt:lpstr>'T-7'!Print_Area</vt:lpstr>
      <vt:lpstr>'T-7 (Curr)'!Print_Area</vt:lpstr>
      <vt:lpstr>'T-8'!Print_Area</vt:lpstr>
      <vt:lpstr>'T-9 '!Print_Area</vt:lpstr>
      <vt:lpstr>'Tariff 24-25'!Print_Area</vt:lpstr>
      <vt:lpstr>'truing 20-21'!Print_Area</vt:lpstr>
      <vt:lpstr>CWIP!Print_Titles</vt:lpstr>
      <vt:lpstr>'F-12'!Print_Titles</vt:lpstr>
      <vt:lpstr>'F-14'!Print_Titles</vt:lpstr>
      <vt:lpstr>'F-4'!Print_Titles</vt:lpstr>
      <vt:lpstr>'F-4(b)'!Print_Titles</vt:lpstr>
      <vt:lpstr>'F-6'!Print_Titles</vt:lpstr>
      <vt:lpstr>'F-9(b)'!Print_Titles</vt:lpstr>
      <vt:lpstr>'PPt-3'!Print_Titles</vt:lpstr>
      <vt:lpstr>'T-1'!Print_Titles</vt:lpstr>
      <vt:lpstr>'T-4 '!Print_Titles</vt:lpstr>
      <vt:lpstr>'T-6'!Print_Titles</vt:lpstr>
      <vt:lpstr>'T-6 (six mth)'!Print_Titles</vt:lpstr>
      <vt:lpstr>'T-7'!Print_Titles</vt:lpstr>
      <vt:lpstr>'T-7 (Curr)'!Print_Titles</vt:lpstr>
      <vt:lpstr>'T-8'!Print_Titles</vt:lpstr>
      <vt:lpstr>'T-9 '!Print_Titles</vt:lpstr>
      <vt:lpstr>'Tariff 24-25'!Print_Titles</vt:lpstr>
    </vt:vector>
  </TitlesOfParts>
  <Manager/>
  <Company>WESCO ;  Burla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Managing  Director</dc:creator>
  <cp:keywords/>
  <dc:description/>
  <cp:lastModifiedBy>Suvodip Saha</cp:lastModifiedBy>
  <cp:revision/>
  <cp:lastPrinted>2023-11-29T15:56:43Z</cp:lastPrinted>
  <dcterms:created xsi:type="dcterms:W3CDTF">2000-07-08T10:40:12Z</dcterms:created>
  <dcterms:modified xsi:type="dcterms:W3CDTF">2023-12-21T13:17:41Z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0x01010047695B054817CC43B4543E4ED364C33A</vt:lpwstr>
  </property>
</Properties>
</file>