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TP Western Odisha Distribution Limited\Regulatory\ARR\ARR FY 24-25\FINAL\To OERC\Open Access FY 24-25\"/>
    </mc:Choice>
  </mc:AlternateContent>
  <xr:revisionPtr revIDLastSave="1" documentId="13_ncr:1_{81BDD809-9AAB-434F-9998-7F07B7D01F27}" xr6:coauthVersionLast="36" xr6:coauthVersionMax="47" xr10:uidLastSave="{46D2A83A-F2B5-47BE-9181-6CEA0664204A}"/>
  <bookViews>
    <workbookView xWindow="-105" yWindow="-105" windowWidth="19425" windowHeight="10425" xr2:uid="{00000000-000D-0000-FFFF-FFFF00000000}"/>
  </bookViews>
  <sheets>
    <sheet name="Wheeling cost" sheetId="17" r:id="rId1"/>
    <sheet name="Cross -Sub - TPWODL" sheetId="16" r:id="rId2"/>
  </sheets>
  <externalReferences>
    <externalReference r:id="rId3"/>
    <externalReference r:id="rId4"/>
    <externalReference r:id="rId5"/>
    <externalReference r:id="rId6"/>
  </externalReferences>
  <definedNames>
    <definedName name="__xlfn.BAHTTEXT" hidden="1">#NAME?</definedName>
    <definedName name="a">'[1]A&amp;G Expenses'!#REF!</definedName>
    <definedName name="Admn_and_General_Expenses">'[2]A&amp;G Expenses'!#REF!</definedName>
    <definedName name="Allocation_of_expenses">'[2]Allocation LT HT EHT'!#REF!</definedName>
    <definedName name="Allocation_of_revenues__expenses">'[2]Allocation LT HT EHT'!#REF!</definedName>
    <definedName name="Bad_Debts">#REF!</definedName>
    <definedName name="Capital__Revenue_subsidies_and_Grants">#REF!</definedName>
    <definedName name="Capital_work_in_progress">[2]CWIP!#REF!</definedName>
    <definedName name="Consumption_Details">'[2]Consumption Data '!#REF!</definedName>
    <definedName name="Cost_Parameters">'[2]Verification of inputs'!#REF!</definedName>
    <definedName name="Current_Year_Details">'[2]Current Year'!#REF!</definedName>
    <definedName name="Debtors">#REF!</definedName>
    <definedName name="Demand_data_for_consumers_with_Connected_Load___100_kVA">'[3]Consumer Data &gt;100kVA'!#REF!</definedName>
    <definedName name="Employees_Cost">'[2]Employee Costs'!#REF!</definedName>
    <definedName name="erheri">'[1]Employee Costs'!#REF!</definedName>
    <definedName name="Existing_Tariff_Structure">#REF!</definedName>
    <definedName name="Information_on_Inventory">#REF!</definedName>
    <definedName name="Interest_and_Finance_Charges">#REF!</definedName>
    <definedName name="Loss">#REF!</definedName>
    <definedName name="Loss_Details">'[2]Loss Details'!#REF!</definedName>
    <definedName name="Other_Cost_parameters">'[2]Special Appropriations'!#REF!</definedName>
    <definedName name="Output_Sheet">#REF!</definedName>
    <definedName name="Power_Factor">#REF!</definedName>
    <definedName name="Power_Purchase_Details">'[2]Power Purchase Cost'!#REF!</definedName>
    <definedName name="Previous_Year_revenue_details">'[2]Revenue-Current and Past Year'!#REF!</definedName>
    <definedName name="_xlnm.Print_Area" localSheetId="1">'Cross -Sub - TPWODL'!$A$1:$H$14</definedName>
    <definedName name="_xlnm.Print_Area" localSheetId="0">'Wheeling cost'!$A$1:$G$34</definedName>
    <definedName name="Reasonable_Rate_of_Return_on_Equity">[2]RoE!#REF!</definedName>
    <definedName name="Repair_and_Maintenance">'[2]R&amp;M'!#REF!</definedName>
    <definedName name="Sources_of_revenues__other_than_sale_of_energy">'[2]Other revenue sources'!#REF!</definedName>
    <definedName name="Statement_of_Fixed_Assets_and_Depreciation">'[2]Depreciation Schedule'!#REF!</definedName>
    <definedName name="Tariff">#REF!</definedName>
    <definedName name="TarrGrowth">#REF!</definedName>
    <definedName name="wqe">'[1]Other revenue sources'!#REF!</definedName>
    <definedName name="xx">#REF!</definedName>
    <definedName name="xyz">'[4]Consumer Data &gt;100kVA'!#REF!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6" l="1"/>
  <c r="D13" i="16"/>
  <c r="B13" i="16"/>
  <c r="D8" i="16"/>
  <c r="C8" i="16"/>
  <c r="B8" i="16"/>
  <c r="D33" i="17"/>
  <c r="D32" i="17"/>
  <c r="E32" i="17" s="1"/>
  <c r="E33" i="17" s="1"/>
  <c r="D34" i="17"/>
  <c r="F28" i="17" s="1"/>
  <c r="G27" i="17"/>
  <c r="F27" i="17"/>
  <c r="G24" i="17"/>
  <c r="F24" i="17"/>
  <c r="F23" i="17"/>
  <c r="G23" i="17" s="1"/>
  <c r="F22" i="17"/>
  <c r="G22" i="17" s="1"/>
  <c r="F20" i="17"/>
  <c r="G20" i="17" s="1"/>
  <c r="G19" i="17"/>
  <c r="F19" i="17"/>
  <c r="F18" i="17"/>
  <c r="G18" i="17" s="1"/>
  <c r="F17" i="17"/>
  <c r="G17" i="17" s="1"/>
  <c r="F16" i="17"/>
  <c r="G16" i="17" s="1"/>
  <c r="G15" i="17"/>
  <c r="F15" i="17"/>
  <c r="G13" i="17"/>
  <c r="F13" i="17"/>
  <c r="G12" i="17"/>
  <c r="F12" i="17"/>
  <c r="F11" i="17"/>
  <c r="G11" i="17" s="1"/>
  <c r="F10" i="17"/>
  <c r="G10" i="17" s="1"/>
  <c r="G9" i="17"/>
  <c r="F9" i="17"/>
  <c r="G6" i="17"/>
  <c r="G5" i="17"/>
  <c r="G4" i="17"/>
  <c r="C7" i="17"/>
  <c r="C25" i="17" s="1"/>
  <c r="C32" i="17" l="1"/>
  <c r="F31" i="17"/>
  <c r="H8" i="16" l="1"/>
  <c r="C33" i="17"/>
  <c r="F7" i="17"/>
  <c r="G7" i="17"/>
  <c r="E34" i="17" l="1"/>
  <c r="F32" i="17" l="1"/>
  <c r="F33" i="17" s="1"/>
  <c r="F25" i="17" l="1"/>
  <c r="G25" i="17"/>
  <c r="E13" i="16" l="1"/>
  <c r="H13" i="16" s="1"/>
</calcChain>
</file>

<file path=xl/sharedStrings.xml><?xml version="1.0" encoding="utf-8"?>
<sst xmlns="http://schemas.openxmlformats.org/spreadsheetml/2006/main" count="67" uniqueCount="60">
  <si>
    <t>HT</t>
  </si>
  <si>
    <t>LT</t>
  </si>
  <si>
    <t>Total</t>
  </si>
  <si>
    <t>Depreciation</t>
  </si>
  <si>
    <t>Return on Equity</t>
  </si>
  <si>
    <t>EHT</t>
  </si>
  <si>
    <t>Loss (MU)</t>
  </si>
  <si>
    <t>Input received in the system(MU)</t>
  </si>
  <si>
    <t>Annexure-B</t>
  </si>
  <si>
    <t>Calcualtion of Surcharge for HT category of Consumers</t>
  </si>
  <si>
    <t>Calcualtion of Surcharge for EHT category of Consumers</t>
  </si>
  <si>
    <t>Annexure-A</t>
  </si>
  <si>
    <t>Average Tariff  (P/KWH) (T)</t>
  </si>
  <si>
    <t>Cost of power Purchase (P/KWH) (C )</t>
  </si>
  <si>
    <t>Wheeling Charge (P/KWH)( D)</t>
  </si>
  <si>
    <t>System Loss (%) ( L)</t>
  </si>
  <si>
    <t xml:space="preserve">Proposed ARR for EHT Catogory Rs in Crore </t>
  </si>
  <si>
    <t xml:space="preserve">Proposed ARR for HT Catogory Rs in Crore </t>
  </si>
  <si>
    <t>Allocation of wheeling cost and Retail supply cost</t>
  </si>
  <si>
    <t>Sl No.</t>
  </si>
  <si>
    <t>Cost/Income Component</t>
  </si>
  <si>
    <t>Assumption Ratio for consideration in Wheeling Business</t>
  </si>
  <si>
    <t>Assumption Ratio for consideration in Retail Supply Business</t>
  </si>
  <si>
    <t>Cost of Power</t>
  </si>
  <si>
    <t>Transmission Charges</t>
  </si>
  <si>
    <t>SLDC Charges</t>
  </si>
  <si>
    <t>Total power purchase cost *</t>
  </si>
  <si>
    <t>O&amp;M</t>
  </si>
  <si>
    <t>Employee Cost</t>
  </si>
  <si>
    <t>Repair &amp; Maintenance Cost</t>
  </si>
  <si>
    <t>Administrative &amp; General Expenses</t>
  </si>
  <si>
    <t>Bad &amp; Doubtful Debt including Rebate</t>
  </si>
  <si>
    <t>Interest on Loans</t>
  </si>
  <si>
    <t>for Working capital</t>
  </si>
  <si>
    <t>Interest on Security Deposits</t>
  </si>
  <si>
    <t>Special Appropriation</t>
  </si>
  <si>
    <t>Amortization of Regulator Assets</t>
  </si>
  <si>
    <t>Other, if any-Contigency Reserve</t>
  </si>
  <si>
    <t>Grand Total</t>
  </si>
  <si>
    <t>Miscellaneous Receipt</t>
  </si>
  <si>
    <t>*Allocation of power purchase cost towards wheeling has been made considering 8% loss on input after effecting EHT sale</t>
  </si>
  <si>
    <t>Wheeling cost per kwh</t>
  </si>
  <si>
    <t>Surcharge (P/KWH)             ( T - ( C/ (1-L/100)+D+R))</t>
  </si>
  <si>
    <t>Regulatory Asset (P/KWH)</t>
  </si>
  <si>
    <t>TPWODL</t>
  </si>
  <si>
    <t>Tax on ROE</t>
  </si>
  <si>
    <t>Carrying cost on Regulatory Assets/Liabilities</t>
  </si>
  <si>
    <t>Rs. Lakh</t>
  </si>
  <si>
    <t>Average Tariff  (P/KWH) (T)*</t>
  </si>
  <si>
    <t>* Average Tariff has been calculated on the basis of KVAh quantum as KVAh billing has been started from 04.04.2021.</t>
  </si>
  <si>
    <t>For Term Loan CAPEX</t>
  </si>
  <si>
    <t>True Up of Current year &amp; previous year</t>
  </si>
  <si>
    <t xml:space="preserve">Non-Tariff Income </t>
  </si>
  <si>
    <t>ARR for FY 2024-25</t>
  </si>
  <si>
    <t>Wheeling cost for FY 2024-25</t>
  </si>
  <si>
    <t>Retail supply Cost for FY 2024-25</t>
  </si>
  <si>
    <t>Total Sale (MU)-proposed for 24-25</t>
  </si>
  <si>
    <t>Input (MU)-Proposed for 24-25</t>
  </si>
  <si>
    <t xml:space="preserve">Total EHT Sales proposed for FY 2024-25 in MU </t>
  </si>
  <si>
    <t xml:space="preserve">Total HT Sales proposed for FY 2024-25 in 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</si>
</sst>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mmm\.yy"/>
    <numFmt numFmtId="167" formatCode="General_)"/>
    <numFmt numFmtId="168" formatCode="0.000"/>
    <numFmt numFmtId="169" formatCode="d\.m\.yy\ h:mm"/>
    <numFmt numFmtId="170" formatCode="0&quot;  &quot;"/>
    <numFmt numFmtId="171" formatCode="0.00&quot;  &quot;"/>
    <numFmt numFmtId="172" formatCode="d\.mmm\.yy"/>
    <numFmt numFmtId="173" formatCode="#,##0.000_);[Red]\(#,##0.000\)"/>
    <numFmt numFmtId="174" formatCode="#,##0.0_);[Red]\(#,##0.0\)"/>
    <numFmt numFmtId="175" formatCode="_-* #,##0.000_-;\-* #,##0.000_-;_-* &quot;-&quot;??_-;_-@_-"/>
    <numFmt numFmtId="176" formatCode="yyyymmdd"/>
    <numFmt numFmtId="177" formatCode="mmddyyyy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Tms Rmn"/>
    </font>
    <font>
      <sz val="11"/>
      <name val="Univers Condensed"/>
      <family val="2"/>
    </font>
    <font>
      <sz val="9"/>
      <name val="Times New Roman"/>
      <family val="1"/>
    </font>
    <font>
      <sz val="10"/>
      <name val="Helv"/>
    </font>
    <font>
      <sz val="11"/>
      <name val="Book Antiqua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sz val="10"/>
      <color indexed="8"/>
      <name val="Tahoma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8" fillId="0" borderId="0" applyNumberFormat="0" applyFill="0" applyBorder="0" applyAlignment="0" applyProtection="0"/>
    <xf numFmtId="166" fontId="9" fillId="0" borderId="0" applyFill="0" applyBorder="0" applyAlignment="0"/>
    <xf numFmtId="167" fontId="10" fillId="0" borderId="0" applyFill="0" applyBorder="0" applyAlignment="0"/>
    <xf numFmtId="168" fontId="10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0" fontId="11" fillId="0" borderId="1"/>
    <xf numFmtId="166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1" fillId="0" borderId="1"/>
    <xf numFmtId="167" fontId="10" fillId="0" borderId="0" applyFont="0" applyFill="0" applyBorder="0" applyAlignment="0" applyProtection="0"/>
    <xf numFmtId="15" fontId="12" fillId="0" borderId="0" applyFont="0" applyFill="0" applyBorder="0" applyAlignment="0"/>
    <xf numFmtId="14" fontId="13" fillId="0" borderId="0" applyFill="0" applyBorder="0" applyAlignment="0"/>
    <xf numFmtId="38" fontId="14" fillId="0" borderId="2">
      <alignment vertical="center"/>
    </xf>
    <xf numFmtId="166" fontId="9" fillId="0" borderId="0" applyFill="0" applyBorder="0" applyAlignment="0"/>
    <xf numFmtId="167" fontId="10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38" fontId="15" fillId="2" borderId="0" applyNumberFormat="0" applyBorder="0" applyAlignment="0" applyProtection="0"/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10" fontId="15" fillId="3" borderId="5" applyNumberFormat="0" applyBorder="0" applyAlignment="0" applyProtection="0"/>
    <xf numFmtId="166" fontId="9" fillId="0" borderId="0" applyFill="0" applyBorder="0" applyAlignment="0"/>
    <xf numFmtId="167" fontId="10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37" fontId="16" fillId="0" borderId="0"/>
    <xf numFmtId="172" fontId="3" fillId="0" borderId="0"/>
    <xf numFmtId="0" fontId="17" fillId="0" borderId="0"/>
    <xf numFmtId="0" fontId="5" fillId="0" borderId="0"/>
    <xf numFmtId="0" fontId="5" fillId="0" borderId="0"/>
    <xf numFmtId="0" fontId="18" fillId="4" borderId="0"/>
    <xf numFmtId="0" fontId="18" fillId="4" borderId="0"/>
    <xf numFmtId="0" fontId="19" fillId="4" borderId="0"/>
    <xf numFmtId="0" fontId="19" fillId="4" borderId="0"/>
    <xf numFmtId="0" fontId="3" fillId="0" borderId="0"/>
    <xf numFmtId="9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3" fillId="0" borderId="0" applyFill="0" applyBorder="0" applyAlignment="0"/>
    <xf numFmtId="167" fontId="10" fillId="0" borderId="0" applyFill="0" applyBorder="0" applyAlignment="0"/>
    <xf numFmtId="174" fontId="3" fillId="0" borderId="0" applyFill="0" applyBorder="0" applyAlignment="0"/>
    <xf numFmtId="175" fontId="3" fillId="0" borderId="0" applyFill="0" applyBorder="0" applyAlignment="0"/>
    <xf numFmtId="167" fontId="10" fillId="0" borderId="0" applyFill="0" applyBorder="0" applyAlignment="0"/>
    <xf numFmtId="49" fontId="1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43" fontId="23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5" xfId="0" applyFont="1" applyBorder="1" applyAlignment="1">
      <alignment horizontal="center" vertical="top" wrapText="1"/>
    </xf>
    <xf numFmtId="2" fontId="22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1" fontId="22" fillId="0" borderId="5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vertical="top"/>
    </xf>
    <xf numFmtId="0" fontId="0" fillId="0" borderId="5" xfId="0" applyBorder="1"/>
    <xf numFmtId="0" fontId="4" fillId="0" borderId="0" xfId="0" applyFont="1" applyAlignment="1">
      <alignment vertical="top"/>
    </xf>
    <xf numFmtId="43" fontId="0" fillId="0" borderId="0" xfId="64" applyFont="1"/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5" xfId="0" applyNumberFormat="1" applyBorder="1" applyAlignment="1">
      <alignment horizontal="center" vertical="center"/>
    </xf>
    <xf numFmtId="1" fontId="3" fillId="0" borderId="5" xfId="46" applyNumberFormat="1" applyBorder="1" applyAlignment="1">
      <alignment horizontal="center" vertical="center"/>
    </xf>
    <xf numFmtId="0" fontId="25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9" fontId="0" fillId="0" borderId="5" xfId="46" applyFont="1" applyBorder="1" applyAlignment="1">
      <alignment horizontal="center" vertical="center"/>
    </xf>
    <xf numFmtId="2" fontId="0" fillId="0" borderId="5" xfId="0" applyNumberFormat="1" applyBorder="1" applyAlignment="1">
      <alignment horizontal="right" vertical="center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/>
    <xf numFmtId="0" fontId="4" fillId="0" borderId="5" xfId="45" applyFont="1" applyBorder="1" applyAlignment="1" applyProtection="1">
      <alignment horizontal="right" wrapText="1"/>
      <protection locked="0"/>
    </xf>
    <xf numFmtId="2" fontId="4" fillId="0" borderId="5" xfId="0" applyNumberFormat="1" applyFont="1" applyBorder="1"/>
    <xf numFmtId="9" fontId="0" fillId="0" borderId="5" xfId="46" applyFont="1" applyBorder="1" applyAlignment="1">
      <alignment horizontal="center"/>
    </xf>
    <xf numFmtId="0" fontId="21" fillId="0" borderId="5" xfId="0" applyFont="1" applyBorder="1"/>
    <xf numFmtId="2" fontId="21" fillId="0" borderId="5" xfId="0" applyNumberFormat="1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right"/>
    </xf>
    <xf numFmtId="0" fontId="3" fillId="0" borderId="5" xfId="0" applyFont="1" applyBorder="1"/>
    <xf numFmtId="0" fontId="4" fillId="0" borderId="5" xfId="0" applyFont="1" applyBorder="1"/>
    <xf numFmtId="0" fontId="20" fillId="0" borderId="5" xfId="0" applyFont="1" applyBorder="1" applyAlignment="1">
      <alignment horizontal="center" vertical="top" wrapText="1"/>
    </xf>
    <xf numFmtId="1" fontId="6" fillId="0" borderId="5" xfId="0" applyNumberFormat="1" applyFont="1" applyBorder="1"/>
    <xf numFmtId="1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 shrinkToFit="1"/>
    </xf>
  </cellXfs>
  <cellStyles count="65">
    <cellStyle name="Body" xfId="1" xr:uid="{00000000-0005-0000-0000-000000000000}"/>
    <cellStyle name="Calc Currency (0)" xfId="2" xr:uid="{00000000-0005-0000-0000-000001000000}"/>
    <cellStyle name="Calc Currency (2)" xfId="3" xr:uid="{00000000-0005-0000-0000-000002000000}"/>
    <cellStyle name="Calc Percent (0)" xfId="4" xr:uid="{00000000-0005-0000-0000-000003000000}"/>
    <cellStyle name="Calc Percent (1)" xfId="5" xr:uid="{00000000-0005-0000-0000-000004000000}"/>
    <cellStyle name="Calc Percent (2)" xfId="6" xr:uid="{00000000-0005-0000-0000-000005000000}"/>
    <cellStyle name="Calc Units (0)" xfId="7" xr:uid="{00000000-0005-0000-0000-000006000000}"/>
    <cellStyle name="Calc Units (1)" xfId="8" xr:uid="{00000000-0005-0000-0000-000007000000}"/>
    <cellStyle name="Calc Units (2)" xfId="9" xr:uid="{00000000-0005-0000-0000-000008000000}"/>
    <cellStyle name="Comma" xfId="64" builtinId="3"/>
    <cellStyle name="Comma  - Style1" xfId="10" xr:uid="{00000000-0005-0000-0000-000009000000}"/>
    <cellStyle name="Comma [00]" xfId="11" xr:uid="{00000000-0005-0000-0000-00000A000000}"/>
    <cellStyle name="Comma 2" xfId="12" xr:uid="{00000000-0005-0000-0000-00000B000000}"/>
    <cellStyle name="Comma 3" xfId="13" xr:uid="{00000000-0005-0000-0000-00000C000000}"/>
    <cellStyle name="Comma 4" xfId="14" xr:uid="{00000000-0005-0000-0000-00000D000000}"/>
    <cellStyle name="Comma 8" xfId="15" xr:uid="{00000000-0005-0000-0000-00000E000000}"/>
    <cellStyle name="Comma 9" xfId="16" xr:uid="{00000000-0005-0000-0000-00000F000000}"/>
    <cellStyle name="Curren - Style2" xfId="17" xr:uid="{00000000-0005-0000-0000-000010000000}"/>
    <cellStyle name="Currency [00]" xfId="18" xr:uid="{00000000-0005-0000-0000-000011000000}"/>
    <cellStyle name="date" xfId="19" xr:uid="{00000000-0005-0000-0000-000012000000}"/>
    <cellStyle name="Date Short" xfId="20" xr:uid="{00000000-0005-0000-0000-000013000000}"/>
    <cellStyle name="DELTA" xfId="21" xr:uid="{00000000-0005-0000-0000-000014000000}"/>
    <cellStyle name="Enter Currency (0)" xfId="22" xr:uid="{00000000-0005-0000-0000-000015000000}"/>
    <cellStyle name="Enter Currency (2)" xfId="23" xr:uid="{00000000-0005-0000-0000-000016000000}"/>
    <cellStyle name="Enter Units (0)" xfId="24" xr:uid="{00000000-0005-0000-0000-000017000000}"/>
    <cellStyle name="Enter Units (1)" xfId="25" xr:uid="{00000000-0005-0000-0000-000018000000}"/>
    <cellStyle name="Enter Units (2)" xfId="26" xr:uid="{00000000-0005-0000-0000-000019000000}"/>
    <cellStyle name="Grey" xfId="27" xr:uid="{00000000-0005-0000-0000-00001A000000}"/>
    <cellStyle name="Header1" xfId="28" xr:uid="{00000000-0005-0000-0000-00001B000000}"/>
    <cellStyle name="Header2" xfId="29" xr:uid="{00000000-0005-0000-0000-00001C000000}"/>
    <cellStyle name="Input [yellow]" xfId="30" xr:uid="{00000000-0005-0000-0000-00001D000000}"/>
    <cellStyle name="Link Currency (0)" xfId="31" xr:uid="{00000000-0005-0000-0000-00001E000000}"/>
    <cellStyle name="Link Currency (2)" xfId="32" xr:uid="{00000000-0005-0000-0000-00001F000000}"/>
    <cellStyle name="Link Units (0)" xfId="33" xr:uid="{00000000-0005-0000-0000-000020000000}"/>
    <cellStyle name="Link Units (1)" xfId="34" xr:uid="{00000000-0005-0000-0000-000021000000}"/>
    <cellStyle name="Link Units (2)" xfId="35" xr:uid="{00000000-0005-0000-0000-000022000000}"/>
    <cellStyle name="no dec" xfId="36" xr:uid="{00000000-0005-0000-0000-000023000000}"/>
    <cellStyle name="Normal" xfId="0" builtinId="0"/>
    <cellStyle name="Normal - Style1" xfId="37" xr:uid="{00000000-0005-0000-0000-000025000000}"/>
    <cellStyle name="Normal 2" xfId="38" xr:uid="{00000000-0005-0000-0000-000026000000}"/>
    <cellStyle name="Normal 2 2" xfId="39" xr:uid="{00000000-0005-0000-0000-000027000000}"/>
    <cellStyle name="Normal 3" xfId="40" xr:uid="{00000000-0005-0000-0000-000028000000}"/>
    <cellStyle name="Normal 4" xfId="41" xr:uid="{00000000-0005-0000-0000-000029000000}"/>
    <cellStyle name="Normal 4 2" xfId="42" xr:uid="{00000000-0005-0000-0000-00002A000000}"/>
    <cellStyle name="Normal 4 3" xfId="43" xr:uid="{00000000-0005-0000-0000-00002B000000}"/>
    <cellStyle name="Normal 5" xfId="44" xr:uid="{00000000-0005-0000-0000-00002C000000}"/>
    <cellStyle name="Normal_SOUTHCO___ARR_2005-06" xfId="45" xr:uid="{00000000-0005-0000-0000-00002D000000}"/>
    <cellStyle name="Percent" xfId="46" builtinId="5"/>
    <cellStyle name="Percent [0]" xfId="47" xr:uid="{00000000-0005-0000-0000-00002F000000}"/>
    <cellStyle name="Percent [00]" xfId="48" xr:uid="{00000000-0005-0000-0000-000030000000}"/>
    <cellStyle name="Percent [2]" xfId="49" xr:uid="{00000000-0005-0000-0000-000031000000}"/>
    <cellStyle name="Percent 2" xfId="50" xr:uid="{00000000-0005-0000-0000-000032000000}"/>
    <cellStyle name="Percent 2 2" xfId="51" xr:uid="{00000000-0005-0000-0000-000033000000}"/>
    <cellStyle name="Percent 3" xfId="52" xr:uid="{00000000-0005-0000-0000-000034000000}"/>
    <cellStyle name="Percent 4" xfId="53" xr:uid="{00000000-0005-0000-0000-000035000000}"/>
    <cellStyle name="Percent 5" xfId="54" xr:uid="{00000000-0005-0000-0000-000036000000}"/>
    <cellStyle name="Percent 6" xfId="55" xr:uid="{00000000-0005-0000-0000-000037000000}"/>
    <cellStyle name="PrePop Currency (0)" xfId="56" xr:uid="{00000000-0005-0000-0000-000038000000}"/>
    <cellStyle name="PrePop Currency (2)" xfId="57" xr:uid="{00000000-0005-0000-0000-000039000000}"/>
    <cellStyle name="PrePop Units (0)" xfId="58" xr:uid="{00000000-0005-0000-0000-00003A000000}"/>
    <cellStyle name="PrePop Units (1)" xfId="59" xr:uid="{00000000-0005-0000-0000-00003B000000}"/>
    <cellStyle name="PrePop Units (2)" xfId="60" xr:uid="{00000000-0005-0000-0000-00003C000000}"/>
    <cellStyle name="Text Indent A" xfId="61" xr:uid="{00000000-0005-0000-0000-00003D000000}"/>
    <cellStyle name="Text Indent B" xfId="62" xr:uid="{00000000-0005-0000-0000-00003E000000}"/>
    <cellStyle name="Text Indent C" xfId="63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SOUTH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SOUTH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Consumer%20Analysis%20working%20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Consumer%20Analysis%20working%20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showGridLines="0" tabSelected="1" zoomScale="120" zoomScaleNormal="120" workbookViewId="0">
      <selection activeCell="F35" sqref="F35"/>
    </sheetView>
  </sheetViews>
  <sheetFormatPr defaultRowHeight="12.75" x14ac:dyDescent="0.2"/>
  <cols>
    <col min="1" max="1" width="6.140625" customWidth="1"/>
    <col min="2" max="2" width="32.42578125" customWidth="1"/>
    <col min="3" max="3" width="11.140625" customWidth="1"/>
    <col min="4" max="4" width="15.42578125" customWidth="1"/>
    <col min="5" max="5" width="15.7109375" customWidth="1"/>
    <col min="6" max="6" width="13.85546875" bestFit="1" customWidth="1"/>
    <col min="7" max="7" width="12.85546875" bestFit="1" customWidth="1"/>
  </cols>
  <sheetData>
    <row r="1" spans="1:7" ht="18.75" x14ac:dyDescent="0.3">
      <c r="A1" s="24" t="s">
        <v>44</v>
      </c>
      <c r="G1" s="16" t="s">
        <v>11</v>
      </c>
    </row>
    <row r="2" spans="1:7" ht="15.75" x14ac:dyDescent="0.25">
      <c r="A2" s="5" t="s">
        <v>18</v>
      </c>
      <c r="G2" s="17" t="s">
        <v>47</v>
      </c>
    </row>
    <row r="3" spans="1:7" ht="75" x14ac:dyDescent="0.2">
      <c r="A3" s="28" t="s">
        <v>19</v>
      </c>
      <c r="B3" s="28" t="s">
        <v>20</v>
      </c>
      <c r="C3" s="28" t="s">
        <v>53</v>
      </c>
      <c r="D3" s="28" t="s">
        <v>21</v>
      </c>
      <c r="E3" s="28" t="s">
        <v>22</v>
      </c>
      <c r="F3" s="28" t="s">
        <v>54</v>
      </c>
      <c r="G3" s="28" t="s">
        <v>55</v>
      </c>
    </row>
    <row r="4" spans="1:7" x14ac:dyDescent="0.2">
      <c r="A4" s="29">
        <v>1</v>
      </c>
      <c r="B4" s="13" t="s">
        <v>23</v>
      </c>
      <c r="C4" s="30">
        <v>449222.89199999999</v>
      </c>
      <c r="D4" s="26">
        <v>0</v>
      </c>
      <c r="E4" s="26">
        <v>1</v>
      </c>
      <c r="F4" s="30">
        <v>23166.719999999998</v>
      </c>
      <c r="G4" s="27">
        <f>C4-F4</f>
        <v>426056.17200000002</v>
      </c>
    </row>
    <row r="5" spans="1:7" x14ac:dyDescent="0.2">
      <c r="A5" s="29">
        <v>2</v>
      </c>
      <c r="B5" s="13" t="s">
        <v>24</v>
      </c>
      <c r="C5" s="30">
        <v>27640.608</v>
      </c>
      <c r="D5" s="26">
        <v>0</v>
      </c>
      <c r="E5" s="26">
        <v>1</v>
      </c>
      <c r="F5" s="30">
        <v>1801.8559999999998</v>
      </c>
      <c r="G5" s="27">
        <f>C5-F5</f>
        <v>25838.752</v>
      </c>
    </row>
    <row r="6" spans="1:7" x14ac:dyDescent="0.2">
      <c r="A6" s="29">
        <v>3</v>
      </c>
      <c r="B6" s="13" t="s">
        <v>25</v>
      </c>
      <c r="C6" s="30">
        <v>205.65600000000001</v>
      </c>
      <c r="D6" s="26">
        <v>0</v>
      </c>
      <c r="E6" s="26">
        <v>1</v>
      </c>
      <c r="F6" s="30">
        <v>205.65600000000001</v>
      </c>
      <c r="G6" s="27">
        <f>C6-F6</f>
        <v>0</v>
      </c>
    </row>
    <row r="7" spans="1:7" x14ac:dyDescent="0.2">
      <c r="A7" s="29"/>
      <c r="B7" s="31" t="s">
        <v>26</v>
      </c>
      <c r="C7" s="32">
        <f>SUM(C4:C6)</f>
        <v>477069.15600000002</v>
      </c>
      <c r="D7" s="33"/>
      <c r="E7" s="33"/>
      <c r="F7" s="32">
        <f>SUM(F4:F6)</f>
        <v>25174.231999999996</v>
      </c>
      <c r="G7" s="32">
        <f>SUM(G4:G6)</f>
        <v>451894.924</v>
      </c>
    </row>
    <row r="8" spans="1:7" ht="15" x14ac:dyDescent="0.25">
      <c r="A8" s="29"/>
      <c r="B8" s="34" t="s">
        <v>27</v>
      </c>
      <c r="C8" s="35"/>
      <c r="D8" s="36"/>
      <c r="E8" s="36"/>
      <c r="F8" s="30"/>
      <c r="G8" s="30"/>
    </row>
    <row r="9" spans="1:7" x14ac:dyDescent="0.2">
      <c r="A9" s="29">
        <v>4</v>
      </c>
      <c r="B9" s="13" t="s">
        <v>28</v>
      </c>
      <c r="C9" s="30">
        <v>60649.920594372517</v>
      </c>
      <c r="D9" s="26">
        <v>0.6</v>
      </c>
      <c r="E9" s="26">
        <v>0.4</v>
      </c>
      <c r="F9" s="27">
        <f>C9*D9</f>
        <v>36389.952356623508</v>
      </c>
      <c r="G9" s="27">
        <f>C9-F9</f>
        <v>24259.96823774901</v>
      </c>
    </row>
    <row r="10" spans="1:7" x14ac:dyDescent="0.2">
      <c r="A10" s="29">
        <v>5</v>
      </c>
      <c r="B10" s="13" t="s">
        <v>29</v>
      </c>
      <c r="C10" s="30">
        <v>33686.397853959905</v>
      </c>
      <c r="D10" s="26">
        <v>0.9</v>
      </c>
      <c r="E10" s="26">
        <v>0.1</v>
      </c>
      <c r="F10" s="27">
        <f t="shared" ref="F10:F12" si="0">C10*D10</f>
        <v>30317.758068563915</v>
      </c>
      <c r="G10" s="27">
        <f t="shared" ref="G10:G13" si="1">C10-F10</f>
        <v>3368.6397853959897</v>
      </c>
    </row>
    <row r="11" spans="1:7" x14ac:dyDescent="0.2">
      <c r="A11" s="29">
        <v>6</v>
      </c>
      <c r="B11" s="13" t="s">
        <v>30</v>
      </c>
      <c r="C11" s="30">
        <v>24586.534678618002</v>
      </c>
      <c r="D11" s="26">
        <v>0.5</v>
      </c>
      <c r="E11" s="26">
        <v>0.5</v>
      </c>
      <c r="F11" s="27">
        <f t="shared" si="0"/>
        <v>12293.267339309001</v>
      </c>
      <c r="G11" s="27">
        <f t="shared" si="1"/>
        <v>12293.267339309001</v>
      </c>
    </row>
    <row r="12" spans="1:7" x14ac:dyDescent="0.2">
      <c r="A12" s="29">
        <v>7</v>
      </c>
      <c r="B12" s="13" t="s">
        <v>31</v>
      </c>
      <c r="C12" s="30">
        <v>5751.162147717725</v>
      </c>
      <c r="D12" s="26">
        <v>0</v>
      </c>
      <c r="E12" s="26">
        <v>1</v>
      </c>
      <c r="F12" s="27">
        <f t="shared" si="0"/>
        <v>0</v>
      </c>
      <c r="G12" s="27">
        <f t="shared" si="1"/>
        <v>5751.162147717725</v>
      </c>
    </row>
    <row r="13" spans="1:7" x14ac:dyDescent="0.2">
      <c r="A13" s="29">
        <v>8</v>
      </c>
      <c r="B13" s="13" t="s">
        <v>3</v>
      </c>
      <c r="C13" s="30">
        <v>12598.395848869874</v>
      </c>
      <c r="D13" s="26">
        <v>0.9</v>
      </c>
      <c r="E13" s="26">
        <v>0.1</v>
      </c>
      <c r="F13" s="27">
        <f>C13*D13</f>
        <v>11338.556263982886</v>
      </c>
      <c r="G13" s="27">
        <f t="shared" si="1"/>
        <v>1259.8395848869877</v>
      </c>
    </row>
    <row r="14" spans="1:7" ht="15" x14ac:dyDescent="0.25">
      <c r="A14" s="29"/>
      <c r="B14" s="34" t="s">
        <v>32</v>
      </c>
      <c r="C14" s="35"/>
      <c r="D14" s="36"/>
      <c r="E14" s="36"/>
      <c r="F14" s="30"/>
      <c r="G14" s="30"/>
    </row>
    <row r="15" spans="1:7" x14ac:dyDescent="0.2">
      <c r="A15" s="29">
        <v>9</v>
      </c>
      <c r="B15" s="13" t="s">
        <v>50</v>
      </c>
      <c r="C15" s="30">
        <v>3156.4015062555</v>
      </c>
      <c r="D15" s="26">
        <v>0.9</v>
      </c>
      <c r="E15" s="26">
        <v>0.1</v>
      </c>
      <c r="F15" s="27">
        <f t="shared" ref="F15:F18" si="2">C15*D15</f>
        <v>2840.7613556299502</v>
      </c>
      <c r="G15" s="27">
        <f t="shared" ref="G15:G18" si="3">C15-F15</f>
        <v>315.64015062554972</v>
      </c>
    </row>
    <row r="16" spans="1:7" x14ac:dyDescent="0.2">
      <c r="A16" s="29">
        <v>10</v>
      </c>
      <c r="B16" s="13" t="s">
        <v>33</v>
      </c>
      <c r="C16" s="30">
        <v>6712.0515583779588</v>
      </c>
      <c r="D16" s="26">
        <v>0.1</v>
      </c>
      <c r="E16" s="26">
        <v>0.9</v>
      </c>
      <c r="F16" s="27">
        <f t="shared" si="2"/>
        <v>671.20515583779593</v>
      </c>
      <c r="G16" s="27">
        <f t="shared" si="3"/>
        <v>6040.8464025401627</v>
      </c>
    </row>
    <row r="17" spans="1:10" x14ac:dyDescent="0.2">
      <c r="A17" s="29">
        <v>11</v>
      </c>
      <c r="B17" s="13" t="s">
        <v>34</v>
      </c>
      <c r="C17" s="30">
        <v>8589.2734016595005</v>
      </c>
      <c r="D17" s="26">
        <v>0</v>
      </c>
      <c r="E17" s="26">
        <v>1</v>
      </c>
      <c r="F17" s="27">
        <f t="shared" si="2"/>
        <v>0</v>
      </c>
      <c r="G17" s="27">
        <f t="shared" si="3"/>
        <v>8589.2734016595005</v>
      </c>
    </row>
    <row r="18" spans="1:10" x14ac:dyDescent="0.2">
      <c r="A18" s="29">
        <v>12</v>
      </c>
      <c r="B18" s="13" t="s">
        <v>4</v>
      </c>
      <c r="C18" s="30">
        <v>13542.966942611198</v>
      </c>
      <c r="D18" s="26">
        <v>0.9</v>
      </c>
      <c r="E18" s="26">
        <v>0.1</v>
      </c>
      <c r="F18" s="27">
        <f t="shared" si="2"/>
        <v>12188.670248350078</v>
      </c>
      <c r="G18" s="27">
        <f t="shared" si="3"/>
        <v>1354.2966942611201</v>
      </c>
    </row>
    <row r="19" spans="1:10" x14ac:dyDescent="0.2">
      <c r="A19" s="29">
        <v>13</v>
      </c>
      <c r="B19" s="13" t="s">
        <v>45</v>
      </c>
      <c r="C19" s="30">
        <v>4555.3451549582242</v>
      </c>
      <c r="D19" s="26">
        <v>0.9</v>
      </c>
      <c r="E19" s="26">
        <v>0.1</v>
      </c>
      <c r="F19" s="27">
        <f>C19*D19</f>
        <v>4099.8106394624019</v>
      </c>
      <c r="G19" s="27">
        <f>C19-F19</f>
        <v>455.53451549582223</v>
      </c>
    </row>
    <row r="20" spans="1:10" ht="25.5" x14ac:dyDescent="0.2">
      <c r="A20" s="29">
        <v>14</v>
      </c>
      <c r="B20" s="37" t="s">
        <v>46</v>
      </c>
      <c r="C20" s="30">
        <v>58.846251390890444</v>
      </c>
      <c r="D20" s="26">
        <v>0.1</v>
      </c>
      <c r="E20" s="26">
        <v>0.9</v>
      </c>
      <c r="F20" s="27">
        <f>C20*D20</f>
        <v>5.8846251390890449</v>
      </c>
      <c r="G20" s="27">
        <f>C20-F20</f>
        <v>52.961626251801398</v>
      </c>
    </row>
    <row r="21" spans="1:10" ht="15" x14ac:dyDescent="0.25">
      <c r="A21" s="29"/>
      <c r="B21" s="34" t="s">
        <v>35</v>
      </c>
      <c r="C21" s="35"/>
      <c r="D21" s="36"/>
      <c r="E21" s="36"/>
      <c r="F21" s="30"/>
      <c r="G21" s="30"/>
    </row>
    <row r="22" spans="1:10" x14ac:dyDescent="0.2">
      <c r="A22" s="29">
        <v>13</v>
      </c>
      <c r="B22" s="13" t="s">
        <v>36</v>
      </c>
      <c r="C22" s="30">
        <v>0</v>
      </c>
      <c r="D22" s="26">
        <v>0.25</v>
      </c>
      <c r="E22" s="26">
        <v>0.75</v>
      </c>
      <c r="F22" s="27">
        <f t="shared" ref="F22:F24" si="4">C22*D22</f>
        <v>0</v>
      </c>
      <c r="G22" s="27">
        <f t="shared" ref="G22:G24" si="5">C22-F22</f>
        <v>0</v>
      </c>
    </row>
    <row r="23" spans="1:10" x14ac:dyDescent="0.2">
      <c r="A23" s="29">
        <v>14</v>
      </c>
      <c r="B23" s="13" t="s">
        <v>51</v>
      </c>
      <c r="C23" s="30">
        <v>-37111.911928829271</v>
      </c>
      <c r="D23" s="26">
        <v>0.25</v>
      </c>
      <c r="E23" s="26">
        <v>0.75</v>
      </c>
      <c r="F23" s="27">
        <f t="shared" si="4"/>
        <v>-9277.9779822073178</v>
      </c>
      <c r="G23" s="27">
        <f t="shared" si="5"/>
        <v>-27833.933946621954</v>
      </c>
    </row>
    <row r="24" spans="1:10" x14ac:dyDescent="0.2">
      <c r="A24" s="29">
        <v>15</v>
      </c>
      <c r="B24" s="13" t="s">
        <v>37</v>
      </c>
      <c r="C24" s="30">
        <v>0</v>
      </c>
      <c r="D24" s="26">
        <v>1</v>
      </c>
      <c r="E24" s="26">
        <v>0</v>
      </c>
      <c r="F24" s="27">
        <f t="shared" si="4"/>
        <v>0</v>
      </c>
      <c r="G24" s="27">
        <f t="shared" si="5"/>
        <v>0</v>
      </c>
    </row>
    <row r="25" spans="1:10" x14ac:dyDescent="0.2">
      <c r="A25" s="29"/>
      <c r="B25" s="38" t="s">
        <v>38</v>
      </c>
      <c r="C25" s="32">
        <f>SUM(C7:C24)</f>
        <v>613844.54000996181</v>
      </c>
      <c r="D25" s="33"/>
      <c r="E25" s="33"/>
      <c r="F25" s="32">
        <f>SUM(F7:F24)</f>
        <v>126042.12007069131</v>
      </c>
      <c r="G25" s="32">
        <f>SUM(G7:G24)</f>
        <v>487802.41993927071</v>
      </c>
      <c r="I25" s="15"/>
      <c r="J25" s="15"/>
    </row>
    <row r="26" spans="1:10" ht="15" x14ac:dyDescent="0.25">
      <c r="A26" s="29"/>
      <c r="B26" s="34" t="s">
        <v>39</v>
      </c>
      <c r="C26" s="35"/>
      <c r="D26" s="36"/>
      <c r="E26" s="36"/>
      <c r="F26" s="13"/>
      <c r="G26" s="13"/>
    </row>
    <row r="27" spans="1:10" ht="15" x14ac:dyDescent="0.2">
      <c r="A27" s="29">
        <v>16</v>
      </c>
      <c r="B27" s="39" t="s">
        <v>52</v>
      </c>
      <c r="C27" s="30">
        <v>38602.131475500006</v>
      </c>
      <c r="D27" s="25">
        <v>0.1</v>
      </c>
      <c r="E27" s="25">
        <v>0.9</v>
      </c>
      <c r="F27" s="27">
        <f>C27*D27</f>
        <v>3860.2131475500009</v>
      </c>
      <c r="G27" s="27">
        <f>C27*E27</f>
        <v>34741.918327950007</v>
      </c>
    </row>
    <row r="28" spans="1:10" ht="15.75" x14ac:dyDescent="0.25">
      <c r="A28" s="29"/>
      <c r="B28" s="40" t="s">
        <v>41</v>
      </c>
      <c r="C28" s="30"/>
      <c r="D28" s="41"/>
      <c r="E28" s="41"/>
      <c r="F28" s="42">
        <f>(F25-F27)/D34*10</f>
        <v>151.89197777615777</v>
      </c>
      <c r="G28" s="13"/>
    </row>
    <row r="29" spans="1:10" x14ac:dyDescent="0.2">
      <c r="A29" s="13" t="s">
        <v>40</v>
      </c>
      <c r="B29" s="13"/>
      <c r="C29" s="13"/>
      <c r="D29" s="13"/>
      <c r="E29" s="13"/>
      <c r="F29" s="13"/>
      <c r="G29" s="13"/>
    </row>
    <row r="30" spans="1:10" x14ac:dyDescent="0.2">
      <c r="A30" s="13"/>
      <c r="B30" s="13"/>
      <c r="C30" s="18" t="s">
        <v>5</v>
      </c>
      <c r="D30" s="18" t="s">
        <v>0</v>
      </c>
      <c r="E30" s="19" t="s">
        <v>1</v>
      </c>
      <c r="F30" s="19" t="s">
        <v>2</v>
      </c>
      <c r="G30" s="13"/>
    </row>
    <row r="31" spans="1:10" x14ac:dyDescent="0.2">
      <c r="A31" s="13"/>
      <c r="B31" s="20" t="s">
        <v>56</v>
      </c>
      <c r="C31" s="22">
        <v>3480</v>
      </c>
      <c r="D31" s="22">
        <v>2590.0000019999998</v>
      </c>
      <c r="E31" s="23">
        <v>3544.0999999999995</v>
      </c>
      <c r="F31" s="22">
        <f>SUM(C31:E31)</f>
        <v>9614.1000019999992</v>
      </c>
      <c r="G31" s="13"/>
    </row>
    <row r="32" spans="1:10" x14ac:dyDescent="0.2">
      <c r="A32" s="13"/>
      <c r="B32" s="20" t="s">
        <v>57</v>
      </c>
      <c r="C32" s="22">
        <f>C31</f>
        <v>3480</v>
      </c>
      <c r="D32" s="43">
        <f>D31+D33</f>
        <v>3233.5200019999997</v>
      </c>
      <c r="E32" s="22">
        <f>11524-C32-D32</f>
        <v>4810.4799980000007</v>
      </c>
      <c r="F32" s="22">
        <f>SUM(C32:E32)</f>
        <v>11524</v>
      </c>
      <c r="G32" s="13"/>
    </row>
    <row r="33" spans="1:7" x14ac:dyDescent="0.2">
      <c r="A33" s="13"/>
      <c r="B33" s="21" t="s">
        <v>6</v>
      </c>
      <c r="C33" s="22">
        <f>C32-C31</f>
        <v>0</v>
      </c>
      <c r="D33" s="22">
        <f>(C34-C32)*8%</f>
        <v>643.52</v>
      </c>
      <c r="E33" s="22">
        <f>E32-E31</f>
        <v>1266.3799980000013</v>
      </c>
      <c r="F33" s="22">
        <f>F32-F31</f>
        <v>1909.8999980000008</v>
      </c>
      <c r="G33" s="13"/>
    </row>
    <row r="34" spans="1:7" x14ac:dyDescent="0.2">
      <c r="A34" s="13"/>
      <c r="B34" s="44" t="s">
        <v>7</v>
      </c>
      <c r="C34" s="22">
        <v>11524</v>
      </c>
      <c r="D34" s="43">
        <f>C34-C32</f>
        <v>8044</v>
      </c>
      <c r="E34" s="22">
        <f>D34-D32</f>
        <v>4810.4799980000007</v>
      </c>
      <c r="F34" s="22"/>
      <c r="G34" s="13"/>
    </row>
  </sheetData>
  <printOptions horizontalCentered="1" gridLines="1"/>
  <pageMargins left="0.19685039370078741" right="0" top="0.78740157480314965" bottom="0" header="0" footer="0"/>
  <pageSetup paperSize="9" scale="9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topLeftCell="A9" zoomScale="130" zoomScaleNormal="130" workbookViewId="0">
      <selection activeCell="C18" sqref="C18"/>
    </sheetView>
  </sheetViews>
  <sheetFormatPr defaultRowHeight="12.75" x14ac:dyDescent="0.2"/>
  <cols>
    <col min="1" max="1" width="15.140625" customWidth="1"/>
    <col min="2" max="2" width="16.28515625" bestFit="1" customWidth="1"/>
    <col min="3" max="3" width="13.85546875" bestFit="1" customWidth="1"/>
    <col min="4" max="4" width="12.42578125" customWidth="1"/>
    <col min="5" max="5" width="11.5703125" customWidth="1"/>
    <col min="6" max="6" width="8.28515625" customWidth="1"/>
    <col min="7" max="7" width="9.140625" customWidth="1"/>
    <col min="8" max="8" width="18.5703125" bestFit="1" customWidth="1"/>
  </cols>
  <sheetData>
    <row r="1" spans="1:9" ht="20.25" x14ac:dyDescent="0.3">
      <c r="A1" s="6" t="s">
        <v>44</v>
      </c>
    </row>
    <row r="2" spans="1:9" x14ac:dyDescent="0.2">
      <c r="H2" s="1" t="s">
        <v>8</v>
      </c>
    </row>
    <row r="3" spans="1:9" ht="15.75" x14ac:dyDescent="0.25">
      <c r="A3" s="5" t="s">
        <v>10</v>
      </c>
    </row>
    <row r="4" spans="1:9" x14ac:dyDescent="0.2">
      <c r="I4">
        <v>131803.42886037621</v>
      </c>
    </row>
    <row r="5" spans="1:9" x14ac:dyDescent="0.2">
      <c r="A5" s="4"/>
      <c r="B5" s="4"/>
    </row>
    <row r="6" spans="1:9" x14ac:dyDescent="0.2">
      <c r="A6" s="4"/>
      <c r="B6" s="4"/>
    </row>
    <row r="7" spans="1:9" ht="50.25" customHeight="1" x14ac:dyDescent="0.2">
      <c r="A7" s="7" t="s">
        <v>58</v>
      </c>
      <c r="B7" s="7" t="s">
        <v>16</v>
      </c>
      <c r="C7" s="7" t="s">
        <v>48</v>
      </c>
      <c r="D7" s="7" t="s">
        <v>13</v>
      </c>
      <c r="E7" s="7" t="s">
        <v>14</v>
      </c>
      <c r="F7" s="7" t="s">
        <v>15</v>
      </c>
      <c r="G7" s="7" t="s">
        <v>43</v>
      </c>
      <c r="H7" s="7" t="s">
        <v>42</v>
      </c>
    </row>
    <row r="8" spans="1:9" ht="15.75" x14ac:dyDescent="0.2">
      <c r="A8" s="8">
        <v>3480</v>
      </c>
      <c r="B8" s="8">
        <f>234553.697456384/100</f>
        <v>2345.53697456384</v>
      </c>
      <c r="C8" s="8">
        <f>B8*1000/3596.61310268681</f>
        <v>652.15159584766911</v>
      </c>
      <c r="D8" s="8">
        <f>(390+24+0.0018)</f>
        <v>414.0018</v>
      </c>
      <c r="E8" s="9">
        <v>0</v>
      </c>
      <c r="F8" s="10">
        <v>0</v>
      </c>
      <c r="G8" s="10">
        <v>0</v>
      </c>
      <c r="H8" s="11">
        <f>C8-((D8/(1-F8/100)+E8))</f>
        <v>238.14979584766911</v>
      </c>
    </row>
    <row r="9" spans="1:9" ht="48.75" customHeight="1" x14ac:dyDescent="0.2">
      <c r="A9" s="14" t="s">
        <v>49</v>
      </c>
      <c r="F9" s="2"/>
      <c r="G9" s="2"/>
    </row>
    <row r="10" spans="1:9" ht="15.75" x14ac:dyDescent="0.25">
      <c r="A10" s="5" t="s">
        <v>9</v>
      </c>
    </row>
    <row r="11" spans="1:9" x14ac:dyDescent="0.2">
      <c r="A11" s="4"/>
      <c r="B11" s="4"/>
    </row>
    <row r="12" spans="1:9" s="3" customFormat="1" ht="59.25" customHeight="1" x14ac:dyDescent="0.2">
      <c r="A12" s="7" t="s">
        <v>59</v>
      </c>
      <c r="B12" s="7" t="s">
        <v>17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43</v>
      </c>
      <c r="H12" s="7" t="s">
        <v>42</v>
      </c>
    </row>
    <row r="13" spans="1:9" ht="24.75" customHeight="1" x14ac:dyDescent="0.2">
      <c r="A13" s="8">
        <v>2590.0000019999998</v>
      </c>
      <c r="B13" s="8">
        <f>162485.298952673/100</f>
        <v>1624.8529895267302</v>
      </c>
      <c r="C13" s="8">
        <f>B13*1000/2590</f>
        <v>627.3563666126372</v>
      </c>
      <c r="D13" s="8">
        <f>(390+24+0.0018)</f>
        <v>414.0018</v>
      </c>
      <c r="E13" s="11">
        <f>'Wheeling cost'!F28</f>
        <v>151.89197777615777</v>
      </c>
      <c r="F13" s="12">
        <v>8</v>
      </c>
      <c r="G13" s="12">
        <v>0</v>
      </c>
      <c r="H13" s="11">
        <f>C13-((D13/(1-F13/100)+E13))</f>
        <v>25.46243231474034</v>
      </c>
    </row>
    <row r="14" spans="1:9" x14ac:dyDescent="0.2">
      <c r="A14" s="14" t="s">
        <v>49</v>
      </c>
    </row>
    <row r="17" spans="2:5" x14ac:dyDescent="0.2">
      <c r="B17" s="2"/>
      <c r="D17" s="2"/>
      <c r="E17" s="2"/>
    </row>
  </sheetData>
  <printOptions horizontalCentered="1"/>
  <pageMargins left="0.19685039370078741" right="0" top="0.19685039370078741" bottom="0.19685039370078741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Wheeling cost</vt:lpstr>
      <vt:lpstr>Cross -Sub - TPWODL</vt:lpstr>
      <vt:lpstr>'Cross -Sub - TPWODL'!Print_Area</vt:lpstr>
      <vt:lpstr>'Wheeling cost'!Print_Area</vt:lpstr>
    </vt:vector>
  </TitlesOfParts>
  <Company>WESCO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Kshirod</dc:creator>
  <cp:lastModifiedBy>Akankshaya Panda</cp:lastModifiedBy>
  <cp:lastPrinted>2023-01-10T07:19:13Z</cp:lastPrinted>
  <dcterms:created xsi:type="dcterms:W3CDTF">2006-12-10T06:11:40Z</dcterms:created>
  <dcterms:modified xsi:type="dcterms:W3CDTF">2024-01-02T06:34:13Z</dcterms:modified>
</cp:coreProperties>
</file>