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3"/>
  <workbookPr codeName="ThisWorkbook"/>
  <mc:AlternateContent xmlns:mc="http://schemas.openxmlformats.org/markup-compatibility/2006">
    <mc:Choice Requires="x15">
      <x15ac:absPath xmlns:x15ac="http://schemas.microsoft.com/office/spreadsheetml/2010/11/ac" url="D:\OneDrive - TP Western Odisha Distribution Limited\Regulatory\ARR\ARR FY 23-24\REVISED ARR MODEL\"/>
    </mc:Choice>
  </mc:AlternateContent>
  <xr:revisionPtr revIDLastSave="4" documentId="13_ncr:1_{709A9724-7DDA-44F7-A23C-3B6C6C4636E3}" xr6:coauthVersionLast="36" xr6:coauthVersionMax="47" xr10:uidLastSave="{BA0259BD-293C-4F6A-812C-7934BD63794C}"/>
  <bookViews>
    <workbookView xWindow="-105" yWindow="-105" windowWidth="19425" windowHeight="10425" tabRatio="652" firstSheet="41" activeTab="41" xr2:uid="{00000000-000D-0000-FFFF-FFFF00000000}"/>
  </bookViews>
  <sheets>
    <sheet name="T-1" sheetId="58" r:id="rId1"/>
    <sheet name="T-2(21-22)" sheetId="365" r:id="rId2"/>
    <sheet name="T-2(1st six mth)" sheetId="358" r:id="rId3"/>
    <sheet name="T-3(21-22)" sheetId="366" r:id="rId4"/>
    <sheet name="T-3(1st six mth)" sheetId="360" r:id="rId5"/>
    <sheet name="T-4 " sheetId="345" r:id="rId6"/>
    <sheet name="T-5" sheetId="367" r:id="rId7"/>
    <sheet name="T-6" sheetId="347" r:id="rId8"/>
    <sheet name="T-6 (six mth)" sheetId="346" r:id="rId9"/>
    <sheet name="T-7 (Curr)" sheetId="198" r:id="rId10"/>
    <sheet name="T-7" sheetId="163" r:id="rId11"/>
    <sheet name="T-8" sheetId="159" r:id="rId12"/>
    <sheet name="T-9 " sheetId="356" r:id="rId13"/>
    <sheet name=" F-1 " sheetId="7" r:id="rId14"/>
    <sheet name="F-2" sheetId="8" r:id="rId15"/>
    <sheet name="F-3" sheetId="9" r:id="rId16"/>
    <sheet name="F-4" sheetId="277" r:id="rId17"/>
    <sheet name="F-5" sheetId="13" r:id="rId18"/>
    <sheet name="F-6" sheetId="173" r:id="rId19"/>
    <sheet name="F-7" sheetId="155" r:id="rId20"/>
    <sheet name="F-8" sheetId="139" r:id="rId21"/>
    <sheet name="F-9" sheetId="23" r:id="rId22"/>
    <sheet name="F-10" sheetId="157" r:id="rId23"/>
    <sheet name="F-11" sheetId="26" r:id="rId24"/>
    <sheet name="F-12" sheetId="27" r:id="rId25"/>
    <sheet name="F-13" sheetId="82" r:id="rId26"/>
    <sheet name="F-14" sheetId="83" r:id="rId27"/>
    <sheet name="F-15" sheetId="156" r:id="rId28"/>
    <sheet name="F-16" sheetId="86" r:id="rId29"/>
    <sheet name="F-17" sheetId="87" r:id="rId30"/>
    <sheet name="F-18" sheetId="90" r:id="rId31"/>
    <sheet name="F-19" sheetId="95" r:id="rId32"/>
    <sheet name="F-20" sheetId="96" r:id="rId33"/>
    <sheet name="F-21" sheetId="97" r:id="rId34"/>
    <sheet name="F-22" sheetId="98" r:id="rId35"/>
    <sheet name="F-23 CASHFLOW" sheetId="101" r:id="rId36"/>
    <sheet name="F-24" sheetId="278" r:id="rId37"/>
    <sheet name="F-25" sheetId="274" r:id="rId38"/>
    <sheet name="F-26 " sheetId="283" r:id="rId39"/>
    <sheet name="F-27(21-22)" sheetId="363" r:id="rId40"/>
    <sheet name="F-27(22-23)" sheetId="364" r:id="rId41"/>
    <sheet name="Cost Allocation" sheetId="303" r:id="rId42"/>
    <sheet name=" F-1(b) " sheetId="381" r:id="rId43"/>
    <sheet name="F-4(b)" sheetId="370" r:id="rId44"/>
    <sheet name="F-9(b)" sheetId="371" r:id="rId45"/>
    <sheet name="F-12(b)" sheetId="372" r:id="rId46"/>
    <sheet name="F-12(c)" sheetId="373" r:id="rId47"/>
    <sheet name="F-12(d)" sheetId="374" r:id="rId48"/>
    <sheet name="F-13(a)" sheetId="376" r:id="rId49"/>
    <sheet name="Sheet1" sheetId="197" r:id="rId50"/>
    <sheet name="Sheet2" sheetId="200" r:id="rId51"/>
    <sheet name="Current yr GAP" sheetId="222" state="hidden" r:id="rId52"/>
    <sheet name="Sheet4" sheetId="211" r:id="rId53"/>
    <sheet name="Sheet3" sheetId="204" r:id="rId54"/>
    <sheet name="truing 20-21" sheetId="227" state="hidden" r:id="rId55"/>
    <sheet name="summary" sheetId="307" r:id="rId56"/>
    <sheet name="loan&amp;int" sheetId="140" r:id="rId57"/>
    <sheet name="DEPCAL" sheetId="3" r:id="rId58"/>
    <sheet name="CWIP" sheetId="141" r:id="rId59"/>
    <sheet name="ppt-1" sheetId="319" r:id="rId60"/>
    <sheet name="PPt-3" sheetId="321" r:id="rId61"/>
    <sheet name="ppt-2" sheetId="320" r:id="rId62"/>
    <sheet name="Revenue gap" sheetId="368" r:id="rId63"/>
    <sheet name="Demography" sheetId="255" r:id="rId64"/>
    <sheet name="Tariff 23-24" sheetId="362" r:id="rId65"/>
  </sheets>
  <externalReferences>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s>
  <definedNames>
    <definedName name="__xlfn.BAHTTEXT" hidden="1">#NAME?</definedName>
    <definedName name="_xlnm._FilterDatabase" localSheetId="12" hidden="1">'T-9 '!$A$3:$S$170</definedName>
    <definedName name="a" localSheetId="1">'[1]A&amp;G Expenses'!#REF!</definedName>
    <definedName name="a" localSheetId="3">'[1]A&amp;G Expenses'!#REF!</definedName>
    <definedName name="a" localSheetId="6">'[1]A&amp;G Expenses'!#REF!</definedName>
    <definedName name="a" localSheetId="12">'[1]A&amp;G Expenses'!#REF!</definedName>
    <definedName name="a" localSheetId="64">'[1]A&amp;G Expenses'!#REF!</definedName>
    <definedName name="a">'[1]A&amp;G Expenses'!#REF!</definedName>
    <definedName name="Admn_and_General_Expenses" localSheetId="36">'[2]A&amp;G Expenses'!#REF!</definedName>
    <definedName name="Admn_and_General_Expenses" localSheetId="38">'[2]A&amp;G Expenses'!#REF!</definedName>
    <definedName name="Admn_and_General_Expenses" localSheetId="16">'[3]A&amp;G Expenses'!#REF!</definedName>
    <definedName name="Admn_and_General_Expenses" localSheetId="43">'[3]A&amp;G Expenses'!#REF!</definedName>
    <definedName name="Admn_and_General_Expenses" localSheetId="18">'[4]A&amp;G Expenses'!#REF!</definedName>
    <definedName name="Admn_and_General_Expenses" localSheetId="1">'[5]A&amp;G Expenses'!#REF!</definedName>
    <definedName name="Admn_and_General_Expenses" localSheetId="3">'[5]A&amp;G Expenses'!#REF!</definedName>
    <definedName name="Admn_and_General_Expenses" localSheetId="6">'[5]A&amp;G Expenses'!#REF!</definedName>
    <definedName name="Admn_and_General_Expenses" localSheetId="12">'[6]A&amp;G Expenses'!#REF!</definedName>
    <definedName name="Admn_and_General_Expenses" localSheetId="54">'[4]A&amp;G Expenses'!#REF!</definedName>
    <definedName name="Admn_and_General_Expenses">'[6]A&amp;G Expenses'!#REF!</definedName>
    <definedName name="Allocation_of_expenses" localSheetId="36">'[2]Allocation LT HT EHT'!#REF!</definedName>
    <definedName name="Allocation_of_expenses" localSheetId="38">'[2]Allocation LT HT EHT'!#REF!</definedName>
    <definedName name="Allocation_of_expenses" localSheetId="16">'[3]Allocation LT HT EHT'!#REF!</definedName>
    <definedName name="Allocation_of_expenses" localSheetId="43">'[3]Allocation LT HT EHT'!#REF!</definedName>
    <definedName name="Allocation_of_expenses" localSheetId="18">'[4]Allocation LT HT EHT'!#REF!</definedName>
    <definedName name="Allocation_of_expenses" localSheetId="1">'[5]Allocation LT HT EHT'!#REF!</definedName>
    <definedName name="Allocation_of_expenses" localSheetId="3">'[5]Allocation LT HT EHT'!#REF!</definedName>
    <definedName name="Allocation_of_expenses" localSheetId="6">'[5]Allocation LT HT EHT'!#REF!</definedName>
    <definedName name="Allocation_of_expenses" localSheetId="12">'[6]Allocation LT HT EHT'!#REF!</definedName>
    <definedName name="Allocation_of_expenses" localSheetId="54">'[4]Allocation LT HT EHT'!#REF!</definedName>
    <definedName name="Allocation_of_expenses">'[6]Allocation LT HT EHT'!#REF!</definedName>
    <definedName name="Allocation_of_revenues__expenses" localSheetId="36">'[2]Allocation LT HT EHT'!#REF!</definedName>
    <definedName name="Allocation_of_revenues__expenses" localSheetId="38">'[2]Allocation LT HT EHT'!#REF!</definedName>
    <definedName name="Allocation_of_revenues__expenses" localSheetId="16">'[3]Allocation LT HT EHT'!#REF!</definedName>
    <definedName name="Allocation_of_revenues__expenses" localSheetId="43">'[3]Allocation LT HT EHT'!#REF!</definedName>
    <definedName name="Allocation_of_revenues__expenses" localSheetId="18">'[4]Allocation LT HT EHT'!#REF!</definedName>
    <definedName name="Allocation_of_revenues__expenses" localSheetId="1">'[5]Allocation LT HT EHT'!#REF!</definedName>
    <definedName name="Allocation_of_revenues__expenses" localSheetId="3">'[5]Allocation LT HT EHT'!#REF!</definedName>
    <definedName name="Allocation_of_revenues__expenses" localSheetId="6">'[5]Allocation LT HT EHT'!#REF!</definedName>
    <definedName name="Allocation_of_revenues__expenses" localSheetId="12">'[6]Allocation LT HT EHT'!#REF!</definedName>
    <definedName name="Allocation_of_revenues__expenses" localSheetId="54">'[4]Allocation LT HT EHT'!#REF!</definedName>
    <definedName name="Allocation_of_revenues__expenses">'[6]Allocation LT HT EHT'!#REF!</definedName>
    <definedName name="Bad_Debts" localSheetId="36">#REF!</definedName>
    <definedName name="Bad_Debts" localSheetId="38">#REF!</definedName>
    <definedName name="Bad_Debts" localSheetId="16">#REF!</definedName>
    <definedName name="Bad_Debts" localSheetId="43">#REF!</definedName>
    <definedName name="Bad_Debts" localSheetId="1">#REF!</definedName>
    <definedName name="Bad_Debts" localSheetId="3">#REF!</definedName>
    <definedName name="Bad_Debts" localSheetId="6">#REF!</definedName>
    <definedName name="Bad_Debts" localSheetId="12">#REF!</definedName>
    <definedName name="Bad_Debts" localSheetId="64">#REF!</definedName>
    <definedName name="Bad_Debts">#REF!</definedName>
    <definedName name="Capital__Revenue_subsidies_and_Grants" localSheetId="36">#REF!</definedName>
    <definedName name="Capital__Revenue_subsidies_and_Grants" localSheetId="38">#REF!</definedName>
    <definedName name="Capital__Revenue_subsidies_and_Grants" localSheetId="16">#REF!</definedName>
    <definedName name="Capital__Revenue_subsidies_and_Grants" localSheetId="43">#REF!</definedName>
    <definedName name="Capital__Revenue_subsidies_and_Grants" localSheetId="1">#REF!</definedName>
    <definedName name="Capital__Revenue_subsidies_and_Grants" localSheetId="3">#REF!</definedName>
    <definedName name="Capital__Revenue_subsidies_and_Grants" localSheetId="6">#REF!</definedName>
    <definedName name="Capital__Revenue_subsidies_and_Grants" localSheetId="12">#REF!</definedName>
    <definedName name="Capital__Revenue_subsidies_and_Grants" localSheetId="64">#REF!</definedName>
    <definedName name="Capital__Revenue_subsidies_and_Grants">#REF!</definedName>
    <definedName name="Capital_work_in_progress" localSheetId="36">[2]CWIP!#REF!</definedName>
    <definedName name="Capital_work_in_progress" localSheetId="38">[2]CWIP!#REF!</definedName>
    <definedName name="Capital_work_in_progress" localSheetId="16">[3]CWIP!#REF!</definedName>
    <definedName name="Capital_work_in_progress" localSheetId="43">[3]CWIP!#REF!</definedName>
    <definedName name="Capital_work_in_progress" localSheetId="18">[4]CWIP!#REF!</definedName>
    <definedName name="Capital_work_in_progress" localSheetId="1">[5]CWIP!#REF!</definedName>
    <definedName name="Capital_work_in_progress" localSheetId="3">[5]CWIP!#REF!</definedName>
    <definedName name="Capital_work_in_progress" localSheetId="6">[5]CWIP!#REF!</definedName>
    <definedName name="Capital_work_in_progress" localSheetId="12">[6]CWIP!#REF!</definedName>
    <definedName name="Capital_work_in_progress" localSheetId="64">[6]CWIP!#REF!</definedName>
    <definedName name="Capital_work_in_progress" localSheetId="54">[4]CWIP!#REF!</definedName>
    <definedName name="Capital_work_in_progress">[6]CWIP!#REF!</definedName>
    <definedName name="Consumption_Details" localSheetId="36">'[2]Consumption Data '!#REF!</definedName>
    <definedName name="Consumption_Details" localSheetId="38">'[2]Consumption Data '!#REF!</definedName>
    <definedName name="Consumption_Details" localSheetId="16">'[3]Consumption Data '!#REF!</definedName>
    <definedName name="Consumption_Details" localSheetId="43">'[3]Consumption Data '!#REF!</definedName>
    <definedName name="Consumption_Details" localSheetId="18">'[4]Consumption Data '!#REF!</definedName>
    <definedName name="Consumption_Details" localSheetId="1">'[5]Consumption Data '!#REF!</definedName>
    <definedName name="Consumption_Details" localSheetId="3">'[5]Consumption Data '!#REF!</definedName>
    <definedName name="Consumption_Details" localSheetId="6">'[5]Consumption Data '!#REF!</definedName>
    <definedName name="Consumption_Details" localSheetId="12">'[6]Consumption Data '!#REF!</definedName>
    <definedName name="Consumption_Details" localSheetId="64">'[6]Consumption Data '!#REF!</definedName>
    <definedName name="Consumption_Details" localSheetId="54">'[4]Consumption Data '!#REF!</definedName>
    <definedName name="Consumption_Details">'[6]Consumption Data '!#REF!</definedName>
    <definedName name="Cost_Parameters" localSheetId="36">'[2]Verification of inputs'!#REF!</definedName>
    <definedName name="Cost_Parameters" localSheetId="38">'[2]Verification of inputs'!#REF!</definedName>
    <definedName name="Cost_Parameters" localSheetId="16">'[3]Verification of inputs'!#REF!</definedName>
    <definedName name="Cost_Parameters" localSheetId="43">'[3]Verification of inputs'!#REF!</definedName>
    <definedName name="Cost_Parameters" localSheetId="18">#REF!</definedName>
    <definedName name="Cost_Parameters" localSheetId="1">'[5]Verification of inputs'!#REF!</definedName>
    <definedName name="Cost_Parameters" localSheetId="3">'[5]Verification of inputs'!#REF!</definedName>
    <definedName name="Cost_Parameters" localSheetId="6">'[5]Verification of inputs'!#REF!</definedName>
    <definedName name="Cost_Parameters" localSheetId="12">'[6]Verification of inputs'!#REF!</definedName>
    <definedName name="Cost_Parameters" localSheetId="54">#REF!</definedName>
    <definedName name="Cost_Parameters">'[6]Verification of inputs'!#REF!</definedName>
    <definedName name="Current_Year_Details" localSheetId="36">'[2]Current Year'!#REF!</definedName>
    <definedName name="Current_Year_Details" localSheetId="38">'[2]Current Year'!#REF!</definedName>
    <definedName name="Current_Year_Details" localSheetId="16">'[3]Current Year'!#REF!</definedName>
    <definedName name="Current_Year_Details" localSheetId="43">'[3]Current Year'!#REF!</definedName>
    <definedName name="Current_Year_Details" localSheetId="18">'[4]Current Year'!#REF!</definedName>
    <definedName name="Current_Year_Details" localSheetId="1">'[5]Current Year'!#REF!</definedName>
    <definedName name="Current_Year_Details" localSheetId="3">'[5]Current Year'!#REF!</definedName>
    <definedName name="Current_Year_Details" localSheetId="6">'[5]Current Year'!#REF!</definedName>
    <definedName name="Current_Year_Details" localSheetId="12">'[6]Current Year'!#REF!</definedName>
    <definedName name="Current_Year_Details" localSheetId="54">'[4]Current Year'!#REF!</definedName>
    <definedName name="Current_Year_Details">'[6]Current Year'!#REF!</definedName>
    <definedName name="Debtors" localSheetId="36">#REF!</definedName>
    <definedName name="Debtors" localSheetId="38">#REF!</definedName>
    <definedName name="Debtors" localSheetId="18">#REF!</definedName>
    <definedName name="Debtors" localSheetId="1">#REF!</definedName>
    <definedName name="Debtors" localSheetId="3">#REF!</definedName>
    <definedName name="Debtors" localSheetId="6">#REF!</definedName>
    <definedName name="Debtors" localSheetId="12">#REF!</definedName>
    <definedName name="Debtors" localSheetId="64">#REF!</definedName>
    <definedName name="Debtors" localSheetId="54">#REF!</definedName>
    <definedName name="Debtors">#REF!</definedName>
    <definedName name="Demand_data_for_consumers_with_Connected_Load___100_kVA" localSheetId="36">'[7]Consumer Data &gt;100kVA'!#REF!</definedName>
    <definedName name="Demand_data_for_consumers_with_Connected_Load___100_kVA" localSheetId="38">'[7]Consumer Data &gt;100kVA'!#REF!</definedName>
    <definedName name="Demand_data_for_consumers_with_Connected_Load___100_kVA" localSheetId="16">'[8]Consumer Data &gt;100kVA'!#REF!</definedName>
    <definedName name="Demand_data_for_consumers_with_Connected_Load___100_kVA" localSheetId="43">'[8]Consumer Data &gt;100kVA'!#REF!</definedName>
    <definedName name="Demand_data_for_consumers_with_Connected_Load___100_kVA" localSheetId="1">'[9]Consumer Data &gt;100kVA'!#REF!</definedName>
    <definedName name="Demand_data_for_consumers_with_Connected_Load___100_kVA" localSheetId="3">'[9]Consumer Data &gt;100kVA'!#REF!</definedName>
    <definedName name="Demand_data_for_consumers_with_Connected_Load___100_kVA" localSheetId="6">'[9]Consumer Data &gt;100kVA'!#REF!</definedName>
    <definedName name="Demand_data_for_consumers_with_Connected_Load___100_kVA" localSheetId="12">'[10]Consumer Data &gt;100kVA'!#REF!</definedName>
    <definedName name="Demand_data_for_consumers_with_Connected_Load___100_kVA">'[10]Consumer Data &gt;100kVA'!#REF!</definedName>
    <definedName name="Employees_Cost" localSheetId="36">'[2]Employee Costs'!#REF!</definedName>
    <definedName name="Employees_Cost" localSheetId="38">'[2]Employee Costs'!#REF!</definedName>
    <definedName name="Employees_Cost" localSheetId="16">'[3]Employee Costs'!#REF!</definedName>
    <definedName name="Employees_Cost" localSheetId="43">'[3]Employee Costs'!#REF!</definedName>
    <definedName name="Employees_Cost" localSheetId="18">'[4]Employee Costs'!#REF!</definedName>
    <definedName name="Employees_Cost" localSheetId="1">'[5]Employee Costs'!#REF!</definedName>
    <definedName name="Employees_Cost" localSheetId="3">'[5]Employee Costs'!#REF!</definedName>
    <definedName name="Employees_Cost" localSheetId="6">'[5]Employee Costs'!#REF!</definedName>
    <definedName name="Employees_Cost" localSheetId="12">'[6]Employee Costs'!#REF!</definedName>
    <definedName name="Employees_Cost" localSheetId="54">'[4]Employee Costs'!#REF!</definedName>
    <definedName name="Employees_Cost">'[6]Employee Costs'!#REF!</definedName>
    <definedName name="erheri">'[1]Employee Costs'!#REF!</definedName>
    <definedName name="Existing_Tariff_Structure" localSheetId="36">#REF!</definedName>
    <definedName name="Existing_Tariff_Structure" localSheetId="38">#REF!</definedName>
    <definedName name="Existing_Tariff_Structure" localSheetId="16">#REF!</definedName>
    <definedName name="Existing_Tariff_Structure" localSheetId="43">#REF!</definedName>
    <definedName name="Existing_Tariff_Structure" localSheetId="12">#REF!</definedName>
    <definedName name="Existing_Tariff_Structure" localSheetId="64">#REF!</definedName>
    <definedName name="Existing_Tariff_Structure">#REF!</definedName>
    <definedName name="Information_on_Inventory" localSheetId="36">#REF!</definedName>
    <definedName name="Information_on_Inventory" localSheetId="38">#REF!</definedName>
    <definedName name="Information_on_Inventory" localSheetId="16">#REF!</definedName>
    <definedName name="Information_on_Inventory" localSheetId="43">#REF!</definedName>
    <definedName name="Information_on_Inventory" localSheetId="1">#REF!</definedName>
    <definedName name="Information_on_Inventory" localSheetId="3">#REF!</definedName>
    <definedName name="Information_on_Inventory" localSheetId="6">#REF!</definedName>
    <definedName name="Information_on_Inventory" localSheetId="12">#REF!</definedName>
    <definedName name="Information_on_Inventory" localSheetId="64">#REF!</definedName>
    <definedName name="Information_on_Inventory">#REF!</definedName>
    <definedName name="Interest_and_Finance_Charges" localSheetId="36">#REF!</definedName>
    <definedName name="Interest_and_Finance_Charges" localSheetId="38">#REF!</definedName>
    <definedName name="Interest_and_Finance_Charges" localSheetId="16">#REF!</definedName>
    <definedName name="Interest_and_Finance_Charges" localSheetId="43">#REF!</definedName>
    <definedName name="Interest_and_Finance_Charges" localSheetId="1">#REF!</definedName>
    <definedName name="Interest_and_Finance_Charges" localSheetId="3">#REF!</definedName>
    <definedName name="Interest_and_Finance_Charges" localSheetId="6">#REF!</definedName>
    <definedName name="Interest_and_Finance_Charges" localSheetId="12">#REF!</definedName>
    <definedName name="Interest_and_Finance_Charges" localSheetId="64">#REF!</definedName>
    <definedName name="Interest_and_Finance_Charges">#REF!</definedName>
    <definedName name="Loss" localSheetId="36">#REF!</definedName>
    <definedName name="Loss" localSheetId="38">#REF!</definedName>
    <definedName name="Loss" localSheetId="18">#REF!</definedName>
    <definedName name="Loss" localSheetId="1">#REF!</definedName>
    <definedName name="Loss" localSheetId="3">#REF!</definedName>
    <definedName name="Loss" localSheetId="6">#REF!</definedName>
    <definedName name="Loss" localSheetId="12">#REF!</definedName>
    <definedName name="Loss" localSheetId="64">#REF!</definedName>
    <definedName name="Loss" localSheetId="54">#REF!</definedName>
    <definedName name="Loss">#REF!</definedName>
    <definedName name="Loss_Details" localSheetId="36">'[2]Loss Details'!#REF!</definedName>
    <definedName name="Loss_Details" localSheetId="38">'[2]Loss Details'!#REF!</definedName>
    <definedName name="Loss_Details" localSheetId="16">'[3]Loss Details'!#REF!</definedName>
    <definedName name="Loss_Details" localSheetId="43">'[3]Loss Details'!#REF!</definedName>
    <definedName name="Loss_Details" localSheetId="18">'[4]Loss Details'!#REF!</definedName>
    <definedName name="Loss_Details" localSheetId="1">'[5]Loss Details'!#REF!</definedName>
    <definedName name="Loss_Details" localSheetId="3">'[5]Loss Details'!#REF!</definedName>
    <definedName name="Loss_Details" localSheetId="6">'[5]Loss Details'!#REF!</definedName>
    <definedName name="Loss_Details" localSheetId="12">'[6]Loss Details'!#REF!</definedName>
    <definedName name="Loss_Details" localSheetId="64">'[6]Loss Details'!#REF!</definedName>
    <definedName name="Loss_Details" localSheetId="54">'[4]Loss Details'!#REF!</definedName>
    <definedName name="Loss_Details">'[6]Loss Details'!#REF!</definedName>
    <definedName name="Other_Cost_parameters" localSheetId="36">'[2]Special Appropriations'!#REF!</definedName>
    <definedName name="Other_Cost_parameters" localSheetId="38">'[2]Special Appropriations'!#REF!</definedName>
    <definedName name="Other_Cost_parameters" localSheetId="16">'[3]Special Appropriations'!#REF!</definedName>
    <definedName name="Other_Cost_parameters" localSheetId="43">'[3]Special Appropriations'!#REF!</definedName>
    <definedName name="Other_Cost_parameters" localSheetId="18">'[4]Special Appropriations'!#REF!</definedName>
    <definedName name="Other_Cost_parameters" localSheetId="1">'[5]Special Appropriations'!#REF!</definedName>
    <definedName name="Other_Cost_parameters" localSheetId="3">'[5]Special Appropriations'!#REF!</definedName>
    <definedName name="Other_Cost_parameters" localSheetId="6">'[5]Special Appropriations'!#REF!</definedName>
    <definedName name="Other_Cost_parameters" localSheetId="12">'[6]Special Appropriations'!#REF!</definedName>
    <definedName name="Other_Cost_parameters" localSheetId="64">'[6]Special Appropriations'!#REF!</definedName>
    <definedName name="Other_Cost_parameters" localSheetId="54">'[4]Special Appropriations'!#REF!</definedName>
    <definedName name="Other_Cost_parameters">'[6]Special Appropriations'!#REF!</definedName>
    <definedName name="Output_Sheet" localSheetId="36">#REF!</definedName>
    <definedName name="Output_Sheet" localSheetId="38">#REF!</definedName>
    <definedName name="Output_Sheet" localSheetId="16">#REF!</definedName>
    <definedName name="Output_Sheet" localSheetId="43">#REF!</definedName>
    <definedName name="Output_Sheet" localSheetId="18">#REF!</definedName>
    <definedName name="Output_Sheet" localSheetId="1">#REF!</definedName>
    <definedName name="Output_Sheet" localSheetId="3">#REF!</definedName>
    <definedName name="Output_Sheet" localSheetId="6">#REF!</definedName>
    <definedName name="Output_Sheet" localSheetId="12">#REF!</definedName>
    <definedName name="Output_Sheet" localSheetId="64">#REF!</definedName>
    <definedName name="Output_Sheet" localSheetId="54">#REF!</definedName>
    <definedName name="Output_Sheet">#REF!</definedName>
    <definedName name="Power_Factor" localSheetId="36">#REF!</definedName>
    <definedName name="Power_Factor" localSheetId="38">#REF!</definedName>
    <definedName name="Power_Factor" localSheetId="16">#REF!</definedName>
    <definedName name="Power_Factor" localSheetId="43">#REF!</definedName>
    <definedName name="Power_Factor" localSheetId="1">#REF!</definedName>
    <definedName name="Power_Factor" localSheetId="3">#REF!</definedName>
    <definedName name="Power_Factor" localSheetId="6">#REF!</definedName>
    <definedName name="Power_Factor" localSheetId="12">#REF!</definedName>
    <definedName name="Power_Factor" localSheetId="64">#REF!</definedName>
    <definedName name="Power_Factor">#REF!</definedName>
    <definedName name="Power_Purchase_Details" localSheetId="36">'[2]Power Purchase Cost'!#REF!</definedName>
    <definedName name="Power_Purchase_Details" localSheetId="38">'[2]Power Purchase Cost'!#REF!</definedName>
    <definedName name="Power_Purchase_Details" localSheetId="16">'[3]Power Purchase Cost'!#REF!</definedName>
    <definedName name="Power_Purchase_Details" localSheetId="43">'[3]Power Purchase Cost'!#REF!</definedName>
    <definedName name="Power_Purchase_Details" localSheetId="18">'[4]Power Purchase Cost'!#REF!</definedName>
    <definedName name="Power_Purchase_Details" localSheetId="1">'[5]Power Purchase Cost'!#REF!</definedName>
    <definedName name="Power_Purchase_Details" localSheetId="3">'[5]Power Purchase Cost'!#REF!</definedName>
    <definedName name="Power_Purchase_Details" localSheetId="6">'[5]Power Purchase Cost'!#REF!</definedName>
    <definedName name="Power_Purchase_Details" localSheetId="12">'[6]Power Purchase Cost'!#REF!</definedName>
    <definedName name="Power_Purchase_Details" localSheetId="64">'[6]Power Purchase Cost'!#REF!</definedName>
    <definedName name="Power_Purchase_Details" localSheetId="54">'[4]Power Purchase Cost'!#REF!</definedName>
    <definedName name="Power_Purchase_Details">'[6]Power Purchase Cost'!#REF!</definedName>
    <definedName name="Previous_Year_revenue_details" localSheetId="36">'[2]Revenue-Current and Past Year'!#REF!</definedName>
    <definedName name="Previous_Year_revenue_details" localSheetId="38">'[2]Revenue-Current and Past Year'!#REF!</definedName>
    <definedName name="Previous_Year_revenue_details" localSheetId="16">'[3]Revenue-Current and Past Year'!#REF!</definedName>
    <definedName name="Previous_Year_revenue_details" localSheetId="43">'[3]Revenue-Current and Past Year'!#REF!</definedName>
    <definedName name="Previous_Year_revenue_details" localSheetId="18">'[4]Revenue-Current and Past Year'!#REF!</definedName>
    <definedName name="Previous_Year_revenue_details" localSheetId="1">'[5]Revenue-Current and Past Year'!#REF!</definedName>
    <definedName name="Previous_Year_revenue_details" localSheetId="3">'[5]Revenue-Current and Past Year'!#REF!</definedName>
    <definedName name="Previous_Year_revenue_details" localSheetId="6">'[5]Revenue-Current and Past Year'!#REF!</definedName>
    <definedName name="Previous_Year_revenue_details" localSheetId="12">'[6]Revenue-Current and Past Year'!#REF!</definedName>
    <definedName name="Previous_Year_revenue_details" localSheetId="64">'[6]Revenue-Current and Past Year'!#REF!</definedName>
    <definedName name="Previous_Year_revenue_details" localSheetId="54">'[4]Revenue-Current and Past Year'!#REF!</definedName>
    <definedName name="Previous_Year_revenue_details">'[6]Revenue-Current and Past Year'!#REF!</definedName>
    <definedName name="_xlnm.Print_Area" localSheetId="13">' F-1 '!$A$1:$E$39</definedName>
    <definedName name="_xlnm.Print_Area" localSheetId="42">' F-1(b) '!$A$1:$E$15</definedName>
    <definedName name="_xlnm.Print_Area" localSheetId="41">'Cost Allocation'!$A$1:$G$29</definedName>
    <definedName name="_xlnm.Print_Area" localSheetId="51">'Current yr GAP'!$A$1:$E$22</definedName>
    <definedName name="_xlnm.Print_Area" localSheetId="58">CWIP!$A$2:$AH$45</definedName>
    <definedName name="_xlnm.Print_Area" localSheetId="63">Demography!$A$1:$C$41</definedName>
    <definedName name="_xlnm.Print_Area" localSheetId="57">DEPCAL!$A$1:$H$73</definedName>
    <definedName name="_xlnm.Print_Area" localSheetId="22">'F-10'!$A$1:$P$52</definedName>
    <definedName name="_xlnm.Print_Area" localSheetId="23">'F-11'!$A$1:$G$49</definedName>
    <definedName name="_xlnm.Print_Area" localSheetId="24">'F-12'!$A$1:$AD$41</definedName>
    <definedName name="_xlnm.Print_Area" localSheetId="45">'F-12(b)'!$A$1:$Q$14</definedName>
    <definedName name="_xlnm.Print_Area" localSheetId="46">'F-12(c)'!$A$1:$Q$18</definedName>
    <definedName name="_xlnm.Print_Area" localSheetId="47">'F-12(d)'!$A$1:$C$36</definedName>
    <definedName name="_xlnm.Print_Area" localSheetId="25">'F-13'!$A$1:$F$16</definedName>
    <definedName name="_xlnm.Print_Area" localSheetId="48">'F-13(a)'!$A$1:$D$13</definedName>
    <definedName name="_xlnm.Print_Area" localSheetId="26">'F-14'!$A$1:$G$68</definedName>
    <definedName name="_xlnm.Print_Area" localSheetId="27">'F-15'!$A$1:$L$31</definedName>
    <definedName name="_xlnm.Print_Area" localSheetId="28">'F-16'!$A$1:$E$28</definedName>
    <definedName name="_xlnm.Print_Area" localSheetId="29">'F-17'!$A$1:$S$67</definedName>
    <definedName name="_xlnm.Print_Area" localSheetId="30">'F-18'!$A$1:$F$14</definedName>
    <definedName name="_xlnm.Print_Area" localSheetId="31">'F-19'!$A$1:$M$99</definedName>
    <definedName name="_xlnm.Print_Area" localSheetId="14">'F-2'!$A$1:$R$36</definedName>
    <definedName name="_xlnm.Print_Area" localSheetId="32">'F-20'!$A$1:$E$14</definedName>
    <definedName name="_xlnm.Print_Area" localSheetId="33">'F-21'!$A$1:$E$45</definedName>
    <definedName name="_xlnm.Print_Area" localSheetId="34">'F-22'!$A$1:$D$33</definedName>
    <definedName name="_xlnm.Print_Area" localSheetId="35">'F-23 CASHFLOW'!$A$1:$C$42</definedName>
    <definedName name="_xlnm.Print_Area" localSheetId="36">'F-24'!$A$1:$J$13</definedName>
    <definedName name="_xlnm.Print_Area" localSheetId="37">'F-25'!$A$1:$F$35</definedName>
    <definedName name="_xlnm.Print_Area" localSheetId="38">'F-26 '!$A$1:$F$15</definedName>
    <definedName name="_xlnm.Print_Area" localSheetId="39">'F-27(21-22)'!$A$1:$Q$25</definedName>
    <definedName name="_xlnm.Print_Area" localSheetId="40">'F-27(22-23)'!$A$1:$Q$25</definedName>
    <definedName name="_xlnm.Print_Area" localSheetId="15">'F-3'!$A$1:$L$28</definedName>
    <definedName name="_xlnm.Print_Area" localSheetId="16">'F-4'!$A$1:$J$51</definedName>
    <definedName name="_xlnm.Print_Area" localSheetId="43">'F-4(b)'!$A$1:$J$63</definedName>
    <definedName name="_xlnm.Print_Area" localSheetId="17">'F-5'!$A$1:$O$29</definedName>
    <definedName name="_xlnm.Print_Area" localSheetId="18">'F-6'!$B$1:$P$39</definedName>
    <definedName name="_xlnm.Print_Area" localSheetId="19">'F-7'!$A$1:$M$33</definedName>
    <definedName name="_xlnm.Print_Area" localSheetId="21">'F-9'!$A$1:$E$32</definedName>
    <definedName name="_xlnm.Print_Area" localSheetId="44">'F-9(b)'!$A$1:$O$16</definedName>
    <definedName name="_xlnm.Print_Area" localSheetId="56">'loan&amp;int'!$A$1:$D$121</definedName>
    <definedName name="_xlnm.Print_Area" localSheetId="59">'ppt-1'!$A$1:$I$15</definedName>
    <definedName name="_xlnm.Print_Area" localSheetId="60">'PPt-3'!$A$1:$H$44</definedName>
    <definedName name="_xlnm.Print_Area" localSheetId="49">Sheet1!$A$1:$I$56</definedName>
    <definedName name="_xlnm.Print_Area" localSheetId="50">Sheet2!$A$1:$E$46</definedName>
    <definedName name="_xlnm.Print_Area" localSheetId="53">Sheet3!$A$1:$F$33</definedName>
    <definedName name="_xlnm.Print_Area" localSheetId="55">summary!$A$1:$N$39</definedName>
    <definedName name="_xlnm.Print_Area" localSheetId="0">'T-1'!$A$1:$T$77</definedName>
    <definedName name="_xlnm.Print_Area" localSheetId="2">'T-2(1st six mth)'!$A$1:$N$54</definedName>
    <definedName name="_xlnm.Print_Area" localSheetId="1">'T-2(21-22)'!$A$1:$N$56</definedName>
    <definedName name="_xlnm.Print_Area" localSheetId="4">'T-3(1st six mth)'!$A$1:$N$46</definedName>
    <definedName name="_xlnm.Print_Area" localSheetId="3">'T-3(21-22)'!$A$1:$N$43</definedName>
    <definedName name="_xlnm.Print_Area" localSheetId="5">'T-4 '!$A$1:$M$72</definedName>
    <definedName name="_xlnm.Print_Area" localSheetId="6">'T-5'!$A$1:$M$29</definedName>
    <definedName name="_xlnm.Print_Area" localSheetId="7">'T-6'!$A$1:$J$73</definedName>
    <definedName name="_xlnm.Print_Area" localSheetId="8">'T-6 (six mth)'!$A$1:$J$76</definedName>
    <definedName name="_xlnm.Print_Area" localSheetId="10">'T-7'!$A$1:$AM$67</definedName>
    <definedName name="_xlnm.Print_Area" localSheetId="9">'T-7 (Curr)'!$A$1:$AM$67</definedName>
    <definedName name="_xlnm.Print_Area" localSheetId="11">'T-8'!$A$1:$BX$76</definedName>
    <definedName name="_xlnm.Print_Area" localSheetId="12">'T-9 '!$A$1:$S$178</definedName>
    <definedName name="_xlnm.Print_Area" localSheetId="64">'Tariff 23-24'!$A$1:$I$87</definedName>
    <definedName name="_xlnm.Print_Area" localSheetId="54">'truing 20-21'!$B$1:$D$1</definedName>
    <definedName name="_xlnm.Print_Titles" localSheetId="58">CWIP!$A:$A</definedName>
    <definedName name="_xlnm.Print_Titles" localSheetId="24">'F-12'!$A:$B</definedName>
    <definedName name="_xlnm.Print_Titles" localSheetId="26">'F-14'!$1:$6</definedName>
    <definedName name="_xlnm.Print_Titles" localSheetId="16">'F-4'!$1:$3</definedName>
    <definedName name="_xlnm.Print_Titles" localSheetId="43">'F-4(b)'!$1:$3</definedName>
    <definedName name="_xlnm.Print_Titles" localSheetId="18">'F-6'!$C:$C</definedName>
    <definedName name="_xlnm.Print_Titles" localSheetId="44">'F-9(b)'!$A:$B</definedName>
    <definedName name="_xlnm.Print_Titles" localSheetId="60">'PPt-3'!$1:$2</definedName>
    <definedName name="_xlnm.Print_Titles" localSheetId="0">'T-1'!$A:$C,'T-1'!$1:$10</definedName>
    <definedName name="_xlnm.Print_Titles" localSheetId="5">'T-4 '!$1:$4</definedName>
    <definedName name="_xlnm.Print_Titles" localSheetId="7">'T-6'!$1:$9</definedName>
    <definedName name="_xlnm.Print_Titles" localSheetId="8">'T-6 (six mth)'!$1:$9</definedName>
    <definedName name="_xlnm.Print_Titles" localSheetId="10">'T-7'!$A:$C,'T-7'!$1:$8</definedName>
    <definedName name="_xlnm.Print_Titles" localSheetId="9">'T-7 (Curr)'!$A:$C,'T-7 (Curr)'!$1:$8</definedName>
    <definedName name="_xlnm.Print_Titles" localSheetId="11">'T-8'!$A:$C,'T-8'!$1:$6</definedName>
    <definedName name="_xlnm.Print_Titles" localSheetId="12">'T-9 '!$1:$4</definedName>
    <definedName name="_xlnm.Print_Titles" localSheetId="64">'Tariff 23-24'!$1:$1</definedName>
    <definedName name="Reasonable_Rate_of_Return_on_Equity" localSheetId="36">[2]RoE!#REF!</definedName>
    <definedName name="Reasonable_Rate_of_Return_on_Equity" localSheetId="38">[2]RoE!#REF!</definedName>
    <definedName name="Reasonable_Rate_of_Return_on_Equity" localSheetId="16">[3]RoE!#REF!</definedName>
    <definedName name="Reasonable_Rate_of_Return_on_Equity" localSheetId="43">[3]RoE!#REF!</definedName>
    <definedName name="Reasonable_Rate_of_Return_on_Equity" localSheetId="18">[4]RoE!#REF!</definedName>
    <definedName name="Reasonable_Rate_of_Return_on_Equity" localSheetId="1">[5]RoE!#REF!</definedName>
    <definedName name="Reasonable_Rate_of_Return_on_Equity" localSheetId="3">[5]RoE!#REF!</definedName>
    <definedName name="Reasonable_Rate_of_Return_on_Equity" localSheetId="6">[5]RoE!#REF!</definedName>
    <definedName name="Reasonable_Rate_of_Return_on_Equity" localSheetId="12">[6]RoE!#REF!</definedName>
    <definedName name="Reasonable_Rate_of_Return_on_Equity" localSheetId="54">[4]RoE!#REF!</definedName>
    <definedName name="Reasonable_Rate_of_Return_on_Equity">[6]RoE!#REF!</definedName>
    <definedName name="Repair_and_Maintenance" localSheetId="36">'[2]R&amp;M'!#REF!</definedName>
    <definedName name="Repair_and_Maintenance" localSheetId="38">'[2]R&amp;M'!#REF!</definedName>
    <definedName name="Repair_and_Maintenance" localSheetId="16">'[3]R&amp;M'!#REF!</definedName>
    <definedName name="Repair_and_Maintenance" localSheetId="43">'[3]R&amp;M'!#REF!</definedName>
    <definedName name="Repair_and_Maintenance" localSheetId="18">'[4]R&amp;M'!#REF!</definedName>
    <definedName name="Repair_and_Maintenance" localSheetId="1">'[5]R&amp;M'!#REF!</definedName>
    <definedName name="Repair_and_Maintenance" localSheetId="3">'[5]R&amp;M'!#REF!</definedName>
    <definedName name="Repair_and_Maintenance" localSheetId="6">'[5]R&amp;M'!#REF!</definedName>
    <definedName name="Repair_and_Maintenance" localSheetId="12">'[6]R&amp;M'!#REF!</definedName>
    <definedName name="Repair_and_Maintenance" localSheetId="54">'[4]R&amp;M'!#REF!</definedName>
    <definedName name="Repair_and_Maintenance">'[6]R&amp;M'!#REF!</definedName>
    <definedName name="Sources_of_revenues__other_than_sale_of_energy" localSheetId="36">'[2]Other revenue sources'!#REF!</definedName>
    <definedName name="Sources_of_revenues__other_than_sale_of_energy" localSheetId="38">'[2]Other revenue sources'!#REF!</definedName>
    <definedName name="Sources_of_revenues__other_than_sale_of_energy" localSheetId="16">'[3]Other revenue sources'!#REF!</definedName>
    <definedName name="Sources_of_revenues__other_than_sale_of_energy" localSheetId="43">'[3]Other revenue sources'!#REF!</definedName>
    <definedName name="Sources_of_revenues__other_than_sale_of_energy" localSheetId="18">'[4]Other revenue sources'!#REF!</definedName>
    <definedName name="Sources_of_revenues__other_than_sale_of_energy" localSheetId="1">'[5]Other revenue sources'!#REF!</definedName>
    <definedName name="Sources_of_revenues__other_than_sale_of_energy" localSheetId="3">'[5]Other revenue sources'!#REF!</definedName>
    <definedName name="Sources_of_revenues__other_than_sale_of_energy" localSheetId="6">'[5]Other revenue sources'!#REF!</definedName>
    <definedName name="Sources_of_revenues__other_than_sale_of_energy" localSheetId="12">'[6]Other revenue sources'!#REF!</definedName>
    <definedName name="Sources_of_revenues__other_than_sale_of_energy" localSheetId="64">'[6]Other revenue sources'!#REF!</definedName>
    <definedName name="Sources_of_revenues__other_than_sale_of_energy" localSheetId="54">'[4]Other revenue sources'!#REF!</definedName>
    <definedName name="Sources_of_revenues__other_than_sale_of_energy">'[6]Other revenue sources'!#REF!</definedName>
    <definedName name="Statement_of_Fixed_Assets_and_Depreciation" localSheetId="36">'[2]Depreciation Schedule'!#REF!</definedName>
    <definedName name="Statement_of_Fixed_Assets_and_Depreciation" localSheetId="38">'[2]Depreciation Schedule'!#REF!</definedName>
    <definedName name="Statement_of_Fixed_Assets_and_Depreciation" localSheetId="16">'[3]Depreciation Schedule'!#REF!</definedName>
    <definedName name="Statement_of_Fixed_Assets_and_Depreciation" localSheetId="43">'[3]Depreciation Schedule'!#REF!</definedName>
    <definedName name="Statement_of_Fixed_Assets_and_Depreciation" localSheetId="18">'[4]Depreciation Schedule'!#REF!</definedName>
    <definedName name="Statement_of_Fixed_Assets_and_Depreciation" localSheetId="1">'[5]Depreciation Schedule'!#REF!</definedName>
    <definedName name="Statement_of_Fixed_Assets_and_Depreciation" localSheetId="3">'[5]Depreciation Schedule'!#REF!</definedName>
    <definedName name="Statement_of_Fixed_Assets_and_Depreciation" localSheetId="6">'[5]Depreciation Schedule'!#REF!</definedName>
    <definedName name="Statement_of_Fixed_Assets_and_Depreciation" localSheetId="12">'[6]Depreciation Schedule'!#REF!</definedName>
    <definedName name="Statement_of_Fixed_Assets_and_Depreciation" localSheetId="64">'[6]Depreciation Schedule'!#REF!</definedName>
    <definedName name="Statement_of_Fixed_Assets_and_Depreciation" localSheetId="54">'[4]Depreciation Schedule'!#REF!</definedName>
    <definedName name="Statement_of_Fixed_Assets_and_Depreciation">'[6]Depreciation Schedule'!#REF!</definedName>
    <definedName name="Tariff" localSheetId="36">#REF!</definedName>
    <definedName name="Tariff" localSheetId="38">#REF!</definedName>
    <definedName name="Tariff" localSheetId="18">#REF!</definedName>
    <definedName name="Tariff" localSheetId="1">#REF!</definedName>
    <definedName name="Tariff" localSheetId="3">#REF!</definedName>
    <definedName name="Tariff" localSheetId="6">#REF!</definedName>
    <definedName name="Tariff" localSheetId="12">#REF!</definedName>
    <definedName name="Tariff" localSheetId="64">#REF!</definedName>
    <definedName name="Tariff" localSheetId="54">#REF!</definedName>
    <definedName name="Tariff">#REF!</definedName>
    <definedName name="TarrGrowth" localSheetId="36">#REF!</definedName>
    <definedName name="TarrGrowth" localSheetId="38">#REF!</definedName>
    <definedName name="TarrGrowth" localSheetId="18">#REF!</definedName>
    <definedName name="TarrGrowth" localSheetId="1">#REF!</definedName>
    <definedName name="TarrGrowth" localSheetId="3">#REF!</definedName>
    <definedName name="TarrGrowth" localSheetId="6">#REF!</definedName>
    <definedName name="TarrGrowth" localSheetId="12">#REF!</definedName>
    <definedName name="TarrGrowth" localSheetId="64">#REF!</definedName>
    <definedName name="TarrGrowth" localSheetId="54">#REF!</definedName>
    <definedName name="TarrGrowth">#REF!</definedName>
    <definedName name="wqe" localSheetId="1">'[1]Other revenue sources'!#REF!</definedName>
    <definedName name="wqe" localSheetId="3">'[1]Other revenue sources'!#REF!</definedName>
    <definedName name="wqe" localSheetId="6">'[1]Other revenue sources'!#REF!</definedName>
    <definedName name="wqe" localSheetId="12">'[1]Other revenue sources'!#REF!</definedName>
    <definedName name="wqe" localSheetId="64">'[1]Other revenue sources'!#REF!</definedName>
    <definedName name="wqe">'[1]Other revenue sources'!#REF!</definedName>
    <definedName name="xx" localSheetId="36">#REF!</definedName>
    <definedName name="xx" localSheetId="38">#REF!</definedName>
    <definedName name="xx" localSheetId="18">#REF!</definedName>
    <definedName name="xx" localSheetId="1">#REF!</definedName>
    <definedName name="xx" localSheetId="3">#REF!</definedName>
    <definedName name="xx" localSheetId="6">#REF!</definedName>
    <definedName name="xx" localSheetId="12">#REF!</definedName>
    <definedName name="xx" localSheetId="64">#REF!</definedName>
    <definedName name="xx" localSheetId="54">#REF!</definedName>
    <definedName name="xx">#REF!</definedName>
    <definedName name="xxx" localSheetId="1">#REF!</definedName>
    <definedName name="xxx" localSheetId="3">#REF!</definedName>
    <definedName name="xxx" localSheetId="6">#REF!</definedName>
    <definedName name="xxx" localSheetId="64">#REF!</definedName>
    <definedName name="xxx">#REF!</definedName>
    <definedName name="xyz" localSheetId="1">'[11]Consumer Data &gt;100kVA'!#REF!</definedName>
    <definedName name="xyz" localSheetId="3">'[11]Consumer Data &gt;100kVA'!#REF!</definedName>
    <definedName name="xyz" localSheetId="6">'[11]Consumer Data &gt;100kVA'!#REF!</definedName>
    <definedName name="xyz" localSheetId="12">'[11]Consumer Data &gt;100kVA'!#REF!</definedName>
    <definedName name="xyz" localSheetId="64">'[11]Consumer Data &gt;100kVA'!#REF!</definedName>
    <definedName name="xyz">'[11]Consumer Data &gt;100kVA'!#REF!</definedName>
  </definedNames>
  <calcPr calcId="191029" iterate="1" iterateDelta="32767"/>
</workbook>
</file>

<file path=xl/calcChain.xml><?xml version="1.0" encoding="utf-8"?>
<calcChain xmlns="http://schemas.openxmlformats.org/spreadsheetml/2006/main">
  <c r="C36" i="374" l="1"/>
  <c r="O16" i="371"/>
  <c r="E6" i="371"/>
  <c r="D6" i="371"/>
  <c r="C6" i="371"/>
  <c r="O6" i="371" s="1"/>
  <c r="I28" i="277"/>
  <c r="I35" i="277"/>
  <c r="I38" i="277"/>
  <c r="G28" i="277"/>
  <c r="E28" i="277"/>
  <c r="C28" i="277"/>
  <c r="G38" i="277"/>
  <c r="G35" i="277"/>
  <c r="E35" i="277"/>
  <c r="E38" i="277"/>
  <c r="C38" i="277"/>
  <c r="F28" i="274"/>
  <c r="E28" i="274"/>
  <c r="C28" i="274"/>
  <c r="C25" i="274"/>
  <c r="F6" i="274"/>
  <c r="E6" i="274"/>
  <c r="D6" i="278"/>
  <c r="I82" i="95"/>
  <c r="E82" i="95"/>
  <c r="B82" i="95"/>
  <c r="H32" i="95"/>
  <c r="H30" i="95"/>
  <c r="H31" i="95"/>
  <c r="H27" i="95"/>
  <c r="H26" i="95"/>
  <c r="H24" i="95"/>
  <c r="I32" i="95"/>
  <c r="E32" i="95"/>
  <c r="B32" i="95"/>
  <c r="C97" i="140"/>
  <c r="F44" i="140"/>
  <c r="F43" i="140"/>
  <c r="M24" i="367" l="1"/>
  <c r="G24" i="367"/>
  <c r="F27" i="3"/>
  <c r="Q7" i="372" l="1"/>
  <c r="L7" i="372"/>
  <c r="G7" i="372"/>
  <c r="C11" i="381" l="1"/>
  <c r="C15" i="381" l="1"/>
  <c r="X53" i="141"/>
  <c r="Q64" i="3" l="1"/>
  <c r="O64" i="3"/>
  <c r="F41" i="3"/>
  <c r="G15" i="3" s="1"/>
  <c r="P64" i="3" s="1"/>
  <c r="F26" i="3"/>
  <c r="J134" i="140"/>
  <c r="G41" i="3" l="1"/>
  <c r="H15" i="3" s="1"/>
  <c r="H41" i="3" l="1"/>
  <c r="R64" i="3" s="1"/>
  <c r="S64" i="3" s="1"/>
  <c r="H64" i="3" l="1"/>
  <c r="C23" i="374" l="1"/>
  <c r="C17" i="374"/>
  <c r="C16" i="374" s="1"/>
  <c r="C22" i="374"/>
  <c r="C24" i="374" s="1"/>
  <c r="G13" i="372" l="1"/>
  <c r="J54" i="3" l="1"/>
  <c r="K54" i="3"/>
  <c r="L54" i="3"/>
  <c r="J46" i="3"/>
  <c r="K46" i="3"/>
  <c r="L46" i="3"/>
  <c r="I30" i="3"/>
  <c r="J30" i="3"/>
  <c r="K30" i="3"/>
  <c r="L30" i="3"/>
  <c r="H36" i="173"/>
  <c r="V11" i="356"/>
  <c r="N73" i="58" l="1"/>
  <c r="Q105" i="83" l="1"/>
  <c r="Q104" i="83"/>
  <c r="Q103" i="83"/>
  <c r="O101" i="83"/>
  <c r="Q100" i="83"/>
  <c r="Q99" i="83"/>
  <c r="Q98" i="83"/>
  <c r="Q97" i="83"/>
  <c r="Q96" i="83"/>
  <c r="Q95" i="83"/>
  <c r="Q94" i="83"/>
  <c r="S73" i="58"/>
  <c r="S65" i="58"/>
  <c r="C16" i="222"/>
  <c r="G37" i="173"/>
  <c r="Q106" i="83" l="1"/>
  <c r="Q101" i="83"/>
  <c r="Q107" i="83" s="1"/>
  <c r="Q108" i="83" s="1"/>
  <c r="G56" i="83" s="1"/>
  <c r="G22" i="173" l="1"/>
  <c r="G20" i="173"/>
  <c r="G18" i="173"/>
  <c r="G9" i="173"/>
  <c r="C11" i="376" l="1"/>
  <c r="D11" i="376"/>
  <c r="H15" i="371"/>
  <c r="N10" i="371"/>
  <c r="H10" i="371"/>
  <c r="I15" i="371"/>
  <c r="G15" i="371"/>
  <c r="F15" i="371"/>
  <c r="E15" i="371"/>
  <c r="D15" i="371"/>
  <c r="C15" i="371"/>
  <c r="M10" i="371"/>
  <c r="L10" i="371"/>
  <c r="K10" i="371"/>
  <c r="J10" i="371"/>
  <c r="I10" i="371"/>
  <c r="G10" i="371"/>
  <c r="F10" i="371"/>
  <c r="E10" i="371"/>
  <c r="D10" i="371"/>
  <c r="C10" i="371"/>
  <c r="O10" i="371" s="1"/>
  <c r="O15" i="371" l="1"/>
  <c r="F12" i="27"/>
  <c r="I53" i="370" l="1"/>
  <c r="I54" i="370"/>
  <c r="I55" i="370"/>
  <c r="I57" i="370"/>
  <c r="I58" i="370"/>
  <c r="I59" i="370"/>
  <c r="I60" i="370"/>
  <c r="I51" i="370"/>
  <c r="I34" i="370"/>
  <c r="I35" i="370"/>
  <c r="I36" i="370"/>
  <c r="I37" i="370"/>
  <c r="I38" i="370"/>
  <c r="I39" i="370"/>
  <c r="I41" i="370"/>
  <c r="I43" i="370"/>
  <c r="I44" i="370"/>
  <c r="I45" i="370"/>
  <c r="I46" i="370"/>
  <c r="I47" i="370"/>
  <c r="I48" i="370"/>
  <c r="I33" i="370"/>
  <c r="I21" i="370"/>
  <c r="I22" i="370"/>
  <c r="I23" i="370"/>
  <c r="I24" i="370"/>
  <c r="I25" i="370"/>
  <c r="I26" i="370"/>
  <c r="I27" i="370"/>
  <c r="I28" i="370"/>
  <c r="I29" i="370"/>
  <c r="I30" i="370"/>
  <c r="I7" i="370"/>
  <c r="G53" i="370"/>
  <c r="G55" i="370"/>
  <c r="G57" i="370"/>
  <c r="G58" i="370"/>
  <c r="G59" i="370"/>
  <c r="G60" i="370"/>
  <c r="G51" i="370"/>
  <c r="G34" i="370"/>
  <c r="G35" i="370"/>
  <c r="G36" i="370"/>
  <c r="G37" i="370"/>
  <c r="G38" i="370"/>
  <c r="G39" i="370"/>
  <c r="G40" i="370"/>
  <c r="G41" i="370"/>
  <c r="G43" i="370"/>
  <c r="G44" i="370"/>
  <c r="G45" i="370"/>
  <c r="G46" i="370"/>
  <c r="G47" i="370"/>
  <c r="G48" i="370"/>
  <c r="G33" i="370"/>
  <c r="G21" i="370"/>
  <c r="G22" i="370"/>
  <c r="G23" i="370"/>
  <c r="G24" i="370"/>
  <c r="G25" i="370"/>
  <c r="G26" i="370"/>
  <c r="G27" i="370"/>
  <c r="G28" i="370"/>
  <c r="G29" i="370"/>
  <c r="G30" i="370"/>
  <c r="G20" i="370"/>
  <c r="G7" i="370"/>
  <c r="E51" i="370"/>
  <c r="C53" i="370"/>
  <c r="C38" i="370"/>
  <c r="C43" i="370"/>
  <c r="E66" i="197" l="1"/>
  <c r="C67" i="197"/>
  <c r="E67" i="197" s="1"/>
  <c r="C66" i="197"/>
  <c r="C60" i="197"/>
  <c r="D64" i="197"/>
  <c r="C64" i="197"/>
  <c r="E64" i="197" s="1"/>
  <c r="C63" i="197"/>
  <c r="E63" i="197" s="1"/>
  <c r="E61" i="197"/>
  <c r="D60" i="197"/>
  <c r="D59" i="197"/>
  <c r="C59" i="197"/>
  <c r="P13" i="58"/>
  <c r="M46" i="345"/>
  <c r="L46" i="345"/>
  <c r="L56" i="345"/>
  <c r="M56" i="345"/>
  <c r="M60" i="345"/>
  <c r="L60" i="345"/>
  <c r="O28" i="27"/>
  <c r="H17" i="27"/>
  <c r="G16" i="27"/>
  <c r="H16" i="27" s="1"/>
  <c r="L34" i="27"/>
  <c r="O34" i="27"/>
  <c r="P34" i="27" s="1"/>
  <c r="P28" i="27"/>
  <c r="O32" i="27"/>
  <c r="O31" i="27"/>
  <c r="P31" i="27" s="1"/>
  <c r="J7" i="27"/>
  <c r="H10" i="27"/>
  <c r="H9" i="27"/>
  <c r="H7" i="27"/>
  <c r="H28" i="27"/>
  <c r="C9" i="274"/>
  <c r="C4" i="274"/>
  <c r="B40" i="274"/>
  <c r="E8" i="278"/>
  <c r="D8" i="278"/>
  <c r="E7" i="278"/>
  <c r="D7" i="278"/>
  <c r="B31" i="101"/>
  <c r="B8" i="101"/>
  <c r="C62" i="197" l="1"/>
  <c r="C65" i="197" s="1"/>
  <c r="E60" i="197"/>
  <c r="D62" i="197"/>
  <c r="D65" i="197"/>
  <c r="D68" i="197" s="1"/>
  <c r="E59" i="197"/>
  <c r="E62" i="197" s="1"/>
  <c r="O87" i="83"/>
  <c r="O86" i="83"/>
  <c r="H16" i="173"/>
  <c r="I7" i="368"/>
  <c r="G31" i="368"/>
  <c r="G29" i="368"/>
  <c r="D35" i="97"/>
  <c r="E35" i="97" s="1"/>
  <c r="E77" i="95"/>
  <c r="E27" i="95"/>
  <c r="E65" i="197" l="1"/>
  <c r="E68" i="197" s="1"/>
  <c r="C68" i="197"/>
  <c r="M9" i="157"/>
  <c r="L9" i="157"/>
  <c r="N9" i="157"/>
  <c r="D14" i="23"/>
  <c r="C7" i="23"/>
  <c r="D26" i="139"/>
  <c r="D25" i="139"/>
  <c r="D24" i="139"/>
  <c r="D23" i="139"/>
  <c r="O88" i="83" l="1"/>
  <c r="O89" i="83" s="1"/>
  <c r="O83" i="83"/>
  <c r="G58" i="83" s="1"/>
  <c r="G66" i="3"/>
  <c r="H66" i="3" s="1"/>
  <c r="Q19" i="3"/>
  <c r="P19" i="3"/>
  <c r="Q13" i="3"/>
  <c r="P13" i="3"/>
  <c r="X34" i="141"/>
  <c r="X33" i="141"/>
  <c r="X32" i="141"/>
  <c r="X31" i="141"/>
  <c r="X30" i="141"/>
  <c r="C33" i="141"/>
  <c r="N68" i="141"/>
  <c r="O32" i="141"/>
  <c r="O31" i="141"/>
  <c r="O30" i="141"/>
  <c r="O33" i="141"/>
  <c r="O34" i="141"/>
  <c r="N30" i="141"/>
  <c r="N31" i="141"/>
  <c r="N32" i="141"/>
  <c r="N33" i="141"/>
  <c r="N34" i="141"/>
  <c r="K34" i="141"/>
  <c r="K33" i="141"/>
  <c r="C34" i="141"/>
  <c r="C31" i="141"/>
  <c r="K31" i="141"/>
  <c r="C8" i="381" s="1"/>
  <c r="C30" i="141"/>
  <c r="K19" i="141"/>
  <c r="C19" i="141"/>
  <c r="C49" i="140" l="1"/>
  <c r="C51" i="140" s="1"/>
  <c r="B28" i="101" s="1"/>
  <c r="I36" i="83"/>
  <c r="Q31" i="3"/>
  <c r="P31" i="3"/>
  <c r="Q30" i="3"/>
  <c r="P30" i="3"/>
  <c r="S64" i="58"/>
  <c r="I56" i="370" s="1"/>
  <c r="M37" i="307"/>
  <c r="D7" i="98"/>
  <c r="C7" i="98"/>
  <c r="G9" i="98"/>
  <c r="B6" i="98"/>
  <c r="L28" i="173"/>
  <c r="X56" i="173"/>
  <c r="X55" i="173"/>
  <c r="W54" i="173"/>
  <c r="X54" i="173" s="1"/>
  <c r="X49" i="173"/>
  <c r="X53" i="173"/>
  <c r="X52" i="173"/>
  <c r="X50" i="173"/>
  <c r="X58" i="173"/>
  <c r="D93" i="140"/>
  <c r="C93" i="140"/>
  <c r="B93" i="140"/>
  <c r="D48" i="140"/>
  <c r="C48" i="140"/>
  <c r="C13" i="82"/>
  <c r="C16" i="82" s="1"/>
  <c r="C11" i="82"/>
  <c r="G36" i="173" l="1"/>
  <c r="L37" i="173"/>
  <c r="P37" i="173"/>
  <c r="D9" i="98"/>
  <c r="C54" i="140"/>
  <c r="I155" i="140"/>
  <c r="H159" i="140"/>
  <c r="I159" i="140" s="1"/>
  <c r="H157" i="140"/>
  <c r="I157" i="140" s="1"/>
  <c r="H155" i="140"/>
  <c r="G151" i="140"/>
  <c r="F155" i="140"/>
  <c r="F154" i="140"/>
  <c r="E51" i="140"/>
  <c r="H144" i="140"/>
  <c r="H146" i="140" s="1"/>
  <c r="F50" i="140" s="1"/>
  <c r="F145" i="140"/>
  <c r="F144" i="140"/>
  <c r="G146" i="140"/>
  <c r="I148" i="140"/>
  <c r="G148" i="140"/>
  <c r="H148" i="140" s="1"/>
  <c r="F148" i="140"/>
  <c r="I138" i="140"/>
  <c r="G138" i="140"/>
  <c r="H138" i="140" s="1"/>
  <c r="E48" i="140" s="1"/>
  <c r="F138" i="140"/>
  <c r="F133" i="140"/>
  <c r="I144" i="140" l="1"/>
  <c r="I146" i="140" s="1"/>
  <c r="F48" i="140"/>
  <c r="J138" i="140"/>
  <c r="F156" i="140"/>
  <c r="H154" i="140" s="1"/>
  <c r="H158" i="140" s="1"/>
  <c r="H160" i="140" s="1"/>
  <c r="H161" i="140" s="1"/>
  <c r="F158" i="140"/>
  <c r="F160" i="140" s="1"/>
  <c r="F161" i="140" s="1"/>
  <c r="F55" i="140"/>
  <c r="F146" i="140"/>
  <c r="E50" i="140" s="1"/>
  <c r="E55" i="140" s="1"/>
  <c r="H156" i="140"/>
  <c r="I154" i="140" s="1"/>
  <c r="I156" i="140" l="1"/>
  <c r="I158" i="140"/>
  <c r="I160" i="140" s="1"/>
  <c r="I161" i="140" s="1"/>
  <c r="G168" i="140"/>
  <c r="G169" i="140" s="1"/>
  <c r="G171" i="140" s="1"/>
  <c r="H168" i="140"/>
  <c r="H169" i="140" s="1"/>
  <c r="H171" i="140" s="1"/>
  <c r="I168" i="140"/>
  <c r="I169" i="140" s="1"/>
  <c r="I171" i="140" s="1"/>
  <c r="F168" i="140"/>
  <c r="F169" i="140" s="1"/>
  <c r="F171" i="140" s="1"/>
  <c r="G147" i="140"/>
  <c r="G149" i="140" s="1"/>
  <c r="H147" i="140"/>
  <c r="H149" i="140" s="1"/>
  <c r="I147" i="140"/>
  <c r="I149" i="140" s="1"/>
  <c r="F147" i="140"/>
  <c r="F149" i="140" s="1"/>
  <c r="F134" i="140" l="1"/>
  <c r="B29" i="156" l="1"/>
  <c r="J18" i="156"/>
  <c r="J12" i="156" l="1"/>
  <c r="C14" i="274" l="1"/>
  <c r="C13" i="274"/>
  <c r="O11" i="157" l="1"/>
  <c r="O9" i="157"/>
  <c r="C7" i="157"/>
  <c r="C22" i="26" l="1"/>
  <c r="C16" i="26"/>
  <c r="C25" i="26"/>
  <c r="H19" i="173"/>
  <c r="H17" i="173" s="1"/>
  <c r="G133" i="140"/>
  <c r="G134" i="140" s="1"/>
  <c r="H33" i="173"/>
  <c r="T58" i="173"/>
  <c r="T48" i="173"/>
  <c r="T53" i="173"/>
  <c r="T52" i="173"/>
  <c r="V52" i="173" s="1"/>
  <c r="T51" i="173"/>
  <c r="T50" i="173"/>
  <c r="V50" i="173" s="1"/>
  <c r="T49" i="173"/>
  <c r="V49" i="173" s="1"/>
  <c r="T56" i="173"/>
  <c r="T55" i="173"/>
  <c r="V55" i="173" s="1"/>
  <c r="T54" i="173"/>
  <c r="H23" i="173"/>
  <c r="H20" i="173"/>
  <c r="H15" i="173"/>
  <c r="M63" i="277"/>
  <c r="R7" i="27"/>
  <c r="I17" i="27"/>
  <c r="H118" i="27"/>
  <c r="H135" i="27"/>
  <c r="F135" i="27"/>
  <c r="D135" i="27"/>
  <c r="F118" i="27"/>
  <c r="D110" i="27"/>
  <c r="D109" i="27"/>
  <c r="D108" i="27"/>
  <c r="D107" i="27"/>
  <c r="D106" i="27"/>
  <c r="T57" i="173" l="1"/>
  <c r="T59" i="173" s="1"/>
  <c r="C23" i="26"/>
  <c r="D141" i="27"/>
  <c r="D118" i="27"/>
  <c r="D140" i="27" s="1"/>
  <c r="D142" i="27"/>
  <c r="B13" i="307"/>
  <c r="B24" i="307" s="1"/>
  <c r="B32" i="307" s="1"/>
  <c r="G59" i="83"/>
  <c r="G60" i="83"/>
  <c r="G41" i="83"/>
  <c r="E45" i="83"/>
  <c r="D45" i="83"/>
  <c r="E40" i="83"/>
  <c r="D40" i="83"/>
  <c r="J63" i="83"/>
  <c r="G57" i="83" s="1"/>
  <c r="F23" i="83"/>
  <c r="Q71" i="83"/>
  <c r="Q66" i="83"/>
  <c r="G46" i="83" s="1"/>
  <c r="F46" i="83" s="1"/>
  <c r="E141" i="27" l="1"/>
  <c r="Q72" i="83"/>
  <c r="E142" i="27"/>
  <c r="D39" i="83"/>
  <c r="E31" i="83"/>
  <c r="D31" i="83"/>
  <c r="H15" i="82"/>
  <c r="I6" i="82"/>
  <c r="I7" i="82"/>
  <c r="I8" i="82"/>
  <c r="I11" i="82"/>
  <c r="I12" i="82"/>
  <c r="I13" i="82"/>
  <c r="I14" i="82"/>
  <c r="I5" i="82" l="1"/>
  <c r="I15" i="82" s="1"/>
  <c r="G6" i="82"/>
  <c r="G8" i="82"/>
  <c r="G11" i="82"/>
  <c r="G14" i="82"/>
  <c r="G51" i="83"/>
  <c r="G37" i="83"/>
  <c r="G38" i="83"/>
  <c r="G39" i="83"/>
  <c r="G40" i="83"/>
  <c r="G42" i="83"/>
  <c r="G43" i="83"/>
  <c r="G44" i="83"/>
  <c r="G45" i="83"/>
  <c r="G47" i="83"/>
  <c r="G36" i="83"/>
  <c r="G31" i="83"/>
  <c r="G32" i="83"/>
  <c r="F30" i="83"/>
  <c r="G30" i="83" s="1"/>
  <c r="G27" i="83"/>
  <c r="G25" i="83"/>
  <c r="G26" i="83"/>
  <c r="G24" i="83"/>
  <c r="G23" i="83"/>
  <c r="G17" i="83"/>
  <c r="G16" i="83"/>
  <c r="G12" i="83"/>
  <c r="G11" i="83"/>
  <c r="G10" i="83"/>
  <c r="D64" i="83"/>
  <c r="F8" i="83" l="1"/>
  <c r="AC30" i="27"/>
  <c r="S30" i="27"/>
  <c r="S22" i="27"/>
  <c r="M22" i="27"/>
  <c r="S24" i="27"/>
  <c r="W24" i="27" s="1"/>
  <c r="AB13" i="27"/>
  <c r="AJ5" i="27"/>
  <c r="AI5" i="27"/>
  <c r="Z30" i="27" l="1"/>
  <c r="W30" i="27"/>
  <c r="E32" i="27"/>
  <c r="L32" i="27"/>
  <c r="AB84" i="27"/>
  <c r="U85" i="27"/>
  <c r="S32" i="27" l="1"/>
  <c r="P32" i="27"/>
  <c r="I30" i="27"/>
  <c r="I23" i="27"/>
  <c r="I27" i="27"/>
  <c r="I28" i="27"/>
  <c r="H32" i="27"/>
  <c r="H31" i="27"/>
  <c r="H22" i="27"/>
  <c r="H21" i="27"/>
  <c r="E26" i="27"/>
  <c r="E25" i="27"/>
  <c r="E24" i="27"/>
  <c r="E22" i="27"/>
  <c r="E21" i="27"/>
  <c r="H18" i="27"/>
  <c r="G18" i="27" s="1"/>
  <c r="E18" i="27"/>
  <c r="E16" i="27"/>
  <c r="I16" i="27" s="1"/>
  <c r="U16" i="27" s="1"/>
  <c r="H11" i="27"/>
  <c r="I9" i="27"/>
  <c r="C20" i="274" s="1"/>
  <c r="E13" i="27"/>
  <c r="I13" i="27" s="1"/>
  <c r="E12" i="27"/>
  <c r="I12" i="27" s="1"/>
  <c r="E11" i="27"/>
  <c r="I11" i="27" s="1"/>
  <c r="E10" i="27"/>
  <c r="I10" i="27" s="1"/>
  <c r="E7" i="27"/>
  <c r="E14" i="27" l="1"/>
  <c r="G10" i="372" s="1"/>
  <c r="H19" i="27"/>
  <c r="I32" i="27"/>
  <c r="I24" i="27"/>
  <c r="I25" i="27"/>
  <c r="I21" i="27"/>
  <c r="S21" i="27"/>
  <c r="Z21" i="27" s="1"/>
  <c r="I26" i="27"/>
  <c r="C7" i="27"/>
  <c r="I18" i="27"/>
  <c r="D18" i="27"/>
  <c r="H29" i="27"/>
  <c r="C10" i="27"/>
  <c r="D10" i="27" s="1"/>
  <c r="C11" i="27"/>
  <c r="D11" i="27"/>
  <c r="I31" i="27"/>
  <c r="E29" i="27"/>
  <c r="C21" i="274"/>
  <c r="H14" i="27"/>
  <c r="E19" i="27"/>
  <c r="I7" i="27"/>
  <c r="I14" i="27" s="1"/>
  <c r="I22" i="27"/>
  <c r="E33" i="27" l="1"/>
  <c r="G11" i="372"/>
  <c r="G12" i="372"/>
  <c r="E35" i="27"/>
  <c r="G9" i="372"/>
  <c r="C14" i="27"/>
  <c r="V31" i="27"/>
  <c r="H33" i="27"/>
  <c r="H35" i="27" s="1"/>
  <c r="D7" i="27"/>
  <c r="D14" i="27" s="1"/>
  <c r="D15" i="367"/>
  <c r="C15" i="367"/>
  <c r="B15" i="367"/>
  <c r="D27" i="58" s="1"/>
  <c r="N6" i="307"/>
  <c r="C17" i="200"/>
  <c r="I23" i="159"/>
  <c r="I17" i="159"/>
  <c r="I9" i="159"/>
  <c r="I24" i="198"/>
  <c r="I18" i="198"/>
  <c r="I10" i="198"/>
  <c r="I24" i="163"/>
  <c r="I18" i="163"/>
  <c r="I10" i="163"/>
  <c r="G14" i="372" l="1"/>
  <c r="P63" i="277"/>
  <c r="N13" i="307"/>
  <c r="N24" i="307" s="1"/>
  <c r="N32" i="307" s="1"/>
  <c r="C63" i="346"/>
  <c r="H63" i="346" s="1"/>
  <c r="M54" i="277"/>
  <c r="BH46" i="159"/>
  <c r="BE46" i="159"/>
  <c r="BH57" i="159"/>
  <c r="BE57" i="159"/>
  <c r="BH61" i="159"/>
  <c r="BE61" i="159"/>
  <c r="R52" i="58"/>
  <c r="R51" i="58"/>
  <c r="R41" i="58"/>
  <c r="R42" i="58"/>
  <c r="R43" i="58"/>
  <c r="R46" i="58"/>
  <c r="R48" i="58"/>
  <c r="R50" i="58"/>
  <c r="D47" i="163" s="1"/>
  <c r="E47" i="163" s="1"/>
  <c r="U47" i="163" s="1"/>
  <c r="R68" i="58"/>
  <c r="R67" i="58"/>
  <c r="M67" i="58"/>
  <c r="R66" i="58"/>
  <c r="M66" i="58"/>
  <c r="R65" i="58"/>
  <c r="D61" i="159" s="1"/>
  <c r="E61" i="159" s="1"/>
  <c r="M65" i="58"/>
  <c r="R64" i="58"/>
  <c r="R63" i="58"/>
  <c r="M63" i="58"/>
  <c r="R62" i="58"/>
  <c r="R61" i="58"/>
  <c r="D57" i="163" s="1"/>
  <c r="E57" i="163" s="1"/>
  <c r="U57" i="163" s="1"/>
  <c r="M61" i="58"/>
  <c r="D61" i="163"/>
  <c r="E61" i="163" s="1"/>
  <c r="U61" i="163" s="1"/>
  <c r="M55" i="58"/>
  <c r="M52" i="58"/>
  <c r="M51" i="58"/>
  <c r="M50" i="58"/>
  <c r="M48" i="58"/>
  <c r="M46" i="58"/>
  <c r="M42" i="58"/>
  <c r="M41" i="58"/>
  <c r="M68" i="58"/>
  <c r="AF57" i="163" l="1"/>
  <c r="X57" i="163"/>
  <c r="R57" i="163" s="1"/>
  <c r="AF47" i="163"/>
  <c r="X47" i="163"/>
  <c r="D46" i="159"/>
  <c r="E46" i="159" s="1"/>
  <c r="D57" i="159"/>
  <c r="E57" i="159" s="1"/>
  <c r="U61" i="159"/>
  <c r="X61" i="159" s="1"/>
  <c r="AT61" i="159"/>
  <c r="AF61" i="163"/>
  <c r="X61" i="163"/>
  <c r="F59" i="346"/>
  <c r="M45" i="58"/>
  <c r="M43" i="58"/>
  <c r="S60" i="58"/>
  <c r="N60" i="58"/>
  <c r="T61" i="58"/>
  <c r="O61" i="58"/>
  <c r="H60" i="346"/>
  <c r="E59" i="346"/>
  <c r="D59" i="346"/>
  <c r="C59" i="346"/>
  <c r="N64" i="58"/>
  <c r="T65" i="58"/>
  <c r="C60" i="347"/>
  <c r="H61" i="347"/>
  <c r="H64" i="346"/>
  <c r="J60" i="345" s="1"/>
  <c r="T50" i="58"/>
  <c r="S49" i="58"/>
  <c r="N49" i="58"/>
  <c r="O50" i="58"/>
  <c r="H50" i="346"/>
  <c r="K50" i="58" s="1"/>
  <c r="E49" i="346"/>
  <c r="E14" i="82"/>
  <c r="E13" i="82"/>
  <c r="E11" i="82"/>
  <c r="Q35" i="3"/>
  <c r="P35" i="3"/>
  <c r="P38" i="3" s="1"/>
  <c r="Q23" i="3"/>
  <c r="P23" i="3"/>
  <c r="J50" i="58" l="1"/>
  <c r="E43" i="370"/>
  <c r="M60" i="58"/>
  <c r="G52" i="370"/>
  <c r="M49" i="58"/>
  <c r="G42" i="370"/>
  <c r="R49" i="58"/>
  <c r="I42" i="370"/>
  <c r="M64" i="58"/>
  <c r="D60" i="198" s="1"/>
  <c r="G56" i="370"/>
  <c r="R60" i="58"/>
  <c r="S70" i="58"/>
  <c r="F4" i="303" s="1"/>
  <c r="I52" i="370"/>
  <c r="I61" i="370" s="1"/>
  <c r="AC57" i="163"/>
  <c r="Z57" i="163" s="1"/>
  <c r="AG57" i="163" s="1"/>
  <c r="C60" i="345"/>
  <c r="I61" i="347"/>
  <c r="J61" i="347" s="1"/>
  <c r="K61" i="58"/>
  <c r="J56" i="345"/>
  <c r="Q36" i="3"/>
  <c r="P36" i="3"/>
  <c r="R47" i="163"/>
  <c r="AC47" i="163"/>
  <c r="G65" i="58"/>
  <c r="I60" i="346"/>
  <c r="D57" i="198"/>
  <c r="E57" i="198" s="1"/>
  <c r="U57" i="198" s="1"/>
  <c r="AT46" i="159"/>
  <c r="U46" i="159"/>
  <c r="X46" i="159" s="1"/>
  <c r="D61" i="198"/>
  <c r="E61" i="198" s="1"/>
  <c r="U61" i="198" s="1"/>
  <c r="AF61" i="198" s="1"/>
  <c r="I64" i="346"/>
  <c r="D47" i="198"/>
  <c r="E47" i="198" s="1"/>
  <c r="U47" i="198" s="1"/>
  <c r="AF47" i="198" s="1"/>
  <c r="K65" i="58"/>
  <c r="AT57" i="159"/>
  <c r="U57" i="159"/>
  <c r="X57" i="159" s="1"/>
  <c r="BT61" i="159"/>
  <c r="BF61" i="159"/>
  <c r="AW61" i="159"/>
  <c r="BM61" i="159" s="1"/>
  <c r="R61" i="159"/>
  <c r="AC61" i="159"/>
  <c r="R61" i="163"/>
  <c r="AC61" i="163"/>
  <c r="X57" i="198"/>
  <c r="AF57" i="198"/>
  <c r="I50" i="346"/>
  <c r="G49" i="370" l="1"/>
  <c r="I60" i="347"/>
  <c r="AL57" i="163"/>
  <c r="J65" i="58"/>
  <c r="E57" i="370"/>
  <c r="O65" i="58"/>
  <c r="C57" i="370"/>
  <c r="J61" i="58"/>
  <c r="E53" i="370"/>
  <c r="X61" i="198"/>
  <c r="AC61" i="198" s="1"/>
  <c r="Z47" i="163"/>
  <c r="AG47" i="163" s="1"/>
  <c r="AL47" i="163"/>
  <c r="R46" i="159"/>
  <c r="AC46" i="159"/>
  <c r="BF46" i="159"/>
  <c r="BT46" i="159"/>
  <c r="AW46" i="159"/>
  <c r="BM46" i="159" s="1"/>
  <c r="X47" i="198"/>
  <c r="AC47" i="198" s="1"/>
  <c r="J60" i="346"/>
  <c r="I59" i="346"/>
  <c r="J64" i="346"/>
  <c r="I63" i="346"/>
  <c r="Z61" i="159"/>
  <c r="BC61" i="159"/>
  <c r="AH61" i="159"/>
  <c r="BB61" i="159"/>
  <c r="BI61" i="159"/>
  <c r="AQ61" i="159"/>
  <c r="R57" i="159"/>
  <c r="AC57" i="159"/>
  <c r="AW57" i="159"/>
  <c r="BT57" i="159"/>
  <c r="BF57" i="159"/>
  <c r="AL61" i="163"/>
  <c r="Z61" i="163"/>
  <c r="AG61" i="163" s="1"/>
  <c r="AC57" i="198"/>
  <c r="R57" i="198"/>
  <c r="I49" i="346"/>
  <c r="J50" i="346"/>
  <c r="V28" i="27"/>
  <c r="S28" i="27"/>
  <c r="Z28" i="27" s="1"/>
  <c r="S25" i="27"/>
  <c r="V22" i="27"/>
  <c r="W22" i="27" s="1"/>
  <c r="O16" i="27"/>
  <c r="P16" i="27" s="1"/>
  <c r="P19" i="27" s="1"/>
  <c r="R47" i="198" l="1"/>
  <c r="R61" i="198"/>
  <c r="AC28" i="27"/>
  <c r="W28" i="27"/>
  <c r="Z25" i="27"/>
  <c r="W25" i="27"/>
  <c r="Z46" i="159"/>
  <c r="AH46" i="159"/>
  <c r="BC46" i="159"/>
  <c r="AQ46" i="159"/>
  <c r="BI46" i="159"/>
  <c r="BB46" i="159"/>
  <c r="BD61" i="159"/>
  <c r="BQ61" i="159"/>
  <c r="AQ57" i="159"/>
  <c r="BB57" i="159"/>
  <c r="BI57" i="159"/>
  <c r="Z57" i="159"/>
  <c r="AH57" i="159"/>
  <c r="BC57" i="159"/>
  <c r="AY61" i="159"/>
  <c r="Z61" i="198"/>
  <c r="AG61" i="198" s="1"/>
  <c r="AL61" i="198"/>
  <c r="Z57" i="198"/>
  <c r="AG57" i="198" s="1"/>
  <c r="AL57" i="198"/>
  <c r="Z47" i="198"/>
  <c r="AG47" i="198" s="1"/>
  <c r="AL47" i="198"/>
  <c r="N16" i="27"/>
  <c r="O9" i="27"/>
  <c r="P9" i="27" s="1"/>
  <c r="O7" i="27"/>
  <c r="Q7" i="27"/>
  <c r="M32" i="27"/>
  <c r="N32" i="27" s="1"/>
  <c r="M31" i="27"/>
  <c r="N31" i="27" s="1"/>
  <c r="P21" i="27"/>
  <c r="M21" i="27"/>
  <c r="N22" i="27"/>
  <c r="M23" i="27"/>
  <c r="N23" i="27" s="1"/>
  <c r="M24" i="27"/>
  <c r="N24" i="27" s="1"/>
  <c r="P24" i="27"/>
  <c r="M25" i="27"/>
  <c r="N25" i="27" s="1"/>
  <c r="P26" i="27"/>
  <c r="M26" i="27"/>
  <c r="N26" i="27" s="1"/>
  <c r="L13" i="27"/>
  <c r="P13" i="27" s="1"/>
  <c r="L12" i="27"/>
  <c r="P12" i="27" s="1"/>
  <c r="O11" i="27"/>
  <c r="M11" i="27" s="1"/>
  <c r="N11" i="27" s="1"/>
  <c r="L11" i="27"/>
  <c r="O10" i="27"/>
  <c r="M10" i="27" s="1"/>
  <c r="N10" i="27" s="1"/>
  <c r="L10" i="27"/>
  <c r="L7" i="27"/>
  <c r="L14" i="27" l="1"/>
  <c r="M7" i="27"/>
  <c r="O14" i="27"/>
  <c r="Q10" i="27"/>
  <c r="X10" i="27" s="1"/>
  <c r="J10" i="27"/>
  <c r="Q11" i="27"/>
  <c r="X11" i="27" s="1"/>
  <c r="J11" i="27"/>
  <c r="K11" i="27" s="1"/>
  <c r="V16" i="27"/>
  <c r="AC16" i="27" s="1"/>
  <c r="AY46" i="159"/>
  <c r="BD46" i="159"/>
  <c r="BQ46" i="159"/>
  <c r="AY57" i="159"/>
  <c r="BQ57" i="159"/>
  <c r="BJ61" i="159"/>
  <c r="BK61" i="159" s="1"/>
  <c r="BS61" i="159"/>
  <c r="BD57" i="159"/>
  <c r="P25" i="27"/>
  <c r="P22" i="27"/>
  <c r="N21" i="27"/>
  <c r="P7" i="27"/>
  <c r="M9" i="27"/>
  <c r="N9" i="27" s="1"/>
  <c r="P11" i="27"/>
  <c r="P10" i="27"/>
  <c r="P29" i="27" l="1"/>
  <c r="P14" i="27"/>
  <c r="N7" i="27"/>
  <c r="N14" i="27" s="1"/>
  <c r="M14" i="27"/>
  <c r="K10" i="27"/>
  <c r="K14" i="27" s="1"/>
  <c r="J14" i="27"/>
  <c r="BJ46" i="159"/>
  <c r="BK46" i="159" s="1"/>
  <c r="BS46" i="159"/>
  <c r="BJ57" i="159"/>
  <c r="BS57" i="159"/>
  <c r="G30" i="82"/>
  <c r="G29" i="82"/>
  <c r="G28" i="82"/>
  <c r="G27" i="82"/>
  <c r="G26" i="82"/>
  <c r="G25" i="82"/>
  <c r="G24" i="82"/>
  <c r="G23" i="82"/>
  <c r="C26" i="82"/>
  <c r="C25" i="82"/>
  <c r="C24" i="82"/>
  <c r="C22" i="82"/>
  <c r="D5" i="82"/>
  <c r="G5" i="82" s="1"/>
  <c r="D13" i="82"/>
  <c r="G13" i="82" s="1"/>
  <c r="D7" i="82"/>
  <c r="G7" i="82" s="1"/>
  <c r="N62" i="58" l="1"/>
  <c r="N48" i="277"/>
  <c r="Q39" i="277"/>
  <c r="R39" i="277"/>
  <c r="N45" i="277"/>
  <c r="M45" i="277"/>
  <c r="M48" i="277"/>
  <c r="M44" i="277"/>
  <c r="M46" i="277"/>
  <c r="M57" i="277"/>
  <c r="Q36" i="58"/>
  <c r="I36" i="58"/>
  <c r="Q35" i="58"/>
  <c r="P35" i="58"/>
  <c r="Q34" i="58"/>
  <c r="P34" i="58"/>
  <c r="Q32" i="58"/>
  <c r="P32" i="58"/>
  <c r="P28" i="58"/>
  <c r="S27" i="58"/>
  <c r="I20" i="370" s="1"/>
  <c r="Q27" i="58"/>
  <c r="P27" i="58"/>
  <c r="Q26" i="58"/>
  <c r="P26" i="58"/>
  <c r="Q14" i="58"/>
  <c r="P14" i="58"/>
  <c r="I34" i="346"/>
  <c r="I35" i="346"/>
  <c r="C35" i="346"/>
  <c r="C34" i="346"/>
  <c r="H8" i="173" l="1"/>
  <c r="H7" i="173"/>
  <c r="M62" i="58"/>
  <c r="G54" i="370"/>
  <c r="O45" i="277"/>
  <c r="S39" i="277"/>
  <c r="T39" i="277" s="1"/>
  <c r="M5" i="307"/>
  <c r="G73" i="58"/>
  <c r="G61" i="370" l="1"/>
  <c r="Q40" i="58"/>
  <c r="I40" i="58"/>
  <c r="Q49" i="58"/>
  <c r="Q41" i="58"/>
  <c r="P41" i="58"/>
  <c r="H41" i="58"/>
  <c r="I41" i="58"/>
  <c r="Q43" i="58"/>
  <c r="Q42" i="58"/>
  <c r="I43" i="58"/>
  <c r="I42" i="58"/>
  <c r="E43" i="58"/>
  <c r="E42" i="58"/>
  <c r="Q44" i="58"/>
  <c r="P44" i="58"/>
  <c r="I44" i="58"/>
  <c r="E44" i="58"/>
  <c r="R45" i="58"/>
  <c r="I45" i="58"/>
  <c r="Q45" i="58"/>
  <c r="Q46" i="58"/>
  <c r="P46" i="58"/>
  <c r="I46" i="58"/>
  <c r="H46" i="58"/>
  <c r="Q48" i="58"/>
  <c r="I48" i="58"/>
  <c r="I49" i="58"/>
  <c r="L45" i="58" l="1"/>
  <c r="S50" i="356"/>
  <c r="S51" i="356"/>
  <c r="S52" i="356"/>
  <c r="S49" i="356"/>
  <c r="S53" i="356" s="1"/>
  <c r="P60" i="58" l="1"/>
  <c r="Q64" i="58"/>
  <c r="Q60" i="58"/>
  <c r="I64" i="58"/>
  <c r="I63" i="58"/>
  <c r="I62" i="58"/>
  <c r="I60" i="58"/>
  <c r="I35" i="58"/>
  <c r="L60" i="58" l="1"/>
  <c r="D37" i="365"/>
  <c r="I12" i="346"/>
  <c r="E14" i="58"/>
  <c r="F19" i="358" l="1"/>
  <c r="L53" i="358"/>
  <c r="L52" i="358"/>
  <c r="L51" i="358"/>
  <c r="L50" i="358"/>
  <c r="L49" i="358"/>
  <c r="M50" i="358"/>
  <c r="M49" i="358"/>
  <c r="M53" i="358"/>
  <c r="M52" i="358"/>
  <c r="M51" i="358"/>
  <c r="K53" i="358"/>
  <c r="K52" i="358"/>
  <c r="K51" i="358"/>
  <c r="K50" i="358"/>
  <c r="K49" i="358"/>
  <c r="N47" i="358"/>
  <c r="M47" i="358"/>
  <c r="D32" i="358"/>
  <c r="C32" i="358"/>
  <c r="C33" i="358" s="1"/>
  <c r="F56" i="365"/>
  <c r="N55" i="365"/>
  <c r="N51" i="365"/>
  <c r="L55" i="365"/>
  <c r="L52" i="365"/>
  <c r="L51" i="365"/>
  <c r="E56" i="365"/>
  <c r="E54" i="358"/>
  <c r="M55" i="365"/>
  <c r="M54" i="365"/>
  <c r="M53" i="365"/>
  <c r="M52" i="365"/>
  <c r="M51" i="365"/>
  <c r="K55" i="365"/>
  <c r="K54" i="365"/>
  <c r="K53" i="365"/>
  <c r="K52" i="365"/>
  <c r="K51" i="365"/>
  <c r="N49" i="365"/>
  <c r="M49" i="365"/>
  <c r="C37" i="365"/>
  <c r="M56" i="365" l="1"/>
  <c r="N53" i="358"/>
  <c r="N52" i="358"/>
  <c r="N51" i="358"/>
  <c r="N50" i="358"/>
  <c r="N49" i="358"/>
  <c r="I32" i="358"/>
  <c r="F35" i="358"/>
  <c r="G35" i="358"/>
  <c r="H35" i="358"/>
  <c r="I35" i="358"/>
  <c r="K14" i="358"/>
  <c r="D36" i="358"/>
  <c r="C36" i="358"/>
  <c r="K33" i="358" l="1"/>
  <c r="N45" i="360"/>
  <c r="N44" i="360"/>
  <c r="N43" i="360"/>
  <c r="N42" i="360"/>
  <c r="N41" i="360"/>
  <c r="L45" i="360"/>
  <c r="L44" i="360"/>
  <c r="L43" i="360"/>
  <c r="L42" i="360"/>
  <c r="L41" i="360"/>
  <c r="I29" i="360"/>
  <c r="G29" i="360"/>
  <c r="G14" i="360"/>
  <c r="N42" i="366"/>
  <c r="N41" i="366"/>
  <c r="N40" i="366"/>
  <c r="N39" i="366"/>
  <c r="N38" i="366"/>
  <c r="G27" i="366"/>
  <c r="I27" i="366"/>
  <c r="I28" i="366" s="1"/>
  <c r="E38" i="358"/>
  <c r="D14" i="58"/>
  <c r="I12" i="347"/>
  <c r="N54" i="365"/>
  <c r="N53" i="365"/>
  <c r="N52" i="365"/>
  <c r="L54" i="365"/>
  <c r="L53" i="365"/>
  <c r="K29" i="365"/>
  <c r="K31" i="365"/>
  <c r="K32" i="365"/>
  <c r="K33" i="365"/>
  <c r="K30" i="365"/>
  <c r="K11" i="365"/>
  <c r="G29" i="365"/>
  <c r="I11" i="365"/>
  <c r="H11" i="365"/>
  <c r="G11" i="365"/>
  <c r="L14" i="365"/>
  <c r="K14" i="365"/>
  <c r="I14" i="365"/>
  <c r="N56" i="365" l="1"/>
  <c r="L67" i="346"/>
  <c r="C43" i="366" l="1"/>
  <c r="L56" i="365"/>
  <c r="K56" i="365"/>
  <c r="D56" i="365"/>
  <c r="C56" i="365"/>
  <c r="K34" i="365"/>
  <c r="E32" i="360" l="1"/>
  <c r="D32" i="360"/>
  <c r="F32" i="360"/>
  <c r="G32" i="360"/>
  <c r="H32" i="360"/>
  <c r="I32" i="360"/>
  <c r="J32" i="360"/>
  <c r="C32" i="360"/>
  <c r="D17" i="360"/>
  <c r="E17" i="360"/>
  <c r="F17" i="360"/>
  <c r="G17" i="360"/>
  <c r="H17" i="360"/>
  <c r="I17" i="360"/>
  <c r="J17" i="360"/>
  <c r="C17" i="360"/>
  <c r="I30" i="366"/>
  <c r="I32" i="366" s="1"/>
  <c r="J30" i="366"/>
  <c r="D30" i="366"/>
  <c r="E30" i="366"/>
  <c r="F30" i="366"/>
  <c r="G30" i="366"/>
  <c r="C30" i="366"/>
  <c r="H30" i="366"/>
  <c r="D28" i="366"/>
  <c r="E28" i="366"/>
  <c r="F28" i="366"/>
  <c r="G28" i="366"/>
  <c r="J28" i="366"/>
  <c r="C28" i="366"/>
  <c r="D15" i="366"/>
  <c r="E15" i="366"/>
  <c r="F15" i="366"/>
  <c r="G15" i="366"/>
  <c r="I15" i="366"/>
  <c r="J15" i="366"/>
  <c r="C15" i="366"/>
  <c r="H15" i="366"/>
  <c r="H8" i="366"/>
  <c r="C13" i="366"/>
  <c r="G38" i="358"/>
  <c r="H38" i="358"/>
  <c r="I38" i="358"/>
  <c r="F38" i="358"/>
  <c r="J38" i="358"/>
  <c r="K35" i="358"/>
  <c r="K40" i="358" s="1"/>
  <c r="L35" i="358"/>
  <c r="D35" i="358"/>
  <c r="C35" i="358"/>
  <c r="J35" i="358"/>
  <c r="G19" i="358"/>
  <c r="H19" i="358"/>
  <c r="I19" i="358"/>
  <c r="J19" i="358"/>
  <c r="K19" i="358"/>
  <c r="L19" i="358"/>
  <c r="K16" i="358"/>
  <c r="L16" i="358"/>
  <c r="I16" i="358"/>
  <c r="D16" i="358"/>
  <c r="C16" i="358"/>
  <c r="J15" i="358"/>
  <c r="J16" i="358" s="1"/>
  <c r="J13" i="358"/>
  <c r="J12" i="358"/>
  <c r="J11" i="358"/>
  <c r="G39" i="365"/>
  <c r="H39" i="365"/>
  <c r="I39" i="365"/>
  <c r="F39" i="365"/>
  <c r="C32" i="366" l="1"/>
  <c r="K21" i="358"/>
  <c r="K42" i="358" s="1"/>
  <c r="I18" i="346" s="1"/>
  <c r="J39" i="365"/>
  <c r="G32" i="366"/>
  <c r="E32" i="366"/>
  <c r="F32" i="366"/>
  <c r="C16" i="366"/>
  <c r="J32" i="366"/>
  <c r="D32" i="366"/>
  <c r="L36" i="365"/>
  <c r="K36" i="365"/>
  <c r="K41" i="365" s="1"/>
  <c r="J35" i="365"/>
  <c r="J36" i="365" s="1"/>
  <c r="I36" i="365"/>
  <c r="D36" i="365"/>
  <c r="C36" i="365"/>
  <c r="L20" i="365"/>
  <c r="K20" i="365"/>
  <c r="G20" i="365"/>
  <c r="H20" i="365"/>
  <c r="I20" i="365"/>
  <c r="F20" i="365"/>
  <c r="J19" i="365"/>
  <c r="J20" i="365" s="1"/>
  <c r="L17" i="365"/>
  <c r="K17" i="365"/>
  <c r="I17" i="365"/>
  <c r="D17" i="365"/>
  <c r="C17" i="365"/>
  <c r="J16" i="365"/>
  <c r="J17" i="365" s="1"/>
  <c r="C33" i="366" l="1"/>
  <c r="D26" i="58" s="1"/>
  <c r="L43" i="141"/>
  <c r="H35" i="8" s="1"/>
  <c r="L42" i="141"/>
  <c r="H34" i="8" s="1"/>
  <c r="C38" i="97"/>
  <c r="G24" i="97"/>
  <c r="G23" i="97"/>
  <c r="G28" i="8"/>
  <c r="G29" i="8"/>
  <c r="G30" i="8"/>
  <c r="G31" i="8"/>
  <c r="G27" i="8"/>
  <c r="V39" i="27"/>
  <c r="V40" i="27"/>
  <c r="V32" i="27" s="1"/>
  <c r="W32" i="27" s="1"/>
  <c r="AC32" i="27" s="1"/>
  <c r="S40" i="27"/>
  <c r="R39" i="27"/>
  <c r="Q39" i="27"/>
  <c r="G41" i="27"/>
  <c r="U38" i="27" s="1"/>
  <c r="U41" i="27" s="1"/>
  <c r="AB38" i="27" s="1"/>
  <c r="F41" i="27"/>
  <c r="T38" i="27" s="1"/>
  <c r="H39" i="27"/>
  <c r="H40" i="27"/>
  <c r="H38" i="27"/>
  <c r="D41" i="27"/>
  <c r="R38" i="27" s="1"/>
  <c r="C41" i="27"/>
  <c r="Q38" i="27" s="1"/>
  <c r="E39" i="27"/>
  <c r="E40" i="27"/>
  <c r="E38" i="27"/>
  <c r="S38" i="27" l="1"/>
  <c r="V38" i="27"/>
  <c r="T41" i="27"/>
  <c r="AA38" i="27" s="1"/>
  <c r="C28" i="27"/>
  <c r="C34" i="27"/>
  <c r="D34" i="27" s="1"/>
  <c r="C30" i="27"/>
  <c r="C32" i="27"/>
  <c r="C25" i="27"/>
  <c r="C24" i="27"/>
  <c r="C21" i="27"/>
  <c r="C22" i="27"/>
  <c r="C26" i="27"/>
  <c r="F34" i="27"/>
  <c r="G34" i="27" s="1"/>
  <c r="F7" i="27"/>
  <c r="F10" i="27"/>
  <c r="G10" i="27" s="1"/>
  <c r="F28" i="27"/>
  <c r="G28" i="27" s="1"/>
  <c r="F30" i="27"/>
  <c r="G30" i="27" s="1"/>
  <c r="F9" i="27"/>
  <c r="G9" i="27" s="1"/>
  <c r="F21" i="27"/>
  <c r="G21" i="27" s="1"/>
  <c r="F32" i="27"/>
  <c r="G32" i="27" s="1"/>
  <c r="F22" i="27"/>
  <c r="G22" i="27" s="1"/>
  <c r="F11" i="27"/>
  <c r="G11" i="27" s="1"/>
  <c r="F31" i="27"/>
  <c r="G31" i="27" s="1"/>
  <c r="T31" i="27"/>
  <c r="U31" i="27" s="1"/>
  <c r="T32" i="27"/>
  <c r="Q30" i="27"/>
  <c r="R30" i="27" s="1"/>
  <c r="Q22" i="27"/>
  <c r="R22" i="27" s="1"/>
  <c r="Q24" i="27"/>
  <c r="R24" i="27" s="1"/>
  <c r="Q21" i="27"/>
  <c r="R21" i="27" s="1"/>
  <c r="Q25" i="27"/>
  <c r="R25" i="27" s="1"/>
  <c r="Q28" i="27"/>
  <c r="R28" i="27" s="1"/>
  <c r="H41" i="27"/>
  <c r="I38" i="27"/>
  <c r="I39" i="27"/>
  <c r="Q41" i="27"/>
  <c r="X38" i="27" s="1"/>
  <c r="U78" i="27"/>
  <c r="U82" i="27" s="1"/>
  <c r="I40" i="27"/>
  <c r="W40" i="27"/>
  <c r="S39" i="27"/>
  <c r="W39" i="27" s="1"/>
  <c r="R41" i="27"/>
  <c r="Y38" i="27" s="1"/>
  <c r="W38" i="27"/>
  <c r="E41" i="27"/>
  <c r="V41" i="27"/>
  <c r="D11" i="373" l="1"/>
  <c r="C10" i="374"/>
  <c r="C7" i="374"/>
  <c r="C11" i="373"/>
  <c r="C8" i="374"/>
  <c r="C12" i="373"/>
  <c r="C6" i="374"/>
  <c r="C9" i="374" s="1"/>
  <c r="C12" i="374" s="1"/>
  <c r="C10" i="373"/>
  <c r="D12" i="373"/>
  <c r="C11" i="374"/>
  <c r="G7" i="27"/>
  <c r="G14" i="27" s="1"/>
  <c r="D22" i="27"/>
  <c r="J22" i="27"/>
  <c r="K22" i="27" s="1"/>
  <c r="J21" i="27"/>
  <c r="K21" i="27" s="1"/>
  <c r="D21" i="27"/>
  <c r="I41" i="27"/>
  <c r="D25" i="27"/>
  <c r="J25" i="27"/>
  <c r="K25" i="27" s="1"/>
  <c r="J24" i="27"/>
  <c r="K24" i="27" s="1"/>
  <c r="D24" i="27"/>
  <c r="D32" i="27"/>
  <c r="J32" i="27"/>
  <c r="K32" i="27" s="1"/>
  <c r="D30" i="27"/>
  <c r="J30" i="27"/>
  <c r="K30" i="27" s="1"/>
  <c r="D26" i="27"/>
  <c r="J26" i="27"/>
  <c r="K26" i="27" s="1"/>
  <c r="D28" i="27"/>
  <c r="J28" i="27"/>
  <c r="K28" i="27" s="1"/>
  <c r="W41" i="27"/>
  <c r="S41" i="27"/>
  <c r="H15" i="227"/>
  <c r="H17" i="227" s="1"/>
  <c r="H19" i="227" s="1"/>
  <c r="H21" i="227" s="1"/>
  <c r="H23" i="227" s="1"/>
  <c r="F16" i="227"/>
  <c r="F15" i="227"/>
  <c r="F8" i="227"/>
  <c r="C11" i="227"/>
  <c r="C15" i="227" s="1"/>
  <c r="C17" i="227" s="1"/>
  <c r="C19" i="227" s="1"/>
  <c r="C8" i="227"/>
  <c r="E8" i="101"/>
  <c r="F17" i="227" l="1"/>
  <c r="F19" i="227" s="1"/>
  <c r="F21" i="227" s="1"/>
  <c r="F23" i="227" s="1"/>
  <c r="C13" i="373"/>
  <c r="D10" i="373" s="1"/>
  <c r="D13" i="373" s="1"/>
  <c r="E10" i="373" s="1"/>
  <c r="C14" i="373"/>
  <c r="C21" i="227"/>
  <c r="C23" i="227" s="1"/>
  <c r="P46" i="356"/>
  <c r="D14" i="373" l="1"/>
  <c r="P176" i="356"/>
  <c r="P175" i="356"/>
  <c r="P174" i="356"/>
  <c r="P173" i="356"/>
  <c r="N176" i="356"/>
  <c r="O176" i="356" s="1"/>
  <c r="Q176" i="356" s="1"/>
  <c r="S176" i="356" s="1"/>
  <c r="N175" i="356"/>
  <c r="O175" i="356" s="1"/>
  <c r="Q175" i="356" s="1"/>
  <c r="S175" i="356" s="1"/>
  <c r="N174" i="356"/>
  <c r="M174" i="356"/>
  <c r="L174" i="356"/>
  <c r="K174" i="356"/>
  <c r="N173" i="356"/>
  <c r="M173" i="356"/>
  <c r="L173" i="356"/>
  <c r="K173" i="356"/>
  <c r="H174" i="356"/>
  <c r="H175" i="356"/>
  <c r="H176" i="356"/>
  <c r="H173" i="356"/>
  <c r="P170" i="356"/>
  <c r="P169" i="356"/>
  <c r="P168" i="356"/>
  <c r="P167" i="356"/>
  <c r="P166" i="356"/>
  <c r="P165" i="356"/>
  <c r="P164" i="356"/>
  <c r="P163" i="356"/>
  <c r="P162" i="356"/>
  <c r="P161" i="356"/>
  <c r="P160" i="356"/>
  <c r="P159" i="356"/>
  <c r="P158" i="356"/>
  <c r="P157" i="356"/>
  <c r="P156" i="356"/>
  <c r="P155" i="356"/>
  <c r="P154" i="356"/>
  <c r="P153" i="356"/>
  <c r="P152" i="356"/>
  <c r="P151" i="356"/>
  <c r="P150" i="356"/>
  <c r="P149" i="356"/>
  <c r="P148" i="356"/>
  <c r="P147" i="356"/>
  <c r="P146" i="356"/>
  <c r="P145" i="356"/>
  <c r="P144" i="356"/>
  <c r="P143" i="356"/>
  <c r="N170" i="356"/>
  <c r="M170" i="356"/>
  <c r="L170" i="356"/>
  <c r="K170" i="356"/>
  <c r="J170" i="356"/>
  <c r="I170" i="356"/>
  <c r="N169" i="356"/>
  <c r="M169" i="356"/>
  <c r="L169" i="356"/>
  <c r="K169" i="356"/>
  <c r="J169" i="356"/>
  <c r="I169" i="356"/>
  <c r="N168" i="356"/>
  <c r="M168" i="356"/>
  <c r="L168" i="356"/>
  <c r="K168" i="356"/>
  <c r="J168" i="356"/>
  <c r="I168" i="356"/>
  <c r="N167" i="356"/>
  <c r="M167" i="356"/>
  <c r="L167" i="356"/>
  <c r="K167" i="356"/>
  <c r="J167" i="356"/>
  <c r="I167" i="356"/>
  <c r="N166" i="356"/>
  <c r="M166" i="356"/>
  <c r="L166" i="356"/>
  <c r="K166" i="356"/>
  <c r="J166" i="356"/>
  <c r="I166" i="356"/>
  <c r="N165" i="356"/>
  <c r="M165" i="356"/>
  <c r="L165" i="356"/>
  <c r="K165" i="356"/>
  <c r="J165" i="356"/>
  <c r="I165" i="356"/>
  <c r="N164" i="356"/>
  <c r="M164" i="356"/>
  <c r="L164" i="356"/>
  <c r="K164" i="356"/>
  <c r="J164" i="356"/>
  <c r="I164" i="356"/>
  <c r="N163" i="356"/>
  <c r="M163" i="356"/>
  <c r="L163" i="356"/>
  <c r="K163" i="356"/>
  <c r="J163" i="356"/>
  <c r="I163" i="356"/>
  <c r="N162" i="356"/>
  <c r="M162" i="356"/>
  <c r="L162" i="356"/>
  <c r="K162" i="356"/>
  <c r="J162" i="356"/>
  <c r="I162" i="356"/>
  <c r="N161" i="356"/>
  <c r="M161" i="356"/>
  <c r="L161" i="356"/>
  <c r="K161" i="356"/>
  <c r="J161" i="356"/>
  <c r="I161" i="356"/>
  <c r="N160" i="356"/>
  <c r="M160" i="356"/>
  <c r="L160" i="356"/>
  <c r="K160" i="356"/>
  <c r="J160" i="356"/>
  <c r="I160" i="356"/>
  <c r="N159" i="356"/>
  <c r="M159" i="356"/>
  <c r="L159" i="356"/>
  <c r="K159" i="356"/>
  <c r="J159" i="356"/>
  <c r="I159" i="356"/>
  <c r="N158" i="356"/>
  <c r="M158" i="356"/>
  <c r="L158" i="356"/>
  <c r="K158" i="356"/>
  <c r="J158" i="356"/>
  <c r="I158" i="356"/>
  <c r="N157" i="356"/>
  <c r="M157" i="356"/>
  <c r="L157" i="356"/>
  <c r="K157" i="356"/>
  <c r="J157" i="356"/>
  <c r="I157" i="356"/>
  <c r="N156" i="356"/>
  <c r="M156" i="356"/>
  <c r="L156" i="356"/>
  <c r="K156" i="356"/>
  <c r="J156" i="356"/>
  <c r="I156" i="356"/>
  <c r="N155" i="356"/>
  <c r="M155" i="356"/>
  <c r="L155" i="356"/>
  <c r="K155" i="356"/>
  <c r="J155" i="356"/>
  <c r="I155" i="356"/>
  <c r="N154" i="356"/>
  <c r="M154" i="356"/>
  <c r="L154" i="356"/>
  <c r="K154" i="356"/>
  <c r="J154" i="356"/>
  <c r="I154" i="356"/>
  <c r="N153" i="356"/>
  <c r="M153" i="356"/>
  <c r="L153" i="356"/>
  <c r="K153" i="356"/>
  <c r="J153" i="356"/>
  <c r="I153" i="356"/>
  <c r="N152" i="356"/>
  <c r="M152" i="356"/>
  <c r="L152" i="356"/>
  <c r="K152" i="356"/>
  <c r="J152" i="356"/>
  <c r="I152" i="356"/>
  <c r="N151" i="356"/>
  <c r="M151" i="356"/>
  <c r="L151" i="356"/>
  <c r="K151" i="356"/>
  <c r="J151" i="356"/>
  <c r="I151" i="356"/>
  <c r="N150" i="356"/>
  <c r="M150" i="356"/>
  <c r="L150" i="356"/>
  <c r="K150" i="356"/>
  <c r="J150" i="356"/>
  <c r="I150" i="356"/>
  <c r="N149" i="356"/>
  <c r="M149" i="356"/>
  <c r="L149" i="356"/>
  <c r="K149" i="356"/>
  <c r="J149" i="356"/>
  <c r="I149" i="356"/>
  <c r="N148" i="356"/>
  <c r="M148" i="356"/>
  <c r="L148" i="356"/>
  <c r="K148" i="356"/>
  <c r="J148" i="356"/>
  <c r="I148" i="356"/>
  <c r="N147" i="356"/>
  <c r="M147" i="356"/>
  <c r="L147" i="356"/>
  <c r="K147" i="356"/>
  <c r="J147" i="356"/>
  <c r="I147" i="356"/>
  <c r="N146" i="356"/>
  <c r="M146" i="356"/>
  <c r="L146" i="356"/>
  <c r="K146" i="356"/>
  <c r="J146" i="356"/>
  <c r="I146" i="356"/>
  <c r="N145" i="356"/>
  <c r="M145" i="356"/>
  <c r="L145" i="356"/>
  <c r="K145" i="356"/>
  <c r="J145" i="356"/>
  <c r="I145" i="356"/>
  <c r="N144" i="356"/>
  <c r="M144" i="356"/>
  <c r="L144" i="356"/>
  <c r="K144" i="356"/>
  <c r="J144" i="356"/>
  <c r="I144" i="356"/>
  <c r="N143" i="356"/>
  <c r="M143" i="356"/>
  <c r="L143" i="356"/>
  <c r="K143" i="356"/>
  <c r="J143" i="356"/>
  <c r="I143" i="356"/>
  <c r="H143" i="356"/>
  <c r="H144" i="356"/>
  <c r="H145" i="356"/>
  <c r="H146" i="356"/>
  <c r="H147" i="356"/>
  <c r="H148" i="356"/>
  <c r="H149" i="356"/>
  <c r="H150" i="356"/>
  <c r="H151" i="356"/>
  <c r="H152" i="356"/>
  <c r="H153" i="356"/>
  <c r="H154" i="356"/>
  <c r="H155" i="356"/>
  <c r="H156" i="356"/>
  <c r="H157" i="356"/>
  <c r="H158" i="356"/>
  <c r="H159" i="356"/>
  <c r="H160" i="356"/>
  <c r="H161" i="356"/>
  <c r="H162" i="356"/>
  <c r="H163" i="356"/>
  <c r="H164" i="356"/>
  <c r="H165" i="356"/>
  <c r="H166" i="356"/>
  <c r="H167" i="356"/>
  <c r="H168" i="356"/>
  <c r="H169" i="356"/>
  <c r="H170" i="356"/>
  <c r="P142" i="356"/>
  <c r="P141" i="356"/>
  <c r="P140" i="356"/>
  <c r="P139" i="356"/>
  <c r="N142" i="356"/>
  <c r="M142" i="356"/>
  <c r="L142" i="356"/>
  <c r="K142" i="356"/>
  <c r="J142" i="356"/>
  <c r="I142" i="356"/>
  <c r="N141" i="356"/>
  <c r="M141" i="356"/>
  <c r="L141" i="356"/>
  <c r="K141" i="356"/>
  <c r="J141" i="356"/>
  <c r="I141" i="356"/>
  <c r="N140" i="356"/>
  <c r="M140" i="356"/>
  <c r="L140" i="356"/>
  <c r="K140" i="356"/>
  <c r="J140" i="356"/>
  <c r="I140" i="356"/>
  <c r="N139" i="356"/>
  <c r="M139" i="356"/>
  <c r="L139" i="356"/>
  <c r="K139" i="356"/>
  <c r="J139" i="356"/>
  <c r="I139" i="356"/>
  <c r="H139" i="356"/>
  <c r="H140" i="356"/>
  <c r="H141" i="356"/>
  <c r="H142" i="356"/>
  <c r="P138" i="356"/>
  <c r="P137" i="356"/>
  <c r="P136" i="356"/>
  <c r="P135" i="356"/>
  <c r="P134" i="356"/>
  <c r="P133" i="356"/>
  <c r="P132" i="356"/>
  <c r="P131" i="356"/>
  <c r="P130" i="356"/>
  <c r="P129" i="356"/>
  <c r="P128" i="356"/>
  <c r="P127" i="356"/>
  <c r="P126" i="356"/>
  <c r="N138" i="356"/>
  <c r="M138" i="356"/>
  <c r="L138" i="356"/>
  <c r="K138" i="356"/>
  <c r="J138" i="356"/>
  <c r="I138" i="356"/>
  <c r="N137" i="356"/>
  <c r="M137" i="356"/>
  <c r="L137" i="356"/>
  <c r="K137" i="356"/>
  <c r="J137" i="356"/>
  <c r="I137" i="356"/>
  <c r="N136" i="356"/>
  <c r="M136" i="356"/>
  <c r="L136" i="356"/>
  <c r="K136" i="356"/>
  <c r="J136" i="356"/>
  <c r="I136" i="356"/>
  <c r="N135" i="356"/>
  <c r="M135" i="356"/>
  <c r="L135" i="356"/>
  <c r="K135" i="356"/>
  <c r="J135" i="356"/>
  <c r="I135" i="356"/>
  <c r="N134" i="356"/>
  <c r="M134" i="356"/>
  <c r="L134" i="356"/>
  <c r="K134" i="356"/>
  <c r="J134" i="356"/>
  <c r="I134" i="356"/>
  <c r="N133" i="356"/>
  <c r="M133" i="356"/>
  <c r="L133" i="356"/>
  <c r="K133" i="356"/>
  <c r="J133" i="356"/>
  <c r="I133" i="356"/>
  <c r="N132" i="356"/>
  <c r="M132" i="356"/>
  <c r="L132" i="356"/>
  <c r="K132" i="356"/>
  <c r="J132" i="356"/>
  <c r="I132" i="356"/>
  <c r="N131" i="356"/>
  <c r="M131" i="356"/>
  <c r="L131" i="356"/>
  <c r="K131" i="356"/>
  <c r="J131" i="356"/>
  <c r="I131" i="356"/>
  <c r="N130" i="356"/>
  <c r="M130" i="356"/>
  <c r="L130" i="356"/>
  <c r="K130" i="356"/>
  <c r="J130" i="356"/>
  <c r="I130" i="356"/>
  <c r="N129" i="356"/>
  <c r="M129" i="356"/>
  <c r="L129" i="356"/>
  <c r="K129" i="356"/>
  <c r="J129" i="356"/>
  <c r="I129" i="356"/>
  <c r="N128" i="356"/>
  <c r="M128" i="356"/>
  <c r="L128" i="356"/>
  <c r="K128" i="356"/>
  <c r="J128" i="356"/>
  <c r="I128" i="356"/>
  <c r="N127" i="356"/>
  <c r="M127" i="356"/>
  <c r="L127" i="356"/>
  <c r="K127" i="356"/>
  <c r="J127" i="356"/>
  <c r="I127" i="356"/>
  <c r="N126" i="356"/>
  <c r="M126" i="356"/>
  <c r="L126" i="356"/>
  <c r="K126" i="356"/>
  <c r="J126" i="356"/>
  <c r="I126" i="356"/>
  <c r="H126" i="356"/>
  <c r="H127" i="356"/>
  <c r="H128" i="356"/>
  <c r="H129" i="356"/>
  <c r="H130" i="356"/>
  <c r="H131" i="356"/>
  <c r="H132" i="356"/>
  <c r="H133" i="356"/>
  <c r="H134" i="356"/>
  <c r="H135" i="356"/>
  <c r="H136" i="356"/>
  <c r="H137" i="356"/>
  <c r="H138" i="356"/>
  <c r="P125" i="356"/>
  <c r="N125" i="356"/>
  <c r="M125" i="356"/>
  <c r="L125" i="356"/>
  <c r="K125" i="356"/>
  <c r="J125" i="356"/>
  <c r="I125" i="356"/>
  <c r="H125" i="356"/>
  <c r="P124" i="356"/>
  <c r="P123" i="356"/>
  <c r="P122" i="356"/>
  <c r="P121" i="356"/>
  <c r="P120" i="356"/>
  <c r="P119" i="356"/>
  <c r="P118" i="356"/>
  <c r="P117" i="356"/>
  <c r="P116" i="356"/>
  <c r="P115" i="356"/>
  <c r="P114" i="356"/>
  <c r="P113" i="356"/>
  <c r="P112" i="356"/>
  <c r="P111" i="356"/>
  <c r="P110" i="356"/>
  <c r="P109" i="356"/>
  <c r="P108" i="356"/>
  <c r="P107" i="356"/>
  <c r="P106" i="356"/>
  <c r="P105" i="356"/>
  <c r="P104" i="356"/>
  <c r="P103" i="356"/>
  <c r="P102" i="356"/>
  <c r="P101" i="356"/>
  <c r="P100" i="356"/>
  <c r="P99" i="356"/>
  <c r="P98" i="356"/>
  <c r="P97" i="356"/>
  <c r="P96" i="356"/>
  <c r="P95" i="356"/>
  <c r="P94" i="356"/>
  <c r="P93" i="356"/>
  <c r="P92" i="356"/>
  <c r="P91" i="356"/>
  <c r="P90" i="356"/>
  <c r="P89" i="356"/>
  <c r="P88" i="356"/>
  <c r="P87" i="356"/>
  <c r="P86" i="356"/>
  <c r="P85" i="356"/>
  <c r="P84" i="356"/>
  <c r="P83" i="356"/>
  <c r="P82" i="356"/>
  <c r="P81" i="356"/>
  <c r="P80" i="356"/>
  <c r="P79" i="356"/>
  <c r="P78" i="356"/>
  <c r="P77" i="356"/>
  <c r="P76" i="356"/>
  <c r="P75" i="356"/>
  <c r="P74" i="356"/>
  <c r="P73" i="356"/>
  <c r="N124" i="356"/>
  <c r="M124" i="356"/>
  <c r="L124" i="356"/>
  <c r="K124" i="356"/>
  <c r="J124" i="356"/>
  <c r="I124" i="356"/>
  <c r="N123" i="356"/>
  <c r="M123" i="356"/>
  <c r="L123" i="356"/>
  <c r="K123" i="356"/>
  <c r="J123" i="356"/>
  <c r="I123" i="356"/>
  <c r="N122" i="356"/>
  <c r="M122" i="356"/>
  <c r="L122" i="356"/>
  <c r="K122" i="356"/>
  <c r="J122" i="356"/>
  <c r="I122" i="356"/>
  <c r="N121" i="356"/>
  <c r="M121" i="356"/>
  <c r="L121" i="356"/>
  <c r="K121" i="356"/>
  <c r="J121" i="356"/>
  <c r="I121" i="356"/>
  <c r="N120" i="356"/>
  <c r="M120" i="356"/>
  <c r="L120" i="356"/>
  <c r="K120" i="356"/>
  <c r="J120" i="356"/>
  <c r="I120" i="356"/>
  <c r="N119" i="356"/>
  <c r="M119" i="356"/>
  <c r="L119" i="356"/>
  <c r="K119" i="356"/>
  <c r="J119" i="356"/>
  <c r="I119" i="356"/>
  <c r="N118" i="356"/>
  <c r="M118" i="356"/>
  <c r="L118" i="356"/>
  <c r="K118" i="356"/>
  <c r="J118" i="356"/>
  <c r="I118" i="356"/>
  <c r="N117" i="356"/>
  <c r="M117" i="356"/>
  <c r="L117" i="356"/>
  <c r="K117" i="356"/>
  <c r="J117" i="356"/>
  <c r="I117" i="356"/>
  <c r="N116" i="356"/>
  <c r="M116" i="356"/>
  <c r="L116" i="356"/>
  <c r="K116" i="356"/>
  <c r="J116" i="356"/>
  <c r="I116" i="356"/>
  <c r="N115" i="356"/>
  <c r="M115" i="356"/>
  <c r="L115" i="356"/>
  <c r="K115" i="356"/>
  <c r="J115" i="356"/>
  <c r="I115" i="356"/>
  <c r="N114" i="356"/>
  <c r="M114" i="356"/>
  <c r="L114" i="356"/>
  <c r="K114" i="356"/>
  <c r="J114" i="356"/>
  <c r="I114" i="356"/>
  <c r="N113" i="356"/>
  <c r="M113" i="356"/>
  <c r="L113" i="356"/>
  <c r="K113" i="356"/>
  <c r="J113" i="356"/>
  <c r="I113" i="356"/>
  <c r="N112" i="356"/>
  <c r="M112" i="356"/>
  <c r="L112" i="356"/>
  <c r="K112" i="356"/>
  <c r="J112" i="356"/>
  <c r="I112" i="356"/>
  <c r="N111" i="356"/>
  <c r="M111" i="356"/>
  <c r="L111" i="356"/>
  <c r="K111" i="356"/>
  <c r="J111" i="356"/>
  <c r="I111" i="356"/>
  <c r="N110" i="356"/>
  <c r="M110" i="356"/>
  <c r="L110" i="356"/>
  <c r="K110" i="356"/>
  <c r="J110" i="356"/>
  <c r="I110" i="356"/>
  <c r="N109" i="356"/>
  <c r="M109" i="356"/>
  <c r="L109" i="356"/>
  <c r="K109" i="356"/>
  <c r="J109" i="356"/>
  <c r="I109" i="356"/>
  <c r="N108" i="356"/>
  <c r="M108" i="356"/>
  <c r="L108" i="356"/>
  <c r="K108" i="356"/>
  <c r="J108" i="356"/>
  <c r="I108" i="356"/>
  <c r="N107" i="356"/>
  <c r="M107" i="356"/>
  <c r="L107" i="356"/>
  <c r="K107" i="356"/>
  <c r="J107" i="356"/>
  <c r="I107" i="356"/>
  <c r="N106" i="356"/>
  <c r="M106" i="356"/>
  <c r="L106" i="356"/>
  <c r="K106" i="356"/>
  <c r="J106" i="356"/>
  <c r="I106" i="356"/>
  <c r="N105" i="356"/>
  <c r="M105" i="356"/>
  <c r="L105" i="356"/>
  <c r="K105" i="356"/>
  <c r="J105" i="356"/>
  <c r="I105" i="356"/>
  <c r="N104" i="356"/>
  <c r="M104" i="356"/>
  <c r="L104" i="356"/>
  <c r="K104" i="356"/>
  <c r="J104" i="356"/>
  <c r="I104" i="356"/>
  <c r="N103" i="356"/>
  <c r="M103" i="356"/>
  <c r="L103" i="356"/>
  <c r="K103" i="356"/>
  <c r="J103" i="356"/>
  <c r="I103" i="356"/>
  <c r="N102" i="356"/>
  <c r="M102" i="356"/>
  <c r="L102" i="356"/>
  <c r="K102" i="356"/>
  <c r="J102" i="356"/>
  <c r="I102" i="356"/>
  <c r="N101" i="356"/>
  <c r="M101" i="356"/>
  <c r="L101" i="356"/>
  <c r="K101" i="356"/>
  <c r="J101" i="356"/>
  <c r="I101" i="356"/>
  <c r="N100" i="356"/>
  <c r="M100" i="356"/>
  <c r="L100" i="356"/>
  <c r="K100" i="356"/>
  <c r="J100" i="356"/>
  <c r="I100" i="356"/>
  <c r="N99" i="356"/>
  <c r="M99" i="356"/>
  <c r="L99" i="356"/>
  <c r="K99" i="356"/>
  <c r="J99" i="356"/>
  <c r="I99" i="356"/>
  <c r="N98" i="356"/>
  <c r="M98" i="356"/>
  <c r="L98" i="356"/>
  <c r="K98" i="356"/>
  <c r="J98" i="356"/>
  <c r="I98" i="356"/>
  <c r="N97" i="356"/>
  <c r="M97" i="356"/>
  <c r="L97" i="356"/>
  <c r="K97" i="356"/>
  <c r="J97" i="356"/>
  <c r="I97" i="356"/>
  <c r="N96" i="356"/>
  <c r="M96" i="356"/>
  <c r="L96" i="356"/>
  <c r="K96" i="356"/>
  <c r="J96" i="356"/>
  <c r="I96" i="356"/>
  <c r="N95" i="356"/>
  <c r="M95" i="356"/>
  <c r="L95" i="356"/>
  <c r="K95" i="356"/>
  <c r="J95" i="356"/>
  <c r="I95" i="356"/>
  <c r="N94" i="356"/>
  <c r="M94" i="356"/>
  <c r="L94" i="356"/>
  <c r="K94" i="356"/>
  <c r="J94" i="356"/>
  <c r="I94" i="356"/>
  <c r="N93" i="356"/>
  <c r="M93" i="356"/>
  <c r="L93" i="356"/>
  <c r="K93" i="356"/>
  <c r="J93" i="356"/>
  <c r="I93" i="356"/>
  <c r="N92" i="356"/>
  <c r="M92" i="356"/>
  <c r="L92" i="356"/>
  <c r="K92" i="356"/>
  <c r="J92" i="356"/>
  <c r="I92" i="356"/>
  <c r="N91" i="356"/>
  <c r="M91" i="356"/>
  <c r="L91" i="356"/>
  <c r="K91" i="356"/>
  <c r="J91" i="356"/>
  <c r="I91" i="356"/>
  <c r="N90" i="356"/>
  <c r="M90" i="356"/>
  <c r="L90" i="356"/>
  <c r="K90" i="356"/>
  <c r="J90" i="356"/>
  <c r="I90" i="356"/>
  <c r="N89" i="356"/>
  <c r="M89" i="356"/>
  <c r="L89" i="356"/>
  <c r="K89" i="356"/>
  <c r="J89" i="356"/>
  <c r="I89" i="356"/>
  <c r="N88" i="356"/>
  <c r="M88" i="356"/>
  <c r="L88" i="356"/>
  <c r="K88" i="356"/>
  <c r="J88" i="356"/>
  <c r="I88" i="356"/>
  <c r="N87" i="356"/>
  <c r="M87" i="356"/>
  <c r="L87" i="356"/>
  <c r="K87" i="356"/>
  <c r="J87" i="356"/>
  <c r="I87" i="356"/>
  <c r="N86" i="356"/>
  <c r="M86" i="356"/>
  <c r="L86" i="356"/>
  <c r="K86" i="356"/>
  <c r="J86" i="356"/>
  <c r="I86" i="356"/>
  <c r="N85" i="356"/>
  <c r="M85" i="356"/>
  <c r="L85" i="356"/>
  <c r="K85" i="356"/>
  <c r="J85" i="356"/>
  <c r="I85" i="356"/>
  <c r="N84" i="356"/>
  <c r="M84" i="356"/>
  <c r="L84" i="356"/>
  <c r="K84" i="356"/>
  <c r="J84" i="356"/>
  <c r="I84" i="356"/>
  <c r="N83" i="356"/>
  <c r="M83" i="356"/>
  <c r="L83" i="356"/>
  <c r="K83" i="356"/>
  <c r="J83" i="356"/>
  <c r="I83" i="356"/>
  <c r="N82" i="356"/>
  <c r="M82" i="356"/>
  <c r="L82" i="356"/>
  <c r="K82" i="356"/>
  <c r="J82" i="356"/>
  <c r="I82" i="356"/>
  <c r="N81" i="356"/>
  <c r="M81" i="356"/>
  <c r="L81" i="356"/>
  <c r="K81" i="356"/>
  <c r="J81" i="356"/>
  <c r="I81" i="356"/>
  <c r="N80" i="356"/>
  <c r="M80" i="356"/>
  <c r="L80" i="356"/>
  <c r="K80" i="356"/>
  <c r="J80" i="356"/>
  <c r="I80" i="356"/>
  <c r="N79" i="356"/>
  <c r="M79" i="356"/>
  <c r="L79" i="356"/>
  <c r="K79" i="356"/>
  <c r="J79" i="356"/>
  <c r="I79" i="356"/>
  <c r="N78" i="356"/>
  <c r="M78" i="356"/>
  <c r="L78" i="356"/>
  <c r="K78" i="356"/>
  <c r="J78" i="356"/>
  <c r="I78" i="356"/>
  <c r="N77" i="356"/>
  <c r="M77" i="356"/>
  <c r="L77" i="356"/>
  <c r="K77" i="356"/>
  <c r="J77" i="356"/>
  <c r="I77" i="356"/>
  <c r="N76" i="356"/>
  <c r="M76" i="356"/>
  <c r="L76" i="356"/>
  <c r="K76" i="356"/>
  <c r="J76" i="356"/>
  <c r="I76" i="356"/>
  <c r="N75" i="356"/>
  <c r="M75" i="356"/>
  <c r="L75" i="356"/>
  <c r="K75" i="356"/>
  <c r="J75" i="356"/>
  <c r="I75" i="356"/>
  <c r="N74" i="356"/>
  <c r="M74" i="356"/>
  <c r="L74" i="356"/>
  <c r="K74" i="356"/>
  <c r="J74" i="356"/>
  <c r="I74" i="356"/>
  <c r="N73" i="356"/>
  <c r="M73" i="356"/>
  <c r="L73" i="356"/>
  <c r="K73" i="356"/>
  <c r="J73" i="356"/>
  <c r="I73" i="356"/>
  <c r="H73" i="356"/>
  <c r="H74" i="356"/>
  <c r="H75" i="356"/>
  <c r="H76" i="356"/>
  <c r="H77" i="356"/>
  <c r="H78" i="356"/>
  <c r="H79" i="356"/>
  <c r="H80" i="356"/>
  <c r="H81" i="356"/>
  <c r="H82" i="356"/>
  <c r="H83" i="356"/>
  <c r="H84" i="356"/>
  <c r="H85" i="356"/>
  <c r="H86" i="356"/>
  <c r="H87" i="356"/>
  <c r="H88" i="356"/>
  <c r="H89" i="356"/>
  <c r="H90" i="356"/>
  <c r="H91" i="356"/>
  <c r="H92" i="356"/>
  <c r="H93" i="356"/>
  <c r="H94" i="356"/>
  <c r="H95" i="356"/>
  <c r="H96" i="356"/>
  <c r="H97" i="356"/>
  <c r="H98" i="356"/>
  <c r="H99" i="356"/>
  <c r="H100" i="356"/>
  <c r="H101" i="356"/>
  <c r="H102" i="356"/>
  <c r="H103" i="356"/>
  <c r="H104" i="356"/>
  <c r="H105" i="356"/>
  <c r="H106" i="356"/>
  <c r="H107" i="356"/>
  <c r="H108" i="356"/>
  <c r="H109" i="356"/>
  <c r="H110" i="356"/>
  <c r="H111" i="356"/>
  <c r="H112" i="356"/>
  <c r="H113" i="356"/>
  <c r="H114" i="356"/>
  <c r="H115" i="356"/>
  <c r="H116" i="356"/>
  <c r="H117" i="356"/>
  <c r="H118" i="356"/>
  <c r="H119" i="356"/>
  <c r="H120" i="356"/>
  <c r="H121" i="356"/>
  <c r="H122" i="356"/>
  <c r="H123" i="356"/>
  <c r="H124" i="356"/>
  <c r="P72" i="356"/>
  <c r="P71" i="356"/>
  <c r="N72" i="356"/>
  <c r="M72" i="356"/>
  <c r="L72" i="356"/>
  <c r="K72" i="356"/>
  <c r="J72" i="356"/>
  <c r="I72" i="356"/>
  <c r="N71" i="356"/>
  <c r="M71" i="356"/>
  <c r="L71" i="356"/>
  <c r="K71" i="356"/>
  <c r="J71" i="356"/>
  <c r="I71" i="356"/>
  <c r="H71" i="356"/>
  <c r="H72" i="356"/>
  <c r="P70" i="356"/>
  <c r="P69" i="356"/>
  <c r="P68" i="356"/>
  <c r="P67" i="356"/>
  <c r="P66" i="356"/>
  <c r="P65" i="356"/>
  <c r="P64" i="356"/>
  <c r="P63" i="356"/>
  <c r="P62" i="356"/>
  <c r="P61" i="356"/>
  <c r="N70" i="356"/>
  <c r="M70" i="356"/>
  <c r="L70" i="356"/>
  <c r="K70" i="356"/>
  <c r="J70" i="356"/>
  <c r="I70" i="356"/>
  <c r="N69" i="356"/>
  <c r="M69" i="356"/>
  <c r="L69" i="356"/>
  <c r="K69" i="356"/>
  <c r="J69" i="356"/>
  <c r="I69" i="356"/>
  <c r="N68" i="356"/>
  <c r="M68" i="356"/>
  <c r="L68" i="356"/>
  <c r="K68" i="356"/>
  <c r="J68" i="356"/>
  <c r="I68" i="356"/>
  <c r="N67" i="356"/>
  <c r="M67" i="356"/>
  <c r="L67" i="356"/>
  <c r="K67" i="356"/>
  <c r="J67" i="356"/>
  <c r="I67" i="356"/>
  <c r="N66" i="356"/>
  <c r="M66" i="356"/>
  <c r="L66" i="356"/>
  <c r="K66" i="356"/>
  <c r="J66" i="356"/>
  <c r="I66" i="356"/>
  <c r="N65" i="356"/>
  <c r="M65" i="356"/>
  <c r="L65" i="356"/>
  <c r="K65" i="356"/>
  <c r="J65" i="356"/>
  <c r="I65" i="356"/>
  <c r="N64" i="356"/>
  <c r="M64" i="356"/>
  <c r="L64" i="356"/>
  <c r="K64" i="356"/>
  <c r="J64" i="356"/>
  <c r="I64" i="356"/>
  <c r="N63" i="356"/>
  <c r="M63" i="356"/>
  <c r="L63" i="356"/>
  <c r="K63" i="356"/>
  <c r="J63" i="356"/>
  <c r="I63" i="356"/>
  <c r="N62" i="356"/>
  <c r="M62" i="356"/>
  <c r="L62" i="356"/>
  <c r="K62" i="356"/>
  <c r="J62" i="356"/>
  <c r="I62" i="356"/>
  <c r="N61" i="356"/>
  <c r="M61" i="356"/>
  <c r="L61" i="356"/>
  <c r="K61" i="356"/>
  <c r="J61" i="356"/>
  <c r="I61" i="356"/>
  <c r="H61" i="356"/>
  <c r="H62" i="356"/>
  <c r="H63" i="356"/>
  <c r="H64" i="356"/>
  <c r="H65" i="356"/>
  <c r="H66" i="356"/>
  <c r="H67" i="356"/>
  <c r="H68" i="356"/>
  <c r="H69" i="356"/>
  <c r="H70" i="356"/>
  <c r="P60" i="356"/>
  <c r="P59" i="356"/>
  <c r="P58" i="356"/>
  <c r="N60" i="356"/>
  <c r="M60" i="356"/>
  <c r="L60" i="356"/>
  <c r="K60" i="356"/>
  <c r="J60" i="356"/>
  <c r="I60" i="356"/>
  <c r="N59" i="356"/>
  <c r="M59" i="356"/>
  <c r="L59" i="356"/>
  <c r="K59" i="356"/>
  <c r="J59" i="356"/>
  <c r="I59" i="356"/>
  <c r="N58" i="356"/>
  <c r="M58" i="356"/>
  <c r="L58" i="356"/>
  <c r="K58" i="356"/>
  <c r="J58" i="356"/>
  <c r="I58" i="356"/>
  <c r="H58" i="356"/>
  <c r="H59" i="356"/>
  <c r="H60" i="356"/>
  <c r="P57" i="356"/>
  <c r="P56" i="356"/>
  <c r="N57" i="356"/>
  <c r="M57" i="356"/>
  <c r="L57" i="356"/>
  <c r="K57" i="356"/>
  <c r="J57" i="356"/>
  <c r="I57" i="356"/>
  <c r="N56" i="356"/>
  <c r="M56" i="356"/>
  <c r="L56" i="356"/>
  <c r="K56" i="356"/>
  <c r="J56" i="356"/>
  <c r="I56" i="356"/>
  <c r="H45" i="356"/>
  <c r="H57" i="356"/>
  <c r="H56" i="356"/>
  <c r="F53" i="356"/>
  <c r="P48" i="356"/>
  <c r="N48" i="356"/>
  <c r="H48" i="356"/>
  <c r="P45" i="356"/>
  <c r="N45" i="356"/>
  <c r="M45" i="356"/>
  <c r="L45" i="356"/>
  <c r="K45" i="356"/>
  <c r="J45" i="356"/>
  <c r="I45" i="356"/>
  <c r="P33" i="356"/>
  <c r="P32" i="356"/>
  <c r="P31" i="356"/>
  <c r="P30" i="356"/>
  <c r="P29" i="356"/>
  <c r="P28" i="356"/>
  <c r="P27" i="356"/>
  <c r="P26" i="356"/>
  <c r="P25" i="356"/>
  <c r="P24" i="356"/>
  <c r="P23" i="356"/>
  <c r="P22" i="356"/>
  <c r="P21" i="356"/>
  <c r="P20" i="356"/>
  <c r="P19" i="356"/>
  <c r="P18" i="356"/>
  <c r="P17" i="356"/>
  <c r="P16" i="356"/>
  <c r="N33" i="356"/>
  <c r="M33" i="356"/>
  <c r="L33" i="356"/>
  <c r="K33" i="356"/>
  <c r="J33" i="356"/>
  <c r="I33" i="356"/>
  <c r="N32" i="356"/>
  <c r="M32" i="356"/>
  <c r="L32" i="356"/>
  <c r="K32" i="356"/>
  <c r="J32" i="356"/>
  <c r="I32" i="356"/>
  <c r="N31" i="356"/>
  <c r="M31" i="356"/>
  <c r="L31" i="356"/>
  <c r="K31" i="356"/>
  <c r="J31" i="356"/>
  <c r="I31" i="356"/>
  <c r="N30" i="356"/>
  <c r="M30" i="356"/>
  <c r="L30" i="356"/>
  <c r="K30" i="356"/>
  <c r="J30" i="356"/>
  <c r="I30" i="356"/>
  <c r="N29" i="356"/>
  <c r="M29" i="356"/>
  <c r="L29" i="356"/>
  <c r="K29" i="356"/>
  <c r="J29" i="356"/>
  <c r="I29" i="356"/>
  <c r="N28" i="356"/>
  <c r="M28" i="356"/>
  <c r="L28" i="356"/>
  <c r="K28" i="356"/>
  <c r="J28" i="356"/>
  <c r="I28" i="356"/>
  <c r="N27" i="356"/>
  <c r="M27" i="356"/>
  <c r="L27" i="356"/>
  <c r="K27" i="356"/>
  <c r="J27" i="356"/>
  <c r="I27" i="356"/>
  <c r="N26" i="356"/>
  <c r="M26" i="356"/>
  <c r="L26" i="356"/>
  <c r="K26" i="356"/>
  <c r="J26" i="356"/>
  <c r="I26" i="356"/>
  <c r="N25" i="356"/>
  <c r="M25" i="356"/>
  <c r="L25" i="356"/>
  <c r="K25" i="356"/>
  <c r="J25" i="356"/>
  <c r="I25" i="356"/>
  <c r="N24" i="356"/>
  <c r="M24" i="356"/>
  <c r="L24" i="356"/>
  <c r="K24" i="356"/>
  <c r="J24" i="356"/>
  <c r="I24" i="356"/>
  <c r="N23" i="356"/>
  <c r="M23" i="356"/>
  <c r="L23" i="356"/>
  <c r="K23" i="356"/>
  <c r="J23" i="356"/>
  <c r="I23" i="356"/>
  <c r="N22" i="356"/>
  <c r="M22" i="356"/>
  <c r="L22" i="356"/>
  <c r="K22" i="356"/>
  <c r="J22" i="356"/>
  <c r="I22" i="356"/>
  <c r="N21" i="356"/>
  <c r="M21" i="356"/>
  <c r="L21" i="356"/>
  <c r="K21" i="356"/>
  <c r="J21" i="356"/>
  <c r="I21" i="356"/>
  <c r="N20" i="356"/>
  <c r="M20" i="356"/>
  <c r="L20" i="356"/>
  <c r="K20" i="356"/>
  <c r="J20" i="356"/>
  <c r="I20" i="356"/>
  <c r="N19" i="356"/>
  <c r="M19" i="356"/>
  <c r="L19" i="356"/>
  <c r="K19" i="356"/>
  <c r="J19" i="356"/>
  <c r="I19" i="356"/>
  <c r="N18" i="356"/>
  <c r="M18" i="356"/>
  <c r="L18" i="356"/>
  <c r="K18" i="356"/>
  <c r="J18" i="356"/>
  <c r="I18" i="356"/>
  <c r="N17" i="356"/>
  <c r="M17" i="356"/>
  <c r="L17" i="356"/>
  <c r="K17" i="356"/>
  <c r="J17" i="356"/>
  <c r="I17" i="356"/>
  <c r="N16" i="356"/>
  <c r="M16" i="356"/>
  <c r="L16" i="356"/>
  <c r="K16" i="356"/>
  <c r="J16" i="356"/>
  <c r="I16" i="356"/>
  <c r="H17" i="356"/>
  <c r="H18" i="356"/>
  <c r="H19" i="356"/>
  <c r="H20" i="356"/>
  <c r="H21" i="356"/>
  <c r="H22" i="356"/>
  <c r="H23" i="356"/>
  <c r="H24" i="356"/>
  <c r="H25" i="356"/>
  <c r="H26" i="356"/>
  <c r="H27" i="356"/>
  <c r="H28" i="356"/>
  <c r="H29" i="356"/>
  <c r="H30" i="356"/>
  <c r="H31" i="356"/>
  <c r="H32" i="356"/>
  <c r="H33" i="356"/>
  <c r="H16" i="356"/>
  <c r="P44" i="356"/>
  <c r="P43" i="356"/>
  <c r="N44" i="356"/>
  <c r="M44" i="356"/>
  <c r="L44" i="356"/>
  <c r="K44" i="356"/>
  <c r="J44" i="356"/>
  <c r="I44" i="356"/>
  <c r="N43" i="356"/>
  <c r="M43" i="356"/>
  <c r="L43" i="356"/>
  <c r="K43" i="356"/>
  <c r="J43" i="356"/>
  <c r="I43" i="356"/>
  <c r="P36" i="356"/>
  <c r="P35" i="356"/>
  <c r="P34" i="356"/>
  <c r="N36" i="356"/>
  <c r="M36" i="356"/>
  <c r="L36" i="356"/>
  <c r="K36" i="356"/>
  <c r="J36" i="356"/>
  <c r="I36" i="356"/>
  <c r="N35" i="356"/>
  <c r="M35" i="356"/>
  <c r="L35" i="356"/>
  <c r="K35" i="356"/>
  <c r="J35" i="356"/>
  <c r="I35" i="356"/>
  <c r="N34" i="356"/>
  <c r="M34" i="356"/>
  <c r="L34" i="356"/>
  <c r="K34" i="356"/>
  <c r="J34" i="356"/>
  <c r="I34" i="356"/>
  <c r="P42" i="356"/>
  <c r="P41" i="356"/>
  <c r="P40" i="356"/>
  <c r="P39" i="356"/>
  <c r="P38" i="356"/>
  <c r="P37" i="356"/>
  <c r="N42" i="356"/>
  <c r="M42" i="356"/>
  <c r="L42" i="356"/>
  <c r="K42" i="356"/>
  <c r="J42" i="356"/>
  <c r="I42" i="356"/>
  <c r="N41" i="356"/>
  <c r="M41" i="356"/>
  <c r="L41" i="356"/>
  <c r="K41" i="356"/>
  <c r="J41" i="356"/>
  <c r="I41" i="356"/>
  <c r="N40" i="356"/>
  <c r="M40" i="356"/>
  <c r="L40" i="356"/>
  <c r="K40" i="356"/>
  <c r="J40" i="356"/>
  <c r="I40" i="356"/>
  <c r="N39" i="356"/>
  <c r="M39" i="356"/>
  <c r="L39" i="356"/>
  <c r="K39" i="356"/>
  <c r="J39" i="356"/>
  <c r="I39" i="356"/>
  <c r="N38" i="356"/>
  <c r="M38" i="356"/>
  <c r="L38" i="356"/>
  <c r="K38" i="356"/>
  <c r="J38" i="356"/>
  <c r="I38" i="356"/>
  <c r="N37" i="356"/>
  <c r="M37" i="356"/>
  <c r="L37" i="356"/>
  <c r="K37" i="356"/>
  <c r="J37" i="356"/>
  <c r="I37" i="356"/>
  <c r="P15" i="356"/>
  <c r="P14" i="356"/>
  <c r="P13" i="356"/>
  <c r="N15" i="356"/>
  <c r="M15" i="356"/>
  <c r="L15" i="356"/>
  <c r="K15" i="356"/>
  <c r="J15" i="356"/>
  <c r="I15" i="356"/>
  <c r="N14" i="356"/>
  <c r="M14" i="356"/>
  <c r="L14" i="356"/>
  <c r="K14" i="356"/>
  <c r="J14" i="356"/>
  <c r="I14" i="356"/>
  <c r="N13" i="356"/>
  <c r="M13" i="356"/>
  <c r="L13" i="356"/>
  <c r="K13" i="356"/>
  <c r="J13" i="356"/>
  <c r="I13" i="356"/>
  <c r="P12" i="356"/>
  <c r="P11" i="356"/>
  <c r="P10" i="356"/>
  <c r="P9" i="356"/>
  <c r="P8" i="356"/>
  <c r="P7" i="356"/>
  <c r="P6" i="356"/>
  <c r="N12" i="356"/>
  <c r="M12" i="356"/>
  <c r="L12" i="356"/>
  <c r="K12" i="356"/>
  <c r="J12" i="356"/>
  <c r="I12" i="356"/>
  <c r="N11" i="356"/>
  <c r="M11" i="356"/>
  <c r="L11" i="356"/>
  <c r="K11" i="356"/>
  <c r="J11" i="356"/>
  <c r="I11" i="356"/>
  <c r="N10" i="356"/>
  <c r="M10" i="356"/>
  <c r="L10" i="356"/>
  <c r="K10" i="356"/>
  <c r="J10" i="356"/>
  <c r="I10" i="356"/>
  <c r="N9" i="356"/>
  <c r="M9" i="356"/>
  <c r="L9" i="356"/>
  <c r="K9" i="356"/>
  <c r="J9" i="356"/>
  <c r="I9" i="356"/>
  <c r="N8" i="356"/>
  <c r="M8" i="356"/>
  <c r="L8" i="356"/>
  <c r="K8" i="356"/>
  <c r="J8" i="356"/>
  <c r="I8" i="356"/>
  <c r="N7" i="356"/>
  <c r="M7" i="356"/>
  <c r="L7" i="356"/>
  <c r="K7" i="356"/>
  <c r="J7" i="356"/>
  <c r="I7" i="356"/>
  <c r="N6" i="356"/>
  <c r="M6" i="356"/>
  <c r="L6" i="356"/>
  <c r="K6" i="356"/>
  <c r="J6" i="356"/>
  <c r="I6" i="356"/>
  <c r="X5" i="356"/>
  <c r="H6" i="356"/>
  <c r="O145" i="356" l="1"/>
  <c r="O149" i="356"/>
  <c r="O153" i="356"/>
  <c r="O157" i="356"/>
  <c r="O161" i="356"/>
  <c r="Q161" i="356" s="1"/>
  <c r="O165" i="356"/>
  <c r="Q165" i="356" s="1"/>
  <c r="O174" i="356"/>
  <c r="Q174" i="356" s="1"/>
  <c r="S174" i="356" s="1"/>
  <c r="O173" i="356"/>
  <c r="Q173" i="356" s="1"/>
  <c r="S173" i="356" s="1"/>
  <c r="O169" i="356"/>
  <c r="Q169" i="356" s="1"/>
  <c r="O144" i="356"/>
  <c r="O148" i="356"/>
  <c r="O152" i="356"/>
  <c r="O156" i="356"/>
  <c r="O160" i="356"/>
  <c r="Q160" i="356" s="1"/>
  <c r="O164" i="356"/>
  <c r="Q164" i="356" s="1"/>
  <c r="O168" i="356"/>
  <c r="Q168" i="356" s="1"/>
  <c r="O143" i="356"/>
  <c r="O147" i="356"/>
  <c r="O151" i="356"/>
  <c r="O155" i="356"/>
  <c r="O159" i="356"/>
  <c r="Q159" i="356" s="1"/>
  <c r="O163" i="356"/>
  <c r="Q163" i="356" s="1"/>
  <c r="O167" i="356"/>
  <c r="Q167" i="356" s="1"/>
  <c r="O146" i="356"/>
  <c r="O150" i="356"/>
  <c r="O154" i="356"/>
  <c r="O158" i="356"/>
  <c r="Q158" i="356" s="1"/>
  <c r="O162" i="356"/>
  <c r="Q162" i="356" s="1"/>
  <c r="O166" i="356"/>
  <c r="Q166" i="356" s="1"/>
  <c r="O170" i="356"/>
  <c r="Q170" i="356" s="1"/>
  <c r="O56" i="356"/>
  <c r="O25" i="356"/>
  <c r="Q25" i="356" s="1"/>
  <c r="R25" i="356" s="1"/>
  <c r="O29" i="356"/>
  <c r="Q29" i="356" s="1"/>
  <c r="R29" i="356" s="1"/>
  <c r="O21" i="356"/>
  <c r="Q21" i="356" s="1"/>
  <c r="R21" i="356" s="1"/>
  <c r="O17" i="356"/>
  <c r="Q17" i="356" s="1"/>
  <c r="R17" i="356" s="1"/>
  <c r="O33" i="356"/>
  <c r="Q33" i="356" s="1"/>
  <c r="R33" i="356" s="1"/>
  <c r="O24" i="356"/>
  <c r="Q24" i="356" s="1"/>
  <c r="R24" i="356" s="1"/>
  <c r="O45" i="356"/>
  <c r="Q45" i="356" s="1"/>
  <c r="R45" i="356" s="1"/>
  <c r="O16" i="356"/>
  <c r="Q16" i="356" s="1"/>
  <c r="R16" i="356" s="1"/>
  <c r="O19" i="356"/>
  <c r="Q19" i="356" s="1"/>
  <c r="R19" i="356" s="1"/>
  <c r="O20" i="356"/>
  <c r="Q20" i="356" s="1"/>
  <c r="R20" i="356" s="1"/>
  <c r="O23" i="356"/>
  <c r="Q23" i="356" s="1"/>
  <c r="R23" i="356" s="1"/>
  <c r="O27" i="356"/>
  <c r="Q27" i="356" s="1"/>
  <c r="R27" i="356" s="1"/>
  <c r="O28" i="356"/>
  <c r="Q28" i="356" s="1"/>
  <c r="R28" i="356" s="1"/>
  <c r="O31" i="356"/>
  <c r="Q31" i="356" s="1"/>
  <c r="R31" i="356" s="1"/>
  <c r="O32" i="356"/>
  <c r="Q32" i="356" s="1"/>
  <c r="R32" i="356" s="1"/>
  <c r="O18" i="356"/>
  <c r="Q18" i="356" s="1"/>
  <c r="R18" i="356" s="1"/>
  <c r="O22" i="356"/>
  <c r="Q22" i="356" s="1"/>
  <c r="R22" i="356" s="1"/>
  <c r="O26" i="356"/>
  <c r="Q26" i="356" s="1"/>
  <c r="R26" i="356" s="1"/>
  <c r="O30" i="356"/>
  <c r="Q30" i="356" s="1"/>
  <c r="R30" i="356" s="1"/>
  <c r="O15" i="356"/>
  <c r="Q15" i="356" s="1"/>
  <c r="R15" i="356" s="1"/>
  <c r="O6" i="356"/>
  <c r="Q6" i="356" s="1"/>
  <c r="R6" i="356" s="1"/>
  <c r="S167" i="356" l="1"/>
  <c r="R167" i="356"/>
  <c r="R170" i="356"/>
  <c r="S170" i="356"/>
  <c r="R166" i="356"/>
  <c r="S166" i="356"/>
  <c r="R159" i="356"/>
  <c r="S159" i="356"/>
  <c r="R161" i="356"/>
  <c r="S161" i="356"/>
  <c r="S163" i="356"/>
  <c r="R163" i="356"/>
  <c r="R162" i="356"/>
  <c r="S162" i="356"/>
  <c r="S168" i="356"/>
  <c r="R168" i="356"/>
  <c r="R165" i="356"/>
  <c r="S165" i="356"/>
  <c r="R158" i="356"/>
  <c r="S158" i="356"/>
  <c r="S164" i="356"/>
  <c r="R164" i="356"/>
  <c r="R160" i="356"/>
  <c r="S160" i="356"/>
  <c r="R169" i="356"/>
  <c r="S169" i="356"/>
  <c r="U45" i="356"/>
  <c r="T6" i="356"/>
  <c r="I48" i="345"/>
  <c r="H48" i="345"/>
  <c r="G48" i="345"/>
  <c r="F48" i="345"/>
  <c r="E48" i="345"/>
  <c r="D48" i="345"/>
  <c r="I45" i="345"/>
  <c r="H45" i="345"/>
  <c r="G45" i="345"/>
  <c r="F45" i="345"/>
  <c r="E45" i="345"/>
  <c r="D45" i="345"/>
  <c r="I40" i="345"/>
  <c r="H40" i="345"/>
  <c r="G40" i="345"/>
  <c r="F40" i="345"/>
  <c r="E40" i="345"/>
  <c r="D40" i="345"/>
  <c r="D65" i="345"/>
  <c r="E9" i="307" s="1"/>
  <c r="N4" i="307"/>
  <c r="M4" i="307"/>
  <c r="G32" i="346"/>
  <c r="F32" i="346"/>
  <c r="E32" i="346"/>
  <c r="C32" i="346"/>
  <c r="I32" i="58"/>
  <c r="H32" i="58"/>
  <c r="K71" i="345"/>
  <c r="F65" i="346"/>
  <c r="H37" i="346"/>
  <c r="C48" i="347"/>
  <c r="L26" i="58" l="1"/>
  <c r="L31" i="58"/>
  <c r="L30" i="58"/>
  <c r="L29" i="58"/>
  <c r="L28" i="58"/>
  <c r="L32" i="58" l="1"/>
  <c r="L13" i="58"/>
  <c r="Q13" i="58" s="1"/>
  <c r="H49" i="58"/>
  <c r="C34" i="97" l="1"/>
  <c r="C33" i="97"/>
  <c r="C32" i="97"/>
  <c r="C31" i="97"/>
  <c r="F54" i="3"/>
  <c r="F23" i="3"/>
  <c r="F22" i="3" s="1"/>
  <c r="F24" i="3"/>
  <c r="F25" i="3"/>
  <c r="F21" i="3"/>
  <c r="C19" i="97"/>
  <c r="C10" i="97"/>
  <c r="H40" i="58"/>
  <c r="I34" i="58"/>
  <c r="H34" i="58"/>
  <c r="N70" i="58"/>
  <c r="M9" i="307" s="1"/>
  <c r="H13" i="307"/>
  <c r="H24" i="307" s="1"/>
  <c r="H32" i="307" s="1"/>
  <c r="I13" i="307"/>
  <c r="I24" i="307" s="1"/>
  <c r="I32" i="307" s="1"/>
  <c r="J13" i="307"/>
  <c r="J24" i="307" s="1"/>
  <c r="J32" i="307" s="1"/>
  <c r="G6" i="307"/>
  <c r="K6" i="307" l="1"/>
  <c r="N63" i="277" s="1"/>
  <c r="G13" i="307"/>
  <c r="G24" i="307" s="1"/>
  <c r="G32" i="307" s="1"/>
  <c r="L6" i="307"/>
  <c r="C41" i="97"/>
  <c r="K13" i="307"/>
  <c r="K24" i="307" s="1"/>
  <c r="K32" i="307" s="1"/>
  <c r="M6" i="307" l="1"/>
  <c r="L13" i="307"/>
  <c r="L24" i="307" s="1"/>
  <c r="L32" i="307" s="1"/>
  <c r="F43" i="200"/>
  <c r="G32" i="97"/>
  <c r="M7" i="307" l="1"/>
  <c r="O63" i="277"/>
  <c r="M13" i="307"/>
  <c r="M24" i="307" s="1"/>
  <c r="M32" i="307" s="1"/>
  <c r="B23" i="98"/>
  <c r="B22" i="98"/>
  <c r="P27" i="173"/>
  <c r="C29" i="307"/>
  <c r="C28" i="307"/>
  <c r="J5" i="345" l="1"/>
  <c r="D69" i="346"/>
  <c r="G69" i="346"/>
  <c r="C69" i="346"/>
  <c r="I68" i="346"/>
  <c r="I65" i="346"/>
  <c r="I62" i="346"/>
  <c r="I69" i="346" s="1"/>
  <c r="F68" i="346"/>
  <c r="F69" i="346" s="1"/>
  <c r="E68" i="346"/>
  <c r="E62" i="346"/>
  <c r="H62" i="346" s="1"/>
  <c r="I55" i="346"/>
  <c r="I52" i="346"/>
  <c r="I44" i="346"/>
  <c r="E55" i="346"/>
  <c r="H55" i="346" s="1"/>
  <c r="D52" i="198" s="1"/>
  <c r="E52" i="346"/>
  <c r="F49" i="346"/>
  <c r="D49" i="346"/>
  <c r="C49" i="346"/>
  <c r="E44" i="346"/>
  <c r="I37" i="346"/>
  <c r="I36" i="346"/>
  <c r="I32" i="346"/>
  <c r="I31" i="346"/>
  <c r="I30" i="346"/>
  <c r="G19" i="346"/>
  <c r="C19" i="346"/>
  <c r="M62" i="346" l="1"/>
  <c r="D59" i="198"/>
  <c r="E69" i="346"/>
  <c r="H59" i="346"/>
  <c r="D56" i="198" s="1"/>
  <c r="H68" i="346"/>
  <c r="D64" i="198" s="1"/>
  <c r="J55" i="346"/>
  <c r="G66" i="347"/>
  <c r="D66" i="347"/>
  <c r="C66" i="347"/>
  <c r="H65" i="347"/>
  <c r="C64" i="345" s="1"/>
  <c r="H64" i="347"/>
  <c r="C63" i="345" s="1"/>
  <c r="I63" i="347"/>
  <c r="I59" i="347"/>
  <c r="I62" i="347"/>
  <c r="I57" i="347"/>
  <c r="E59" i="347"/>
  <c r="F62" i="347"/>
  <c r="F57" i="347"/>
  <c r="E57" i="347"/>
  <c r="G54" i="347"/>
  <c r="I53" i="347"/>
  <c r="I51" i="347"/>
  <c r="I50" i="347"/>
  <c r="I49" i="347"/>
  <c r="I48" i="347"/>
  <c r="E50" i="347"/>
  <c r="F48" i="347"/>
  <c r="F54" i="347" s="1"/>
  <c r="E48" i="347"/>
  <c r="D48" i="347"/>
  <c r="D54" i="347" s="1"/>
  <c r="C54" i="347"/>
  <c r="I43" i="347"/>
  <c r="E43" i="347"/>
  <c r="I31" i="347"/>
  <c r="I27" i="347"/>
  <c r="G25" i="347"/>
  <c r="F25" i="347"/>
  <c r="E25" i="347"/>
  <c r="D25" i="347"/>
  <c r="C25" i="347"/>
  <c r="G19" i="347"/>
  <c r="F19" i="347"/>
  <c r="E19" i="347"/>
  <c r="D19" i="347"/>
  <c r="C19" i="347"/>
  <c r="J13" i="347"/>
  <c r="F37" i="347" l="1"/>
  <c r="G37" i="347"/>
  <c r="K68" i="58"/>
  <c r="D37" i="347"/>
  <c r="D67" i="347" s="1"/>
  <c r="J68" i="346"/>
  <c r="F66" i="347"/>
  <c r="G68" i="58"/>
  <c r="C60" i="370" s="1"/>
  <c r="I65" i="347"/>
  <c r="J65" i="347" s="1"/>
  <c r="J64" i="345"/>
  <c r="M68" i="346"/>
  <c r="H25" i="347"/>
  <c r="M59" i="346"/>
  <c r="E66" i="347"/>
  <c r="C37" i="347"/>
  <c r="C67" i="347" s="1"/>
  <c r="I54" i="347"/>
  <c r="F67" i="347"/>
  <c r="G67" i="347"/>
  <c r="E37" i="347"/>
  <c r="E54" i="347"/>
  <c r="H63" i="347"/>
  <c r="H62" i="347"/>
  <c r="H60" i="347"/>
  <c r="G64" i="58" s="1"/>
  <c r="C56" i="370" s="1"/>
  <c r="H59" i="347"/>
  <c r="H58" i="347"/>
  <c r="H57" i="347"/>
  <c r="H56" i="347"/>
  <c r="H53" i="347"/>
  <c r="J53" i="347" s="1"/>
  <c r="H51" i="347"/>
  <c r="H50" i="347"/>
  <c r="H49" i="347"/>
  <c r="H48" i="347"/>
  <c r="H47" i="347"/>
  <c r="H46" i="347"/>
  <c r="H45" i="347"/>
  <c r="H43" i="347"/>
  <c r="H42" i="347"/>
  <c r="H41" i="347"/>
  <c r="H40" i="347"/>
  <c r="C37" i="345" s="1"/>
  <c r="H39" i="347"/>
  <c r="H35" i="347"/>
  <c r="J35" i="347" s="1"/>
  <c r="H34" i="347"/>
  <c r="H33" i="347"/>
  <c r="H32" i="347"/>
  <c r="H31" i="347"/>
  <c r="H30" i="347"/>
  <c r="H29" i="347"/>
  <c r="H28" i="347"/>
  <c r="H27" i="347"/>
  <c r="I66" i="347" l="1"/>
  <c r="J68" i="58"/>
  <c r="E60" i="370"/>
  <c r="E67" i="347"/>
  <c r="H66" i="347"/>
  <c r="G41" i="58"/>
  <c r="H54" i="347"/>
  <c r="F41" i="58" l="1"/>
  <c r="C34" i="370"/>
  <c r="V15" i="173"/>
  <c r="W15" i="173" s="1"/>
  <c r="B9" i="98"/>
  <c r="F66" i="3" l="1"/>
  <c r="N66" i="3" l="1"/>
  <c r="F56" i="3"/>
  <c r="F50" i="3"/>
  <c r="F10" i="3"/>
  <c r="F9" i="3"/>
  <c r="F14" i="3"/>
  <c r="F11" i="3"/>
  <c r="F12" i="3"/>
  <c r="F8" i="3"/>
  <c r="B23" i="140"/>
  <c r="B22" i="140" s="1"/>
  <c r="B94" i="140"/>
  <c r="B97" i="140" s="1"/>
  <c r="B29" i="140"/>
  <c r="B28" i="140"/>
  <c r="B18" i="140"/>
  <c r="B107" i="140"/>
  <c r="B109" i="140" s="1"/>
  <c r="B106" i="140"/>
  <c r="B99" i="140"/>
  <c r="B101" i="140" s="1"/>
  <c r="B55" i="140"/>
  <c r="B38" i="140"/>
  <c r="B43" i="140" s="1"/>
  <c r="B17" i="140"/>
  <c r="B7" i="140"/>
  <c r="K26" i="141"/>
  <c r="K17" i="141"/>
  <c r="F39" i="141"/>
  <c r="H39" i="141" s="1"/>
  <c r="J39" i="141" s="1"/>
  <c r="L39" i="141" s="1"/>
  <c r="F38" i="141"/>
  <c r="H38" i="141" s="1"/>
  <c r="J38" i="141" s="1"/>
  <c r="L38" i="141" s="1"/>
  <c r="F37" i="141"/>
  <c r="H37" i="141" s="1"/>
  <c r="J37" i="141" s="1"/>
  <c r="L37" i="141" s="1"/>
  <c r="C17" i="141"/>
  <c r="B8" i="98"/>
  <c r="G6" i="173"/>
  <c r="C12" i="274" s="1"/>
  <c r="G33" i="173" l="1"/>
  <c r="G46" i="3"/>
  <c r="Q57" i="3"/>
  <c r="Q60" i="3"/>
  <c r="O60" i="3"/>
  <c r="O63" i="3"/>
  <c r="Q63" i="3"/>
  <c r="Q58" i="3"/>
  <c r="O58" i="3"/>
  <c r="O59" i="3"/>
  <c r="Q59" i="3"/>
  <c r="O61" i="3"/>
  <c r="Q61" i="3"/>
  <c r="O57" i="3"/>
  <c r="F38" i="3"/>
  <c r="F37" i="3"/>
  <c r="F34" i="3"/>
  <c r="G8" i="3" s="1"/>
  <c r="F63" i="3"/>
  <c r="F35" i="3"/>
  <c r="F36" i="3"/>
  <c r="B27" i="95" s="1"/>
  <c r="D27" i="95" s="1"/>
  <c r="B20" i="140"/>
  <c r="E18" i="9" s="1"/>
  <c r="F57" i="3"/>
  <c r="F59" i="3"/>
  <c r="F58" i="3" s="1"/>
  <c r="F60" i="3"/>
  <c r="F61" i="3"/>
  <c r="F13" i="3"/>
  <c r="B10" i="98"/>
  <c r="F40" i="3"/>
  <c r="F16" i="3" l="1"/>
  <c r="G57" i="3"/>
  <c r="P57" i="3"/>
  <c r="Q62" i="3"/>
  <c r="Q65" i="3" s="1"/>
  <c r="O62" i="3"/>
  <c r="O65" i="3" s="1"/>
  <c r="G27" i="95"/>
  <c r="M27" i="95"/>
  <c r="F62" i="3"/>
  <c r="F65" i="3" s="1"/>
  <c r="F39" i="3"/>
  <c r="F71" i="3" l="1"/>
  <c r="H61" i="346"/>
  <c r="H65" i="346"/>
  <c r="H66" i="346"/>
  <c r="H67" i="346"/>
  <c r="H58" i="346"/>
  <c r="D56" i="346"/>
  <c r="E56" i="346"/>
  <c r="F56" i="346"/>
  <c r="G56" i="346"/>
  <c r="I56" i="346"/>
  <c r="C56" i="346"/>
  <c r="H41" i="346"/>
  <c r="D38" i="198" s="1"/>
  <c r="H42" i="346"/>
  <c r="D39" i="198" s="1"/>
  <c r="E39" i="198" s="1"/>
  <c r="H43" i="346"/>
  <c r="D40" i="198" s="1"/>
  <c r="E40" i="198" s="1"/>
  <c r="H44" i="346"/>
  <c r="H45" i="346"/>
  <c r="H46" i="346"/>
  <c r="D43" i="198" s="1"/>
  <c r="H47" i="346"/>
  <c r="H48" i="346"/>
  <c r="D45" i="198" s="1"/>
  <c r="H49" i="346"/>
  <c r="D46" i="198" s="1"/>
  <c r="H51" i="346"/>
  <c r="D48" i="198" s="1"/>
  <c r="H52" i="346"/>
  <c r="D49" i="198" s="1"/>
  <c r="H40" i="346"/>
  <c r="H28" i="346"/>
  <c r="H29" i="346"/>
  <c r="H30" i="346"/>
  <c r="H31" i="346"/>
  <c r="H32" i="346"/>
  <c r="H33" i="346"/>
  <c r="H34" i="346"/>
  <c r="J34" i="346" s="1"/>
  <c r="H35" i="346"/>
  <c r="J35" i="346" s="1"/>
  <c r="H36" i="346"/>
  <c r="D26" i="346"/>
  <c r="E26" i="346"/>
  <c r="F26" i="346"/>
  <c r="G26" i="346"/>
  <c r="G38" i="346" s="1"/>
  <c r="C26" i="346"/>
  <c r="D19" i="346"/>
  <c r="E19" i="346"/>
  <c r="F19" i="346"/>
  <c r="U38" i="198" l="1"/>
  <c r="E38" i="198"/>
  <c r="M66" i="346"/>
  <c r="D63" i="198"/>
  <c r="K47" i="58"/>
  <c r="E40" i="370" s="1"/>
  <c r="D44" i="198"/>
  <c r="M65" i="346"/>
  <c r="D62" i="198"/>
  <c r="M61" i="346"/>
  <c r="D58" i="198"/>
  <c r="K45" i="58"/>
  <c r="D42" i="198"/>
  <c r="M58" i="346"/>
  <c r="K60" i="58"/>
  <c r="C38" i="346"/>
  <c r="H26" i="346"/>
  <c r="K41" i="58"/>
  <c r="J63" i="345"/>
  <c r="K63" i="345" s="1"/>
  <c r="M67" i="346"/>
  <c r="K64" i="58"/>
  <c r="M63" i="346"/>
  <c r="F38" i="346"/>
  <c r="H56" i="346"/>
  <c r="H69" i="346"/>
  <c r="E38" i="346"/>
  <c r="D38" i="346"/>
  <c r="J28" i="346"/>
  <c r="J33" i="346"/>
  <c r="J37" i="346"/>
  <c r="J36" i="346"/>
  <c r="J29" i="346"/>
  <c r="J32" i="346"/>
  <c r="J31" i="346"/>
  <c r="J30" i="346"/>
  <c r="J60" i="58" l="1"/>
  <c r="E52" i="370"/>
  <c r="J64" i="58"/>
  <c r="E56" i="370"/>
  <c r="J45" i="58"/>
  <c r="E38" i="370"/>
  <c r="J41" i="58"/>
  <c r="E34" i="370"/>
  <c r="D14" i="83"/>
  <c r="I19" i="27"/>
  <c r="I29" i="27"/>
  <c r="I33" i="27" l="1"/>
  <c r="E47" i="58"/>
  <c r="D47" i="58"/>
  <c r="D44" i="58"/>
  <c r="E41" i="58"/>
  <c r="D41" i="58"/>
  <c r="E35" i="58"/>
  <c r="F44" i="200"/>
  <c r="F42" i="200"/>
  <c r="F40" i="200"/>
  <c r="F38" i="200"/>
  <c r="F37" i="200"/>
  <c r="F36" i="200"/>
  <c r="F33" i="200"/>
  <c r="F32" i="200"/>
  <c r="D7" i="204"/>
  <c r="C7" i="204"/>
  <c r="I33" i="358"/>
  <c r="I40" i="358" s="1"/>
  <c r="H33" i="358"/>
  <c r="H40" i="358" s="1"/>
  <c r="G33" i="358"/>
  <c r="G40" i="358" s="1"/>
  <c r="F33" i="358"/>
  <c r="F40" i="358" s="1"/>
  <c r="J32" i="358"/>
  <c r="J31" i="358"/>
  <c r="J30" i="358"/>
  <c r="J29" i="358"/>
  <c r="J28" i="358"/>
  <c r="J10" i="358"/>
  <c r="J9" i="358"/>
  <c r="H14" i="360"/>
  <c r="H13" i="360"/>
  <c r="H12" i="360"/>
  <c r="H11" i="360"/>
  <c r="H10" i="360"/>
  <c r="H26" i="360"/>
  <c r="H27" i="360"/>
  <c r="H28" i="360"/>
  <c r="H29" i="360"/>
  <c r="H25" i="360"/>
  <c r="C33" i="26"/>
  <c r="C9" i="26"/>
  <c r="C10" i="26"/>
  <c r="F10" i="26" s="1"/>
  <c r="U58" i="173"/>
  <c r="V58" i="173" s="1"/>
  <c r="V54" i="173"/>
  <c r="V56" i="173"/>
  <c r="V53" i="173"/>
  <c r="V51" i="173"/>
  <c r="G12" i="173" l="1"/>
  <c r="W51" i="173"/>
  <c r="C9" i="98"/>
  <c r="G47" i="277"/>
  <c r="C21" i="222"/>
  <c r="C18" i="222"/>
  <c r="C17" i="222"/>
  <c r="C15" i="222"/>
  <c r="C12" i="222"/>
  <c r="C9" i="222"/>
  <c r="F35" i="200"/>
  <c r="C7" i="222"/>
  <c r="G11" i="278"/>
  <c r="F34" i="200" l="1"/>
  <c r="H90" i="58"/>
  <c r="P87" i="58"/>
  <c r="P88" i="58"/>
  <c r="C13" i="23"/>
  <c r="L12" i="9"/>
  <c r="B41" i="140"/>
  <c r="B31" i="140"/>
  <c r="B10" i="140"/>
  <c r="AB26" i="27"/>
  <c r="N65" i="141"/>
  <c r="Z34" i="141"/>
  <c r="Y34" i="141"/>
  <c r="Z33" i="141"/>
  <c r="Y33" i="141"/>
  <c r="Z32" i="141"/>
  <c r="Y32" i="141"/>
  <c r="Z31" i="141"/>
  <c r="Y31" i="141"/>
  <c r="AB34" i="141"/>
  <c r="AB33" i="141"/>
  <c r="AB32" i="141"/>
  <c r="AB31" i="141"/>
  <c r="Z30" i="141"/>
  <c r="Y30" i="141"/>
  <c r="AB30" i="141"/>
  <c r="R51" i="141"/>
  <c r="N81" i="141"/>
  <c r="AA18" i="95"/>
  <c r="AA19" i="95"/>
  <c r="AA20" i="95"/>
  <c r="AA21" i="95"/>
  <c r="AA22" i="95"/>
  <c r="AA23" i="95"/>
  <c r="AA24" i="95"/>
  <c r="AA25" i="95"/>
  <c r="AA26" i="95"/>
  <c r="AA17" i="95"/>
  <c r="Z27" i="95"/>
  <c r="Y27" i="95"/>
  <c r="S9" i="27"/>
  <c r="Z9" i="27"/>
  <c r="AA27" i="95" l="1"/>
  <c r="AG9" i="27"/>
  <c r="C34" i="26"/>
  <c r="J19" i="173"/>
  <c r="I19" i="173"/>
  <c r="N19" i="173"/>
  <c r="M19" i="173"/>
  <c r="AG10" i="27" l="1"/>
  <c r="AG11" i="27" s="1"/>
  <c r="C13" i="98"/>
  <c r="B41" i="319"/>
  <c r="D41" i="319"/>
  <c r="C41" i="319"/>
  <c r="B36" i="319"/>
  <c r="D36" i="319"/>
  <c r="C36" i="319"/>
  <c r="D24" i="319"/>
  <c r="C24" i="319"/>
  <c r="B12" i="319"/>
  <c r="D12" i="319"/>
  <c r="C6" i="319"/>
  <c r="C4" i="319"/>
  <c r="B40" i="101"/>
  <c r="AK5" i="27" l="1"/>
  <c r="D43" i="319"/>
  <c r="D45" i="319" s="1"/>
  <c r="D49" i="319" s="1"/>
  <c r="C43" i="319"/>
  <c r="C45" i="319" s="1"/>
  <c r="C49" i="319" s="1"/>
  <c r="B43" i="319"/>
  <c r="B45" i="319" s="1"/>
  <c r="B49" i="319" s="1"/>
  <c r="K64" i="198"/>
  <c r="K63" i="198"/>
  <c r="L62" i="198"/>
  <c r="K62" i="198"/>
  <c r="L60" i="198"/>
  <c r="K60" i="198"/>
  <c r="L59" i="198"/>
  <c r="K59" i="198"/>
  <c r="L58" i="198"/>
  <c r="K58" i="198"/>
  <c r="L56" i="198"/>
  <c r="K56" i="198"/>
  <c r="L55" i="198"/>
  <c r="K55" i="198"/>
  <c r="K52" i="198"/>
  <c r="K51" i="198"/>
  <c r="L50" i="198"/>
  <c r="K50" i="198"/>
  <c r="L49" i="198"/>
  <c r="K49" i="198"/>
  <c r="L48" i="198"/>
  <c r="K48" i="198"/>
  <c r="L46" i="198"/>
  <c r="K46" i="198"/>
  <c r="L45" i="198"/>
  <c r="K45" i="198"/>
  <c r="L44" i="198"/>
  <c r="K44" i="198"/>
  <c r="L43" i="198"/>
  <c r="K43" i="198"/>
  <c r="L42" i="198"/>
  <c r="K42" i="198"/>
  <c r="L41" i="198"/>
  <c r="K41" i="198"/>
  <c r="K40" i="198"/>
  <c r="K37" i="198"/>
  <c r="K34" i="198"/>
  <c r="K33" i="198"/>
  <c r="K32" i="198"/>
  <c r="K31" i="198"/>
  <c r="K30" i="198"/>
  <c r="K29" i="198"/>
  <c r="K28" i="198"/>
  <c r="K27" i="198"/>
  <c r="K26" i="198"/>
  <c r="K22" i="198"/>
  <c r="K21" i="198"/>
  <c r="K20" i="198"/>
  <c r="K16" i="198"/>
  <c r="K15" i="198"/>
  <c r="K14" i="198"/>
  <c r="K13" i="198"/>
  <c r="D65" i="198"/>
  <c r="D60" i="159"/>
  <c r="F60" i="159" s="1"/>
  <c r="D59" i="159"/>
  <c r="D58" i="159"/>
  <c r="F58" i="159" s="1"/>
  <c r="D63" i="159"/>
  <c r="D62" i="159"/>
  <c r="D56" i="159"/>
  <c r="F56" i="159" s="1"/>
  <c r="D65" i="159"/>
  <c r="D64" i="159"/>
  <c r="D50" i="159"/>
  <c r="D49" i="159"/>
  <c r="D48" i="159"/>
  <c r="F48" i="159" s="1"/>
  <c r="D47" i="159"/>
  <c r="F47" i="159" s="1"/>
  <c r="D41" i="159"/>
  <c r="R55" i="58"/>
  <c r="D51" i="159" s="1"/>
  <c r="D45" i="159"/>
  <c r="F45" i="159" s="1"/>
  <c r="D44" i="159"/>
  <c r="F44" i="159" s="1"/>
  <c r="D43" i="159"/>
  <c r="F43" i="159" s="1"/>
  <c r="R44" i="58"/>
  <c r="D40" i="159" s="1"/>
  <c r="D39" i="159"/>
  <c r="D38" i="159"/>
  <c r="D37" i="159"/>
  <c r="R40" i="58"/>
  <c r="D36" i="159" s="1"/>
  <c r="T26" i="356"/>
  <c r="T27" i="356" s="1"/>
  <c r="E41" i="159" l="1"/>
  <c r="AT38" i="159"/>
  <c r="U38" i="159"/>
  <c r="AT37" i="159"/>
  <c r="U37" i="159"/>
  <c r="M58" i="277"/>
  <c r="P37" i="3"/>
  <c r="G31" i="82" l="1"/>
  <c r="C31" i="82"/>
  <c r="E7" i="82" s="1"/>
  <c r="AB79" i="27"/>
  <c r="AB78" i="27"/>
  <c r="AB60" i="27"/>
  <c r="AB59" i="27"/>
  <c r="U79" i="27"/>
  <c r="U83" i="27" s="1"/>
  <c r="U60" i="27"/>
  <c r="U59" i="27"/>
  <c r="AC40" i="27"/>
  <c r="AC39" i="27"/>
  <c r="Z40" i="27"/>
  <c r="Z39" i="27"/>
  <c r="AB41" i="27"/>
  <c r="AA41" i="27"/>
  <c r="AD28" i="27"/>
  <c r="AD27" i="27"/>
  <c r="AD26" i="27"/>
  <c r="AD25" i="27"/>
  <c r="AD24" i="27"/>
  <c r="AD22" i="27"/>
  <c r="Z20" i="27"/>
  <c r="Z12" i="27"/>
  <c r="S12" i="27"/>
  <c r="W12" i="27" s="1"/>
  <c r="T84" i="58"/>
  <c r="M54" i="58"/>
  <c r="D51" i="198" s="1"/>
  <c r="M53" i="58"/>
  <c r="D50" i="198" s="1"/>
  <c r="M44" i="58"/>
  <c r="D41" i="198" s="1"/>
  <c r="M40" i="58"/>
  <c r="D37" i="198" s="1"/>
  <c r="AJ64" i="159"/>
  <c r="AJ63" i="159"/>
  <c r="AK62" i="159"/>
  <c r="AJ62" i="159"/>
  <c r="AK60" i="159"/>
  <c r="AJ60" i="159"/>
  <c r="AK59" i="159"/>
  <c r="AJ59" i="159"/>
  <c r="AK58" i="159"/>
  <c r="AJ58" i="159"/>
  <c r="AK56" i="159"/>
  <c r="AJ56" i="159"/>
  <c r="AK55" i="159"/>
  <c r="AJ55" i="159"/>
  <c r="AJ51" i="159"/>
  <c r="AJ50" i="159"/>
  <c r="AK49" i="159"/>
  <c r="AJ49" i="159"/>
  <c r="AK48" i="159"/>
  <c r="AJ48" i="159"/>
  <c r="AK47" i="159"/>
  <c r="AJ47" i="159"/>
  <c r="AK45" i="159"/>
  <c r="AJ45" i="159"/>
  <c r="AK44" i="159"/>
  <c r="AJ44" i="159"/>
  <c r="AK43" i="159"/>
  <c r="AJ43" i="159"/>
  <c r="AK42" i="159"/>
  <c r="AJ42" i="159"/>
  <c r="AK41" i="159"/>
  <c r="AJ41" i="159"/>
  <c r="AT41" i="159" s="1"/>
  <c r="AK40" i="159"/>
  <c r="AJ40" i="159"/>
  <c r="AJ39" i="159"/>
  <c r="AT39" i="159" s="1"/>
  <c r="AJ36" i="159"/>
  <c r="AT36" i="159" s="1"/>
  <c r="AJ33" i="159"/>
  <c r="AJ32" i="159"/>
  <c r="AJ31" i="159"/>
  <c r="AJ30" i="159"/>
  <c r="AJ29" i="159"/>
  <c r="AJ28" i="159"/>
  <c r="AJ27" i="159"/>
  <c r="AJ26" i="159"/>
  <c r="AJ25" i="159"/>
  <c r="AJ21" i="159"/>
  <c r="AJ20" i="159"/>
  <c r="AJ19" i="159"/>
  <c r="AJ15" i="159"/>
  <c r="AJ14" i="159"/>
  <c r="AJ13" i="159"/>
  <c r="AJ12" i="159"/>
  <c r="D37" i="163"/>
  <c r="K55" i="159"/>
  <c r="L55" i="159"/>
  <c r="K56" i="159"/>
  <c r="L56" i="159"/>
  <c r="K58" i="159"/>
  <c r="L58" i="159"/>
  <c r="K59" i="159"/>
  <c r="L59" i="159"/>
  <c r="K60" i="159"/>
  <c r="L60" i="159"/>
  <c r="K62" i="159"/>
  <c r="L62" i="159"/>
  <c r="K63" i="159"/>
  <c r="K64" i="159"/>
  <c r="K39" i="159"/>
  <c r="U39" i="159" s="1"/>
  <c r="K40" i="159"/>
  <c r="L40" i="159"/>
  <c r="K41" i="159"/>
  <c r="U41" i="159" s="1"/>
  <c r="L41" i="159"/>
  <c r="K42" i="159"/>
  <c r="L42" i="159"/>
  <c r="K43" i="159"/>
  <c r="L43" i="159"/>
  <c r="K44" i="159"/>
  <c r="L44" i="159"/>
  <c r="K45" i="159"/>
  <c r="L45" i="159"/>
  <c r="K47" i="159"/>
  <c r="L47" i="159"/>
  <c r="K48" i="159"/>
  <c r="L48" i="159"/>
  <c r="K49" i="159"/>
  <c r="L49" i="159"/>
  <c r="K50" i="159"/>
  <c r="K51" i="159"/>
  <c r="K36" i="159"/>
  <c r="U36" i="159" s="1"/>
  <c r="K25" i="159"/>
  <c r="K26" i="159"/>
  <c r="K27" i="159"/>
  <c r="K28" i="159"/>
  <c r="K29" i="159"/>
  <c r="K30" i="159"/>
  <c r="K31" i="159"/>
  <c r="K32" i="159"/>
  <c r="K33" i="159"/>
  <c r="K19" i="159"/>
  <c r="K20" i="159"/>
  <c r="K21" i="159"/>
  <c r="K12" i="159"/>
  <c r="K13" i="159"/>
  <c r="K14" i="159"/>
  <c r="K15" i="159"/>
  <c r="M25" i="141"/>
  <c r="U37" i="198" l="1"/>
  <c r="E37" i="198"/>
  <c r="F8" i="82"/>
  <c r="E8" i="82"/>
  <c r="F7" i="82"/>
  <c r="I31" i="82"/>
  <c r="AD40" i="27"/>
  <c r="E12" i="373" s="1"/>
  <c r="U32" i="27"/>
  <c r="T11" i="27"/>
  <c r="U11" i="27" s="1"/>
  <c r="T12" i="27"/>
  <c r="U12" i="27" s="1"/>
  <c r="T22" i="27"/>
  <c r="U22" i="27" s="1"/>
  <c r="T30" i="27"/>
  <c r="U30" i="27" s="1"/>
  <c r="T28" i="27"/>
  <c r="U28" i="27" s="1"/>
  <c r="T25" i="27"/>
  <c r="U25" i="27" s="1"/>
  <c r="AD30" i="27"/>
  <c r="AD39" i="27"/>
  <c r="E11" i="373" s="1"/>
  <c r="E13" i="373" s="1"/>
  <c r="E14" i="373" s="1"/>
  <c r="AC38" i="27"/>
  <c r="AA30" i="27" s="1"/>
  <c r="AB30" i="27" s="1"/>
  <c r="U84" i="27"/>
  <c r="S7" i="27" s="1"/>
  <c r="Z19" i="27"/>
  <c r="M57" i="58"/>
  <c r="M70" i="58"/>
  <c r="J31" i="82" l="1"/>
  <c r="I32" i="82"/>
  <c r="AC41" i="27"/>
  <c r="AA28" i="27"/>
  <c r="AB28" i="27" s="1"/>
  <c r="AA27" i="27"/>
  <c r="AB27" i="27" s="1"/>
  <c r="AA25" i="27"/>
  <c r="AB25" i="27" s="1"/>
  <c r="AA23" i="27"/>
  <c r="AB23" i="27" s="1"/>
  <c r="AA22" i="27"/>
  <c r="AB22" i="27" s="1"/>
  <c r="E15" i="367"/>
  <c r="M29" i="367"/>
  <c r="L29" i="367"/>
  <c r="I29" i="367"/>
  <c r="H29" i="367"/>
  <c r="G29" i="367"/>
  <c r="F29" i="367"/>
  <c r="C29" i="367"/>
  <c r="B29" i="367"/>
  <c r="K15" i="367"/>
  <c r="J15" i="367"/>
  <c r="I15" i="367"/>
  <c r="H27" i="346" s="1"/>
  <c r="H15" i="367"/>
  <c r="G15" i="367"/>
  <c r="F15" i="367"/>
  <c r="B57" i="367"/>
  <c r="N43" i="366"/>
  <c r="M43" i="366"/>
  <c r="L43" i="366"/>
  <c r="K43" i="366"/>
  <c r="F43" i="366"/>
  <c r="E43" i="366"/>
  <c r="D43" i="366"/>
  <c r="H27" i="366"/>
  <c r="H26" i="366"/>
  <c r="H25" i="366"/>
  <c r="H24" i="366"/>
  <c r="H23" i="366"/>
  <c r="J13" i="366"/>
  <c r="J16" i="366" s="1"/>
  <c r="F13" i="366"/>
  <c r="F16" i="366" s="1"/>
  <c r="E13" i="366"/>
  <c r="E16" i="366" s="1"/>
  <c r="D13" i="366"/>
  <c r="D16" i="366" s="1"/>
  <c r="I13" i="366"/>
  <c r="I16" i="366" s="1"/>
  <c r="G13" i="366"/>
  <c r="G16" i="366" s="1"/>
  <c r="H11" i="366"/>
  <c r="H10" i="366"/>
  <c r="H9" i="366"/>
  <c r="E41" i="365"/>
  <c r="E43" i="365" s="1"/>
  <c r="H12" i="347" s="1"/>
  <c r="L34" i="365"/>
  <c r="L41" i="365" s="1"/>
  <c r="D34" i="365"/>
  <c r="D41" i="365" s="1"/>
  <c r="C34" i="365"/>
  <c r="C41" i="365" s="1"/>
  <c r="I34" i="365"/>
  <c r="I41" i="365" s="1"/>
  <c r="H34" i="365"/>
  <c r="H41" i="365" s="1"/>
  <c r="G34" i="365"/>
  <c r="G41" i="365" s="1"/>
  <c r="J32" i="365"/>
  <c r="J31" i="365"/>
  <c r="J30" i="365"/>
  <c r="J29" i="365"/>
  <c r="L15" i="365"/>
  <c r="L22" i="365" s="1"/>
  <c r="D15" i="365"/>
  <c r="D22" i="365" s="1"/>
  <c r="C15" i="365"/>
  <c r="C22" i="365" s="1"/>
  <c r="I15" i="365"/>
  <c r="I22" i="365" s="1"/>
  <c r="H15" i="365"/>
  <c r="H22" i="365" s="1"/>
  <c r="G15" i="365"/>
  <c r="G22" i="365" s="1"/>
  <c r="J13" i="365"/>
  <c r="J12" i="365"/>
  <c r="J11" i="365"/>
  <c r="J10" i="365"/>
  <c r="F32" i="8"/>
  <c r="K32" i="8"/>
  <c r="P32" i="8"/>
  <c r="AA30" i="141"/>
  <c r="AC30" i="141" s="1"/>
  <c r="AA31" i="141"/>
  <c r="AC31" i="141" s="1"/>
  <c r="AC32" i="141"/>
  <c r="AA33" i="141"/>
  <c r="AC33" i="141" s="1"/>
  <c r="AC34" i="141"/>
  <c r="E16" i="197" s="1"/>
  <c r="G35" i="141"/>
  <c r="I35" i="141"/>
  <c r="K35" i="141"/>
  <c r="D35" i="141"/>
  <c r="F30" i="141"/>
  <c r="F31" i="141"/>
  <c r="F32" i="141"/>
  <c r="F33" i="141"/>
  <c r="F34" i="141"/>
  <c r="O57" i="356"/>
  <c r="Q57" i="356" s="1"/>
  <c r="S57" i="356" s="1"/>
  <c r="O58" i="356"/>
  <c r="Q58" i="356" s="1"/>
  <c r="S58" i="356" s="1"/>
  <c r="O59" i="356"/>
  <c r="Q59" i="356" s="1"/>
  <c r="S59" i="356" s="1"/>
  <c r="O60" i="356"/>
  <c r="Q60" i="356" s="1"/>
  <c r="S60" i="356" s="1"/>
  <c r="O61" i="356"/>
  <c r="Q61" i="356" s="1"/>
  <c r="S61" i="356" s="1"/>
  <c r="O62" i="356"/>
  <c r="Q62" i="356" s="1"/>
  <c r="S62" i="356" s="1"/>
  <c r="O63" i="356"/>
  <c r="Q63" i="356" s="1"/>
  <c r="S63" i="356" s="1"/>
  <c r="O64" i="356"/>
  <c r="Q64" i="356" s="1"/>
  <c r="S64" i="356" s="1"/>
  <c r="O65" i="356"/>
  <c r="Q65" i="356" s="1"/>
  <c r="S65" i="356" s="1"/>
  <c r="O66" i="356"/>
  <c r="Q66" i="356" s="1"/>
  <c r="S66" i="356" s="1"/>
  <c r="O67" i="356"/>
  <c r="Q67" i="356" s="1"/>
  <c r="S67" i="356" s="1"/>
  <c r="O68" i="356"/>
  <c r="Q68" i="356" s="1"/>
  <c r="S68" i="356" s="1"/>
  <c r="O69" i="356"/>
  <c r="Q69" i="356" s="1"/>
  <c r="S69" i="356" s="1"/>
  <c r="O70" i="356"/>
  <c r="Q70" i="356" s="1"/>
  <c r="S70" i="356" s="1"/>
  <c r="O71" i="356"/>
  <c r="Q71" i="356" s="1"/>
  <c r="O72" i="356"/>
  <c r="Q72" i="356" s="1"/>
  <c r="S72" i="356" s="1"/>
  <c r="O73" i="356"/>
  <c r="Q73" i="356" s="1"/>
  <c r="S73" i="356" s="1"/>
  <c r="O74" i="356"/>
  <c r="Q74" i="356" s="1"/>
  <c r="S74" i="356" s="1"/>
  <c r="O75" i="356"/>
  <c r="Q75" i="356" s="1"/>
  <c r="S75" i="356" s="1"/>
  <c r="O76" i="356"/>
  <c r="Q76" i="356" s="1"/>
  <c r="S76" i="356" s="1"/>
  <c r="O77" i="356"/>
  <c r="Q77" i="356" s="1"/>
  <c r="S77" i="356" s="1"/>
  <c r="O78" i="356"/>
  <c r="Q78" i="356" s="1"/>
  <c r="S78" i="356" s="1"/>
  <c r="O79" i="356"/>
  <c r="Q79" i="356" s="1"/>
  <c r="S79" i="356" s="1"/>
  <c r="O80" i="356"/>
  <c r="Q80" i="356" s="1"/>
  <c r="S80" i="356" s="1"/>
  <c r="O81" i="356"/>
  <c r="Q81" i="356" s="1"/>
  <c r="S81" i="356" s="1"/>
  <c r="O82" i="356"/>
  <c r="Q82" i="356" s="1"/>
  <c r="S82" i="356" s="1"/>
  <c r="O83" i="356"/>
  <c r="Q83" i="356" s="1"/>
  <c r="S83" i="356" s="1"/>
  <c r="O84" i="356"/>
  <c r="Q84" i="356" s="1"/>
  <c r="S84" i="356" s="1"/>
  <c r="O85" i="356"/>
  <c r="Q85" i="356" s="1"/>
  <c r="S85" i="356" s="1"/>
  <c r="O86" i="356"/>
  <c r="Q86" i="356" s="1"/>
  <c r="S86" i="356" s="1"/>
  <c r="O87" i="356"/>
  <c r="Q87" i="356" s="1"/>
  <c r="S87" i="356" s="1"/>
  <c r="O88" i="356"/>
  <c r="Q88" i="356" s="1"/>
  <c r="S88" i="356" s="1"/>
  <c r="O89" i="356"/>
  <c r="Q89" i="356" s="1"/>
  <c r="S89" i="356" s="1"/>
  <c r="O90" i="356"/>
  <c r="Q90" i="356" s="1"/>
  <c r="S90" i="356" s="1"/>
  <c r="O91" i="356"/>
  <c r="Q91" i="356" s="1"/>
  <c r="S91" i="356" s="1"/>
  <c r="O92" i="356"/>
  <c r="Q92" i="356" s="1"/>
  <c r="S92" i="356" s="1"/>
  <c r="O93" i="356"/>
  <c r="Q93" i="356" s="1"/>
  <c r="S93" i="356" s="1"/>
  <c r="O94" i="356"/>
  <c r="Q94" i="356" s="1"/>
  <c r="S94" i="356" s="1"/>
  <c r="O95" i="356"/>
  <c r="Q95" i="356" s="1"/>
  <c r="S95" i="356" s="1"/>
  <c r="O96" i="356"/>
  <c r="Q96" i="356" s="1"/>
  <c r="S96" i="356" s="1"/>
  <c r="O97" i="356"/>
  <c r="Q97" i="356" s="1"/>
  <c r="S97" i="356" s="1"/>
  <c r="O98" i="356"/>
  <c r="Q98" i="356" s="1"/>
  <c r="S98" i="356" s="1"/>
  <c r="O99" i="356"/>
  <c r="Q99" i="356" s="1"/>
  <c r="S99" i="356" s="1"/>
  <c r="O100" i="356"/>
  <c r="Q100" i="356" s="1"/>
  <c r="S100" i="356" s="1"/>
  <c r="O101" i="356"/>
  <c r="Q101" i="356" s="1"/>
  <c r="S101" i="356" s="1"/>
  <c r="O102" i="356"/>
  <c r="Q102" i="356" s="1"/>
  <c r="S102" i="356" s="1"/>
  <c r="O103" i="356"/>
  <c r="Q103" i="356" s="1"/>
  <c r="S103" i="356" s="1"/>
  <c r="O104" i="356"/>
  <c r="Q104" i="356" s="1"/>
  <c r="S104" i="356" s="1"/>
  <c r="O105" i="356"/>
  <c r="Q105" i="356" s="1"/>
  <c r="S105" i="356" s="1"/>
  <c r="O106" i="356"/>
  <c r="Q106" i="356" s="1"/>
  <c r="S106" i="356" s="1"/>
  <c r="O107" i="356"/>
  <c r="Q107" i="356" s="1"/>
  <c r="S107" i="356" s="1"/>
  <c r="O108" i="356"/>
  <c r="Q108" i="356" s="1"/>
  <c r="S108" i="356" s="1"/>
  <c r="O109" i="356"/>
  <c r="Q109" i="356" s="1"/>
  <c r="S109" i="356" s="1"/>
  <c r="O110" i="356"/>
  <c r="Q110" i="356" s="1"/>
  <c r="S110" i="356" s="1"/>
  <c r="O111" i="356"/>
  <c r="Q111" i="356" s="1"/>
  <c r="S111" i="356" s="1"/>
  <c r="O112" i="356"/>
  <c r="Q112" i="356" s="1"/>
  <c r="S112" i="356" s="1"/>
  <c r="O113" i="356"/>
  <c r="Q113" i="356" s="1"/>
  <c r="S113" i="356" s="1"/>
  <c r="O114" i="356"/>
  <c r="Q114" i="356" s="1"/>
  <c r="S114" i="356" s="1"/>
  <c r="O115" i="356"/>
  <c r="Q115" i="356" s="1"/>
  <c r="S115" i="356" s="1"/>
  <c r="O116" i="356"/>
  <c r="Q116" i="356" s="1"/>
  <c r="S116" i="356" s="1"/>
  <c r="O117" i="356"/>
  <c r="Q117" i="356" s="1"/>
  <c r="S117" i="356" s="1"/>
  <c r="O118" i="356"/>
  <c r="Q118" i="356" s="1"/>
  <c r="S118" i="356" s="1"/>
  <c r="O119" i="356"/>
  <c r="Q119" i="356" s="1"/>
  <c r="S119" i="356" s="1"/>
  <c r="O120" i="356"/>
  <c r="Q120" i="356" s="1"/>
  <c r="S120" i="356" s="1"/>
  <c r="O121" i="356"/>
  <c r="Q121" i="356" s="1"/>
  <c r="S121" i="356" s="1"/>
  <c r="O122" i="356"/>
  <c r="Q122" i="356" s="1"/>
  <c r="S122" i="356" s="1"/>
  <c r="O123" i="356"/>
  <c r="Q123" i="356" s="1"/>
  <c r="S123" i="356" s="1"/>
  <c r="O124" i="356"/>
  <c r="Q124" i="356" s="1"/>
  <c r="S124" i="356" s="1"/>
  <c r="O125" i="356"/>
  <c r="Q125" i="356" s="1"/>
  <c r="S125" i="356" s="1"/>
  <c r="O126" i="356"/>
  <c r="Q126" i="356" s="1"/>
  <c r="S126" i="356" s="1"/>
  <c r="O127" i="356"/>
  <c r="Q127" i="356" s="1"/>
  <c r="S127" i="356" s="1"/>
  <c r="O128" i="356"/>
  <c r="Q128" i="356" s="1"/>
  <c r="S128" i="356" s="1"/>
  <c r="O129" i="356"/>
  <c r="Q129" i="356" s="1"/>
  <c r="S129" i="356" s="1"/>
  <c r="O130" i="356"/>
  <c r="Q130" i="356" s="1"/>
  <c r="S130" i="356" s="1"/>
  <c r="O131" i="356"/>
  <c r="Q131" i="356" s="1"/>
  <c r="S131" i="356" s="1"/>
  <c r="O132" i="356"/>
  <c r="Q132" i="356" s="1"/>
  <c r="S132" i="356" s="1"/>
  <c r="O133" i="356"/>
  <c r="Q133" i="356" s="1"/>
  <c r="S133" i="356" s="1"/>
  <c r="O134" i="356"/>
  <c r="Q134" i="356" s="1"/>
  <c r="S134" i="356" s="1"/>
  <c r="O135" i="356"/>
  <c r="Q135" i="356" s="1"/>
  <c r="S135" i="356" s="1"/>
  <c r="O136" i="356"/>
  <c r="Q136" i="356" s="1"/>
  <c r="S136" i="356" s="1"/>
  <c r="O137" i="356"/>
  <c r="Q137" i="356" s="1"/>
  <c r="S137" i="356" s="1"/>
  <c r="O138" i="356"/>
  <c r="Q138" i="356" s="1"/>
  <c r="S138" i="356" s="1"/>
  <c r="O139" i="356"/>
  <c r="Q139" i="356" s="1"/>
  <c r="S139" i="356" s="1"/>
  <c r="O140" i="356"/>
  <c r="Q140" i="356" s="1"/>
  <c r="S140" i="356" s="1"/>
  <c r="O141" i="356"/>
  <c r="Q141" i="356" s="1"/>
  <c r="S141" i="356" s="1"/>
  <c r="O142" i="356"/>
  <c r="Q142" i="356" s="1"/>
  <c r="S142" i="356" s="1"/>
  <c r="Q143" i="356"/>
  <c r="S143" i="356" s="1"/>
  <c r="Q144" i="356"/>
  <c r="S144" i="356" s="1"/>
  <c r="Q145" i="356"/>
  <c r="S145" i="356" s="1"/>
  <c r="Q146" i="356"/>
  <c r="S146" i="356" s="1"/>
  <c r="Q147" i="356"/>
  <c r="S147" i="356" s="1"/>
  <c r="Q148" i="356"/>
  <c r="S148" i="356" s="1"/>
  <c r="Q149" i="356"/>
  <c r="S149" i="356" s="1"/>
  <c r="Q150" i="356"/>
  <c r="S150" i="356" s="1"/>
  <c r="Q151" i="356"/>
  <c r="S151" i="356" s="1"/>
  <c r="Q152" i="356"/>
  <c r="S152" i="356" s="1"/>
  <c r="Q153" i="356"/>
  <c r="S153" i="356" s="1"/>
  <c r="Q154" i="356"/>
  <c r="S154" i="356" s="1"/>
  <c r="Q155" i="356"/>
  <c r="S155" i="356" s="1"/>
  <c r="Q156" i="356"/>
  <c r="S156" i="356" s="1"/>
  <c r="Q157" i="356"/>
  <c r="P177" i="356"/>
  <c r="P53" i="356"/>
  <c r="O48" i="356"/>
  <c r="Q48" i="356" s="1"/>
  <c r="H7" i="356"/>
  <c r="H8" i="356"/>
  <c r="H9" i="356"/>
  <c r="H10" i="356"/>
  <c r="H11" i="356"/>
  <c r="H12" i="356"/>
  <c r="H13" i="356"/>
  <c r="H14" i="356"/>
  <c r="H15" i="356"/>
  <c r="H37" i="356"/>
  <c r="H38" i="356"/>
  <c r="H39" i="356"/>
  <c r="H40" i="356"/>
  <c r="H41" i="356"/>
  <c r="H42" i="356"/>
  <c r="H34" i="356"/>
  <c r="H35" i="356"/>
  <c r="H36" i="356"/>
  <c r="H43" i="356"/>
  <c r="H44" i="356"/>
  <c r="D65" i="163"/>
  <c r="D64" i="163"/>
  <c r="D63" i="163"/>
  <c r="D62" i="163"/>
  <c r="D58" i="163"/>
  <c r="F58" i="163" s="1"/>
  <c r="D60" i="163"/>
  <c r="F60" i="163" s="1"/>
  <c r="D59" i="163"/>
  <c r="D56" i="163"/>
  <c r="F56" i="163" s="1"/>
  <c r="D48" i="163"/>
  <c r="F48" i="163" s="1"/>
  <c r="R47" i="58"/>
  <c r="D44" i="163" s="1"/>
  <c r="D52" i="163"/>
  <c r="D51" i="163"/>
  <c r="D50" i="163"/>
  <c r="D49" i="163"/>
  <c r="F49" i="163" s="1"/>
  <c r="D46" i="163"/>
  <c r="F46" i="163" s="1"/>
  <c r="D45" i="163"/>
  <c r="F45" i="163" s="1"/>
  <c r="D43" i="163"/>
  <c r="F43" i="163" s="1"/>
  <c r="D42" i="163"/>
  <c r="E42" i="163" s="1"/>
  <c r="D41" i="163"/>
  <c r="D40" i="163"/>
  <c r="D39" i="163"/>
  <c r="U39" i="163" s="1"/>
  <c r="D38" i="163"/>
  <c r="U38" i="163" s="1"/>
  <c r="H24" i="163"/>
  <c r="D28" i="83"/>
  <c r="K64" i="163"/>
  <c r="K63" i="163"/>
  <c r="L62" i="163"/>
  <c r="K62" i="163"/>
  <c r="L60" i="163"/>
  <c r="K60" i="163"/>
  <c r="L59" i="163"/>
  <c r="K59" i="163"/>
  <c r="L58" i="163"/>
  <c r="K58" i="163"/>
  <c r="L56" i="163"/>
  <c r="K56" i="163"/>
  <c r="L55" i="163"/>
  <c r="K55" i="163"/>
  <c r="K52" i="163"/>
  <c r="K51" i="163"/>
  <c r="L50" i="163"/>
  <c r="K50" i="163"/>
  <c r="L49" i="163"/>
  <c r="K49" i="163"/>
  <c r="L48" i="163"/>
  <c r="K48" i="163"/>
  <c r="L46" i="163"/>
  <c r="K46" i="163"/>
  <c r="L45" i="163"/>
  <c r="K45" i="163"/>
  <c r="L44" i="163"/>
  <c r="K44" i="163"/>
  <c r="L43" i="163"/>
  <c r="K43" i="163"/>
  <c r="L42" i="163"/>
  <c r="K42" i="163"/>
  <c r="L41" i="163"/>
  <c r="K41" i="163"/>
  <c r="K40" i="163"/>
  <c r="K37" i="163"/>
  <c r="U37" i="163" s="1"/>
  <c r="K34" i="163"/>
  <c r="K33" i="163"/>
  <c r="K32" i="163"/>
  <c r="K31" i="163"/>
  <c r="K30" i="163"/>
  <c r="K29" i="163"/>
  <c r="K28" i="163"/>
  <c r="K27" i="163"/>
  <c r="K26" i="163"/>
  <c r="K22" i="163"/>
  <c r="K21" i="163"/>
  <c r="K20" i="163"/>
  <c r="K16" i="163"/>
  <c r="K15" i="163"/>
  <c r="K14" i="163"/>
  <c r="K13" i="163"/>
  <c r="B35" i="141"/>
  <c r="B4" i="307"/>
  <c r="C5" i="345"/>
  <c r="B5" i="307" s="1"/>
  <c r="B7" i="307" s="1"/>
  <c r="S71" i="356" l="1"/>
  <c r="R71" i="356"/>
  <c r="E15" i="197"/>
  <c r="U42" i="163"/>
  <c r="E56" i="367"/>
  <c r="H27" i="58"/>
  <c r="I27" i="58"/>
  <c r="L27" i="58" s="1"/>
  <c r="I27" i="346"/>
  <c r="E27" i="58"/>
  <c r="H26" i="347"/>
  <c r="I26" i="347"/>
  <c r="H53" i="356"/>
  <c r="C43" i="365"/>
  <c r="D13" i="58" s="1"/>
  <c r="D33" i="366"/>
  <c r="E26" i="58" s="1"/>
  <c r="E33" i="366"/>
  <c r="H22" i="347" s="1"/>
  <c r="F33" i="366"/>
  <c r="H23" i="347" s="1"/>
  <c r="J33" i="366"/>
  <c r="G33" i="366"/>
  <c r="H24" i="347" s="1"/>
  <c r="I33" i="366"/>
  <c r="I20" i="347" s="1"/>
  <c r="H28" i="366"/>
  <c r="H32" i="366" s="1"/>
  <c r="H34" i="141"/>
  <c r="M92" i="141" s="1"/>
  <c r="M34" i="141" s="1"/>
  <c r="H33" i="141"/>
  <c r="H32" i="141"/>
  <c r="M90" i="141" s="1"/>
  <c r="M32" i="141" s="1"/>
  <c r="H31" i="141"/>
  <c r="M89" i="141" s="1"/>
  <c r="M31" i="141" s="1"/>
  <c r="H30" i="141"/>
  <c r="M88" i="141" s="1"/>
  <c r="M30" i="141" s="1"/>
  <c r="AD31" i="141"/>
  <c r="O28" i="8" s="1"/>
  <c r="E13" i="197"/>
  <c r="AD30" i="141"/>
  <c r="AG30" i="141" s="1"/>
  <c r="E12" i="197"/>
  <c r="AD32" i="141"/>
  <c r="O29" i="8" s="1"/>
  <c r="E14" i="197"/>
  <c r="U40" i="163"/>
  <c r="E35" i="141"/>
  <c r="R57" i="58"/>
  <c r="D42" i="159"/>
  <c r="C35" i="141"/>
  <c r="W16" i="27"/>
  <c r="P178" i="356"/>
  <c r="R157" i="356"/>
  <c r="S157" i="356"/>
  <c r="AD33" i="141"/>
  <c r="O30" i="8" s="1"/>
  <c r="L43" i="365"/>
  <c r="J33" i="365"/>
  <c r="J34" i="365" s="1"/>
  <c r="J41" i="365" s="1"/>
  <c r="H12" i="366"/>
  <c r="H13" i="366" s="1"/>
  <c r="H16" i="366" s="1"/>
  <c r="K15" i="365"/>
  <c r="K22" i="365" s="1"/>
  <c r="K43" i="365" s="1"/>
  <c r="I18" i="347" s="1"/>
  <c r="I19" i="347" s="1"/>
  <c r="H43" i="365"/>
  <c r="H16" i="347" s="1"/>
  <c r="I43" i="365"/>
  <c r="H17" i="347" s="1"/>
  <c r="G43" i="365"/>
  <c r="H15" i="347" s="1"/>
  <c r="D43" i="365"/>
  <c r="E13" i="58" s="1"/>
  <c r="F15" i="365"/>
  <c r="F22" i="365" s="1"/>
  <c r="F34" i="365"/>
  <c r="F41" i="365" s="1"/>
  <c r="J14" i="365"/>
  <c r="J15" i="365" s="1"/>
  <c r="J22" i="365" s="1"/>
  <c r="N31" i="8"/>
  <c r="N30" i="8"/>
  <c r="N29" i="8"/>
  <c r="N28" i="8"/>
  <c r="N27" i="8"/>
  <c r="J84" i="141"/>
  <c r="Q32" i="141" l="1"/>
  <c r="P32" i="141"/>
  <c r="Q34" i="141"/>
  <c r="P34" i="141"/>
  <c r="Q30" i="141"/>
  <c r="P30" i="141"/>
  <c r="R30" i="141" s="1"/>
  <c r="Q31" i="141"/>
  <c r="P31" i="141"/>
  <c r="R31" i="141" s="1"/>
  <c r="AG33" i="141"/>
  <c r="AG32" i="141"/>
  <c r="AG31" i="141"/>
  <c r="M91" i="141"/>
  <c r="M33" i="141" s="1"/>
  <c r="M94" i="141"/>
  <c r="J43" i="365"/>
  <c r="B56" i="367"/>
  <c r="AE31" i="141"/>
  <c r="H33" i="366"/>
  <c r="J30" i="141"/>
  <c r="L30" i="141" s="1"/>
  <c r="D27" i="8"/>
  <c r="H27" i="8" s="1"/>
  <c r="J31" i="141"/>
  <c r="L31" i="141" s="1"/>
  <c r="U31" i="141" s="1"/>
  <c r="D28" i="8"/>
  <c r="H28" i="8" s="1"/>
  <c r="J32" i="141"/>
  <c r="L32" i="141" s="1"/>
  <c r="D29" i="8"/>
  <c r="H29" i="8" s="1"/>
  <c r="J33" i="141"/>
  <c r="L33" i="141" s="1"/>
  <c r="U33" i="141" s="1"/>
  <c r="D30" i="8"/>
  <c r="H30" i="8" s="1"/>
  <c r="J34" i="141"/>
  <c r="L34" i="141" s="1"/>
  <c r="U34" i="141" s="1"/>
  <c r="D31" i="8"/>
  <c r="H31" i="8" s="1"/>
  <c r="J12" i="347"/>
  <c r="F43" i="365"/>
  <c r="H14" i="347" s="1"/>
  <c r="I25" i="347"/>
  <c r="O27" i="8"/>
  <c r="E17" i="197"/>
  <c r="AE30" i="141"/>
  <c r="AE32" i="141"/>
  <c r="I16" i="368"/>
  <c r="I21" i="368" s="1"/>
  <c r="AA16" i="27"/>
  <c r="AB16" i="27" s="1"/>
  <c r="AD16" i="27"/>
  <c r="AE33" i="141"/>
  <c r="C9" i="381" l="1"/>
  <c r="D12" i="197"/>
  <c r="I27" i="8"/>
  <c r="S30" i="141"/>
  <c r="S31" i="141"/>
  <c r="J28" i="8" s="1"/>
  <c r="I28" i="8"/>
  <c r="D13" i="197"/>
  <c r="U30" i="141"/>
  <c r="R34" i="141"/>
  <c r="R32" i="141"/>
  <c r="U32" i="141"/>
  <c r="M93" i="141"/>
  <c r="M95" i="141" s="1"/>
  <c r="B61" i="367"/>
  <c r="H20" i="347"/>
  <c r="J20" i="347" s="1"/>
  <c r="H18" i="347"/>
  <c r="H19" i="347" s="1"/>
  <c r="J22" i="364"/>
  <c r="I22" i="364"/>
  <c r="H22" i="364"/>
  <c r="G22" i="364"/>
  <c r="F22" i="364"/>
  <c r="E22" i="364"/>
  <c r="Q21" i="364"/>
  <c r="Q20" i="364"/>
  <c r="Q19" i="364"/>
  <c r="Q15" i="364"/>
  <c r="Q14" i="364"/>
  <c r="J13" i="364"/>
  <c r="I13" i="364"/>
  <c r="H13" i="364"/>
  <c r="G13" i="364"/>
  <c r="F13" i="364"/>
  <c r="E13" i="364"/>
  <c r="Q11" i="364"/>
  <c r="P8" i="364"/>
  <c r="P9" i="364" s="1"/>
  <c r="P10" i="364" s="1"/>
  <c r="O8" i="364"/>
  <c r="O9" i="364" s="1"/>
  <c r="O10" i="364" s="1"/>
  <c r="N8" i="364"/>
  <c r="N9" i="364" s="1"/>
  <c r="N10" i="364" s="1"/>
  <c r="M8" i="364"/>
  <c r="L8" i="364"/>
  <c r="K8" i="364"/>
  <c r="K9" i="364" s="1"/>
  <c r="K10" i="364" s="1"/>
  <c r="J8" i="364"/>
  <c r="J9" i="364" s="1"/>
  <c r="J10" i="364" s="1"/>
  <c r="I8" i="364"/>
  <c r="H8" i="364"/>
  <c r="H9" i="364" s="1"/>
  <c r="H10" i="364" s="1"/>
  <c r="G8" i="364"/>
  <c r="G9" i="364" s="1"/>
  <c r="G10" i="364" s="1"/>
  <c r="F8" i="364"/>
  <c r="F9" i="364" s="1"/>
  <c r="F10" i="364" s="1"/>
  <c r="E8" i="364"/>
  <c r="Q7" i="364"/>
  <c r="Q6" i="364"/>
  <c r="Q5" i="364"/>
  <c r="P22" i="363"/>
  <c r="O22" i="363"/>
  <c r="N22" i="363"/>
  <c r="M22" i="363"/>
  <c r="L22" i="363"/>
  <c r="K22" i="363"/>
  <c r="J22" i="363"/>
  <c r="I22" i="363"/>
  <c r="H22" i="363"/>
  <c r="G22" i="363"/>
  <c r="F22" i="363"/>
  <c r="E22" i="363"/>
  <c r="Q21" i="363"/>
  <c r="Q20" i="363"/>
  <c r="Q19" i="363"/>
  <c r="Q15" i="363"/>
  <c r="Q14" i="363"/>
  <c r="P13" i="363"/>
  <c r="O13" i="363"/>
  <c r="N13" i="363"/>
  <c r="M13" i="363"/>
  <c r="L13" i="363"/>
  <c r="K13" i="363"/>
  <c r="J13" i="363"/>
  <c r="I13" i="363"/>
  <c r="H13" i="363"/>
  <c r="G13" i="363"/>
  <c r="F13" i="363"/>
  <c r="E13" i="363"/>
  <c r="Q11" i="363"/>
  <c r="P9" i="363"/>
  <c r="P10" i="363" s="1"/>
  <c r="N9" i="363"/>
  <c r="N10" i="363" s="1"/>
  <c r="H9" i="363"/>
  <c r="H10" i="363" s="1"/>
  <c r="Q7" i="363"/>
  <c r="Q6" i="363"/>
  <c r="Q5" i="363"/>
  <c r="T31" i="141" l="1"/>
  <c r="V31" i="141"/>
  <c r="L28" i="8" s="1"/>
  <c r="M28" i="8" s="1"/>
  <c r="I29" i="8"/>
  <c r="D14" i="197"/>
  <c r="S32" i="141"/>
  <c r="T32" i="141" s="1"/>
  <c r="J27" i="8"/>
  <c r="M27" i="8" s="1"/>
  <c r="T30" i="141"/>
  <c r="W30" i="141" s="1"/>
  <c r="AF30" i="141" s="1"/>
  <c r="Q27" i="8" s="1"/>
  <c r="R27" i="8" s="1"/>
  <c r="D16" i="197"/>
  <c r="I31" i="8"/>
  <c r="V30" i="141"/>
  <c r="L27" i="8" s="1"/>
  <c r="Q33" i="141"/>
  <c r="P33" i="141"/>
  <c r="Q22" i="364"/>
  <c r="J16" i="364"/>
  <c r="J23" i="364" s="1"/>
  <c r="J24" i="364" s="1"/>
  <c r="L9" i="364"/>
  <c r="L10" i="364" s="1"/>
  <c r="Q8" i="363"/>
  <c r="Q9" i="363" s="1"/>
  <c r="Q10" i="363" s="1"/>
  <c r="N16" i="363"/>
  <c r="N23" i="363" s="1"/>
  <c r="N24" i="363" s="1"/>
  <c r="H16" i="363"/>
  <c r="H23" i="363" s="1"/>
  <c r="H24" i="363" s="1"/>
  <c r="P16" i="363"/>
  <c r="P17" i="363" s="1"/>
  <c r="P18" i="363" s="1"/>
  <c r="Q13" i="363"/>
  <c r="Q12" i="363" s="1"/>
  <c r="L9" i="363"/>
  <c r="L10" i="363" s="1"/>
  <c r="F9" i="363"/>
  <c r="F10" i="363" s="1"/>
  <c r="Q22" i="363"/>
  <c r="F16" i="364"/>
  <c r="F17" i="364" s="1"/>
  <c r="F18" i="364" s="1"/>
  <c r="N16" i="364"/>
  <c r="N17" i="364" s="1"/>
  <c r="N18" i="364" s="1"/>
  <c r="J9" i="363"/>
  <c r="J10" i="363" s="1"/>
  <c r="H16" i="364"/>
  <c r="H23" i="364" s="1"/>
  <c r="H24" i="364" s="1"/>
  <c r="P16" i="364"/>
  <c r="P17" i="364" s="1"/>
  <c r="P18" i="364" s="1"/>
  <c r="Q13" i="364"/>
  <c r="Q12" i="364" s="1"/>
  <c r="E9" i="363"/>
  <c r="E10" i="363" s="1"/>
  <c r="I9" i="363"/>
  <c r="I10" i="363" s="1"/>
  <c r="M9" i="363"/>
  <c r="M10" i="363" s="1"/>
  <c r="E9" i="364"/>
  <c r="E10" i="364" s="1"/>
  <c r="I9" i="364"/>
  <c r="I10" i="364" s="1"/>
  <c r="M9" i="364"/>
  <c r="M10" i="364" s="1"/>
  <c r="Q8" i="364"/>
  <c r="G16" i="364"/>
  <c r="G23" i="364" s="1"/>
  <c r="G24" i="364" s="1"/>
  <c r="K16" i="364"/>
  <c r="K24" i="364" s="1"/>
  <c r="O16" i="364"/>
  <c r="G9" i="363"/>
  <c r="G10" i="363" s="1"/>
  <c r="K9" i="363"/>
  <c r="K10" i="363" s="1"/>
  <c r="O9" i="363"/>
  <c r="O10" i="363" s="1"/>
  <c r="W31" i="141" l="1"/>
  <c r="AF31" i="141" s="1"/>
  <c r="V32" i="141"/>
  <c r="L29" i="8" s="1"/>
  <c r="J29" i="8"/>
  <c r="AH30" i="141"/>
  <c r="R33" i="141"/>
  <c r="I37" i="347"/>
  <c r="I67" i="347" s="1"/>
  <c r="L69" i="347" s="1"/>
  <c r="L71" i="347" s="1"/>
  <c r="J17" i="364"/>
  <c r="J18" i="364" s="1"/>
  <c r="P24" i="364"/>
  <c r="F23" i="364"/>
  <c r="F24" i="364" s="1"/>
  <c r="H17" i="364"/>
  <c r="H18" i="364" s="1"/>
  <c r="P23" i="363"/>
  <c r="P24" i="363" s="1"/>
  <c r="N17" i="363"/>
  <c r="N18" i="363" s="1"/>
  <c r="E16" i="363"/>
  <c r="E17" i="363" s="1"/>
  <c r="E18" i="363" s="1"/>
  <c r="O24" i="364"/>
  <c r="O17" i="364"/>
  <c r="O18" i="364" s="1"/>
  <c r="G17" i="364"/>
  <c r="G18" i="364" s="1"/>
  <c r="K16" i="363"/>
  <c r="K23" i="363" s="1"/>
  <c r="K24" i="363" s="1"/>
  <c r="H17" i="363"/>
  <c r="H18" i="363" s="1"/>
  <c r="N24" i="364"/>
  <c r="L16" i="364"/>
  <c r="F16" i="363"/>
  <c r="J16" i="363"/>
  <c r="L16" i="363"/>
  <c r="I16" i="363"/>
  <c r="E16" i="364"/>
  <c r="M16" i="363"/>
  <c r="I16" i="364"/>
  <c r="Q9" i="364"/>
  <c r="Q10" i="364" s="1"/>
  <c r="K17" i="364"/>
  <c r="K18" i="364" s="1"/>
  <c r="M16" i="364"/>
  <c r="G16" i="363"/>
  <c r="O16" i="363"/>
  <c r="AH31" i="141" l="1"/>
  <c r="Q28" i="8"/>
  <c r="R28" i="8" s="1"/>
  <c r="M29" i="8"/>
  <c r="W32" i="141"/>
  <c r="AF32" i="141" s="1"/>
  <c r="D15" i="197"/>
  <c r="D17" i="197" s="1"/>
  <c r="S33" i="141"/>
  <c r="V33" i="141" s="1"/>
  <c r="L30" i="8" s="1"/>
  <c r="I30" i="8"/>
  <c r="T33" i="141"/>
  <c r="E23" i="363"/>
  <c r="E24" i="363" s="1"/>
  <c r="K17" i="363"/>
  <c r="K18" i="363" s="1"/>
  <c r="L23" i="363"/>
  <c r="L24" i="363" s="1"/>
  <c r="L17" i="363"/>
  <c r="L18" i="363" s="1"/>
  <c r="J17" i="363"/>
  <c r="J18" i="363" s="1"/>
  <c r="J23" i="363"/>
  <c r="J24" i="363" s="1"/>
  <c r="F23" i="363"/>
  <c r="F24" i="363" s="1"/>
  <c r="F17" i="363"/>
  <c r="F18" i="363" s="1"/>
  <c r="L24" i="364"/>
  <c r="L17" i="364"/>
  <c r="L18" i="364" s="1"/>
  <c r="G23" i="363"/>
  <c r="G24" i="363" s="1"/>
  <c r="G17" i="363"/>
  <c r="G18" i="363" s="1"/>
  <c r="E23" i="364"/>
  <c r="E24" i="364" s="1"/>
  <c r="Q16" i="364"/>
  <c r="E17" i="364"/>
  <c r="E18" i="364" s="1"/>
  <c r="O23" i="363"/>
  <c r="O24" i="363" s="1"/>
  <c r="O17" i="363"/>
  <c r="O18" i="363" s="1"/>
  <c r="M23" i="363"/>
  <c r="M24" i="363" s="1"/>
  <c r="M17" i="363"/>
  <c r="M18" i="363" s="1"/>
  <c r="M24" i="364"/>
  <c r="M17" i="364"/>
  <c r="M18" i="364" s="1"/>
  <c r="I23" i="363"/>
  <c r="I24" i="363" s="1"/>
  <c r="I17" i="363"/>
  <c r="I18" i="363" s="1"/>
  <c r="Q16" i="363"/>
  <c r="I23" i="364"/>
  <c r="I24" i="364" s="1"/>
  <c r="I17" i="364"/>
  <c r="I18" i="364" s="1"/>
  <c r="AH32" i="141" l="1"/>
  <c r="Q29" i="8"/>
  <c r="R29" i="8" s="1"/>
  <c r="W33" i="141"/>
  <c r="AF33" i="141" s="1"/>
  <c r="AH33" i="141" s="1"/>
  <c r="J30" i="8"/>
  <c r="M30" i="8" s="1"/>
  <c r="Q23" i="364"/>
  <c r="Q24" i="364" s="1"/>
  <c r="Q17" i="364"/>
  <c r="Q18" i="364" s="1"/>
  <c r="Q23" i="363"/>
  <c r="Q24" i="363" s="1"/>
  <c r="Q17" i="363"/>
  <c r="Q18" i="363" s="1"/>
  <c r="Q30" i="8" l="1"/>
  <c r="R30" i="8" s="1"/>
  <c r="AA45" i="198"/>
  <c r="AA45" i="163"/>
  <c r="AA44" i="159"/>
  <c r="AA38" i="159"/>
  <c r="AA39" i="163"/>
  <c r="AA39" i="198"/>
  <c r="AA38" i="198"/>
  <c r="AA38" i="163"/>
  <c r="AA37" i="159"/>
  <c r="AA36" i="159"/>
  <c r="AA37" i="163"/>
  <c r="AA37" i="198"/>
  <c r="AA32" i="198"/>
  <c r="AA32" i="163"/>
  <c r="AA31" i="159"/>
  <c r="AA30" i="159"/>
  <c r="AA31" i="163"/>
  <c r="AA31" i="198"/>
  <c r="AA28" i="198"/>
  <c r="AA28" i="163"/>
  <c r="AA27" i="159"/>
  <c r="AA25" i="159"/>
  <c r="AA26" i="163"/>
  <c r="AA26" i="198"/>
  <c r="AA25" i="198"/>
  <c r="AA25" i="163"/>
  <c r="AA24" i="159"/>
  <c r="AA23" i="159"/>
  <c r="AA24" i="163"/>
  <c r="AA24" i="198"/>
  <c r="AA18" i="198"/>
  <c r="AA18" i="163"/>
  <c r="AA17" i="159"/>
  <c r="AA9" i="159"/>
  <c r="AA10" i="163"/>
  <c r="AA10" i="198"/>
  <c r="L86" i="141"/>
  <c r="L67" i="141"/>
  <c r="L66" i="141"/>
  <c r="I66" i="141"/>
  <c r="AJ52" i="27"/>
  <c r="AJ60" i="27"/>
  <c r="AJ59" i="27"/>
  <c r="AJ51" i="27"/>
  <c r="AJ49" i="27"/>
  <c r="AJ56" i="27"/>
  <c r="AJ58" i="27"/>
  <c r="G55" i="198" l="1"/>
  <c r="W55" i="198" s="1"/>
  <c r="R156" i="356"/>
  <c r="I14" i="58" l="1"/>
  <c r="H14" i="58"/>
  <c r="N46" i="360"/>
  <c r="M46" i="360"/>
  <c r="L46" i="360"/>
  <c r="K46" i="360"/>
  <c r="F46" i="360"/>
  <c r="E46" i="360"/>
  <c r="D46" i="360"/>
  <c r="C46" i="360"/>
  <c r="J30" i="360"/>
  <c r="J34" i="360" s="1"/>
  <c r="I30" i="360"/>
  <c r="I34" i="360" s="1"/>
  <c r="G30" i="360"/>
  <c r="G34" i="360" s="1"/>
  <c r="F30" i="360"/>
  <c r="F34" i="360" s="1"/>
  <c r="E30" i="360"/>
  <c r="E34" i="360" s="1"/>
  <c r="D30" i="360"/>
  <c r="D34" i="360" s="1"/>
  <c r="C30" i="360"/>
  <c r="C34" i="360" s="1"/>
  <c r="J15" i="360"/>
  <c r="J18" i="360" s="1"/>
  <c r="I15" i="360"/>
  <c r="I18" i="360" s="1"/>
  <c r="G15" i="360"/>
  <c r="G18" i="360" s="1"/>
  <c r="F15" i="360"/>
  <c r="F18" i="360" s="1"/>
  <c r="E15" i="360"/>
  <c r="E18" i="360" s="1"/>
  <c r="D15" i="360"/>
  <c r="D18" i="360" s="1"/>
  <c r="C15" i="360"/>
  <c r="C18" i="360" s="1"/>
  <c r="N54" i="358"/>
  <c r="M54" i="358"/>
  <c r="L54" i="358"/>
  <c r="K54" i="358"/>
  <c r="F54" i="358"/>
  <c r="D54" i="358"/>
  <c r="C54" i="358"/>
  <c r="E40" i="358"/>
  <c r="L33" i="358"/>
  <c r="D33" i="358"/>
  <c r="D40" i="358" s="1"/>
  <c r="C40" i="358"/>
  <c r="L14" i="358"/>
  <c r="L21" i="358" s="1"/>
  <c r="I14" i="358"/>
  <c r="I21" i="358" s="1"/>
  <c r="H14" i="358"/>
  <c r="H21" i="358" s="1"/>
  <c r="G14" i="358"/>
  <c r="G21" i="358" s="1"/>
  <c r="F14" i="358"/>
  <c r="F21" i="358" s="1"/>
  <c r="D14" i="358"/>
  <c r="D21" i="358" s="1"/>
  <c r="C14" i="358"/>
  <c r="C21" i="358" s="1"/>
  <c r="C30" i="204"/>
  <c r="D42" i="358" l="1"/>
  <c r="L40" i="358"/>
  <c r="L42" i="358" s="1"/>
  <c r="C35" i="360"/>
  <c r="H26" i="58" s="1"/>
  <c r="E42" i="358"/>
  <c r="H12" i="346" s="1"/>
  <c r="H42" i="358"/>
  <c r="H16" i="346" s="1"/>
  <c r="G42" i="358"/>
  <c r="H15" i="346" s="1"/>
  <c r="F42" i="358"/>
  <c r="H14" i="346" s="1"/>
  <c r="I42" i="358"/>
  <c r="H17" i="346" s="1"/>
  <c r="I35" i="360"/>
  <c r="I21" i="346" s="1"/>
  <c r="J35" i="360"/>
  <c r="F35" i="360"/>
  <c r="H24" i="346" s="1"/>
  <c r="D35" i="360"/>
  <c r="I26" i="58" s="1"/>
  <c r="E35" i="360"/>
  <c r="H23" i="346" s="1"/>
  <c r="G35" i="360"/>
  <c r="H25" i="346" s="1"/>
  <c r="C42" i="358"/>
  <c r="I13" i="58"/>
  <c r="F69" i="358"/>
  <c r="J14" i="358"/>
  <c r="D69" i="358"/>
  <c r="H30" i="360"/>
  <c r="H34" i="360" s="1"/>
  <c r="J33" i="358"/>
  <c r="H15" i="360"/>
  <c r="H18" i="360" s="1"/>
  <c r="N177" i="356"/>
  <c r="M177" i="356"/>
  <c r="L177" i="356"/>
  <c r="K177" i="356"/>
  <c r="J177" i="356"/>
  <c r="I177" i="356"/>
  <c r="H177" i="356"/>
  <c r="G177" i="356"/>
  <c r="F177" i="356"/>
  <c r="R155" i="356"/>
  <c r="R154" i="356"/>
  <c r="R153" i="356"/>
  <c r="R152" i="356"/>
  <c r="R151" i="356"/>
  <c r="R150" i="356"/>
  <c r="R149" i="356"/>
  <c r="R148" i="356"/>
  <c r="R147" i="356"/>
  <c r="R146" i="356"/>
  <c r="R145" i="356"/>
  <c r="R144" i="356"/>
  <c r="R143" i="356"/>
  <c r="R142" i="356"/>
  <c r="R141" i="356"/>
  <c r="R140" i="356"/>
  <c r="R139" i="356"/>
  <c r="R138" i="356"/>
  <c r="R137" i="356"/>
  <c r="R136" i="356"/>
  <c r="R135" i="356"/>
  <c r="R134" i="356"/>
  <c r="R133" i="356"/>
  <c r="R132" i="356"/>
  <c r="R131" i="356"/>
  <c r="R130" i="356"/>
  <c r="R129" i="356"/>
  <c r="R128" i="356"/>
  <c r="R127" i="356"/>
  <c r="R126" i="356"/>
  <c r="R125" i="356"/>
  <c r="R124" i="356"/>
  <c r="R123" i="356"/>
  <c r="R122" i="356"/>
  <c r="R121" i="356"/>
  <c r="R120" i="356"/>
  <c r="R119" i="356"/>
  <c r="R118" i="356"/>
  <c r="R117" i="356"/>
  <c r="R116" i="356"/>
  <c r="R115" i="356"/>
  <c r="R114" i="356"/>
  <c r="R113" i="356"/>
  <c r="R112" i="356"/>
  <c r="R111" i="356"/>
  <c r="R110" i="356"/>
  <c r="R109" i="356"/>
  <c r="R108" i="356"/>
  <c r="R107" i="356"/>
  <c r="R106" i="356"/>
  <c r="R105" i="356"/>
  <c r="R104" i="356"/>
  <c r="R103" i="356"/>
  <c r="R102" i="356"/>
  <c r="R101" i="356"/>
  <c r="R100" i="356"/>
  <c r="R99" i="356"/>
  <c r="R98" i="356"/>
  <c r="R97" i="356"/>
  <c r="R96" i="356"/>
  <c r="R95" i="356"/>
  <c r="R94" i="356"/>
  <c r="R93" i="356"/>
  <c r="R92" i="356"/>
  <c r="R91" i="356"/>
  <c r="R90" i="356"/>
  <c r="R89" i="356"/>
  <c r="R88" i="356"/>
  <c r="R87" i="356"/>
  <c r="R86" i="356"/>
  <c r="R85" i="356"/>
  <c r="R84" i="356"/>
  <c r="R83" i="356"/>
  <c r="R82" i="356"/>
  <c r="R81" i="356"/>
  <c r="R80" i="356"/>
  <c r="R79" i="356"/>
  <c r="R78" i="356"/>
  <c r="R77" i="356"/>
  <c r="R76" i="356"/>
  <c r="R74" i="356"/>
  <c r="R73" i="356"/>
  <c r="R72" i="356"/>
  <c r="R70" i="356"/>
  <c r="R69" i="356"/>
  <c r="R68" i="356"/>
  <c r="R67" i="356"/>
  <c r="R66" i="356"/>
  <c r="R65" i="356"/>
  <c r="R64" i="356"/>
  <c r="R63" i="356"/>
  <c r="R62" i="356"/>
  <c r="R61" i="356"/>
  <c r="R60" i="356"/>
  <c r="R59" i="356"/>
  <c r="R58" i="356"/>
  <c r="R57" i="356"/>
  <c r="N53" i="356"/>
  <c r="M53" i="356"/>
  <c r="L53" i="356"/>
  <c r="K53" i="356"/>
  <c r="J53" i="356"/>
  <c r="I53" i="356"/>
  <c r="G53" i="356"/>
  <c r="R75" i="356"/>
  <c r="O44" i="356"/>
  <c r="Q44" i="356" s="1"/>
  <c r="R44" i="356" s="1"/>
  <c r="O43" i="356"/>
  <c r="O36" i="356"/>
  <c r="Q36" i="356" s="1"/>
  <c r="R36" i="356" s="1"/>
  <c r="O35" i="356"/>
  <c r="Q35" i="356" s="1"/>
  <c r="R35" i="356" s="1"/>
  <c r="O34" i="356"/>
  <c r="Q34" i="356" s="1"/>
  <c r="R34" i="356" s="1"/>
  <c r="O42" i="356"/>
  <c r="Q42" i="356" s="1"/>
  <c r="R42" i="356" s="1"/>
  <c r="O41" i="356"/>
  <c r="Q41" i="356" s="1"/>
  <c r="R41" i="356" s="1"/>
  <c r="O40" i="356"/>
  <c r="Q40" i="356" s="1"/>
  <c r="R40" i="356" s="1"/>
  <c r="O39" i="356"/>
  <c r="Q39" i="356" s="1"/>
  <c r="R39" i="356" s="1"/>
  <c r="O38" i="356"/>
  <c r="Q38" i="356" s="1"/>
  <c r="R38" i="356" s="1"/>
  <c r="O37" i="356"/>
  <c r="Q37" i="356" s="1"/>
  <c r="R37" i="356" s="1"/>
  <c r="O14" i="356"/>
  <c r="Q14" i="356" s="1"/>
  <c r="R14" i="356" s="1"/>
  <c r="O13" i="356"/>
  <c r="Q13" i="356" s="1"/>
  <c r="R13" i="356" s="1"/>
  <c r="O12" i="356"/>
  <c r="Q12" i="356" s="1"/>
  <c r="R12" i="356" s="1"/>
  <c r="O11" i="356"/>
  <c r="Q11" i="356" s="1"/>
  <c r="R11" i="356" s="1"/>
  <c r="O10" i="356"/>
  <c r="Q10" i="356" s="1"/>
  <c r="R10" i="356" s="1"/>
  <c r="O9" i="356"/>
  <c r="Q9" i="356" s="1"/>
  <c r="R9" i="356" s="1"/>
  <c r="O8" i="356"/>
  <c r="Q8" i="356" s="1"/>
  <c r="R8" i="356" s="1"/>
  <c r="O7" i="356"/>
  <c r="Q7" i="356" s="1"/>
  <c r="R7" i="356" s="1"/>
  <c r="Q43" i="356" l="1"/>
  <c r="R43" i="356" s="1"/>
  <c r="U43" i="356"/>
  <c r="H18" i="346"/>
  <c r="J18" i="346" s="1"/>
  <c r="Q53" i="356"/>
  <c r="H13" i="58"/>
  <c r="H35" i="360"/>
  <c r="H21" i="346" s="1"/>
  <c r="F70" i="358"/>
  <c r="F71" i="358" s="1"/>
  <c r="F73" i="358" s="1"/>
  <c r="J40" i="358"/>
  <c r="D70" i="358"/>
  <c r="D71" i="358" s="1"/>
  <c r="D73" i="358" s="1"/>
  <c r="J21" i="358"/>
  <c r="I19" i="346"/>
  <c r="K17" i="58"/>
  <c r="K25" i="58"/>
  <c r="E18" i="370" s="1"/>
  <c r="K16" i="58"/>
  <c r="I26" i="346"/>
  <c r="K18" i="58"/>
  <c r="K19" i="58"/>
  <c r="K24" i="58"/>
  <c r="E17" i="370" s="1"/>
  <c r="Q56" i="356"/>
  <c r="Q177" i="356" s="1"/>
  <c r="O177" i="356"/>
  <c r="J178" i="356"/>
  <c r="I178" i="356"/>
  <c r="N178" i="356"/>
  <c r="G178" i="356"/>
  <c r="M178" i="356"/>
  <c r="K178" i="356"/>
  <c r="F178" i="356"/>
  <c r="H178" i="356"/>
  <c r="L178" i="356"/>
  <c r="O53" i="356"/>
  <c r="N16" i="58" l="1"/>
  <c r="E9" i="370"/>
  <c r="N17" i="58"/>
  <c r="G10" i="370" s="1"/>
  <c r="E10" i="370"/>
  <c r="N19" i="58"/>
  <c r="G12" i="370" s="1"/>
  <c r="E12" i="370"/>
  <c r="N18" i="58"/>
  <c r="G11" i="370" s="1"/>
  <c r="E11" i="370"/>
  <c r="F72" i="358"/>
  <c r="H19" i="346"/>
  <c r="J9" i="345"/>
  <c r="D11" i="198"/>
  <c r="J12" i="346"/>
  <c r="J42" i="358"/>
  <c r="I38" i="346"/>
  <c r="J21" i="346"/>
  <c r="K23" i="58"/>
  <c r="D72" i="358"/>
  <c r="R56" i="356"/>
  <c r="S56" i="356"/>
  <c r="S177" i="356" s="1"/>
  <c r="S178" i="356" s="1"/>
  <c r="Q178" i="356"/>
  <c r="O178" i="356"/>
  <c r="N24" i="58" l="1"/>
  <c r="G17" i="370" s="1"/>
  <c r="E16" i="370"/>
  <c r="S18" i="58"/>
  <c r="I11" i="370" s="1"/>
  <c r="S17" i="58"/>
  <c r="I10" i="370" s="1"/>
  <c r="N20" i="58"/>
  <c r="G9" i="370"/>
  <c r="S16" i="58"/>
  <c r="I9" i="370" s="1"/>
  <c r="S19" i="58"/>
  <c r="I12" i="370" s="1"/>
  <c r="D16" i="198"/>
  <c r="U16" i="198" s="1"/>
  <c r="N25" i="58"/>
  <c r="G18" i="370" s="1"/>
  <c r="K26" i="58"/>
  <c r="N23" i="58"/>
  <c r="J19" i="346"/>
  <c r="D15" i="198"/>
  <c r="D13" i="198"/>
  <c r="D14" i="198"/>
  <c r="L12" i="345"/>
  <c r="D22" i="198"/>
  <c r="U22" i="198" s="1"/>
  <c r="D21" i="198"/>
  <c r="I65" i="345"/>
  <c r="J9" i="307" s="1"/>
  <c r="E65" i="345"/>
  <c r="F9" i="307" s="1"/>
  <c r="F65" i="345"/>
  <c r="G9" i="307" s="1"/>
  <c r="G65" i="345"/>
  <c r="H9" i="307" s="1"/>
  <c r="H65" i="345"/>
  <c r="I9" i="307" s="1"/>
  <c r="S24" i="58" l="1"/>
  <c r="I17" i="370" s="1"/>
  <c r="G16" i="370"/>
  <c r="G13" i="370"/>
  <c r="E19" i="370"/>
  <c r="I13" i="370"/>
  <c r="S20" i="58"/>
  <c r="S23" i="58"/>
  <c r="I16" i="370" s="1"/>
  <c r="N26" i="58"/>
  <c r="S25" i="58"/>
  <c r="I18" i="370" s="1"/>
  <c r="H38" i="346"/>
  <c r="J22" i="345"/>
  <c r="D20" i="198"/>
  <c r="I19" i="370" l="1"/>
  <c r="I31" i="370" s="1"/>
  <c r="G19" i="370"/>
  <c r="G31" i="370" l="1"/>
  <c r="G62" i="370" s="1"/>
  <c r="H19" i="370" s="1"/>
  <c r="G21" i="156"/>
  <c r="G11" i="156"/>
  <c r="G7" i="156"/>
  <c r="F8" i="204"/>
  <c r="E8" i="204"/>
  <c r="C8" i="204"/>
  <c r="J5" i="307"/>
  <c r="J7" i="307" s="1"/>
  <c r="I5" i="307"/>
  <c r="I7" i="307" s="1"/>
  <c r="H5" i="307"/>
  <c r="H7" i="307" s="1"/>
  <c r="G5" i="307"/>
  <c r="G7" i="307" s="1"/>
  <c r="F5" i="307"/>
  <c r="J4" i="307"/>
  <c r="I4" i="307"/>
  <c r="H4" i="307"/>
  <c r="G4" i="307"/>
  <c r="F4" i="307"/>
  <c r="E5" i="307"/>
  <c r="E4" i="307"/>
  <c r="G28" i="156"/>
  <c r="G27" i="156"/>
  <c r="G25" i="156"/>
  <c r="G24" i="156"/>
  <c r="G22" i="156"/>
  <c r="G20" i="156"/>
  <c r="G19" i="156"/>
  <c r="G18" i="156"/>
  <c r="G17" i="156"/>
  <c r="G16" i="156"/>
  <c r="G15" i="156"/>
  <c r="G14" i="156"/>
  <c r="G13" i="156"/>
  <c r="G9" i="156"/>
  <c r="H31" i="370" l="1"/>
  <c r="H27" i="370"/>
  <c r="H37" i="370"/>
  <c r="H38" i="370"/>
  <c r="H43" i="370"/>
  <c r="H51" i="370"/>
  <c r="H29" i="370"/>
  <c r="H26" i="370"/>
  <c r="H36" i="370"/>
  <c r="H45" i="370"/>
  <c r="H55" i="370"/>
  <c r="H7" i="370"/>
  <c r="H58" i="370"/>
  <c r="H53" i="370"/>
  <c r="H57" i="370"/>
  <c r="H24" i="370"/>
  <c r="H20" i="370"/>
  <c r="H35" i="370"/>
  <c r="H44" i="370"/>
  <c r="H48" i="370"/>
  <c r="H23" i="370"/>
  <c r="H46" i="370"/>
  <c r="H25" i="370"/>
  <c r="H30" i="370"/>
  <c r="H39" i="370"/>
  <c r="H28" i="370"/>
  <c r="H59" i="370"/>
  <c r="H33" i="370"/>
  <c r="H41" i="370"/>
  <c r="H40" i="370"/>
  <c r="H22" i="370"/>
  <c r="H34" i="370"/>
  <c r="H21" i="370"/>
  <c r="H60" i="370"/>
  <c r="H47" i="370"/>
  <c r="H42" i="370"/>
  <c r="H52" i="370"/>
  <c r="H56" i="370"/>
  <c r="H49" i="370"/>
  <c r="H54" i="370"/>
  <c r="H61" i="370"/>
  <c r="H12" i="370"/>
  <c r="H10" i="370"/>
  <c r="H11" i="370"/>
  <c r="H9" i="370"/>
  <c r="H17" i="370"/>
  <c r="H18" i="370"/>
  <c r="H13" i="370"/>
  <c r="H16" i="370"/>
  <c r="K4" i="307"/>
  <c r="L4" i="307" s="1"/>
  <c r="K5" i="307"/>
  <c r="K7" i="307" s="1"/>
  <c r="G12" i="156"/>
  <c r="G25" i="58"/>
  <c r="C18" i="370" s="1"/>
  <c r="G24" i="58"/>
  <c r="C17" i="370" s="1"/>
  <c r="G23" i="58"/>
  <c r="C16" i="370" s="1"/>
  <c r="G19" i="58"/>
  <c r="C12" i="370" s="1"/>
  <c r="G18" i="58"/>
  <c r="C11" i="370" s="1"/>
  <c r="G17" i="58"/>
  <c r="C10" i="370" s="1"/>
  <c r="G16" i="58"/>
  <c r="C9" i="370" s="1"/>
  <c r="G14" i="58"/>
  <c r="C7" i="370" s="1"/>
  <c r="M64" i="345"/>
  <c r="M62" i="345"/>
  <c r="M61" i="345"/>
  <c r="M59" i="345"/>
  <c r="M58" i="345"/>
  <c r="M57" i="345"/>
  <c r="M55" i="345"/>
  <c r="L64" i="345"/>
  <c r="L62" i="345"/>
  <c r="L61" i="345"/>
  <c r="L59" i="345"/>
  <c r="L58" i="345"/>
  <c r="L57" i="345"/>
  <c r="L55" i="345"/>
  <c r="L54" i="345"/>
  <c r="M51" i="345"/>
  <c r="M50" i="345"/>
  <c r="M49" i="345"/>
  <c r="M48" i="345"/>
  <c r="L51" i="345"/>
  <c r="L50" i="345"/>
  <c r="L49" i="345"/>
  <c r="L48" i="345"/>
  <c r="L47" i="345"/>
  <c r="M47" i="345"/>
  <c r="M45" i="345"/>
  <c r="L45" i="345"/>
  <c r="M44" i="345"/>
  <c r="L44" i="345"/>
  <c r="L43" i="345"/>
  <c r="L42" i="345"/>
  <c r="M42" i="345"/>
  <c r="M41" i="345"/>
  <c r="L41" i="345"/>
  <c r="M40" i="345"/>
  <c r="L40" i="345"/>
  <c r="M39" i="345"/>
  <c r="L39" i="345"/>
  <c r="M38" i="345"/>
  <c r="L38" i="345"/>
  <c r="M37" i="345"/>
  <c r="L37" i="345"/>
  <c r="M36" i="345"/>
  <c r="L36" i="345"/>
  <c r="L33" i="345"/>
  <c r="L32" i="345"/>
  <c r="M33" i="345"/>
  <c r="M32" i="345"/>
  <c r="M31" i="345"/>
  <c r="L31" i="345"/>
  <c r="M30" i="345"/>
  <c r="L30" i="345"/>
  <c r="M29" i="345"/>
  <c r="L29" i="345"/>
  <c r="M28" i="345"/>
  <c r="L28" i="345"/>
  <c r="M27" i="345"/>
  <c r="L27" i="345"/>
  <c r="M26" i="345"/>
  <c r="L26" i="345"/>
  <c r="M25" i="345"/>
  <c r="L25" i="345"/>
  <c r="L24" i="345"/>
  <c r="L23" i="345"/>
  <c r="M24" i="345"/>
  <c r="M23" i="345"/>
  <c r="L9" i="345"/>
  <c r="M5" i="345"/>
  <c r="L5" i="345"/>
  <c r="K14" i="58"/>
  <c r="G10" i="156"/>
  <c r="G8" i="156"/>
  <c r="C9" i="345"/>
  <c r="B20" i="307"/>
  <c r="J63" i="347"/>
  <c r="J60" i="347"/>
  <c r="G63" i="58"/>
  <c r="C55" i="370" s="1"/>
  <c r="J58" i="347"/>
  <c r="G60" i="58"/>
  <c r="C52" i="370" s="1"/>
  <c r="G54" i="58"/>
  <c r="C47" i="370" s="1"/>
  <c r="J51" i="347"/>
  <c r="J50" i="347"/>
  <c r="J49" i="347"/>
  <c r="G49" i="58"/>
  <c r="C42" i="370" s="1"/>
  <c r="J47" i="347"/>
  <c r="G47" i="58"/>
  <c r="C40" i="370" s="1"/>
  <c r="J45" i="347"/>
  <c r="G44" i="58"/>
  <c r="C37" i="370" s="1"/>
  <c r="G43" i="58"/>
  <c r="C36" i="370" s="1"/>
  <c r="J41" i="347"/>
  <c r="J40" i="347"/>
  <c r="G40" i="58"/>
  <c r="C33" i="370" s="1"/>
  <c r="J34" i="347"/>
  <c r="G34" i="58"/>
  <c r="C27" i="370" s="1"/>
  <c r="J32" i="347"/>
  <c r="G32" i="58"/>
  <c r="C25" i="370" s="1"/>
  <c r="J30" i="347"/>
  <c r="J29" i="347"/>
  <c r="J28" i="347"/>
  <c r="F60" i="198"/>
  <c r="F59" i="198"/>
  <c r="K54" i="58"/>
  <c r="E47" i="370" s="1"/>
  <c r="F49" i="198"/>
  <c r="F46" i="198"/>
  <c r="J44" i="345"/>
  <c r="F42" i="198"/>
  <c r="U40" i="198"/>
  <c r="U39" i="198"/>
  <c r="D34" i="198"/>
  <c r="D32" i="198"/>
  <c r="U32" i="198" s="1"/>
  <c r="D30" i="198"/>
  <c r="U30" i="198" s="1"/>
  <c r="D28" i="198"/>
  <c r="U28" i="198" s="1"/>
  <c r="D27" i="198"/>
  <c r="D26" i="198"/>
  <c r="U26" i="198" s="1"/>
  <c r="D25" i="198"/>
  <c r="U25" i="198" s="1"/>
  <c r="C54" i="345"/>
  <c r="I52" i="345"/>
  <c r="J10" i="307" s="1"/>
  <c r="H52" i="345"/>
  <c r="I10" i="307" s="1"/>
  <c r="G52" i="345"/>
  <c r="H10" i="307" s="1"/>
  <c r="F52" i="345"/>
  <c r="G10" i="307" s="1"/>
  <c r="E52" i="345"/>
  <c r="F10" i="307" s="1"/>
  <c r="D52" i="345"/>
  <c r="E10" i="307" s="1"/>
  <c r="J50" i="345"/>
  <c r="C50" i="345"/>
  <c r="C41" i="345"/>
  <c r="C33" i="345"/>
  <c r="J31" i="345"/>
  <c r="C27" i="345"/>
  <c r="J21" i="345"/>
  <c r="C21" i="345"/>
  <c r="J20" i="345"/>
  <c r="C20" i="345"/>
  <c r="J19" i="345"/>
  <c r="C19" i="345"/>
  <c r="I16" i="345"/>
  <c r="I34" i="345" s="1"/>
  <c r="J11" i="307" s="1"/>
  <c r="H16" i="345"/>
  <c r="H34" i="345" s="1"/>
  <c r="I11" i="307" s="1"/>
  <c r="G16" i="345"/>
  <c r="G34" i="345" s="1"/>
  <c r="H11" i="307" s="1"/>
  <c r="F16" i="345"/>
  <c r="F34" i="345" s="1"/>
  <c r="G11" i="307" s="1"/>
  <c r="E16" i="345"/>
  <c r="E34" i="345" s="1"/>
  <c r="F11" i="307" s="1"/>
  <c r="D16" i="345"/>
  <c r="J14" i="345"/>
  <c r="C14" i="345"/>
  <c r="J13" i="345"/>
  <c r="C13" i="345"/>
  <c r="J12" i="345"/>
  <c r="C12" i="345"/>
  <c r="J11" i="345"/>
  <c r="C11" i="345"/>
  <c r="K9" i="345"/>
  <c r="E44" i="277"/>
  <c r="K73" i="58" s="1"/>
  <c r="C19" i="370" l="1"/>
  <c r="C13" i="370"/>
  <c r="K20" i="58"/>
  <c r="E7" i="370"/>
  <c r="G26" i="58"/>
  <c r="G20" i="58"/>
  <c r="K20" i="345"/>
  <c r="K50" i="345"/>
  <c r="K14" i="345"/>
  <c r="K12" i="345"/>
  <c r="K21" i="345"/>
  <c r="K19" i="345"/>
  <c r="K13" i="345"/>
  <c r="K31" i="345"/>
  <c r="K44" i="345"/>
  <c r="D34" i="345"/>
  <c r="E11" i="307" s="1"/>
  <c r="G44" i="277"/>
  <c r="J36" i="345"/>
  <c r="C42" i="345"/>
  <c r="J25" i="345"/>
  <c r="J26" i="345"/>
  <c r="C47" i="345"/>
  <c r="C29" i="345"/>
  <c r="J61" i="345"/>
  <c r="J43" i="345"/>
  <c r="J42" i="345"/>
  <c r="F43" i="198"/>
  <c r="F45" i="198"/>
  <c r="J28" i="345"/>
  <c r="D29" i="198"/>
  <c r="U29" i="198" s="1"/>
  <c r="J32" i="345"/>
  <c r="D33" i="198"/>
  <c r="U33" i="198" s="1"/>
  <c r="C28" i="345"/>
  <c r="AK30" i="198"/>
  <c r="AI30" i="198"/>
  <c r="F48" i="198"/>
  <c r="J58" i="346"/>
  <c r="D55" i="198"/>
  <c r="J30" i="345"/>
  <c r="D31" i="198"/>
  <c r="U31" i="198" s="1"/>
  <c r="J55" i="345"/>
  <c r="F56" i="198"/>
  <c r="C44" i="345"/>
  <c r="C39" i="345"/>
  <c r="D24" i="198"/>
  <c r="U24" i="198" s="1"/>
  <c r="G36" i="58"/>
  <c r="C29" i="370" s="1"/>
  <c r="J27" i="345"/>
  <c r="C31" i="345"/>
  <c r="J25" i="347"/>
  <c r="C22" i="345"/>
  <c r="G55" i="58"/>
  <c r="C48" i="370" s="1"/>
  <c r="C25" i="345"/>
  <c r="C43" i="345"/>
  <c r="J38" i="345"/>
  <c r="C26" i="345"/>
  <c r="J41" i="345"/>
  <c r="K43" i="58"/>
  <c r="J39" i="345"/>
  <c r="K34" i="58"/>
  <c r="E27" i="370" s="1"/>
  <c r="K52" i="58"/>
  <c r="J49" i="345"/>
  <c r="F50" i="198"/>
  <c r="K62" i="58"/>
  <c r="F58" i="198"/>
  <c r="K36" i="58"/>
  <c r="E29" i="370" s="1"/>
  <c r="K46" i="58"/>
  <c r="K63" i="58"/>
  <c r="K37" i="58"/>
  <c r="E30" i="370" s="1"/>
  <c r="U34" i="198"/>
  <c r="K30" i="58"/>
  <c r="E23" i="370" s="1"/>
  <c r="U27" i="198"/>
  <c r="K40" i="58"/>
  <c r="J47" i="345"/>
  <c r="K49" i="58"/>
  <c r="K67" i="58"/>
  <c r="J29" i="345"/>
  <c r="K32" i="58"/>
  <c r="E25" i="370" s="1"/>
  <c r="J54" i="345"/>
  <c r="L65" i="345"/>
  <c r="C58" i="345"/>
  <c r="C38" i="345"/>
  <c r="K5" i="345"/>
  <c r="J15" i="345"/>
  <c r="J33" i="345"/>
  <c r="J26" i="346"/>
  <c r="J37" i="345"/>
  <c r="G59" i="58"/>
  <c r="C51" i="370" s="1"/>
  <c r="J56" i="347"/>
  <c r="C30" i="345"/>
  <c r="C32" i="345"/>
  <c r="C36" i="345"/>
  <c r="C59" i="345"/>
  <c r="J59" i="347"/>
  <c r="G28" i="58"/>
  <c r="C21" i="370" s="1"/>
  <c r="G27" i="58"/>
  <c r="C20" i="370" s="1"/>
  <c r="C24" i="345"/>
  <c r="C62" i="345"/>
  <c r="J48" i="345"/>
  <c r="J51" i="345"/>
  <c r="K64" i="345"/>
  <c r="J57" i="345"/>
  <c r="K66" i="58"/>
  <c r="J43" i="346"/>
  <c r="J62" i="345"/>
  <c r="J61" i="346"/>
  <c r="J63" i="346"/>
  <c r="J66" i="346"/>
  <c r="J59" i="345"/>
  <c r="J65" i="346"/>
  <c r="J48" i="346"/>
  <c r="K48" i="58"/>
  <c r="J51" i="346"/>
  <c r="K51" i="58"/>
  <c r="J42" i="346"/>
  <c r="K42" i="58"/>
  <c r="K53" i="58"/>
  <c r="E46" i="370" s="1"/>
  <c r="K55" i="58"/>
  <c r="J41" i="346"/>
  <c r="J46" i="346"/>
  <c r="J52" i="346"/>
  <c r="G26" i="156"/>
  <c r="J64" i="347"/>
  <c r="C57" i="345"/>
  <c r="G66" i="58"/>
  <c r="C58" i="370" s="1"/>
  <c r="G62" i="58"/>
  <c r="C54" i="370" s="1"/>
  <c r="G67" i="58"/>
  <c r="C59" i="370" s="1"/>
  <c r="C49" i="345"/>
  <c r="C48" i="345"/>
  <c r="J39" i="347"/>
  <c r="J42" i="347"/>
  <c r="G42" i="58"/>
  <c r="C35" i="370" s="1"/>
  <c r="G52" i="58"/>
  <c r="C45" i="370" s="1"/>
  <c r="G46" i="58"/>
  <c r="C39" i="370" s="1"/>
  <c r="G51" i="58"/>
  <c r="C44" i="370" s="1"/>
  <c r="G48" i="58"/>
  <c r="C41" i="370" s="1"/>
  <c r="G53" i="58"/>
  <c r="C46" i="370" s="1"/>
  <c r="J27" i="347"/>
  <c r="J31" i="347"/>
  <c r="J33" i="347"/>
  <c r="G31" i="58"/>
  <c r="C24" i="370" s="1"/>
  <c r="G35" i="58"/>
  <c r="C28" i="370" s="1"/>
  <c r="G30" i="58"/>
  <c r="C23" i="370" s="1"/>
  <c r="G29" i="58"/>
  <c r="C22" i="370" s="1"/>
  <c r="G33" i="58"/>
  <c r="C26" i="370" s="1"/>
  <c r="G37" i="58"/>
  <c r="C30" i="370" s="1"/>
  <c r="K35" i="58"/>
  <c r="E28" i="370" s="1"/>
  <c r="K33" i="58"/>
  <c r="E26" i="370" s="1"/>
  <c r="K31" i="58"/>
  <c r="E24" i="370" s="1"/>
  <c r="K29" i="58"/>
  <c r="E22" i="370" s="1"/>
  <c r="K28" i="58"/>
  <c r="E21" i="370" s="1"/>
  <c r="J24" i="345"/>
  <c r="G70" i="346"/>
  <c r="D70" i="346"/>
  <c r="L52" i="345"/>
  <c r="I66" i="345"/>
  <c r="H66" i="345"/>
  <c r="E66" i="345"/>
  <c r="K11" i="345"/>
  <c r="E70" i="346"/>
  <c r="G66" i="345"/>
  <c r="C70" i="346"/>
  <c r="J62" i="346"/>
  <c r="J58" i="345"/>
  <c r="F66" i="345"/>
  <c r="J49" i="346"/>
  <c r="J45" i="345"/>
  <c r="C45" i="345"/>
  <c r="J48" i="347"/>
  <c r="C61" i="345"/>
  <c r="J62" i="347"/>
  <c r="F70" i="346"/>
  <c r="C40" i="345"/>
  <c r="J43" i="347"/>
  <c r="C51" i="345"/>
  <c r="C55" i="345"/>
  <c r="J57" i="347"/>
  <c r="J40" i="346"/>
  <c r="J59" i="346"/>
  <c r="C49" i="370" l="1"/>
  <c r="E13" i="370"/>
  <c r="J49" i="58"/>
  <c r="E42" i="370"/>
  <c r="J46" i="58"/>
  <c r="E39" i="370"/>
  <c r="J52" i="58"/>
  <c r="E45" i="370"/>
  <c r="J42" i="58"/>
  <c r="E35" i="370"/>
  <c r="J51" i="58"/>
  <c r="E44" i="370"/>
  <c r="J43" i="58"/>
  <c r="E36" i="370"/>
  <c r="J40" i="58"/>
  <c r="E33" i="370"/>
  <c r="J67" i="58"/>
  <c r="E59" i="370"/>
  <c r="J48" i="58"/>
  <c r="E41" i="370"/>
  <c r="C61" i="370"/>
  <c r="J62" i="58"/>
  <c r="E54" i="370"/>
  <c r="J63" i="58"/>
  <c r="E55" i="370"/>
  <c r="J66" i="58"/>
  <c r="E58" i="370"/>
  <c r="J55" i="58"/>
  <c r="E48" i="370"/>
  <c r="G38" i="58"/>
  <c r="C31" i="370"/>
  <c r="L5" i="307"/>
  <c r="K22" i="345"/>
  <c r="K15" i="345"/>
  <c r="K16" i="345" s="1"/>
  <c r="K39" i="345"/>
  <c r="D66" i="345"/>
  <c r="K32" i="345"/>
  <c r="K29" i="345"/>
  <c r="K57" i="345"/>
  <c r="K38" i="345"/>
  <c r="K30" i="345"/>
  <c r="K43" i="345"/>
  <c r="K45" i="345"/>
  <c r="K24" i="345"/>
  <c r="K51" i="345"/>
  <c r="K26" i="345"/>
  <c r="K49" i="345"/>
  <c r="K48" i="345"/>
  <c r="K62" i="345"/>
  <c r="K25" i="345"/>
  <c r="K41" i="345"/>
  <c r="K42" i="345"/>
  <c r="K47" i="345"/>
  <c r="K59" i="345"/>
  <c r="K37" i="345"/>
  <c r="K54" i="345"/>
  <c r="K27" i="345"/>
  <c r="K36" i="345"/>
  <c r="K28" i="345"/>
  <c r="K61" i="345"/>
  <c r="K58" i="345"/>
  <c r="K55" i="345"/>
  <c r="K33" i="345"/>
  <c r="J16" i="345"/>
  <c r="G46" i="277"/>
  <c r="N44" i="277" s="1"/>
  <c r="G70" i="58"/>
  <c r="K27" i="58"/>
  <c r="E20" i="370" s="1"/>
  <c r="K20" i="307"/>
  <c r="J67" i="346"/>
  <c r="K44" i="58"/>
  <c r="F41" i="198"/>
  <c r="C65" i="345"/>
  <c r="B9" i="307" s="1"/>
  <c r="J65" i="345"/>
  <c r="J69" i="346"/>
  <c r="E54" i="197" s="1"/>
  <c r="D36" i="173"/>
  <c r="G23" i="156"/>
  <c r="C23" i="345"/>
  <c r="C52" i="345"/>
  <c r="B10" i="307" s="1"/>
  <c r="J23" i="345"/>
  <c r="J66" i="347"/>
  <c r="C54" i="197" s="1"/>
  <c r="J27" i="346"/>
  <c r="J26" i="347"/>
  <c r="J40" i="345"/>
  <c r="J44" i="346"/>
  <c r="B21" i="307"/>
  <c r="J70" i="58" l="1"/>
  <c r="J87" i="58" s="1"/>
  <c r="E31" i="370"/>
  <c r="E61" i="370"/>
  <c r="C62" i="370"/>
  <c r="D61" i="370" s="1"/>
  <c r="J44" i="58"/>
  <c r="J57" i="58" s="1"/>
  <c r="J85" i="58" s="1"/>
  <c r="E37" i="370"/>
  <c r="F44" i="197"/>
  <c r="L7" i="307"/>
  <c r="K65" i="345"/>
  <c r="J52" i="345"/>
  <c r="K23" i="345"/>
  <c r="K34" i="345" s="1"/>
  <c r="J34" i="345"/>
  <c r="K21" i="307"/>
  <c r="J54" i="347"/>
  <c r="C53" i="197" s="1"/>
  <c r="E36" i="173"/>
  <c r="H70" i="346"/>
  <c r="J56" i="346"/>
  <c r="E53" i="197" s="1"/>
  <c r="B22" i="307"/>
  <c r="K40" i="345"/>
  <c r="K52" i="345" s="1"/>
  <c r="K22" i="307"/>
  <c r="D31" i="370" l="1"/>
  <c r="D53" i="370"/>
  <c r="D38" i="370"/>
  <c r="D43" i="370"/>
  <c r="D57" i="370"/>
  <c r="D56" i="370"/>
  <c r="D60" i="370"/>
  <c r="D34" i="370"/>
  <c r="D36" i="370"/>
  <c r="D55" i="370"/>
  <c r="D47" i="370"/>
  <c r="D18" i="370"/>
  <c r="D7" i="370"/>
  <c r="D11" i="370"/>
  <c r="D16" i="370"/>
  <c r="D52" i="370"/>
  <c r="D27" i="370"/>
  <c r="D42" i="370"/>
  <c r="D9" i="370"/>
  <c r="D10" i="370"/>
  <c r="D12" i="370"/>
  <c r="D17" i="370"/>
  <c r="D33" i="370"/>
  <c r="D25" i="370"/>
  <c r="D40" i="370"/>
  <c r="D37" i="370"/>
  <c r="D49" i="370"/>
  <c r="D30" i="370"/>
  <c r="D41" i="370"/>
  <c r="D58" i="370"/>
  <c r="D59" i="370"/>
  <c r="D28" i="370"/>
  <c r="D13" i="370"/>
  <c r="D23" i="370"/>
  <c r="D22" i="370"/>
  <c r="D45" i="370"/>
  <c r="D39" i="370"/>
  <c r="D19" i="370"/>
  <c r="D54" i="370"/>
  <c r="D26" i="370"/>
  <c r="D20" i="370"/>
  <c r="D21" i="370"/>
  <c r="D24" i="370"/>
  <c r="D35" i="370"/>
  <c r="D46" i="370"/>
  <c r="D51" i="370"/>
  <c r="D29" i="370"/>
  <c r="D48" i="370"/>
  <c r="D44" i="370"/>
  <c r="E49" i="370"/>
  <c r="E62" i="370" s="1"/>
  <c r="F31" i="370" s="1"/>
  <c r="K66" i="345"/>
  <c r="J66" i="345"/>
  <c r="J38" i="346"/>
  <c r="E52" i="197" s="1"/>
  <c r="I70" i="346"/>
  <c r="J70" i="346" s="1"/>
  <c r="E55" i="197" s="1"/>
  <c r="F51" i="370" l="1"/>
  <c r="F43" i="370"/>
  <c r="F53" i="370"/>
  <c r="F57" i="370"/>
  <c r="F60" i="370"/>
  <c r="F40" i="370"/>
  <c r="F56" i="370"/>
  <c r="F52" i="370"/>
  <c r="F38" i="370"/>
  <c r="F34" i="370"/>
  <c r="F18" i="370"/>
  <c r="F17" i="370"/>
  <c r="F11" i="370"/>
  <c r="F10" i="370"/>
  <c r="F12" i="370"/>
  <c r="F9" i="370"/>
  <c r="F16" i="370"/>
  <c r="F19" i="370"/>
  <c r="F47" i="370"/>
  <c r="F26" i="370"/>
  <c r="F7" i="370"/>
  <c r="F46" i="370"/>
  <c r="F29" i="370"/>
  <c r="F30" i="370"/>
  <c r="F22" i="370"/>
  <c r="F27" i="370"/>
  <c r="F23" i="370"/>
  <c r="F28" i="370"/>
  <c r="F21" i="370"/>
  <c r="F25" i="370"/>
  <c r="F24" i="370"/>
  <c r="F20" i="370"/>
  <c r="F55" i="370"/>
  <c r="F36" i="370"/>
  <c r="F13" i="370"/>
  <c r="F33" i="370"/>
  <c r="F42" i="370"/>
  <c r="F58" i="370"/>
  <c r="F39" i="370"/>
  <c r="F35" i="370"/>
  <c r="F59" i="370"/>
  <c r="F41" i="370"/>
  <c r="F54" i="370"/>
  <c r="F48" i="370"/>
  <c r="F44" i="370"/>
  <c r="F45" i="370"/>
  <c r="F37" i="370"/>
  <c r="F49" i="370"/>
  <c r="F61" i="370"/>
  <c r="J48" i="141"/>
  <c r="D34" i="321" l="1"/>
  <c r="D32" i="321"/>
  <c r="D24" i="321"/>
  <c r="D15" i="321"/>
  <c r="D18" i="321" s="1"/>
  <c r="D20" i="321" s="1"/>
  <c r="D7" i="321"/>
  <c r="B34" i="321"/>
  <c r="B32" i="321"/>
  <c r="B24" i="321"/>
  <c r="B15" i="321"/>
  <c r="B18" i="321" s="1"/>
  <c r="B20" i="321" s="1"/>
  <c r="B7" i="321"/>
  <c r="B25" i="321" l="1"/>
  <c r="B33" i="321" s="1"/>
  <c r="B35" i="321" s="1"/>
  <c r="D25" i="321"/>
  <c r="D33" i="321" s="1"/>
  <c r="D35" i="321" s="1"/>
  <c r="H7" i="204" l="1"/>
  <c r="D6" i="204"/>
  <c r="W103" i="27"/>
  <c r="Z22" i="141" l="1"/>
  <c r="Y22" i="141"/>
  <c r="X22" i="141"/>
  <c r="O22" i="141"/>
  <c r="N22" i="141"/>
  <c r="M22" i="141"/>
  <c r="AE57" i="58" l="1"/>
  <c r="AD57" i="58"/>
  <c r="AC57" i="58"/>
  <c r="AE39" i="58"/>
  <c r="AD39" i="58"/>
  <c r="AC39" i="58"/>
  <c r="U42" i="159" l="1"/>
  <c r="U44" i="163"/>
  <c r="L85" i="141" l="1"/>
  <c r="M49" i="277"/>
  <c r="M50" i="277" s="1"/>
  <c r="N49" i="277"/>
  <c r="O49" i="277" s="1"/>
  <c r="E51" i="277" l="1"/>
  <c r="AZ38" i="159"/>
  <c r="BA38" i="159" s="1"/>
  <c r="AZ37" i="159"/>
  <c r="BA37" i="159" s="1"/>
  <c r="AB39" i="163"/>
  <c r="AB38" i="163"/>
  <c r="AB39" i="198"/>
  <c r="AB38" i="198"/>
  <c r="AB26" i="198"/>
  <c r="H9" i="173" l="1"/>
  <c r="H6" i="173" s="1"/>
  <c r="AD12" i="27"/>
  <c r="AA12" i="27"/>
  <c r="AB12" i="27" s="1"/>
  <c r="AD14" i="58"/>
  <c r="L40" i="58"/>
  <c r="M9" i="345" l="1"/>
  <c r="AD16" i="58"/>
  <c r="D22" i="307"/>
  <c r="D21" i="307"/>
  <c r="D29" i="307" s="1"/>
  <c r="D20" i="307"/>
  <c r="D28" i="307" s="1"/>
  <c r="D11" i="307"/>
  <c r="D10" i="307"/>
  <c r="D9" i="307"/>
  <c r="D44" i="197" l="1"/>
  <c r="I92" i="27" l="1"/>
  <c r="I91" i="27"/>
  <c r="F7" i="156" l="1"/>
  <c r="F8" i="156"/>
  <c r="F9" i="156"/>
  <c r="F10" i="156"/>
  <c r="F11" i="156"/>
  <c r="F12" i="156"/>
  <c r="F13" i="156"/>
  <c r="F14" i="156"/>
  <c r="F15" i="156"/>
  <c r="F16" i="156"/>
  <c r="F17" i="156"/>
  <c r="F18" i="156"/>
  <c r="F19" i="156"/>
  <c r="F20" i="156"/>
  <c r="F21" i="156"/>
  <c r="F22" i="156"/>
  <c r="F23" i="156"/>
  <c r="F24" i="156"/>
  <c r="F25" i="156"/>
  <c r="F26" i="156"/>
  <c r="F27" i="156"/>
  <c r="F28" i="156"/>
  <c r="N47" i="277" l="1"/>
  <c r="C44" i="277"/>
  <c r="L18" i="9"/>
  <c r="O21" i="8"/>
  <c r="J21" i="8"/>
  <c r="H21" i="8"/>
  <c r="O23" i="141"/>
  <c r="X23" i="141"/>
  <c r="Z23" i="141"/>
  <c r="Y23" i="141"/>
  <c r="N23" i="141"/>
  <c r="M23" i="141"/>
  <c r="AB96" i="27" l="1"/>
  <c r="AB93" i="27"/>
  <c r="AB95" i="27" s="1"/>
  <c r="C60" i="27"/>
  <c r="D60" i="27"/>
  <c r="N37" i="307" l="1"/>
  <c r="E15" i="319" l="1"/>
  <c r="E8" i="319"/>
  <c r="E7" i="319"/>
  <c r="E6" i="319"/>
  <c r="E4" i="319"/>
  <c r="C8" i="319"/>
  <c r="C7" i="319"/>
  <c r="D13" i="319"/>
  <c r="D9" i="319"/>
  <c r="D10" i="319" s="1"/>
  <c r="B13" i="319"/>
  <c r="B9" i="319"/>
  <c r="B10" i="319" s="1"/>
  <c r="C23" i="307"/>
  <c r="C12" i="307"/>
  <c r="C36" i="307" s="1"/>
  <c r="C38" i="307" s="1"/>
  <c r="L64" i="58"/>
  <c r="L63" i="58"/>
  <c r="L62" i="58"/>
  <c r="H55" i="198"/>
  <c r="T55" i="198" s="1"/>
  <c r="L54" i="58"/>
  <c r="L53" i="58"/>
  <c r="L52" i="58"/>
  <c r="L67" i="58"/>
  <c r="L66" i="58"/>
  <c r="L51" i="58"/>
  <c r="L49" i="58"/>
  <c r="L48" i="58"/>
  <c r="L46" i="58"/>
  <c r="L44" i="58"/>
  <c r="L43" i="58"/>
  <c r="L33" i="58"/>
  <c r="L34" i="58"/>
  <c r="L36" i="58"/>
  <c r="L41" i="58"/>
  <c r="L42" i="58"/>
  <c r="C11" i="319" l="1"/>
  <c r="C31" i="307"/>
  <c r="D14" i="319"/>
  <c r="B14" i="319"/>
  <c r="C12" i="319" l="1"/>
  <c r="C30" i="307"/>
  <c r="E34" i="321"/>
  <c r="C34" i="321"/>
  <c r="D99" i="58" l="1"/>
  <c r="D100" i="58" s="1"/>
  <c r="G35" i="156" l="1"/>
  <c r="G34" i="156"/>
  <c r="E44" i="321" l="1"/>
  <c r="D44" i="321"/>
  <c r="C44" i="321"/>
  <c r="B44" i="321"/>
  <c r="F41" i="321"/>
  <c r="E41" i="321"/>
  <c r="D41" i="321"/>
  <c r="C41" i="321"/>
  <c r="B41" i="321"/>
  <c r="E32" i="321"/>
  <c r="C32" i="321"/>
  <c r="E24" i="321"/>
  <c r="C24" i="321"/>
  <c r="F23" i="321"/>
  <c r="F24" i="321" s="1"/>
  <c r="E7" i="321"/>
  <c r="C7" i="321"/>
  <c r="F19" i="321"/>
  <c r="E15" i="321"/>
  <c r="E18" i="321" s="1"/>
  <c r="E20" i="321" s="1"/>
  <c r="C15" i="321"/>
  <c r="C18" i="321" s="1"/>
  <c r="C20" i="321" s="1"/>
  <c r="F11" i="321"/>
  <c r="F6" i="321"/>
  <c r="F5" i="321"/>
  <c r="F4" i="321"/>
  <c r="B5" i="320"/>
  <c r="B4" i="320"/>
  <c r="E9" i="319"/>
  <c r="E10" i="319" s="1"/>
  <c r="C13" i="319"/>
  <c r="C9" i="319"/>
  <c r="C10" i="319" s="1"/>
  <c r="AB24" i="141"/>
  <c r="Z24" i="141"/>
  <c r="Y24" i="141"/>
  <c r="X24" i="141"/>
  <c r="O24" i="141"/>
  <c r="N24" i="141"/>
  <c r="M24" i="141"/>
  <c r="O22" i="8"/>
  <c r="J22" i="8"/>
  <c r="G22" i="8"/>
  <c r="E22" i="8"/>
  <c r="C22" i="8"/>
  <c r="Z25" i="141"/>
  <c r="Y25" i="141"/>
  <c r="X25" i="141"/>
  <c r="O25" i="141"/>
  <c r="N25" i="141"/>
  <c r="Q15" i="141"/>
  <c r="M15" i="141"/>
  <c r="F7" i="321" l="1"/>
  <c r="C14" i="319"/>
  <c r="C25" i="321"/>
  <c r="C33" i="321" s="1"/>
  <c r="C35" i="321" s="1"/>
  <c r="E25" i="321"/>
  <c r="E33" i="321" s="1"/>
  <c r="E35" i="321" s="1"/>
  <c r="J31" i="307" l="1"/>
  <c r="J33" i="307" s="1"/>
  <c r="I31" i="307"/>
  <c r="I33" i="307" s="1"/>
  <c r="H31" i="307"/>
  <c r="H33" i="307" s="1"/>
  <c r="G31" i="307"/>
  <c r="G33" i="307" s="1"/>
  <c r="F31" i="307"/>
  <c r="E31" i="307"/>
  <c r="B31" i="307"/>
  <c r="D23" i="307"/>
  <c r="C6" i="222" s="1"/>
  <c r="J23" i="307"/>
  <c r="J25" i="307" s="1"/>
  <c r="I23" i="307"/>
  <c r="I25" i="307" s="1"/>
  <c r="H23" i="307"/>
  <c r="H25" i="307" s="1"/>
  <c r="G23" i="307"/>
  <c r="G25" i="307" s="1"/>
  <c r="F23" i="307"/>
  <c r="E23" i="307"/>
  <c r="D12" i="307"/>
  <c r="C4" i="222" s="1"/>
  <c r="G43" i="307" l="1"/>
  <c r="B33" i="307"/>
  <c r="H43" i="307"/>
  <c r="I43" i="307"/>
  <c r="J43" i="307"/>
  <c r="F12" i="319"/>
  <c r="E11" i="319"/>
  <c r="D31" i="307"/>
  <c r="E12" i="319" l="1"/>
  <c r="D30" i="307"/>
  <c r="E13" i="319"/>
  <c r="E14" i="319" s="1"/>
  <c r="C27" i="97"/>
  <c r="R16" i="157" s="1"/>
  <c r="F20" i="3"/>
  <c r="F33" i="3" s="1"/>
  <c r="F42" i="3" s="1"/>
  <c r="C13" i="97"/>
  <c r="C11" i="96" s="1"/>
  <c r="C12" i="97"/>
  <c r="C11" i="97" s="1"/>
  <c r="G7" i="3" l="1"/>
  <c r="F73" i="3"/>
  <c r="B27" i="98"/>
  <c r="G15" i="319" l="1"/>
  <c r="N5" i="307"/>
  <c r="N7" i="307" s="1"/>
  <c r="H4" i="319"/>
  <c r="T42" i="58"/>
  <c r="T41" i="58"/>
  <c r="I4" i="319" l="1"/>
  <c r="B9" i="320" s="1"/>
  <c r="I3" i="368"/>
  <c r="I9" i="368" s="1"/>
  <c r="K28" i="307"/>
  <c r="K29" i="307"/>
  <c r="K30" i="307"/>
  <c r="H37" i="307"/>
  <c r="F37" i="307"/>
  <c r="J37" i="307"/>
  <c r="D36" i="307"/>
  <c r="C26" i="8"/>
  <c r="F46" i="3"/>
  <c r="C5" i="222"/>
  <c r="C8" i="222"/>
  <c r="C10" i="222" s="1"/>
  <c r="C11" i="222"/>
  <c r="D12" i="222"/>
  <c r="E12" i="222" s="1"/>
  <c r="C13" i="222"/>
  <c r="C19" i="222"/>
  <c r="E29" i="222"/>
  <c r="E30" i="222"/>
  <c r="E31" i="222"/>
  <c r="E32" i="222"/>
  <c r="E33" i="222"/>
  <c r="E34" i="222"/>
  <c r="E35" i="222"/>
  <c r="E36" i="222"/>
  <c r="E37" i="222"/>
  <c r="E38" i="222"/>
  <c r="E39" i="222"/>
  <c r="C40" i="222"/>
  <c r="E40" i="222" s="1"/>
  <c r="D42" i="222"/>
  <c r="C6" i="204"/>
  <c r="C11" i="204" s="1"/>
  <c r="E6" i="204"/>
  <c r="D11" i="204"/>
  <c r="C17" i="204"/>
  <c r="E17" i="204"/>
  <c r="E27" i="204"/>
  <c r="F27" i="204"/>
  <c r="B15" i="211"/>
  <c r="F15" i="211"/>
  <c r="B17" i="211"/>
  <c r="D5" i="200"/>
  <c r="E5" i="200" s="1"/>
  <c r="C10" i="200"/>
  <c r="D52" i="197"/>
  <c r="C18" i="200"/>
  <c r="D53" i="197" s="1"/>
  <c r="C19" i="200"/>
  <c r="D54" i="197" s="1"/>
  <c r="C25" i="200"/>
  <c r="C28" i="200" s="1"/>
  <c r="C6" i="200"/>
  <c r="C39" i="200"/>
  <c r="E42" i="200"/>
  <c r="C34" i="197"/>
  <c r="D34" i="197"/>
  <c r="D39" i="197"/>
  <c r="E39" i="197"/>
  <c r="C44" i="197"/>
  <c r="G44" i="197"/>
  <c r="G47" i="197"/>
  <c r="H47" i="197"/>
  <c r="B9" i="3"/>
  <c r="B10" i="3"/>
  <c r="I24" i="95"/>
  <c r="G10" i="3"/>
  <c r="G11" i="3"/>
  <c r="P60" i="3" s="1"/>
  <c r="G14" i="3"/>
  <c r="G50" i="3"/>
  <c r="H46" i="3" s="1"/>
  <c r="H50" i="3"/>
  <c r="I46" i="3" s="1"/>
  <c r="C9" i="140"/>
  <c r="G7" i="9" s="1"/>
  <c r="C7" i="140"/>
  <c r="B14" i="140"/>
  <c r="C14" i="140"/>
  <c r="D14" i="140"/>
  <c r="C17" i="140"/>
  <c r="C20" i="140" s="1"/>
  <c r="D17" i="140" s="1"/>
  <c r="C23" i="140"/>
  <c r="D23" i="140"/>
  <c r="B24" i="140"/>
  <c r="C34" i="140"/>
  <c r="C35" i="140" s="1"/>
  <c r="D34" i="140"/>
  <c r="B35" i="140"/>
  <c r="C38" i="140"/>
  <c r="B45" i="140"/>
  <c r="B52" i="140"/>
  <c r="B56" i="140"/>
  <c r="B64" i="140"/>
  <c r="C62" i="140"/>
  <c r="C67" i="140" s="1"/>
  <c r="D62" i="140"/>
  <c r="D67" i="140" s="1"/>
  <c r="B68" i="140"/>
  <c r="C73" i="140"/>
  <c r="C78" i="140" s="1"/>
  <c r="D73" i="140"/>
  <c r="D78" i="140" s="1"/>
  <c r="B75" i="140"/>
  <c r="C72" i="140" s="1"/>
  <c r="N29" i="87" s="1"/>
  <c r="B79" i="140"/>
  <c r="C84" i="140"/>
  <c r="F20" i="9" s="1"/>
  <c r="D84" i="140"/>
  <c r="D89" i="140" s="1"/>
  <c r="B86" i="140"/>
  <c r="C83" i="140" s="1"/>
  <c r="B90" i="140"/>
  <c r="D100" i="140"/>
  <c r="C104" i="140"/>
  <c r="D104" i="140"/>
  <c r="C18" i="97"/>
  <c r="D18" i="97" s="1"/>
  <c r="D105" i="140"/>
  <c r="B112" i="140"/>
  <c r="C112" i="140"/>
  <c r="D112" i="140"/>
  <c r="C113" i="140"/>
  <c r="D113" i="140"/>
  <c r="B115" i="140"/>
  <c r="B116" i="140"/>
  <c r="B117" i="140"/>
  <c r="B118" i="140"/>
  <c r="F263" i="140"/>
  <c r="F264" i="140"/>
  <c r="F265" i="140"/>
  <c r="C266" i="140"/>
  <c r="C269" i="140"/>
  <c r="F269" i="140" s="1"/>
  <c r="E269" i="140"/>
  <c r="C270" i="140"/>
  <c r="F270" i="140" s="1"/>
  <c r="E270" i="140"/>
  <c r="C271" i="140"/>
  <c r="F271" i="140" s="1"/>
  <c r="E271" i="140"/>
  <c r="C272" i="140"/>
  <c r="F272" i="140" s="1"/>
  <c r="E272" i="140"/>
  <c r="C273" i="140"/>
  <c r="F273" i="140" s="1"/>
  <c r="E273" i="140"/>
  <c r="C274" i="140"/>
  <c r="F274" i="140" s="1"/>
  <c r="E274" i="140"/>
  <c r="C275" i="140"/>
  <c r="F275" i="140" s="1"/>
  <c r="E275" i="140"/>
  <c r="C276" i="140"/>
  <c r="F276" i="140" s="1"/>
  <c r="E276" i="140"/>
  <c r="C277" i="140"/>
  <c r="F277" i="140" s="1"/>
  <c r="E277" i="140"/>
  <c r="C278" i="140"/>
  <c r="F278" i="140" s="1"/>
  <c r="E278" i="140"/>
  <c r="C279" i="140"/>
  <c r="F279" i="140" s="1"/>
  <c r="E279" i="140"/>
  <c r="C280" i="140"/>
  <c r="F280" i="140" s="1"/>
  <c r="E280" i="140"/>
  <c r="C281" i="140"/>
  <c r="F281" i="140" s="1"/>
  <c r="E281" i="140"/>
  <c r="C282" i="140"/>
  <c r="F282" i="140" s="1"/>
  <c r="E282" i="140"/>
  <c r="C283" i="140"/>
  <c r="F283" i="140" s="1"/>
  <c r="E283" i="140"/>
  <c r="C284" i="140"/>
  <c r="F284" i="140" s="1"/>
  <c r="E284" i="140"/>
  <c r="C285" i="140"/>
  <c r="F285" i="140" s="1"/>
  <c r="E285" i="140"/>
  <c r="F11" i="141"/>
  <c r="H11" i="141" s="1"/>
  <c r="J11" i="141" s="1"/>
  <c r="L11" i="141" s="1"/>
  <c r="P11" i="141"/>
  <c r="R11" i="141" s="1"/>
  <c r="AA11" i="141"/>
  <c r="AC11" i="141" s="1"/>
  <c r="N8" i="8" s="1"/>
  <c r="F12" i="141"/>
  <c r="H12" i="141" s="1"/>
  <c r="J12" i="141" s="1"/>
  <c r="L12" i="141" s="1"/>
  <c r="P12" i="141"/>
  <c r="AA12" i="141"/>
  <c r="AC12" i="141" s="1"/>
  <c r="N9" i="8" s="1"/>
  <c r="F14" i="141"/>
  <c r="H14" i="141" s="1"/>
  <c r="J14" i="141" s="1"/>
  <c r="L14" i="141" s="1"/>
  <c r="P14" i="141"/>
  <c r="AA14" i="141"/>
  <c r="E40" i="141"/>
  <c r="E45" i="141" s="1"/>
  <c r="F16" i="141"/>
  <c r="H16" i="141" s="1"/>
  <c r="J16" i="141" s="1"/>
  <c r="L16" i="141" s="1"/>
  <c r="P16" i="141"/>
  <c r="R16" i="141" s="1"/>
  <c r="T16" i="141" s="1"/>
  <c r="AA16" i="141"/>
  <c r="AC16" i="141" s="1"/>
  <c r="AE16" i="141" s="1"/>
  <c r="F17" i="141"/>
  <c r="O17" i="141"/>
  <c r="F18" i="141"/>
  <c r="R18" i="141"/>
  <c r="T18" i="141" s="1"/>
  <c r="AA18" i="141"/>
  <c r="AC18" i="141" s="1"/>
  <c r="AE18" i="141" s="1"/>
  <c r="F19" i="141"/>
  <c r="F20" i="141"/>
  <c r="H20" i="141" s="1"/>
  <c r="J20" i="141" s="1"/>
  <c r="L20" i="141" s="1"/>
  <c r="M20" i="141"/>
  <c r="N20" i="141"/>
  <c r="O20" i="141"/>
  <c r="X20" i="141"/>
  <c r="AB20" i="141" s="1"/>
  <c r="Y20" i="141"/>
  <c r="Z20" i="141"/>
  <c r="F21" i="141"/>
  <c r="H21" i="141" s="1"/>
  <c r="J21" i="141" s="1"/>
  <c r="L21" i="141" s="1"/>
  <c r="M21" i="141"/>
  <c r="Q21" i="141" s="1"/>
  <c r="N21" i="141"/>
  <c r="O21" i="141"/>
  <c r="X21" i="141"/>
  <c r="Y21" i="141"/>
  <c r="Z21" i="141"/>
  <c r="F22" i="141"/>
  <c r="P22" i="141"/>
  <c r="R22" i="141" s="1"/>
  <c r="F23" i="141"/>
  <c r="H23" i="141" s="1"/>
  <c r="J23" i="141" s="1"/>
  <c r="L23" i="141" s="1"/>
  <c r="P23" i="141"/>
  <c r="R23" i="141" s="1"/>
  <c r="AA23" i="141"/>
  <c r="F24" i="141"/>
  <c r="H24" i="141" s="1"/>
  <c r="J24" i="141" s="1"/>
  <c r="L24" i="141" s="1"/>
  <c r="P24" i="141"/>
  <c r="AA24" i="141"/>
  <c r="F25" i="141"/>
  <c r="H25" i="141" s="1"/>
  <c r="J25" i="141" s="1"/>
  <c r="L25" i="141" s="1"/>
  <c r="P25" i="141"/>
  <c r="R25" i="141" s="1"/>
  <c r="T25" i="141" s="1"/>
  <c r="V25" i="141" s="1"/>
  <c r="AB25" i="141"/>
  <c r="F26" i="141"/>
  <c r="X26" i="141"/>
  <c r="Y26" i="141"/>
  <c r="Z26" i="141"/>
  <c r="F27" i="141"/>
  <c r="H27" i="141" s="1"/>
  <c r="J27" i="141" s="1"/>
  <c r="L27" i="141" s="1"/>
  <c r="N27" i="141"/>
  <c r="O27" i="141"/>
  <c r="Y27" i="141"/>
  <c r="Z27" i="141"/>
  <c r="F28" i="141"/>
  <c r="H28" i="141" s="1"/>
  <c r="J28" i="141" s="1"/>
  <c r="L28" i="141" s="1"/>
  <c r="O28" i="141"/>
  <c r="F29" i="141"/>
  <c r="H29" i="141" s="1"/>
  <c r="J29" i="141" s="1"/>
  <c r="L29" i="141" s="1"/>
  <c r="M29" i="141"/>
  <c r="N29" i="141"/>
  <c r="O29" i="141"/>
  <c r="Y29" i="141"/>
  <c r="Z29" i="141"/>
  <c r="D40" i="141"/>
  <c r="D45" i="141" s="1"/>
  <c r="G40" i="141"/>
  <c r="I40" i="141"/>
  <c r="I45" i="141" s="1"/>
  <c r="P37" i="141"/>
  <c r="R37" i="141" s="1"/>
  <c r="AA37" i="141"/>
  <c r="AC37" i="141" s="1"/>
  <c r="N10" i="8" s="1"/>
  <c r="P38" i="141"/>
  <c r="R38" i="141" s="1"/>
  <c r="AA38" i="141"/>
  <c r="AC38" i="141" s="1"/>
  <c r="AE38" i="141" s="1"/>
  <c r="P39" i="141"/>
  <c r="R39" i="141" s="1"/>
  <c r="AA39" i="141"/>
  <c r="AC39" i="141" s="1"/>
  <c r="N12" i="8" s="1"/>
  <c r="M50" i="141"/>
  <c r="M17" i="141"/>
  <c r="R56" i="141"/>
  <c r="N72" i="141"/>
  <c r="C9" i="101" s="1"/>
  <c r="M72" i="141"/>
  <c r="M28" i="141"/>
  <c r="X29" i="141"/>
  <c r="C10" i="274"/>
  <c r="D10" i="274"/>
  <c r="C16" i="274"/>
  <c r="D16" i="274"/>
  <c r="D33" i="274" s="1"/>
  <c r="C23" i="274"/>
  <c r="H6" i="278"/>
  <c r="I6" i="278"/>
  <c r="F11" i="278"/>
  <c r="G12" i="278"/>
  <c r="F12" i="278" s="1"/>
  <c r="B6" i="101"/>
  <c r="E6" i="278"/>
  <c r="B11" i="101"/>
  <c r="C11" i="101"/>
  <c r="B12" i="101"/>
  <c r="D13" i="97" s="1"/>
  <c r="B13" i="101"/>
  <c r="C13" i="101"/>
  <c r="B14" i="101"/>
  <c r="C14" i="101"/>
  <c r="C20" i="101"/>
  <c r="D9" i="140"/>
  <c r="L45" i="87" s="1"/>
  <c r="B34" i="101"/>
  <c r="B12" i="98"/>
  <c r="D12" i="97"/>
  <c r="D5" i="96" s="1"/>
  <c r="D27" i="97"/>
  <c r="E27" i="97"/>
  <c r="C5" i="96"/>
  <c r="D12" i="96"/>
  <c r="E12" i="96" s="1"/>
  <c r="C17" i="96"/>
  <c r="F33" i="95"/>
  <c r="H33" i="95"/>
  <c r="J33" i="95"/>
  <c r="F83" i="95"/>
  <c r="J83" i="95"/>
  <c r="F12" i="87"/>
  <c r="P13" i="87"/>
  <c r="Q13" i="87"/>
  <c r="Q32" i="87" s="1"/>
  <c r="L14" i="87"/>
  <c r="F16" i="87"/>
  <c r="P16" i="87"/>
  <c r="K19" i="87"/>
  <c r="L19" i="87"/>
  <c r="H21" i="87"/>
  <c r="H22" i="87" s="1"/>
  <c r="F24" i="87"/>
  <c r="H25" i="87"/>
  <c r="K25" i="87"/>
  <c r="L25" i="87"/>
  <c r="F26" i="87"/>
  <c r="H26" i="87"/>
  <c r="M26" i="87"/>
  <c r="H28" i="87"/>
  <c r="K28" i="87"/>
  <c r="L28" i="87"/>
  <c r="H29" i="87"/>
  <c r="M29" i="87"/>
  <c r="H45" i="87"/>
  <c r="P46" i="87"/>
  <c r="Q46" i="87"/>
  <c r="F48" i="87"/>
  <c r="P48" i="87"/>
  <c r="Q49" i="87"/>
  <c r="H54" i="87"/>
  <c r="H55" i="87" s="1"/>
  <c r="F57" i="87"/>
  <c r="H58" i="87"/>
  <c r="L58" i="87"/>
  <c r="F59" i="87"/>
  <c r="H59" i="87"/>
  <c r="Q60" i="87"/>
  <c r="Q63" i="87" s="1"/>
  <c r="H61" i="87"/>
  <c r="L61" i="87"/>
  <c r="H62" i="87"/>
  <c r="F64" i="87"/>
  <c r="E17" i="86"/>
  <c r="E19" i="86"/>
  <c r="E20" i="86"/>
  <c r="E21" i="86"/>
  <c r="E22" i="86"/>
  <c r="H16" i="156"/>
  <c r="H22" i="156"/>
  <c r="H24" i="156"/>
  <c r="C29" i="156"/>
  <c r="D29" i="156"/>
  <c r="E29" i="156"/>
  <c r="I29" i="156"/>
  <c r="J29" i="156"/>
  <c r="K29" i="156"/>
  <c r="L29" i="156"/>
  <c r="J39" i="156"/>
  <c r="J41" i="156"/>
  <c r="J44" i="156"/>
  <c r="C14" i="83"/>
  <c r="E14" i="83"/>
  <c r="F14" i="83"/>
  <c r="G14" i="83"/>
  <c r="C21" i="83"/>
  <c r="D21" i="83"/>
  <c r="E21" i="83"/>
  <c r="F21" i="83"/>
  <c r="G21" i="83"/>
  <c r="C28" i="83"/>
  <c r="E28" i="83"/>
  <c r="F28" i="83"/>
  <c r="C32" i="83"/>
  <c r="C34" i="83" s="1"/>
  <c r="D34" i="83"/>
  <c r="E34" i="83"/>
  <c r="F34" i="83"/>
  <c r="G34" i="83"/>
  <c r="C45" i="83"/>
  <c r="C48" i="83" s="1"/>
  <c r="C51" i="83"/>
  <c r="D54" i="83"/>
  <c r="C53" i="83"/>
  <c r="E54" i="83"/>
  <c r="F54" i="83"/>
  <c r="G54" i="83"/>
  <c r="E64" i="83"/>
  <c r="F64" i="83"/>
  <c r="G28" i="83"/>
  <c r="F135" i="140"/>
  <c r="F136" i="140" s="1"/>
  <c r="D16" i="82"/>
  <c r="F13" i="27"/>
  <c r="F14" i="27" s="1"/>
  <c r="C19" i="27"/>
  <c r="D19" i="27"/>
  <c r="G19" i="27"/>
  <c r="R19" i="27"/>
  <c r="Y19" i="27"/>
  <c r="C22" i="274"/>
  <c r="C29" i="274" s="1"/>
  <c r="X41" i="27"/>
  <c r="Y41" i="27"/>
  <c r="C59" i="27"/>
  <c r="D59" i="27"/>
  <c r="AB65" i="27"/>
  <c r="U66" i="27"/>
  <c r="AB66" i="27"/>
  <c r="U70" i="27"/>
  <c r="AB70" i="27"/>
  <c r="U71" i="27"/>
  <c r="AB71" i="27"/>
  <c r="AB19" i="27"/>
  <c r="F9" i="26"/>
  <c r="F33" i="26"/>
  <c r="F34" i="26"/>
  <c r="O7" i="157"/>
  <c r="C16" i="157"/>
  <c r="D7" i="157" s="1"/>
  <c r="D16" i="157" s="1"/>
  <c r="O25" i="157"/>
  <c r="O27" i="157"/>
  <c r="O42" i="157"/>
  <c r="O44" i="157"/>
  <c r="C34" i="23"/>
  <c r="L29" i="155"/>
  <c r="D30" i="155"/>
  <c r="S5" i="173"/>
  <c r="S15" i="173"/>
  <c r="G19" i="173"/>
  <c r="E19" i="173" s="1"/>
  <c r="S20" i="173"/>
  <c r="G26" i="173"/>
  <c r="G30" i="173" s="1"/>
  <c r="E29" i="173"/>
  <c r="F29" i="173" s="1"/>
  <c r="F30" i="173" s="1"/>
  <c r="S29" i="173"/>
  <c r="D30" i="173"/>
  <c r="I30" i="173"/>
  <c r="I9" i="277"/>
  <c r="I10" i="277"/>
  <c r="I11" i="277"/>
  <c r="I12" i="277"/>
  <c r="I13" i="277"/>
  <c r="I14" i="277"/>
  <c r="I15" i="277"/>
  <c r="I16" i="277"/>
  <c r="I17" i="277"/>
  <c r="I18" i="277"/>
  <c r="I19" i="277"/>
  <c r="I20" i="277"/>
  <c r="I21" i="277"/>
  <c r="I22" i="277"/>
  <c r="I23" i="277"/>
  <c r="C24" i="277"/>
  <c r="E24" i="277"/>
  <c r="G24" i="277" s="1"/>
  <c r="I24" i="277"/>
  <c r="I25" i="277"/>
  <c r="I27" i="277"/>
  <c r="I29" i="277"/>
  <c r="I30" i="277"/>
  <c r="I31" i="277"/>
  <c r="I32" i="277"/>
  <c r="I33" i="277"/>
  <c r="I36" i="277"/>
  <c r="I39" i="277"/>
  <c r="I40" i="277"/>
  <c r="I41" i="277"/>
  <c r="G50" i="277"/>
  <c r="M56" i="277"/>
  <c r="P8" i="173"/>
  <c r="H6" i="321" s="1"/>
  <c r="B7" i="9"/>
  <c r="C7" i="9"/>
  <c r="D7" i="9"/>
  <c r="F7" i="9"/>
  <c r="I7" i="9"/>
  <c r="L7" i="9"/>
  <c r="B9" i="9"/>
  <c r="C9" i="9"/>
  <c r="D9" i="9"/>
  <c r="E9" i="9"/>
  <c r="F9" i="9"/>
  <c r="G9" i="9"/>
  <c r="I9" i="9"/>
  <c r="L9" i="9"/>
  <c r="B12" i="9"/>
  <c r="C12" i="9"/>
  <c r="D12" i="9"/>
  <c r="G12" i="9"/>
  <c r="C14" i="9"/>
  <c r="D14" i="9"/>
  <c r="G14" i="9"/>
  <c r="J14" i="9"/>
  <c r="L14" i="9"/>
  <c r="B16" i="9"/>
  <c r="C16" i="9"/>
  <c r="D16" i="9"/>
  <c r="F16" i="9"/>
  <c r="G16" i="9"/>
  <c r="I16" i="9"/>
  <c r="J16" i="9"/>
  <c r="B18" i="9"/>
  <c r="C18" i="9"/>
  <c r="D18" i="9"/>
  <c r="F18" i="9"/>
  <c r="G18" i="9"/>
  <c r="I18" i="9"/>
  <c r="J18" i="9"/>
  <c r="B20" i="9"/>
  <c r="C20" i="9"/>
  <c r="D20" i="9"/>
  <c r="G20" i="9"/>
  <c r="J20" i="9"/>
  <c r="L20" i="9"/>
  <c r="B22" i="9"/>
  <c r="C22" i="9"/>
  <c r="D22" i="9"/>
  <c r="G22" i="9"/>
  <c r="J22" i="9"/>
  <c r="L22" i="9"/>
  <c r="B24" i="9"/>
  <c r="C24" i="9"/>
  <c r="D24" i="9"/>
  <c r="E24" i="9"/>
  <c r="I24" i="9"/>
  <c r="J24" i="9"/>
  <c r="L24" i="9"/>
  <c r="C8" i="8"/>
  <c r="G8" i="8"/>
  <c r="C9" i="8"/>
  <c r="G9" i="8"/>
  <c r="G10" i="8"/>
  <c r="G11" i="8"/>
  <c r="C12" i="8"/>
  <c r="G12" i="8"/>
  <c r="E13" i="8"/>
  <c r="F13" i="8"/>
  <c r="F36" i="8" s="1"/>
  <c r="J13" i="8"/>
  <c r="K13" i="8"/>
  <c r="O13" i="8"/>
  <c r="P13" i="8"/>
  <c r="C15" i="8"/>
  <c r="D15" i="8"/>
  <c r="E15" i="8"/>
  <c r="G15" i="8"/>
  <c r="J15" i="8"/>
  <c r="O15" i="8"/>
  <c r="C16" i="8"/>
  <c r="E16" i="8"/>
  <c r="G16" i="8"/>
  <c r="C17" i="8"/>
  <c r="E17" i="8"/>
  <c r="G17" i="8"/>
  <c r="C18" i="8"/>
  <c r="E18" i="8"/>
  <c r="G18" i="8"/>
  <c r="C19" i="8"/>
  <c r="E19" i="8"/>
  <c r="G19" i="8"/>
  <c r="C20" i="8"/>
  <c r="E20" i="8"/>
  <c r="G20" i="8"/>
  <c r="C23" i="8"/>
  <c r="E23" i="8"/>
  <c r="G23" i="8"/>
  <c r="J23" i="8"/>
  <c r="O23" i="8"/>
  <c r="H24" i="8"/>
  <c r="J24" i="8"/>
  <c r="O24" i="8"/>
  <c r="C25" i="8"/>
  <c r="E25" i="8"/>
  <c r="G25" i="8"/>
  <c r="J25" i="8"/>
  <c r="O25" i="8"/>
  <c r="E26" i="8"/>
  <c r="G26" i="8"/>
  <c r="C34" i="8"/>
  <c r="M34" i="8"/>
  <c r="R34" i="8"/>
  <c r="C35" i="8"/>
  <c r="M35" i="8"/>
  <c r="R35" i="8"/>
  <c r="D10" i="159"/>
  <c r="G10" i="159"/>
  <c r="AS10" i="159" s="1"/>
  <c r="AW10" i="159" s="1"/>
  <c r="BB10" i="159" s="1"/>
  <c r="BQ10" i="159" s="1"/>
  <c r="F16" i="159"/>
  <c r="I16" i="159"/>
  <c r="W16" i="159"/>
  <c r="AE16" i="159"/>
  <c r="AF16" i="159"/>
  <c r="AG16" i="159"/>
  <c r="AV16" i="159"/>
  <c r="BH16" i="159"/>
  <c r="BN16" i="159"/>
  <c r="BO16" i="159"/>
  <c r="H17" i="159"/>
  <c r="I22" i="159"/>
  <c r="AB17" i="159"/>
  <c r="AB22" i="159" s="1"/>
  <c r="AZ17" i="159"/>
  <c r="AZ22" i="159" s="1"/>
  <c r="F22" i="159"/>
  <c r="T22" i="159"/>
  <c r="W22" i="159"/>
  <c r="AA22" i="159"/>
  <c r="AE22" i="159"/>
  <c r="AF22" i="159"/>
  <c r="AG22" i="159"/>
  <c r="AS22" i="159"/>
  <c r="AV22" i="159"/>
  <c r="BH22" i="159"/>
  <c r="BN22" i="159"/>
  <c r="BO22" i="159"/>
  <c r="G23" i="159"/>
  <c r="H23" i="159"/>
  <c r="AB23" i="159"/>
  <c r="D24" i="159"/>
  <c r="G24" i="159"/>
  <c r="H24" i="159"/>
  <c r="AB24" i="159"/>
  <c r="AZ24" i="159"/>
  <c r="BA24" i="159" s="1"/>
  <c r="D25" i="159"/>
  <c r="G25" i="159"/>
  <c r="AB25" i="159"/>
  <c r="AZ25" i="159"/>
  <c r="BA25" i="159" s="1"/>
  <c r="BH25" i="159"/>
  <c r="D26" i="159"/>
  <c r="AT26" i="159" s="1"/>
  <c r="BT26" i="159" s="1"/>
  <c r="G26" i="159"/>
  <c r="AV26" i="159" s="1"/>
  <c r="BH26" i="159" s="1"/>
  <c r="H26" i="159"/>
  <c r="D27" i="159"/>
  <c r="G27" i="159"/>
  <c r="H27" i="159"/>
  <c r="AB27" i="159"/>
  <c r="AZ27" i="159"/>
  <c r="BA27" i="159" s="1"/>
  <c r="D28" i="159"/>
  <c r="G28" i="159"/>
  <c r="H28" i="159"/>
  <c r="D29" i="159"/>
  <c r="G29" i="159"/>
  <c r="AV29" i="159" s="1"/>
  <c r="D30" i="159"/>
  <c r="G30" i="159"/>
  <c r="H30" i="159"/>
  <c r="D31" i="159"/>
  <c r="G31" i="159"/>
  <c r="W31" i="159" s="1"/>
  <c r="AB31" i="159"/>
  <c r="AZ31" i="159"/>
  <c r="BA31" i="159" s="1"/>
  <c r="D32" i="159"/>
  <c r="G32" i="159"/>
  <c r="AV32" i="159" s="1"/>
  <c r="H32" i="159"/>
  <c r="T32" i="159" s="1"/>
  <c r="D33" i="159"/>
  <c r="G33" i="159"/>
  <c r="AV33" i="159" s="1"/>
  <c r="H33" i="159"/>
  <c r="T33" i="159" s="1"/>
  <c r="E34" i="159"/>
  <c r="G36" i="159"/>
  <c r="AB36" i="159"/>
  <c r="AZ36" i="159"/>
  <c r="BA36" i="159" s="1"/>
  <c r="G37" i="159"/>
  <c r="W37" i="159" s="1"/>
  <c r="H37" i="159"/>
  <c r="AS37" i="159" s="1"/>
  <c r="AB37" i="159"/>
  <c r="G38" i="159"/>
  <c r="W38" i="159" s="1"/>
  <c r="H38" i="159"/>
  <c r="AS38" i="159" s="1"/>
  <c r="AB38" i="159"/>
  <c r="G39" i="159"/>
  <c r="H39" i="159"/>
  <c r="AS39" i="159" s="1"/>
  <c r="F40" i="159"/>
  <c r="G40" i="159"/>
  <c r="H40" i="159"/>
  <c r="G41" i="159"/>
  <c r="H41" i="159"/>
  <c r="AS41" i="159" s="1"/>
  <c r="AB41" i="159"/>
  <c r="G43" i="159"/>
  <c r="W43" i="159" s="1"/>
  <c r="H43" i="159"/>
  <c r="G44" i="159"/>
  <c r="W44" i="159" s="1"/>
  <c r="H44" i="159"/>
  <c r="T44" i="159" s="1"/>
  <c r="AB44" i="159"/>
  <c r="AZ44" i="159"/>
  <c r="G45" i="159"/>
  <c r="W45" i="159" s="1"/>
  <c r="H45" i="159"/>
  <c r="AS45" i="159" s="1"/>
  <c r="G47" i="159"/>
  <c r="W47" i="159" s="1"/>
  <c r="H47" i="159"/>
  <c r="T47" i="159" s="1"/>
  <c r="G48" i="159"/>
  <c r="W48" i="159" s="1"/>
  <c r="H48" i="159"/>
  <c r="T48" i="159" s="1"/>
  <c r="F49" i="159"/>
  <c r="G49" i="159"/>
  <c r="W49" i="159" s="1"/>
  <c r="H49" i="159"/>
  <c r="T49" i="159" s="1"/>
  <c r="E50" i="159"/>
  <c r="G50" i="159"/>
  <c r="AV50" i="159" s="1"/>
  <c r="H50" i="159"/>
  <c r="T50" i="159" s="1"/>
  <c r="E51" i="159"/>
  <c r="G51" i="159"/>
  <c r="AV51" i="159" s="1"/>
  <c r="H51" i="159"/>
  <c r="AS51" i="159" s="1"/>
  <c r="BH52" i="159"/>
  <c r="BI52" i="159"/>
  <c r="BJ52" i="159"/>
  <c r="BK52" i="159" s="1"/>
  <c r="BQ52" i="159"/>
  <c r="BW52" i="159"/>
  <c r="AA53" i="159"/>
  <c r="AU53" i="159"/>
  <c r="BG53" i="159"/>
  <c r="G55" i="159"/>
  <c r="H55" i="159"/>
  <c r="G56" i="159"/>
  <c r="W56" i="159" s="1"/>
  <c r="H56" i="159"/>
  <c r="T56" i="159" s="1"/>
  <c r="G58" i="159"/>
  <c r="W58" i="159" s="1"/>
  <c r="H58" i="159"/>
  <c r="G59" i="159"/>
  <c r="W59" i="159" s="1"/>
  <c r="H59" i="159"/>
  <c r="G60" i="159"/>
  <c r="H60" i="159"/>
  <c r="F62" i="159"/>
  <c r="G62" i="159"/>
  <c r="E63" i="159"/>
  <c r="G63" i="159"/>
  <c r="W63" i="159" s="1"/>
  <c r="H63" i="159"/>
  <c r="E64" i="159"/>
  <c r="U64" i="159" s="1"/>
  <c r="G64" i="159"/>
  <c r="W64" i="159" s="1"/>
  <c r="H64" i="159"/>
  <c r="T64" i="159" s="1"/>
  <c r="E65" i="159"/>
  <c r="G65" i="159"/>
  <c r="W65" i="159" s="1"/>
  <c r="H65" i="159"/>
  <c r="BE65" i="159"/>
  <c r="BJ65" i="159"/>
  <c r="I66" i="159"/>
  <c r="V66" i="159"/>
  <c r="AA66" i="159"/>
  <c r="AB66" i="159"/>
  <c r="AU66" i="159"/>
  <c r="AZ66" i="159"/>
  <c r="BA66" i="159"/>
  <c r="BG66" i="159"/>
  <c r="H10" i="163"/>
  <c r="V10" i="163" s="1"/>
  <c r="I17" i="163"/>
  <c r="AB10" i="163"/>
  <c r="AB17" i="163" s="1"/>
  <c r="D11" i="163"/>
  <c r="AF11" i="163" s="1"/>
  <c r="G11" i="163"/>
  <c r="T11" i="163" s="1"/>
  <c r="T17" i="163" s="1"/>
  <c r="W17" i="163"/>
  <c r="AA17" i="163"/>
  <c r="AI17" i="163"/>
  <c r="AJ17" i="163"/>
  <c r="AK17" i="163"/>
  <c r="G18" i="163"/>
  <c r="I23" i="163"/>
  <c r="AB18" i="163"/>
  <c r="AB23" i="163" s="1"/>
  <c r="T23" i="163"/>
  <c r="W23" i="163"/>
  <c r="AA23" i="163"/>
  <c r="AI23" i="163"/>
  <c r="AJ23" i="163"/>
  <c r="AK23" i="163"/>
  <c r="G24" i="163"/>
  <c r="V24" i="163"/>
  <c r="AB24" i="163"/>
  <c r="D25" i="163"/>
  <c r="U25" i="163" s="1"/>
  <c r="G25" i="163"/>
  <c r="H25" i="163"/>
  <c r="AB25" i="163"/>
  <c r="D26" i="163"/>
  <c r="U26" i="163" s="1"/>
  <c r="G26" i="163"/>
  <c r="AB26" i="163"/>
  <c r="D27" i="163"/>
  <c r="U27" i="163" s="1"/>
  <c r="AF27" i="163" s="1"/>
  <c r="G27" i="163"/>
  <c r="H27" i="163"/>
  <c r="D28" i="163"/>
  <c r="U28" i="163" s="1"/>
  <c r="G28" i="163"/>
  <c r="H28" i="163"/>
  <c r="AB28" i="163"/>
  <c r="D29" i="163"/>
  <c r="U29" i="163" s="1"/>
  <c r="G29" i="163"/>
  <c r="H29" i="163"/>
  <c r="D30" i="163"/>
  <c r="U30" i="163" s="1"/>
  <c r="G30" i="163"/>
  <c r="D31" i="163"/>
  <c r="U31" i="163" s="1"/>
  <c r="G31" i="163"/>
  <c r="H31" i="163"/>
  <c r="AB31" i="163"/>
  <c r="D32" i="163"/>
  <c r="U32" i="163" s="1"/>
  <c r="G32" i="163"/>
  <c r="W32" i="163" s="1"/>
  <c r="AB32" i="163"/>
  <c r="D33" i="163"/>
  <c r="U33" i="163" s="1"/>
  <c r="AF33" i="163" s="1"/>
  <c r="G33" i="163"/>
  <c r="W33" i="163" s="1"/>
  <c r="H33" i="163"/>
  <c r="T33" i="163" s="1"/>
  <c r="D34" i="163"/>
  <c r="U34" i="163" s="1"/>
  <c r="AF34" i="163" s="1"/>
  <c r="G34" i="163"/>
  <c r="W34" i="163" s="1"/>
  <c r="H34" i="163"/>
  <c r="T34" i="163" s="1"/>
  <c r="E35" i="163"/>
  <c r="F35" i="163"/>
  <c r="G37" i="163"/>
  <c r="AB37" i="163"/>
  <c r="G38" i="163"/>
  <c r="H38" i="163"/>
  <c r="T38" i="163" s="1"/>
  <c r="G39" i="163"/>
  <c r="W39" i="163" s="1"/>
  <c r="H39" i="163"/>
  <c r="T39" i="163" s="1"/>
  <c r="G40" i="163"/>
  <c r="W40" i="163" s="1"/>
  <c r="H40" i="163"/>
  <c r="T40" i="163" s="1"/>
  <c r="F41" i="163"/>
  <c r="G41" i="163"/>
  <c r="W41" i="163" s="1"/>
  <c r="G42" i="163"/>
  <c r="W42" i="163" s="1"/>
  <c r="H42" i="163"/>
  <c r="T42" i="163" s="1"/>
  <c r="G43" i="163"/>
  <c r="W43" i="163" s="1"/>
  <c r="H43" i="163"/>
  <c r="T43" i="163" s="1"/>
  <c r="G45" i="163"/>
  <c r="W45" i="163" s="1"/>
  <c r="H45" i="163"/>
  <c r="T45" i="163" s="1"/>
  <c r="AB45" i="163"/>
  <c r="G46" i="163"/>
  <c r="W46" i="163" s="1"/>
  <c r="H46" i="163"/>
  <c r="T46" i="163" s="1"/>
  <c r="G48" i="163"/>
  <c r="W48" i="163" s="1"/>
  <c r="H48" i="163"/>
  <c r="T48" i="163" s="1"/>
  <c r="G49" i="163"/>
  <c r="W49" i="163" s="1"/>
  <c r="H49" i="163"/>
  <c r="T49" i="163" s="1"/>
  <c r="F50" i="163"/>
  <c r="G50" i="163"/>
  <c r="W50" i="163" s="1"/>
  <c r="H50" i="163"/>
  <c r="T50" i="163" s="1"/>
  <c r="E51" i="163"/>
  <c r="U51" i="163" s="1"/>
  <c r="AK51" i="163" s="1"/>
  <c r="G51" i="163"/>
  <c r="W51" i="163" s="1"/>
  <c r="H51" i="163"/>
  <c r="E52" i="163"/>
  <c r="U52" i="163" s="1"/>
  <c r="AK52" i="163" s="1"/>
  <c r="G52" i="163"/>
  <c r="W52" i="163" s="1"/>
  <c r="H52" i="163"/>
  <c r="V53" i="163"/>
  <c r="AA53" i="163"/>
  <c r="G55" i="163"/>
  <c r="H55" i="163"/>
  <c r="G56" i="163"/>
  <c r="W56" i="163" s="1"/>
  <c r="H56" i="163"/>
  <c r="T56" i="163" s="1"/>
  <c r="G58" i="163"/>
  <c r="W58" i="163" s="1"/>
  <c r="H58" i="163"/>
  <c r="T58" i="163" s="1"/>
  <c r="G59" i="163"/>
  <c r="W59" i="163" s="1"/>
  <c r="H59" i="163"/>
  <c r="T59" i="163" s="1"/>
  <c r="G60" i="163"/>
  <c r="W60" i="163" s="1"/>
  <c r="H60" i="163"/>
  <c r="T60" i="163" s="1"/>
  <c r="F62" i="163"/>
  <c r="G62" i="163"/>
  <c r="W62" i="163" s="1"/>
  <c r="E63" i="163"/>
  <c r="U63" i="163" s="1"/>
  <c r="G63" i="163"/>
  <c r="W63" i="163" s="1"/>
  <c r="H63" i="163"/>
  <c r="T63" i="163" s="1"/>
  <c r="E64" i="163"/>
  <c r="U64" i="163" s="1"/>
  <c r="AK64" i="163" s="1"/>
  <c r="G64" i="163"/>
  <c r="W64" i="163" s="1"/>
  <c r="H64" i="163"/>
  <c r="E65" i="163"/>
  <c r="U65" i="163" s="1"/>
  <c r="G65" i="163"/>
  <c r="W65" i="163" s="1"/>
  <c r="H65" i="163"/>
  <c r="I66" i="163"/>
  <c r="AA66" i="163"/>
  <c r="AB66" i="163"/>
  <c r="AA17" i="198"/>
  <c r="AF11" i="198"/>
  <c r="I17" i="198"/>
  <c r="W17" i="198"/>
  <c r="AI17" i="198"/>
  <c r="AJ17" i="198"/>
  <c r="AK17" i="198"/>
  <c r="I23" i="198"/>
  <c r="AB18" i="198"/>
  <c r="AB23" i="198" s="1"/>
  <c r="T23" i="198"/>
  <c r="W23" i="198"/>
  <c r="AI23" i="198"/>
  <c r="AJ23" i="198"/>
  <c r="AK23" i="198"/>
  <c r="AB24" i="198"/>
  <c r="G25" i="198"/>
  <c r="H25" i="198"/>
  <c r="AB25" i="198"/>
  <c r="G26" i="198"/>
  <c r="H26" i="198"/>
  <c r="G27" i="198"/>
  <c r="H27" i="198"/>
  <c r="G28" i="198"/>
  <c r="H28" i="198"/>
  <c r="AB28" i="198"/>
  <c r="G29" i="198"/>
  <c r="H29" i="198"/>
  <c r="G30" i="198"/>
  <c r="H30" i="198"/>
  <c r="G31" i="198"/>
  <c r="H31" i="198"/>
  <c r="AB31" i="198"/>
  <c r="G32" i="198"/>
  <c r="W32" i="198" s="1"/>
  <c r="AB32" i="198"/>
  <c r="G33" i="198"/>
  <c r="W33" i="198" s="1"/>
  <c r="G34" i="198"/>
  <c r="W34" i="198" s="1"/>
  <c r="H34" i="198"/>
  <c r="T34" i="198" s="1"/>
  <c r="F35" i="198"/>
  <c r="G37" i="198"/>
  <c r="W37" i="198" s="1"/>
  <c r="AB37" i="198"/>
  <c r="G38" i="198"/>
  <c r="W38" i="198" s="1"/>
  <c r="H38" i="198"/>
  <c r="T38" i="198" s="1"/>
  <c r="AI38" i="198" s="1"/>
  <c r="G39" i="198"/>
  <c r="W39" i="198" s="1"/>
  <c r="H39" i="198"/>
  <c r="T39" i="198" s="1"/>
  <c r="G40" i="198"/>
  <c r="W40" i="198" s="1"/>
  <c r="H40" i="198"/>
  <c r="T40" i="198" s="1"/>
  <c r="G41" i="198"/>
  <c r="W41" i="198" s="1"/>
  <c r="H41" i="198"/>
  <c r="T41" i="198" s="1"/>
  <c r="G42" i="198"/>
  <c r="W42" i="198" s="1"/>
  <c r="H42" i="198"/>
  <c r="T42" i="198" s="1"/>
  <c r="G43" i="198"/>
  <c r="W43" i="198" s="1"/>
  <c r="G45" i="198"/>
  <c r="W45" i="198" s="1"/>
  <c r="H45" i="198"/>
  <c r="T45" i="198" s="1"/>
  <c r="AB45" i="198"/>
  <c r="G46" i="198"/>
  <c r="W46" i="198" s="1"/>
  <c r="H46" i="198"/>
  <c r="T46" i="198" s="1"/>
  <c r="G48" i="198"/>
  <c r="W48" i="198" s="1"/>
  <c r="H48" i="198"/>
  <c r="T48" i="198" s="1"/>
  <c r="G49" i="198"/>
  <c r="W49" i="198" s="1"/>
  <c r="H49" i="198"/>
  <c r="T49" i="198" s="1"/>
  <c r="G50" i="198"/>
  <c r="W50" i="198" s="1"/>
  <c r="H50" i="198"/>
  <c r="T50" i="198" s="1"/>
  <c r="E51" i="198"/>
  <c r="U51" i="198" s="1"/>
  <c r="AK51" i="198" s="1"/>
  <c r="G51" i="198"/>
  <c r="W51" i="198" s="1"/>
  <c r="H51" i="198"/>
  <c r="E52" i="198"/>
  <c r="U52" i="198" s="1"/>
  <c r="AK52" i="198" s="1"/>
  <c r="G52" i="198"/>
  <c r="W52" i="198" s="1"/>
  <c r="H52" i="198"/>
  <c r="V53" i="198"/>
  <c r="G56" i="198"/>
  <c r="W56" i="198" s="1"/>
  <c r="H56" i="198"/>
  <c r="T56" i="198" s="1"/>
  <c r="G58" i="198"/>
  <c r="W58" i="198" s="1"/>
  <c r="H58" i="198"/>
  <c r="T58" i="198" s="1"/>
  <c r="G59" i="198"/>
  <c r="W59" i="198" s="1"/>
  <c r="H59" i="198"/>
  <c r="T59" i="198" s="1"/>
  <c r="G60" i="198"/>
  <c r="W60" i="198" s="1"/>
  <c r="H60" i="198"/>
  <c r="T60" i="198" s="1"/>
  <c r="F62" i="198"/>
  <c r="G62" i="198"/>
  <c r="W62" i="198" s="1"/>
  <c r="H62" i="198"/>
  <c r="T62" i="198" s="1"/>
  <c r="G63" i="198"/>
  <c r="W63" i="198" s="1"/>
  <c r="H63" i="198"/>
  <c r="T63" i="198" s="1"/>
  <c r="E64" i="198"/>
  <c r="U64" i="198" s="1"/>
  <c r="AK64" i="198" s="1"/>
  <c r="G64" i="198"/>
  <c r="W64" i="198" s="1"/>
  <c r="H64" i="198"/>
  <c r="E65" i="198"/>
  <c r="U65" i="198" s="1"/>
  <c r="G65" i="198"/>
  <c r="W65" i="198" s="1"/>
  <c r="H65" i="198"/>
  <c r="I66" i="198"/>
  <c r="AA66" i="198"/>
  <c r="AB66" i="198"/>
  <c r="E12" i="277"/>
  <c r="G12" i="277" s="1"/>
  <c r="O29" i="58"/>
  <c r="C14" i="277"/>
  <c r="H10" i="156"/>
  <c r="H24" i="198"/>
  <c r="V24" i="198" s="1"/>
  <c r="G18" i="198"/>
  <c r="D20" i="58"/>
  <c r="H9" i="159"/>
  <c r="AU9" i="159" s="1"/>
  <c r="G11" i="198"/>
  <c r="T11" i="198" s="1"/>
  <c r="L20" i="58"/>
  <c r="H11" i="163"/>
  <c r="T14" i="58"/>
  <c r="P20" i="58"/>
  <c r="P38" i="58" s="1"/>
  <c r="H18" i="198"/>
  <c r="V18" i="198" s="1"/>
  <c r="G17" i="159"/>
  <c r="H18" i="163"/>
  <c r="E9" i="277"/>
  <c r="G9" i="277" s="1"/>
  <c r="T28" i="58"/>
  <c r="C10" i="277"/>
  <c r="E10" i="277"/>
  <c r="G10" i="277" s="1"/>
  <c r="T29" i="58"/>
  <c r="T30" i="58"/>
  <c r="O31" i="58"/>
  <c r="T31" i="58"/>
  <c r="O32" i="58"/>
  <c r="T32" i="58"/>
  <c r="E14" i="277"/>
  <c r="G14" i="277" s="1"/>
  <c r="H30" i="163"/>
  <c r="T33" i="58"/>
  <c r="C15" i="277"/>
  <c r="E15" i="277"/>
  <c r="G15" i="277" s="1"/>
  <c r="T34" i="58"/>
  <c r="E16" i="277"/>
  <c r="G16" i="277" s="1"/>
  <c r="H31" i="159"/>
  <c r="T31" i="159" s="1"/>
  <c r="T35" i="58"/>
  <c r="C17" i="277"/>
  <c r="H33" i="198"/>
  <c r="T33" i="198" s="1"/>
  <c r="AK33" i="198" s="1"/>
  <c r="T36" i="58"/>
  <c r="C18" i="277"/>
  <c r="E18" i="277"/>
  <c r="G18" i="277" s="1"/>
  <c r="O37" i="58"/>
  <c r="T37" i="58"/>
  <c r="O40" i="58"/>
  <c r="T40" i="58"/>
  <c r="E20" i="277"/>
  <c r="G20" i="277" s="1"/>
  <c r="E21" i="277"/>
  <c r="G21" i="277" s="1"/>
  <c r="C22" i="277"/>
  <c r="T43" i="58"/>
  <c r="E23" i="277"/>
  <c r="G23" i="277" s="1"/>
  <c r="H41" i="163"/>
  <c r="T41" i="163" s="1"/>
  <c r="T44" i="58"/>
  <c r="H43" i="198"/>
  <c r="T43" i="198" s="1"/>
  <c r="E25" i="277"/>
  <c r="G25" i="277" s="1"/>
  <c r="T46" i="58"/>
  <c r="D57" i="58"/>
  <c r="H47" i="58"/>
  <c r="H57" i="58" s="1"/>
  <c r="I47" i="58"/>
  <c r="H44" i="198" s="1"/>
  <c r="T44" i="198" s="1"/>
  <c r="E26" i="277"/>
  <c r="G26" i="277" s="1"/>
  <c r="P47" i="58"/>
  <c r="G44" i="163" s="1"/>
  <c r="W44" i="163" s="1"/>
  <c r="Q47" i="58"/>
  <c r="Q57" i="58" s="1"/>
  <c r="S47" i="58"/>
  <c r="C27" i="277"/>
  <c r="E27" i="277"/>
  <c r="G27" i="277" s="1"/>
  <c r="T48" i="58"/>
  <c r="N57" i="58"/>
  <c r="M10" i="307" s="1"/>
  <c r="C29" i="277"/>
  <c r="E29" i="277"/>
  <c r="G29" i="277" s="1"/>
  <c r="T51" i="58"/>
  <c r="C30" i="277"/>
  <c r="E30" i="277"/>
  <c r="G30" i="277" s="1"/>
  <c r="O52" i="58"/>
  <c r="T52" i="58"/>
  <c r="C32" i="277"/>
  <c r="E32" i="277"/>
  <c r="G32" i="277" s="1"/>
  <c r="C33" i="277"/>
  <c r="T55" i="58"/>
  <c r="E57" i="58"/>
  <c r="L57" i="58"/>
  <c r="E34" i="277"/>
  <c r="G34" i="277" s="1"/>
  <c r="T60" i="58"/>
  <c r="T62" i="58"/>
  <c r="E37" i="277"/>
  <c r="G37" i="277" s="1"/>
  <c r="T64" i="58"/>
  <c r="C39" i="277"/>
  <c r="E39" i="277"/>
  <c r="G39" i="277" s="1"/>
  <c r="T66" i="58"/>
  <c r="C40" i="277"/>
  <c r="E40" i="277"/>
  <c r="G40" i="277" s="1"/>
  <c r="T67" i="58"/>
  <c r="E41" i="277"/>
  <c r="G41" i="277" s="1"/>
  <c r="T68" i="58"/>
  <c r="D70" i="58"/>
  <c r="E70" i="58"/>
  <c r="H70" i="58"/>
  <c r="I70" i="58"/>
  <c r="L70" i="58"/>
  <c r="P70" i="58"/>
  <c r="G89" i="58"/>
  <c r="N89" i="58"/>
  <c r="S89" i="58"/>
  <c r="H23" i="156"/>
  <c r="AF31" i="198"/>
  <c r="AJ30" i="198"/>
  <c r="H7" i="156"/>
  <c r="B5" i="211"/>
  <c r="D32" i="95"/>
  <c r="G13" i="3"/>
  <c r="E13" i="277"/>
  <c r="G13" i="277" s="1"/>
  <c r="E11" i="277"/>
  <c r="B40" i="141"/>
  <c r="G63" i="3" l="1"/>
  <c r="P63" i="3"/>
  <c r="G59" i="3"/>
  <c r="I27" i="95" s="1"/>
  <c r="K27" i="95" s="1"/>
  <c r="H77" i="95" s="1"/>
  <c r="P59" i="3"/>
  <c r="M43" i="345"/>
  <c r="M52" i="345" s="1"/>
  <c r="I40" i="370"/>
  <c r="G62" i="3"/>
  <c r="P62" i="3"/>
  <c r="C22" i="222"/>
  <c r="G40" i="3"/>
  <c r="H14" i="3" s="1"/>
  <c r="G60" i="3"/>
  <c r="I31" i="95" s="1"/>
  <c r="K31" i="95" s="1"/>
  <c r="H81" i="95" s="1"/>
  <c r="G135" i="140"/>
  <c r="G136" i="140" s="1"/>
  <c r="H13" i="173"/>
  <c r="C89" i="140"/>
  <c r="P26" i="87" s="1"/>
  <c r="AK42" i="163"/>
  <c r="X42" i="163"/>
  <c r="R89" i="58"/>
  <c r="AS47" i="159"/>
  <c r="BE47" i="159" s="1"/>
  <c r="AV63" i="159"/>
  <c r="BH63" i="159" s="1"/>
  <c r="H18" i="141"/>
  <c r="J18" i="141" s="1"/>
  <c r="L18" i="141" s="1"/>
  <c r="U18" i="141" s="1"/>
  <c r="H17" i="141"/>
  <c r="J17" i="141" s="1"/>
  <c r="L17" i="141" s="1"/>
  <c r="U17" i="141" s="1"/>
  <c r="H26" i="141"/>
  <c r="J26" i="141" s="1"/>
  <c r="L26" i="141" s="1"/>
  <c r="U26" i="141" s="1"/>
  <c r="AV59" i="159"/>
  <c r="BH59" i="159" s="1"/>
  <c r="B121" i="140"/>
  <c r="B127" i="140" s="1"/>
  <c r="D8" i="8"/>
  <c r="H19" i="141"/>
  <c r="J19" i="141" s="1"/>
  <c r="L19" i="141" s="1"/>
  <c r="H22" i="141"/>
  <c r="B30" i="95"/>
  <c r="G12" i="3"/>
  <c r="F14" i="9"/>
  <c r="I20" i="9"/>
  <c r="O16" i="157"/>
  <c r="C23" i="157" s="1"/>
  <c r="D11" i="8"/>
  <c r="C41" i="200"/>
  <c r="C45" i="200" s="1"/>
  <c r="F39" i="200"/>
  <c r="F22" i="87"/>
  <c r="N11" i="8"/>
  <c r="N13" i="8" s="1"/>
  <c r="AK33" i="163"/>
  <c r="D9" i="200"/>
  <c r="B110" i="140"/>
  <c r="I14" i="9"/>
  <c r="AV48" i="159"/>
  <c r="BH48" i="159" s="1"/>
  <c r="D11" i="200"/>
  <c r="AK40" i="198"/>
  <c r="AJ40" i="198"/>
  <c r="AJ39" i="198"/>
  <c r="AK39" i="198"/>
  <c r="D38" i="307"/>
  <c r="I19" i="368"/>
  <c r="Z38" i="27"/>
  <c r="D19" i="173"/>
  <c r="F19" i="173" s="1"/>
  <c r="AJ39" i="163"/>
  <c r="AK39" i="163"/>
  <c r="S19" i="173"/>
  <c r="AK30" i="163"/>
  <c r="AI30" i="163"/>
  <c r="D66" i="140"/>
  <c r="D68" i="140" s="1"/>
  <c r="C66" i="140"/>
  <c r="P21" i="87" s="1"/>
  <c r="AV56" i="159"/>
  <c r="BH56" i="159" s="1"/>
  <c r="F14" i="274"/>
  <c r="F34" i="159"/>
  <c r="C6" i="303"/>
  <c r="F6" i="303" s="1"/>
  <c r="G6" i="303" s="1"/>
  <c r="AV64" i="159"/>
  <c r="BH64" i="159" s="1"/>
  <c r="C28" i="140"/>
  <c r="N24" i="87" s="1"/>
  <c r="AV31" i="159"/>
  <c r="BH31" i="159" s="1"/>
  <c r="E12" i="9"/>
  <c r="AV38" i="159"/>
  <c r="BH38" i="159" s="1"/>
  <c r="AJ63" i="163"/>
  <c r="AK63" i="163"/>
  <c r="AK40" i="163"/>
  <c r="AJ40" i="163"/>
  <c r="AI38" i="163"/>
  <c r="E48" i="83"/>
  <c r="E55" i="83" s="1"/>
  <c r="E66" i="83" s="1"/>
  <c r="F48" i="83"/>
  <c r="F55" i="83" s="1"/>
  <c r="B31" i="95"/>
  <c r="D31" i="95" s="1"/>
  <c r="M31" i="95" s="1"/>
  <c r="Q19" i="27"/>
  <c r="S19" i="27"/>
  <c r="W50" i="159"/>
  <c r="BH50" i="159" s="1"/>
  <c r="I15" i="8"/>
  <c r="C32" i="8"/>
  <c r="G32" i="8"/>
  <c r="E32" i="8"/>
  <c r="E36" i="8" s="1"/>
  <c r="R14" i="141"/>
  <c r="AT64" i="159"/>
  <c r="BT64" i="159" s="1"/>
  <c r="B14" i="9"/>
  <c r="B25" i="9" s="1"/>
  <c r="N28" i="87"/>
  <c r="C61" i="140"/>
  <c r="E22" i="9"/>
  <c r="U29" i="141"/>
  <c r="F62" i="87"/>
  <c r="G36" i="3"/>
  <c r="D10" i="8"/>
  <c r="H10" i="8" s="1"/>
  <c r="I22" i="9"/>
  <c r="D12" i="8"/>
  <c r="H12" i="8" s="1"/>
  <c r="F22" i="9"/>
  <c r="E16" i="9"/>
  <c r="S57" i="58"/>
  <c r="Y50" i="27" s="1"/>
  <c r="AV43" i="159"/>
  <c r="BH43" i="159" s="1"/>
  <c r="W51" i="159"/>
  <c r="BH51" i="159" s="1"/>
  <c r="AA21" i="141"/>
  <c r="AA20" i="141"/>
  <c r="AC20" i="141" s="1"/>
  <c r="AE20" i="141" s="1"/>
  <c r="D116" i="140"/>
  <c r="X52" i="198"/>
  <c r="AH52" i="198" s="1"/>
  <c r="E30" i="173"/>
  <c r="P20" i="141"/>
  <c r="R20" i="141" s="1"/>
  <c r="C116" i="140"/>
  <c r="U29" i="159"/>
  <c r="AT29" i="159"/>
  <c r="C286" i="140"/>
  <c r="BT36" i="159"/>
  <c r="AV49" i="159"/>
  <c r="BH49" i="159" s="1"/>
  <c r="U27" i="159"/>
  <c r="AT27" i="159"/>
  <c r="E49" i="159"/>
  <c r="AT49" i="159" s="1"/>
  <c r="L35" i="58"/>
  <c r="H32" i="163"/>
  <c r="T32" i="163" s="1"/>
  <c r="X32" i="163" s="1"/>
  <c r="AH32" i="163" s="1"/>
  <c r="U31" i="159"/>
  <c r="AE31" i="159" s="1"/>
  <c r="AT31" i="159"/>
  <c r="BT31" i="159" s="1"/>
  <c r="AT28" i="159"/>
  <c r="U28" i="159"/>
  <c r="J7" i="9"/>
  <c r="L11" i="87"/>
  <c r="M11" i="87" s="1"/>
  <c r="K45" i="87" s="1"/>
  <c r="M45" i="87" s="1"/>
  <c r="AB21" i="141"/>
  <c r="AI63" i="163"/>
  <c r="E20" i="9"/>
  <c r="H20" i="9" s="1"/>
  <c r="BT38" i="159"/>
  <c r="U24" i="159"/>
  <c r="AT24" i="159"/>
  <c r="BT24" i="159" s="1"/>
  <c r="Q65" i="87"/>
  <c r="AA26" i="141"/>
  <c r="AC26" i="141" s="1"/>
  <c r="E20" i="197"/>
  <c r="AT32" i="159"/>
  <c r="U32" i="159"/>
  <c r="AE32" i="159" s="1"/>
  <c r="AT25" i="159"/>
  <c r="U25" i="159"/>
  <c r="AT30" i="159"/>
  <c r="U30" i="159"/>
  <c r="D23" i="8"/>
  <c r="H23" i="8" s="1"/>
  <c r="C54" i="83"/>
  <c r="C66" i="83" s="1"/>
  <c r="AB53" i="198"/>
  <c r="AB53" i="159"/>
  <c r="B24" i="95"/>
  <c r="D24" i="95" s="1"/>
  <c r="M24" i="95" s="1"/>
  <c r="D29" i="27"/>
  <c r="AD58" i="58"/>
  <c r="AD59" i="58" s="1"/>
  <c r="F55" i="87"/>
  <c r="F29" i="87"/>
  <c r="AF34" i="198"/>
  <c r="AJ34" i="198"/>
  <c r="T41" i="159"/>
  <c r="AK34" i="198"/>
  <c r="AK34" i="163"/>
  <c r="F55" i="198"/>
  <c r="E55" i="198" s="1"/>
  <c r="U55" i="198" s="1"/>
  <c r="AJ55" i="198" s="1"/>
  <c r="AS49" i="159"/>
  <c r="BE49" i="159" s="1"/>
  <c r="F53" i="159"/>
  <c r="AJ51" i="198"/>
  <c r="W33" i="159"/>
  <c r="BH33" i="159" s="1"/>
  <c r="AJ51" i="163"/>
  <c r="AJ33" i="163"/>
  <c r="AI33" i="163"/>
  <c r="E50" i="163"/>
  <c r="U50" i="163" s="1"/>
  <c r="AI50" i="163" s="1"/>
  <c r="AV44" i="159"/>
  <c r="BH44" i="159" s="1"/>
  <c r="E38" i="159"/>
  <c r="AK38" i="163"/>
  <c r="E37" i="159"/>
  <c r="E58" i="163"/>
  <c r="U58" i="163" s="1"/>
  <c r="AI58" i="163" s="1"/>
  <c r="E50" i="198"/>
  <c r="U50" i="198" s="1"/>
  <c r="AI50" i="198" s="1"/>
  <c r="AK38" i="198"/>
  <c r="AI33" i="198"/>
  <c r="AJ33" i="198"/>
  <c r="U21" i="141"/>
  <c r="D19" i="8"/>
  <c r="H19" i="8" s="1"/>
  <c r="U24" i="141"/>
  <c r="D22" i="8"/>
  <c r="H22" i="8" s="1"/>
  <c r="AF52" i="198"/>
  <c r="T23" i="141"/>
  <c r="V23" i="141" s="1"/>
  <c r="I21" i="8"/>
  <c r="AB53" i="163"/>
  <c r="U61" i="27"/>
  <c r="E49" i="163"/>
  <c r="AV45" i="159"/>
  <c r="BH45" i="159" s="1"/>
  <c r="C53" i="200"/>
  <c r="X65" i="163"/>
  <c r="AC65" i="163" s="1"/>
  <c r="AL65" i="163" s="1"/>
  <c r="AF65" i="163"/>
  <c r="AG65" i="163" s="1"/>
  <c r="AF32" i="163"/>
  <c r="AT63" i="159"/>
  <c r="U63" i="159"/>
  <c r="G66" i="163"/>
  <c r="O67" i="58"/>
  <c r="O48" i="58"/>
  <c r="AV58" i="159"/>
  <c r="BH58" i="159" s="1"/>
  <c r="T51" i="159"/>
  <c r="AF42" i="163"/>
  <c r="E39" i="163"/>
  <c r="AT50" i="159"/>
  <c r="U50" i="159"/>
  <c r="O64" i="58"/>
  <c r="I30" i="163"/>
  <c r="V30" i="163" s="1"/>
  <c r="X30" i="163" s="1"/>
  <c r="AH30" i="163" s="1"/>
  <c r="H23" i="198"/>
  <c r="AC42" i="163"/>
  <c r="O36" i="58"/>
  <c r="AJ30" i="163"/>
  <c r="AY10" i="159"/>
  <c r="BS10" i="159" s="1"/>
  <c r="E17" i="277"/>
  <c r="G17" i="277" s="1"/>
  <c r="E8" i="277"/>
  <c r="G8" i="277" s="1"/>
  <c r="C12" i="277"/>
  <c r="G45" i="141"/>
  <c r="E38" i="163"/>
  <c r="I28" i="198"/>
  <c r="V28" i="198" s="1"/>
  <c r="I28" i="163"/>
  <c r="V28" i="163" s="1"/>
  <c r="X28" i="163" s="1"/>
  <c r="AV27" i="159"/>
  <c r="BH27" i="159" s="1"/>
  <c r="I27" i="159"/>
  <c r="AU23" i="159"/>
  <c r="V23" i="159"/>
  <c r="H23" i="163"/>
  <c r="V18" i="163"/>
  <c r="H22" i="159"/>
  <c r="V17" i="159"/>
  <c r="X17" i="159" s="1"/>
  <c r="AU17" i="159"/>
  <c r="V9" i="159"/>
  <c r="P29" i="141"/>
  <c r="R29" i="141" s="1"/>
  <c r="Q53" i="141"/>
  <c r="N19" i="141" s="1"/>
  <c r="B9" i="101"/>
  <c r="F45" i="3"/>
  <c r="AB73" i="27"/>
  <c r="U73" i="27"/>
  <c r="S36" i="173"/>
  <c r="F34" i="321"/>
  <c r="F30" i="321"/>
  <c r="E40" i="159"/>
  <c r="E41" i="163"/>
  <c r="K31" i="307"/>
  <c r="T66" i="198"/>
  <c r="AS50" i="159"/>
  <c r="BE50" i="159" s="1"/>
  <c r="AV65" i="159"/>
  <c r="BH65" i="159" s="1"/>
  <c r="AV37" i="159"/>
  <c r="BH37" i="159" s="1"/>
  <c r="AS33" i="159"/>
  <c r="BE33" i="159" s="1"/>
  <c r="AS32" i="159"/>
  <c r="BE32" i="159" s="1"/>
  <c r="X39" i="163"/>
  <c r="R39" i="163" s="1"/>
  <c r="AS44" i="159"/>
  <c r="BE44" i="159" s="1"/>
  <c r="E48" i="159"/>
  <c r="E48" i="163"/>
  <c r="E47" i="159"/>
  <c r="E44" i="159"/>
  <c r="E45" i="163"/>
  <c r="E31" i="277"/>
  <c r="G31" i="277" s="1"/>
  <c r="B2" i="320"/>
  <c r="B3" i="320" s="1"/>
  <c r="H21" i="156"/>
  <c r="H15" i="156"/>
  <c r="H14" i="156"/>
  <c r="AF29" i="163"/>
  <c r="AF25" i="163"/>
  <c r="E62" i="163"/>
  <c r="U62" i="163" s="1"/>
  <c r="E62" i="159"/>
  <c r="AF24" i="198"/>
  <c r="AF32" i="198"/>
  <c r="AF40" i="198"/>
  <c r="E43" i="198"/>
  <c r="U43" i="198" s="1"/>
  <c r="H11" i="8"/>
  <c r="AA29" i="141"/>
  <c r="AC29" i="141" s="1"/>
  <c r="H28" i="156"/>
  <c r="H11" i="156"/>
  <c r="H17" i="156"/>
  <c r="H27" i="156"/>
  <c r="H12" i="156"/>
  <c r="AC24" i="141"/>
  <c r="G9" i="3"/>
  <c r="P58" i="3" s="1"/>
  <c r="B26" i="95"/>
  <c r="D26" i="95" s="1"/>
  <c r="M26" i="95" s="1"/>
  <c r="F30" i="3"/>
  <c r="F48" i="3" s="1"/>
  <c r="B45" i="141"/>
  <c r="AE12" i="141"/>
  <c r="AG12" i="141" s="1"/>
  <c r="AJ12" i="141" s="1"/>
  <c r="D21" i="197"/>
  <c r="T39" i="141"/>
  <c r="V39" i="141" s="1"/>
  <c r="AI39" i="141" s="1"/>
  <c r="I12" i="8"/>
  <c r="K23" i="307"/>
  <c r="G37" i="307"/>
  <c r="E37" i="307"/>
  <c r="I37" i="307"/>
  <c r="AB97" i="27"/>
  <c r="AB72" i="27"/>
  <c r="AB67" i="27"/>
  <c r="D108" i="140"/>
  <c r="C32" i="274"/>
  <c r="M28" i="87"/>
  <c r="K61" i="87" s="1"/>
  <c r="M61" i="87" s="1"/>
  <c r="C115" i="140"/>
  <c r="P22" i="87"/>
  <c r="M25" i="87"/>
  <c r="K58" i="87" s="1"/>
  <c r="M58" i="87" s="1"/>
  <c r="H9" i="9"/>
  <c r="E12" i="97"/>
  <c r="E5" i="96" s="1"/>
  <c r="G13" i="173"/>
  <c r="B119" i="140"/>
  <c r="G13" i="8"/>
  <c r="U28" i="141"/>
  <c r="U23" i="141"/>
  <c r="C9" i="277"/>
  <c r="G24" i="198"/>
  <c r="AF51" i="163"/>
  <c r="AI51" i="163"/>
  <c r="X51" i="163"/>
  <c r="AH51" i="163" s="1"/>
  <c r="X11" i="163"/>
  <c r="AC11" i="163" s="1"/>
  <c r="AT51" i="159"/>
  <c r="AW51" i="159" s="1"/>
  <c r="U51" i="159"/>
  <c r="U26" i="159"/>
  <c r="BF26" i="159" s="1"/>
  <c r="I25" i="163"/>
  <c r="V25" i="163" s="1"/>
  <c r="X25" i="163" s="1"/>
  <c r="I27" i="198"/>
  <c r="V27" i="198" s="1"/>
  <c r="AF28" i="198"/>
  <c r="BH29" i="159"/>
  <c r="I30" i="198"/>
  <c r="V30" i="198" s="1"/>
  <c r="I31" i="198"/>
  <c r="V31" i="198" s="1"/>
  <c r="W32" i="159"/>
  <c r="AJ38" i="198"/>
  <c r="I40" i="163"/>
  <c r="AS48" i="159"/>
  <c r="E56" i="163"/>
  <c r="U56" i="163" s="1"/>
  <c r="AS56" i="159"/>
  <c r="BE56" i="159" s="1"/>
  <c r="H9" i="156"/>
  <c r="H62" i="159"/>
  <c r="H66" i="159" s="1"/>
  <c r="Q70" i="58"/>
  <c r="H62" i="163"/>
  <c r="T50" i="27"/>
  <c r="D76" i="83"/>
  <c r="D30" i="197"/>
  <c r="I11" i="13"/>
  <c r="N85" i="58"/>
  <c r="H42" i="159"/>
  <c r="H44" i="163"/>
  <c r="T44" i="163" s="1"/>
  <c r="AK44" i="163" s="1"/>
  <c r="H37" i="198"/>
  <c r="T37" i="198" s="1"/>
  <c r="AI37" i="198" s="1"/>
  <c r="I57" i="58"/>
  <c r="I8" i="277"/>
  <c r="T27" i="58"/>
  <c r="D24" i="163"/>
  <c r="U24" i="163" s="1"/>
  <c r="H11" i="198"/>
  <c r="AF28" i="163"/>
  <c r="AV62" i="159"/>
  <c r="W62" i="159"/>
  <c r="D38" i="58"/>
  <c r="D72" i="58" s="1"/>
  <c r="C17" i="373" s="1"/>
  <c r="C18" i="373" s="1"/>
  <c r="AA23" i="198"/>
  <c r="AA35" i="198" s="1"/>
  <c r="E22" i="277"/>
  <c r="G22" i="277" s="1"/>
  <c r="X64" i="198"/>
  <c r="AH64" i="198" s="1"/>
  <c r="AF64" i="198"/>
  <c r="AJ42" i="163"/>
  <c r="AV39" i="159"/>
  <c r="W39" i="159"/>
  <c r="U72" i="27"/>
  <c r="U65" i="27"/>
  <c r="U67" i="27" s="1"/>
  <c r="H40" i="3"/>
  <c r="I14" i="3" s="1"/>
  <c r="I40" i="3" s="1"/>
  <c r="J14" i="3" s="1"/>
  <c r="J40" i="3" s="1"/>
  <c r="K14" i="3" s="1"/>
  <c r="K40" i="3" s="1"/>
  <c r="L14" i="3" s="1"/>
  <c r="L40" i="3" s="1"/>
  <c r="O53" i="58"/>
  <c r="C31" i="277"/>
  <c r="C26" i="277"/>
  <c r="O47" i="58"/>
  <c r="E63" i="198"/>
  <c r="U63" i="198" s="1"/>
  <c r="D66" i="198"/>
  <c r="E40" i="163"/>
  <c r="AF37" i="163"/>
  <c r="E37" i="163"/>
  <c r="X34" i="163"/>
  <c r="AH34" i="163" s="1"/>
  <c r="AJ34" i="163"/>
  <c r="X33" i="163"/>
  <c r="AH33" i="163" s="1"/>
  <c r="AF30" i="163"/>
  <c r="E45" i="159"/>
  <c r="AV28" i="159"/>
  <c r="BH28" i="159" s="1"/>
  <c r="U19" i="27"/>
  <c r="E15" i="173"/>
  <c r="F15" i="173" s="1"/>
  <c r="AA35" i="163"/>
  <c r="AA67" i="163" s="1"/>
  <c r="E36" i="277"/>
  <c r="G36" i="277" s="1"/>
  <c r="K70" i="58"/>
  <c r="X51" i="198"/>
  <c r="AH51" i="198" s="1"/>
  <c r="I38" i="163"/>
  <c r="W38" i="163"/>
  <c r="X38" i="163" s="1"/>
  <c r="G53" i="163"/>
  <c r="G23" i="163"/>
  <c r="U65" i="159"/>
  <c r="X65" i="159" s="1"/>
  <c r="AC65" i="159" s="1"/>
  <c r="BC65" i="159" s="1"/>
  <c r="AT65" i="159"/>
  <c r="E36" i="159"/>
  <c r="AZ30" i="159"/>
  <c r="BA30" i="159" s="1"/>
  <c r="AB30" i="159"/>
  <c r="U80" i="27"/>
  <c r="AJ50" i="27"/>
  <c r="AJ53" i="27" s="1"/>
  <c r="AJ61" i="27"/>
  <c r="M32" i="95"/>
  <c r="D32" i="197"/>
  <c r="D35" i="197" s="1"/>
  <c r="H11" i="13"/>
  <c r="R50" i="27"/>
  <c r="N87" i="58"/>
  <c r="N90" i="58" s="1"/>
  <c r="X33" i="198"/>
  <c r="AH33" i="198" s="1"/>
  <c r="G22" i="159"/>
  <c r="AF63" i="163"/>
  <c r="AF39" i="163"/>
  <c r="AT33" i="159"/>
  <c r="U33" i="159"/>
  <c r="AG33" i="159" s="1"/>
  <c r="X40" i="163"/>
  <c r="E20" i="58"/>
  <c r="E38" i="58" s="1"/>
  <c r="E72" i="58" s="1"/>
  <c r="AB35" i="163"/>
  <c r="D23" i="159"/>
  <c r="T22" i="141"/>
  <c r="V22" i="141" s="1"/>
  <c r="I16" i="8"/>
  <c r="E34" i="197"/>
  <c r="H44" i="197"/>
  <c r="F6" i="204"/>
  <c r="F17" i="204"/>
  <c r="I44" i="277"/>
  <c r="AF44" i="163"/>
  <c r="T47" i="58"/>
  <c r="I26" i="277"/>
  <c r="O30" i="58"/>
  <c r="C11" i="277"/>
  <c r="W60" i="159"/>
  <c r="AV60" i="159"/>
  <c r="AZ53" i="159"/>
  <c r="BA44" i="159"/>
  <c r="BA53" i="159" s="1"/>
  <c r="W41" i="159"/>
  <c r="AV41" i="159"/>
  <c r="AW41" i="159" s="1"/>
  <c r="BB41" i="159" s="1"/>
  <c r="W30" i="159"/>
  <c r="AV30" i="159"/>
  <c r="I50" i="277"/>
  <c r="E7" i="157"/>
  <c r="E16" i="157" s="1"/>
  <c r="F7" i="157" s="1"/>
  <c r="F16" i="157" s="1"/>
  <c r="G7" i="157" s="1"/>
  <c r="G16" i="157" s="1"/>
  <c r="H7" i="157" s="1"/>
  <c r="H16" i="157" s="1"/>
  <c r="I7" i="157" s="1"/>
  <c r="I16" i="157" s="1"/>
  <c r="J7" i="157" s="1"/>
  <c r="J16" i="157" s="1"/>
  <c r="K7" i="157" s="1"/>
  <c r="K16" i="157" s="1"/>
  <c r="L7" i="157" s="1"/>
  <c r="L16" i="157" s="1"/>
  <c r="M7" i="157" s="1"/>
  <c r="M16" i="157" s="1"/>
  <c r="N7" i="157" s="1"/>
  <c r="N16" i="157" s="1"/>
  <c r="F29" i="156"/>
  <c r="H8" i="156"/>
  <c r="C21" i="197"/>
  <c r="U39" i="141"/>
  <c r="G26" i="3" s="1"/>
  <c r="U20" i="141"/>
  <c r="V18" i="141"/>
  <c r="AI18" i="141" s="1"/>
  <c r="C103" i="140"/>
  <c r="D42" i="173"/>
  <c r="X63" i="163"/>
  <c r="AH63" i="163" s="1"/>
  <c r="I29" i="163"/>
  <c r="H29" i="159"/>
  <c r="U27" i="141"/>
  <c r="D25" i="8"/>
  <c r="H25" i="8" s="1"/>
  <c r="I8" i="8"/>
  <c r="T11" i="141"/>
  <c r="C43" i="140"/>
  <c r="N14" i="87"/>
  <c r="D40" i="140"/>
  <c r="C41" i="140"/>
  <c r="N16" i="87"/>
  <c r="F59" i="163"/>
  <c r="F59" i="159"/>
  <c r="D53" i="163"/>
  <c r="W40" i="159"/>
  <c r="AV40" i="159"/>
  <c r="AA16" i="159"/>
  <c r="AA34" i="159" s="1"/>
  <c r="AA67" i="159" s="1"/>
  <c r="AZ9" i="159"/>
  <c r="C30" i="274"/>
  <c r="F13" i="173"/>
  <c r="E13" i="173"/>
  <c r="M14" i="87"/>
  <c r="L16" i="87"/>
  <c r="M16" i="87" s="1"/>
  <c r="D34" i="97"/>
  <c r="E34" i="97" s="1"/>
  <c r="T38" i="141"/>
  <c r="D20" i="197"/>
  <c r="I11" i="8"/>
  <c r="T37" i="141"/>
  <c r="D19" i="197"/>
  <c r="P29" i="87"/>
  <c r="C118" i="140"/>
  <c r="O49" i="58"/>
  <c r="G44" i="198"/>
  <c r="W44" i="198" s="1"/>
  <c r="I25" i="198"/>
  <c r="V25" i="198" s="1"/>
  <c r="H17" i="163"/>
  <c r="I30" i="159"/>
  <c r="AU30" i="159" s="1"/>
  <c r="AZ23" i="159"/>
  <c r="BA23" i="159" s="1"/>
  <c r="AS16" i="159"/>
  <c r="H10" i="159"/>
  <c r="H16" i="159" s="1"/>
  <c r="E15" i="274"/>
  <c r="F29" i="27"/>
  <c r="D48" i="83"/>
  <c r="H13" i="156"/>
  <c r="P57" i="58"/>
  <c r="P72" i="58" s="1"/>
  <c r="E17" i="373" s="1"/>
  <c r="E18" i="373" s="1"/>
  <c r="G42" i="159"/>
  <c r="G53" i="159" s="1"/>
  <c r="O46" i="58"/>
  <c r="C25" i="277"/>
  <c r="H36" i="159"/>
  <c r="H37" i="163"/>
  <c r="T37" i="163" s="1"/>
  <c r="AI37" i="163" s="1"/>
  <c r="H25" i="159"/>
  <c r="H26" i="163"/>
  <c r="G9" i="159"/>
  <c r="G10" i="163"/>
  <c r="O35" i="58"/>
  <c r="E33" i="277"/>
  <c r="G33" i="277" s="1"/>
  <c r="T59" i="159"/>
  <c r="AS59" i="159"/>
  <c r="AS43" i="159"/>
  <c r="T43" i="159"/>
  <c r="AS40" i="159"/>
  <c r="T40" i="159"/>
  <c r="C62" i="27"/>
  <c r="D62" i="27" s="1"/>
  <c r="F60" i="27"/>
  <c r="C61" i="27" s="1"/>
  <c r="E13" i="97"/>
  <c r="E11" i="96" s="1"/>
  <c r="C105" i="140"/>
  <c r="C108" i="140" s="1"/>
  <c r="C40" i="101"/>
  <c r="F6" i="278"/>
  <c r="AG16" i="141"/>
  <c r="AJ16" i="141" s="1"/>
  <c r="F15" i="141"/>
  <c r="C40" i="141"/>
  <c r="C45" i="141" s="1"/>
  <c r="R12" i="141"/>
  <c r="T63" i="58"/>
  <c r="O54" i="58"/>
  <c r="T49" i="58"/>
  <c r="O44" i="58"/>
  <c r="Q20" i="58"/>
  <c r="Q38" i="58" s="1"/>
  <c r="AB10" i="198"/>
  <c r="AB17" i="198" s="1"/>
  <c r="AB35" i="198" s="1"/>
  <c r="I27" i="163"/>
  <c r="G66" i="159"/>
  <c r="T45" i="159"/>
  <c r="BE45" i="159" s="1"/>
  <c r="AS31" i="159"/>
  <c r="BA17" i="159"/>
  <c r="BA22" i="159" s="1"/>
  <c r="T10" i="159"/>
  <c r="AB9" i="159"/>
  <c r="AB16" i="159" s="1"/>
  <c r="I10" i="8"/>
  <c r="I37" i="277"/>
  <c r="G48" i="83"/>
  <c r="G55" i="83" s="1"/>
  <c r="AC23" i="141"/>
  <c r="AB80" i="27"/>
  <c r="AA19" i="27"/>
  <c r="N26" i="141"/>
  <c r="M26" i="141"/>
  <c r="O26" i="141"/>
  <c r="O50" i="141"/>
  <c r="N50" i="141"/>
  <c r="E43" i="159"/>
  <c r="I28" i="159"/>
  <c r="V28" i="159" s="1"/>
  <c r="I26" i="159"/>
  <c r="AU26" i="159" s="1"/>
  <c r="AB61" i="27"/>
  <c r="AA32" i="27" s="1"/>
  <c r="AA22" i="141"/>
  <c r="AC22" i="141" s="1"/>
  <c r="B14" i="211"/>
  <c r="C10" i="23"/>
  <c r="D7" i="23" s="1"/>
  <c r="Q17" i="141"/>
  <c r="AI25" i="141"/>
  <c r="V16" i="141"/>
  <c r="AI16" i="141" s="1"/>
  <c r="C88" i="140"/>
  <c r="N25" i="87"/>
  <c r="N26" i="87"/>
  <c r="P62" i="87"/>
  <c r="D118" i="140"/>
  <c r="AD17" i="141" s="1"/>
  <c r="C22" i="140"/>
  <c r="C24" i="140" s="1"/>
  <c r="O11" i="87"/>
  <c r="N11" i="87"/>
  <c r="E7" i="9"/>
  <c r="F67" i="3"/>
  <c r="C30" i="95"/>
  <c r="X24" i="198"/>
  <c r="AC24" i="198" s="1"/>
  <c r="P36" i="8"/>
  <c r="X17" i="141"/>
  <c r="Y17" i="141"/>
  <c r="AG38" i="141"/>
  <c r="AJ38" i="141" s="1"/>
  <c r="C20" i="197"/>
  <c r="U38" i="141"/>
  <c r="C19" i="197"/>
  <c r="U37" i="141"/>
  <c r="C8" i="197"/>
  <c r="U19" i="141"/>
  <c r="AC14" i="141"/>
  <c r="AE11" i="141"/>
  <c r="C12" i="200"/>
  <c r="C14" i="200"/>
  <c r="H15" i="8"/>
  <c r="K36" i="8"/>
  <c r="G29" i="27"/>
  <c r="K40" i="141"/>
  <c r="K45" i="141" s="1"/>
  <c r="R53" i="141"/>
  <c r="E21" i="197"/>
  <c r="AE39" i="141"/>
  <c r="E19" i="197"/>
  <c r="AE37" i="141"/>
  <c r="U25" i="141"/>
  <c r="AG18" i="141"/>
  <c r="AJ18" i="141" s="1"/>
  <c r="C77" i="140"/>
  <c r="P28" i="87" s="1"/>
  <c r="C75" i="140"/>
  <c r="O29" i="87" s="1"/>
  <c r="C29" i="27"/>
  <c r="H18" i="156"/>
  <c r="AA25" i="141"/>
  <c r="AC25" i="141" s="1"/>
  <c r="R24" i="141"/>
  <c r="P21" i="141"/>
  <c r="R21" i="141" s="1"/>
  <c r="Z17" i="141"/>
  <c r="F286" i="140"/>
  <c r="C14" i="96"/>
  <c r="C18" i="96" s="1"/>
  <c r="N28" i="141"/>
  <c r="P28" i="141" s="1"/>
  <c r="R28" i="141" s="1"/>
  <c r="N17" i="141"/>
  <c r="P17" i="141" s="1"/>
  <c r="C86" i="140"/>
  <c r="D83" i="140" s="1"/>
  <c r="E21" i="204"/>
  <c r="C42" i="222"/>
  <c r="E42" i="222" s="1"/>
  <c r="H25" i="156"/>
  <c r="H20" i="156"/>
  <c r="K24" i="95"/>
  <c r="H74" i="95" s="1"/>
  <c r="G11" i="277"/>
  <c r="X65" i="198"/>
  <c r="AF65" i="198"/>
  <c r="AG65" i="198" s="1"/>
  <c r="T17" i="198"/>
  <c r="X11" i="198"/>
  <c r="G23" i="198"/>
  <c r="AF39" i="198"/>
  <c r="AF25" i="198"/>
  <c r="AF52" i="163"/>
  <c r="X52" i="163"/>
  <c r="AH52" i="163" s="1"/>
  <c r="W35" i="198"/>
  <c r="X34" i="198"/>
  <c r="AH34" i="198" s="1"/>
  <c r="AF64" i="163"/>
  <c r="X64" i="163"/>
  <c r="AH64" i="163" s="1"/>
  <c r="W66" i="163"/>
  <c r="W66" i="198"/>
  <c r="I40" i="198"/>
  <c r="I39" i="163"/>
  <c r="I31" i="163"/>
  <c r="V31" i="163" s="1"/>
  <c r="W31" i="163"/>
  <c r="W35" i="163" s="1"/>
  <c r="AS60" i="159"/>
  <c r="T60" i="159"/>
  <c r="E39" i="159"/>
  <c r="AV36" i="159"/>
  <c r="W36" i="159"/>
  <c r="M19" i="87"/>
  <c r="K51" i="87"/>
  <c r="O51" i="58"/>
  <c r="O43" i="58"/>
  <c r="C19" i="277"/>
  <c r="C16" i="277"/>
  <c r="O34" i="58"/>
  <c r="O33" i="58"/>
  <c r="O28" i="58"/>
  <c r="H66" i="198"/>
  <c r="I29" i="198"/>
  <c r="V29" i="198" s="1"/>
  <c r="I26" i="198"/>
  <c r="V26" i="198" s="1"/>
  <c r="E60" i="163"/>
  <c r="U60" i="163" s="1"/>
  <c r="AV47" i="159"/>
  <c r="C13" i="8"/>
  <c r="X38" i="198"/>
  <c r="AF29" i="198"/>
  <c r="AF26" i="198"/>
  <c r="W37" i="163"/>
  <c r="E58" i="159"/>
  <c r="T37" i="159"/>
  <c r="I37" i="159"/>
  <c r="H8" i="8"/>
  <c r="P58" i="87"/>
  <c r="P59" i="87"/>
  <c r="D117" i="140"/>
  <c r="E60" i="198"/>
  <c r="U60" i="198" s="1"/>
  <c r="AI51" i="198"/>
  <c r="AF51" i="198"/>
  <c r="E48" i="198"/>
  <c r="U48" i="198" s="1"/>
  <c r="I39" i="198"/>
  <c r="AF31" i="163"/>
  <c r="AS64" i="159"/>
  <c r="AG64" i="159"/>
  <c r="AS63" i="159"/>
  <c r="T63" i="159"/>
  <c r="E60" i="159"/>
  <c r="I24" i="159"/>
  <c r="AU24" i="159" s="1"/>
  <c r="AV24" i="159"/>
  <c r="BH24" i="159" s="1"/>
  <c r="AV23" i="159"/>
  <c r="O66" i="58"/>
  <c r="O55" i="58"/>
  <c r="C13" i="277"/>
  <c r="E62" i="198"/>
  <c r="U62" i="198" s="1"/>
  <c r="E59" i="198"/>
  <c r="U59" i="198" s="1"/>
  <c r="E49" i="198"/>
  <c r="U49" i="198" s="1"/>
  <c r="I38" i="198"/>
  <c r="E44" i="198"/>
  <c r="E42" i="198"/>
  <c r="U42" i="198" s="1"/>
  <c r="AK42" i="198" s="1"/>
  <c r="AA42" i="198"/>
  <c r="AA53" i="198" s="1"/>
  <c r="AF30" i="198"/>
  <c r="AF27" i="198"/>
  <c r="AF26" i="163"/>
  <c r="AS58" i="159"/>
  <c r="T58" i="159"/>
  <c r="T39" i="159"/>
  <c r="I39" i="159"/>
  <c r="T38" i="159"/>
  <c r="I38" i="159"/>
  <c r="P55" i="87"/>
  <c r="D115" i="140"/>
  <c r="E56" i="198"/>
  <c r="U56" i="198" s="1"/>
  <c r="G66" i="198"/>
  <c r="E45" i="198"/>
  <c r="U45" i="198" s="1"/>
  <c r="AB34" i="159" l="1"/>
  <c r="C117" i="140"/>
  <c r="J49" i="173"/>
  <c r="J6" i="173" s="1"/>
  <c r="G24" i="173"/>
  <c r="I14" i="173"/>
  <c r="I49" i="173"/>
  <c r="I6" i="173" s="1"/>
  <c r="G17" i="173"/>
  <c r="G16" i="3"/>
  <c r="R63" i="3"/>
  <c r="S63" i="3" s="1"/>
  <c r="H63" i="3"/>
  <c r="K32" i="95"/>
  <c r="H82" i="95" s="1"/>
  <c r="L27" i="95"/>
  <c r="G61" i="3"/>
  <c r="I30" i="95" s="1"/>
  <c r="K30" i="95" s="1"/>
  <c r="H80" i="95" s="1"/>
  <c r="P61" i="3"/>
  <c r="P65" i="3" s="1"/>
  <c r="I49" i="370"/>
  <c r="G16" i="173"/>
  <c r="B15" i="98"/>
  <c r="C10" i="197"/>
  <c r="G58" i="3"/>
  <c r="I26" i="95" s="1"/>
  <c r="K26" i="95" s="1"/>
  <c r="H76" i="95" s="1"/>
  <c r="H10" i="3"/>
  <c r="B77" i="95"/>
  <c r="D77" i="95" s="1"/>
  <c r="G12" i="319"/>
  <c r="K33" i="307"/>
  <c r="D18" i="8"/>
  <c r="H18" i="8" s="1"/>
  <c r="K14" i="173"/>
  <c r="H14" i="173"/>
  <c r="X28" i="27"/>
  <c r="Y28" i="27" s="1"/>
  <c r="X24" i="27"/>
  <c r="Y24" i="27" s="1"/>
  <c r="X30" i="27"/>
  <c r="Y30" i="27" s="1"/>
  <c r="X25" i="27"/>
  <c r="Y25" i="27" s="1"/>
  <c r="X26" i="27"/>
  <c r="Y26" i="27" s="1"/>
  <c r="X22" i="27"/>
  <c r="Y22" i="27" s="1"/>
  <c r="X21" i="27"/>
  <c r="Y21" i="27" s="1"/>
  <c r="G11" i="319"/>
  <c r="K25" i="307"/>
  <c r="N19" i="87"/>
  <c r="E49" i="140"/>
  <c r="AT62" i="159"/>
  <c r="U62" i="159"/>
  <c r="U60" i="159"/>
  <c r="AE60" i="159" s="1"/>
  <c r="AT60" i="159"/>
  <c r="AW60" i="159" s="1"/>
  <c r="AC19" i="27"/>
  <c r="X7" i="27"/>
  <c r="BE41" i="159"/>
  <c r="X41" i="159"/>
  <c r="AG41" i="159"/>
  <c r="C15" i="97"/>
  <c r="C20" i="97" s="1"/>
  <c r="E30" i="197"/>
  <c r="K20" i="9"/>
  <c r="D19" i="97"/>
  <c r="E19" i="97" s="1"/>
  <c r="E9" i="101"/>
  <c r="S85" i="58"/>
  <c r="R85" i="58" s="1"/>
  <c r="AD38" i="27"/>
  <c r="AD41" i="27" s="1"/>
  <c r="Z41" i="27"/>
  <c r="C7" i="197"/>
  <c r="D20" i="8"/>
  <c r="H20" i="8" s="1"/>
  <c r="M11" i="13"/>
  <c r="H53" i="159"/>
  <c r="D84" i="83"/>
  <c r="T57" i="58"/>
  <c r="H53" i="198"/>
  <c r="T35" i="163"/>
  <c r="J22" i="141"/>
  <c r="L22" i="141" s="1"/>
  <c r="U22" i="141" s="1"/>
  <c r="D16" i="8"/>
  <c r="H16" i="8" s="1"/>
  <c r="C9" i="197"/>
  <c r="X15" i="141"/>
  <c r="H15" i="141"/>
  <c r="J15" i="141" s="1"/>
  <c r="L15" i="141" s="1"/>
  <c r="D17" i="8"/>
  <c r="H17" i="8" s="1"/>
  <c r="D33" i="27"/>
  <c r="C68" i="140"/>
  <c r="G36" i="8"/>
  <c r="AB67" i="163"/>
  <c r="O19" i="141"/>
  <c r="M19" i="141"/>
  <c r="P19" i="141" s="1"/>
  <c r="R19" i="141" s="1"/>
  <c r="Q60" i="141"/>
  <c r="C46" i="200"/>
  <c r="F46" i="200" s="1"/>
  <c r="F41" i="200"/>
  <c r="C36" i="8"/>
  <c r="H22" i="9"/>
  <c r="K22" i="9" s="1"/>
  <c r="AC51" i="198"/>
  <c r="Z51" i="198" s="1"/>
  <c r="AG51" i="198" s="1"/>
  <c r="AJ60" i="163"/>
  <c r="AT43" i="159"/>
  <c r="BT43" i="159" s="1"/>
  <c r="U43" i="159"/>
  <c r="AF43" i="159" s="1"/>
  <c r="AB74" i="27"/>
  <c r="AB76" i="27" s="1"/>
  <c r="U49" i="163"/>
  <c r="AF49" i="163" s="1"/>
  <c r="H8" i="319"/>
  <c r="U45" i="163"/>
  <c r="AK45" i="163" s="1"/>
  <c r="U41" i="163"/>
  <c r="AJ41" i="163" s="1"/>
  <c r="AJ58" i="163"/>
  <c r="H7" i="319"/>
  <c r="AT44" i="159"/>
  <c r="AW44" i="159" s="1"/>
  <c r="U44" i="159"/>
  <c r="AT40" i="159"/>
  <c r="AW40" i="159" s="1"/>
  <c r="U40" i="159"/>
  <c r="AG40" i="159" s="1"/>
  <c r="P54" i="87"/>
  <c r="P56" i="87" s="1"/>
  <c r="C22" i="23"/>
  <c r="C32" i="23" s="1"/>
  <c r="C35" i="23" s="1"/>
  <c r="U47" i="159"/>
  <c r="AT47" i="159"/>
  <c r="AW47" i="159" s="1"/>
  <c r="BT62" i="159"/>
  <c r="J38" i="156"/>
  <c r="AT45" i="159"/>
  <c r="AW45" i="159" s="1"/>
  <c r="U45" i="159"/>
  <c r="AG45" i="159" s="1"/>
  <c r="U48" i="163"/>
  <c r="AK48" i="163" s="1"/>
  <c r="AB32" i="27"/>
  <c r="AT48" i="159"/>
  <c r="BT48" i="159" s="1"/>
  <c r="U48" i="159"/>
  <c r="AG32" i="159"/>
  <c r="BP32" i="159" s="1"/>
  <c r="V22" i="159"/>
  <c r="AK63" i="198"/>
  <c r="AJ63" i="198"/>
  <c r="AK56" i="198"/>
  <c r="AJ56" i="198"/>
  <c r="AK62" i="198"/>
  <c r="AK56" i="163"/>
  <c r="AE58" i="58"/>
  <c r="AE59" i="58" s="1"/>
  <c r="AE29" i="159"/>
  <c r="AE34" i="159" s="1"/>
  <c r="AG29" i="159"/>
  <c r="BP29" i="159" s="1"/>
  <c r="AB67" i="198"/>
  <c r="E14" i="96"/>
  <c r="AF32" i="159"/>
  <c r="BO32" i="159" s="1"/>
  <c r="C31" i="140"/>
  <c r="AK58" i="163"/>
  <c r="BF24" i="159"/>
  <c r="AF63" i="159"/>
  <c r="BO63" i="159" s="1"/>
  <c r="AG63" i="159"/>
  <c r="BP63" i="159" s="1"/>
  <c r="AE37" i="159"/>
  <c r="BN37" i="159" s="1"/>
  <c r="AF31" i="159"/>
  <c r="BO31" i="159" s="1"/>
  <c r="AG39" i="159"/>
  <c r="BP39" i="159" s="1"/>
  <c r="AF39" i="159"/>
  <c r="BO39" i="159" s="1"/>
  <c r="T20" i="141"/>
  <c r="V20" i="141" s="1"/>
  <c r="AI20" i="141" s="1"/>
  <c r="AW31" i="159"/>
  <c r="BB31" i="159" s="1"/>
  <c r="AG31" i="159"/>
  <c r="BP31" i="159" s="1"/>
  <c r="AF38" i="159"/>
  <c r="BO38" i="159" s="1"/>
  <c r="AG38" i="159"/>
  <c r="BP38" i="159" s="1"/>
  <c r="AK32" i="163"/>
  <c r="AK35" i="163" s="1"/>
  <c r="AJ32" i="163"/>
  <c r="AJ35" i="163" s="1"/>
  <c r="AI32" i="163"/>
  <c r="AI35" i="163" s="1"/>
  <c r="AD26" i="141"/>
  <c r="B20" i="101"/>
  <c r="E20" i="101" s="1"/>
  <c r="R52" i="198"/>
  <c r="AC52" i="198"/>
  <c r="Z52" i="198" s="1"/>
  <c r="AG52" i="198" s="1"/>
  <c r="U49" i="159"/>
  <c r="AE49" i="159" s="1"/>
  <c r="BN49" i="159" s="1"/>
  <c r="Q35" i="141"/>
  <c r="Q40" i="141" s="1"/>
  <c r="T14" i="141"/>
  <c r="F35" i="141"/>
  <c r="F40" i="141" s="1"/>
  <c r="F45" i="141" s="1"/>
  <c r="O20" i="8"/>
  <c r="C10" i="140"/>
  <c r="D7" i="140" s="1"/>
  <c r="BF25" i="159"/>
  <c r="C16" i="7"/>
  <c r="BF38" i="159"/>
  <c r="BF64" i="159"/>
  <c r="W53" i="198"/>
  <c r="W67" i="198" s="1"/>
  <c r="G53" i="198"/>
  <c r="AW50" i="159"/>
  <c r="AC21" i="141"/>
  <c r="AE21" i="141" s="1"/>
  <c r="AG21" i="141" s="1"/>
  <c r="AJ21" i="141" s="1"/>
  <c r="E14" i="9"/>
  <c r="H14" i="9" s="1"/>
  <c r="K14" i="9" s="1"/>
  <c r="AB67" i="159"/>
  <c r="P23" i="87"/>
  <c r="BE59" i="159"/>
  <c r="T29" i="141"/>
  <c r="V29" i="141" s="1"/>
  <c r="L23" i="8" s="1"/>
  <c r="U74" i="27"/>
  <c r="U76" i="27" s="1"/>
  <c r="V7" i="27" s="1"/>
  <c r="N10" i="307"/>
  <c r="I7" i="319" s="1"/>
  <c r="B12" i="320" s="1"/>
  <c r="X51" i="159"/>
  <c r="AD51" i="159" s="1"/>
  <c r="BM51" i="159" s="1"/>
  <c r="AI56" i="198"/>
  <c r="AI63" i="198"/>
  <c r="X50" i="159"/>
  <c r="AC50" i="159" s="1"/>
  <c r="AG50" i="159"/>
  <c r="L38" i="58"/>
  <c r="L72" i="58" s="1"/>
  <c r="H32" i="198"/>
  <c r="AT23" i="159"/>
  <c r="AW23" i="159" s="1"/>
  <c r="U23" i="159"/>
  <c r="X23" i="159" s="1"/>
  <c r="N18" i="8"/>
  <c r="R65" i="163"/>
  <c r="S26" i="141"/>
  <c r="J18" i="8" s="1"/>
  <c r="X30" i="198"/>
  <c r="AK55" i="198"/>
  <c r="AI55" i="198"/>
  <c r="BF36" i="159"/>
  <c r="X27" i="198"/>
  <c r="R27" i="198" s="1"/>
  <c r="X28" i="198"/>
  <c r="AC28" i="198" s="1"/>
  <c r="X28" i="159"/>
  <c r="AD28" i="159" s="1"/>
  <c r="E11" i="200"/>
  <c r="AK50" i="163"/>
  <c r="X31" i="198"/>
  <c r="R31" i="198" s="1"/>
  <c r="R17" i="141"/>
  <c r="D7" i="197" s="1"/>
  <c r="BE51" i="159"/>
  <c r="AG51" i="159"/>
  <c r="BP51" i="159" s="1"/>
  <c r="AK50" i="198"/>
  <c r="AE63" i="159"/>
  <c r="BN63" i="159" s="1"/>
  <c r="U44" i="198"/>
  <c r="AF44" i="198" s="1"/>
  <c r="F53" i="163"/>
  <c r="G24" i="9"/>
  <c r="G25" i="9" s="1"/>
  <c r="BO28" i="159"/>
  <c r="H53" i="163"/>
  <c r="H34" i="159"/>
  <c r="F66" i="83"/>
  <c r="BN28" i="159"/>
  <c r="E17" i="96"/>
  <c r="AC41" i="159"/>
  <c r="BC41" i="159" s="1"/>
  <c r="BD41" i="159" s="1"/>
  <c r="BF31" i="159"/>
  <c r="D72" i="140"/>
  <c r="N62" i="87" s="1"/>
  <c r="O25" i="87"/>
  <c r="R42" i="163"/>
  <c r="AF55" i="198"/>
  <c r="X55" i="198"/>
  <c r="AH55" i="198" s="1"/>
  <c r="X64" i="159"/>
  <c r="AD64" i="159" s="1"/>
  <c r="BP64" i="159"/>
  <c r="AF50" i="159"/>
  <c r="AJ42" i="198"/>
  <c r="G33" i="27"/>
  <c r="W34" i="159"/>
  <c r="X50" i="163"/>
  <c r="AH50" i="163" s="1"/>
  <c r="AF50" i="163"/>
  <c r="AJ50" i="163"/>
  <c r="AK37" i="163"/>
  <c r="X58" i="163"/>
  <c r="AH58" i="163" s="1"/>
  <c r="AF58" i="163"/>
  <c r="AF50" i="198"/>
  <c r="X50" i="198"/>
  <c r="AH50" i="198" s="1"/>
  <c r="AJ50" i="198"/>
  <c r="E59" i="159"/>
  <c r="C13" i="200"/>
  <c r="D45" i="197"/>
  <c r="D46" i="197" s="1"/>
  <c r="D48" i="197" s="1"/>
  <c r="N21" i="8"/>
  <c r="AI23" i="141"/>
  <c r="L21" i="8"/>
  <c r="M21" i="8" s="1"/>
  <c r="AA67" i="198"/>
  <c r="R51" i="198"/>
  <c r="AC39" i="163"/>
  <c r="AL39" i="163" s="1"/>
  <c r="K10" i="307"/>
  <c r="G4" i="319"/>
  <c r="I26" i="163"/>
  <c r="I35" i="163" s="1"/>
  <c r="BE31" i="159"/>
  <c r="BE34" i="159" s="1"/>
  <c r="D11" i="96"/>
  <c r="D14" i="96" s="1"/>
  <c r="I36" i="159"/>
  <c r="I53" i="159" s="1"/>
  <c r="BH62" i="159"/>
  <c r="V24" i="159"/>
  <c r="X24" i="159" s="1"/>
  <c r="V30" i="159"/>
  <c r="X30" i="159" s="1"/>
  <c r="V26" i="159"/>
  <c r="X26" i="159" s="1"/>
  <c r="R26" i="159" s="1"/>
  <c r="I25" i="159"/>
  <c r="V25" i="159" s="1"/>
  <c r="X25" i="159" s="1"/>
  <c r="AD25" i="159" s="1"/>
  <c r="I29" i="159"/>
  <c r="AU29" i="159" s="1"/>
  <c r="D17" i="96"/>
  <c r="V27" i="163"/>
  <c r="X27" i="163" s="1"/>
  <c r="X25" i="198"/>
  <c r="C37" i="277"/>
  <c r="O63" i="58"/>
  <c r="C36" i="277"/>
  <c r="O62" i="58"/>
  <c r="C23" i="277"/>
  <c r="F31" i="87"/>
  <c r="G23" i="173"/>
  <c r="O28" i="87"/>
  <c r="O26" i="87"/>
  <c r="E18" i="97"/>
  <c r="BT51" i="159"/>
  <c r="AU28" i="159"/>
  <c r="BG28" i="159" s="1"/>
  <c r="X29" i="198"/>
  <c r="AH29" i="198" s="1"/>
  <c r="V29" i="163"/>
  <c r="X29" i="163" s="1"/>
  <c r="AH29" i="163" s="1"/>
  <c r="V27" i="159"/>
  <c r="X27" i="159" s="1"/>
  <c r="AC27" i="159" s="1"/>
  <c r="AU27" i="159"/>
  <c r="AW27" i="159" s="1"/>
  <c r="I23" i="8"/>
  <c r="F17" i="321"/>
  <c r="B18" i="98"/>
  <c r="S33" i="173"/>
  <c r="F31" i="321"/>
  <c r="F32" i="321" s="1"/>
  <c r="S13" i="173"/>
  <c r="F9" i="321"/>
  <c r="F15" i="274"/>
  <c r="K37" i="307"/>
  <c r="K9" i="307"/>
  <c r="L9" i="307" s="1"/>
  <c r="AF33" i="198"/>
  <c r="BE43" i="159"/>
  <c r="G12" i="307"/>
  <c r="G14" i="307" s="1"/>
  <c r="G42" i="307" s="1"/>
  <c r="G44" i="307" s="1"/>
  <c r="E12" i="307"/>
  <c r="E36" i="307" s="1"/>
  <c r="E38" i="307" s="1"/>
  <c r="I12" i="307"/>
  <c r="BH41" i="159"/>
  <c r="AJ38" i="163"/>
  <c r="AF38" i="163"/>
  <c r="BF50" i="159"/>
  <c r="BT50" i="159"/>
  <c r="AE50" i="159"/>
  <c r="AF38" i="198"/>
  <c r="C21" i="277"/>
  <c r="O42" i="58"/>
  <c r="C20" i="277"/>
  <c r="O41" i="58"/>
  <c r="BF29" i="159"/>
  <c r="BT29" i="159"/>
  <c r="AF29" i="159"/>
  <c r="BO29" i="159" s="1"/>
  <c r="X32" i="159"/>
  <c r="AD32" i="159" s="1"/>
  <c r="X31" i="159"/>
  <c r="AD31" i="159" s="1"/>
  <c r="BF30" i="159"/>
  <c r="BT30" i="159"/>
  <c r="AF62" i="163"/>
  <c r="BF63" i="159"/>
  <c r="BT63" i="159"/>
  <c r="F4" i="319"/>
  <c r="X59" i="198"/>
  <c r="AH59" i="198" s="1"/>
  <c r="AF37" i="198"/>
  <c r="AF43" i="198"/>
  <c r="X43" i="198"/>
  <c r="AH43" i="198" s="1"/>
  <c r="E46" i="198"/>
  <c r="U46" i="198" s="1"/>
  <c r="N23" i="8"/>
  <c r="AE29" i="141"/>
  <c r="AG29" i="141" s="1"/>
  <c r="AE24" i="141"/>
  <c r="N22" i="8"/>
  <c r="T24" i="141"/>
  <c r="V24" i="141" s="1"/>
  <c r="I22" i="8"/>
  <c r="W25" i="141"/>
  <c r="AF25" i="141" s="1"/>
  <c r="C20" i="200"/>
  <c r="D55" i="197" s="1"/>
  <c r="O23" i="157"/>
  <c r="S16" i="157"/>
  <c r="P16" i="157"/>
  <c r="C100" i="140"/>
  <c r="F24" i="9"/>
  <c r="C33" i="27"/>
  <c r="D55" i="83"/>
  <c r="D66" i="83" s="1"/>
  <c r="S24" i="173"/>
  <c r="E24" i="173"/>
  <c r="F24" i="173" s="1"/>
  <c r="AC51" i="163"/>
  <c r="R51" i="163"/>
  <c r="AL11" i="163"/>
  <c r="Z11" i="163"/>
  <c r="BF51" i="159"/>
  <c r="E53" i="159"/>
  <c r="BH32" i="159"/>
  <c r="C7" i="277"/>
  <c r="BH39" i="159"/>
  <c r="BE48" i="159"/>
  <c r="F66" i="198"/>
  <c r="R30" i="163"/>
  <c r="AC30" i="163"/>
  <c r="T28" i="141"/>
  <c r="V28" i="141" s="1"/>
  <c r="I24" i="8"/>
  <c r="B22" i="95"/>
  <c r="G56" i="3"/>
  <c r="C23" i="97"/>
  <c r="V38" i="141"/>
  <c r="AI38" i="141" s="1"/>
  <c r="V11" i="141"/>
  <c r="AI11" i="141" s="1"/>
  <c r="AG37" i="141"/>
  <c r="AJ37" i="141" s="1"/>
  <c r="AE14" i="141"/>
  <c r="AE22" i="141"/>
  <c r="N16" i="8"/>
  <c r="X10" i="159"/>
  <c r="T16" i="159"/>
  <c r="T34" i="159" s="1"/>
  <c r="C41" i="277"/>
  <c r="O14" i="87"/>
  <c r="D38" i="140"/>
  <c r="AT42" i="159"/>
  <c r="BT33" i="159"/>
  <c r="BF33" i="159"/>
  <c r="AC33" i="198"/>
  <c r="R33" i="198"/>
  <c r="BT49" i="159"/>
  <c r="AW49" i="159"/>
  <c r="AQ49" i="159" s="1"/>
  <c r="L13" i="345"/>
  <c r="E19" i="277"/>
  <c r="G19" i="277" s="1"/>
  <c r="K57" i="58"/>
  <c r="X24" i="163"/>
  <c r="AF24" i="163"/>
  <c r="I37" i="198"/>
  <c r="I53" i="198" s="1"/>
  <c r="J8" i="173"/>
  <c r="J7" i="173"/>
  <c r="T62" i="163"/>
  <c r="AK62" i="163" s="1"/>
  <c r="H66" i="163"/>
  <c r="C79" i="140"/>
  <c r="R24" i="198"/>
  <c r="P30" i="87"/>
  <c r="W18" i="141"/>
  <c r="AF18" i="141" s="1"/>
  <c r="AH18" i="141" s="1"/>
  <c r="W39" i="141"/>
  <c r="AF39" i="141" s="1"/>
  <c r="BH30" i="159"/>
  <c r="BH60" i="159"/>
  <c r="D53" i="198"/>
  <c r="D61" i="27"/>
  <c r="D53" i="159"/>
  <c r="C73" i="159" s="1"/>
  <c r="T21" i="141"/>
  <c r="I19" i="8"/>
  <c r="H7" i="9"/>
  <c r="E25" i="9"/>
  <c r="H18" i="9"/>
  <c r="O24" i="87"/>
  <c r="P25" i="87"/>
  <c r="P27" i="87" s="1"/>
  <c r="C90" i="140"/>
  <c r="AJ37" i="163"/>
  <c r="T53" i="163"/>
  <c r="AV42" i="159"/>
  <c r="AV53" i="159" s="1"/>
  <c r="W42" i="159"/>
  <c r="W53" i="159" s="1"/>
  <c r="J9" i="9"/>
  <c r="L48" i="87"/>
  <c r="M48" i="87" s="1"/>
  <c r="L7" i="13"/>
  <c r="I46" i="277"/>
  <c r="M53" i="277" s="1"/>
  <c r="O7" i="13"/>
  <c r="AI22" i="141"/>
  <c r="AC40" i="163"/>
  <c r="R40" i="163"/>
  <c r="AH40" i="163"/>
  <c r="BF37" i="159"/>
  <c r="BT37" i="159"/>
  <c r="AF40" i="163"/>
  <c r="C35" i="277"/>
  <c r="O60" i="58"/>
  <c r="Z28" i="141"/>
  <c r="X28" i="141"/>
  <c r="Y28" i="141"/>
  <c r="B120" i="140"/>
  <c r="B125" i="140" s="1"/>
  <c r="AE25" i="141"/>
  <c r="N15" i="8"/>
  <c r="AG11" i="141"/>
  <c r="AJ11" i="141" s="1"/>
  <c r="AB17" i="141"/>
  <c r="AA17" i="141"/>
  <c r="C33" i="95"/>
  <c r="D30" i="95"/>
  <c r="U16" i="141"/>
  <c r="W16" i="141" s="1"/>
  <c r="AF16" i="141" s="1"/>
  <c r="AH16" i="141" s="1"/>
  <c r="C29" i="23"/>
  <c r="AE23" i="141"/>
  <c r="BE40" i="159"/>
  <c r="C34" i="277"/>
  <c r="S17" i="141"/>
  <c r="C45" i="140"/>
  <c r="P14" i="87"/>
  <c r="P17" i="87" s="1"/>
  <c r="G10" i="198"/>
  <c r="H20" i="58"/>
  <c r="H38" i="58" s="1"/>
  <c r="H72" i="58" s="1"/>
  <c r="D17" i="373" s="1"/>
  <c r="D18" i="373" s="1"/>
  <c r="C107" i="140"/>
  <c r="C109" i="140" s="1"/>
  <c r="C106" i="140"/>
  <c r="AV66" i="159"/>
  <c r="X33" i="159"/>
  <c r="AF33" i="159"/>
  <c r="AW65" i="159"/>
  <c r="BT65" i="159"/>
  <c r="BF65" i="159"/>
  <c r="BT25" i="159"/>
  <c r="AC64" i="198"/>
  <c r="R64" i="198"/>
  <c r="R28" i="163"/>
  <c r="AC28" i="163"/>
  <c r="Q72" i="58"/>
  <c r="I37" i="163"/>
  <c r="I53" i="163" s="1"/>
  <c r="G57" i="58"/>
  <c r="O57" i="58" s="1"/>
  <c r="E58" i="198"/>
  <c r="X60" i="198"/>
  <c r="AH60" i="198" s="1"/>
  <c r="E59" i="163"/>
  <c r="U59" i="163" s="1"/>
  <c r="I35" i="198"/>
  <c r="X19" i="27"/>
  <c r="H35" i="163"/>
  <c r="W23" i="141"/>
  <c r="AF23" i="141" s="1"/>
  <c r="BH40" i="159"/>
  <c r="O16" i="87"/>
  <c r="X19" i="141"/>
  <c r="Y19" i="141"/>
  <c r="Z19" i="141"/>
  <c r="R60" i="141"/>
  <c r="AC32" i="163"/>
  <c r="R32" i="163"/>
  <c r="F19" i="27"/>
  <c r="F33" i="27" s="1"/>
  <c r="G17" i="163"/>
  <c r="G35" i="163" s="1"/>
  <c r="G67" i="163" s="1"/>
  <c r="U12" i="141"/>
  <c r="D9" i="8"/>
  <c r="BA9" i="159"/>
  <c r="BA16" i="159" s="1"/>
  <c r="BA34" i="159" s="1"/>
  <c r="BA67" i="159" s="1"/>
  <c r="AZ16" i="159"/>
  <c r="AZ34" i="159" s="1"/>
  <c r="AZ67" i="159" s="1"/>
  <c r="BF41" i="159"/>
  <c r="BT41" i="159"/>
  <c r="AC25" i="163"/>
  <c r="R25" i="163"/>
  <c r="X44" i="163"/>
  <c r="AJ44" i="163"/>
  <c r="N59" i="87"/>
  <c r="N58" i="87"/>
  <c r="D88" i="140"/>
  <c r="D90" i="140" s="1"/>
  <c r="D86" i="140"/>
  <c r="AG39" i="141"/>
  <c r="AJ39" i="141" s="1"/>
  <c r="C50" i="200"/>
  <c r="P24" i="87"/>
  <c r="T12" i="141"/>
  <c r="I9" i="8"/>
  <c r="I13" i="8" s="1"/>
  <c r="G16" i="159"/>
  <c r="G34" i="159" s="1"/>
  <c r="G67" i="159" s="1"/>
  <c r="AS36" i="159"/>
  <c r="T36" i="159"/>
  <c r="AE36" i="159" s="1"/>
  <c r="AG20" i="141"/>
  <c r="AJ20" i="141" s="1"/>
  <c r="V37" i="141"/>
  <c r="AI37" i="141" s="1"/>
  <c r="AC63" i="163"/>
  <c r="L12" i="8"/>
  <c r="M12" i="8" s="1"/>
  <c r="H26" i="156"/>
  <c r="AF41" i="159"/>
  <c r="T19" i="27"/>
  <c r="V23" i="163"/>
  <c r="X18" i="163"/>
  <c r="AC33" i="163"/>
  <c r="Z33" i="163" s="1"/>
  <c r="AG33" i="163" s="1"/>
  <c r="R33" i="163"/>
  <c r="R34" i="163"/>
  <c r="AC34" i="163"/>
  <c r="AF63" i="198"/>
  <c r="X63" i="198"/>
  <c r="AH63" i="198" s="1"/>
  <c r="AL42" i="163"/>
  <c r="Z42" i="163"/>
  <c r="AG42" i="163" s="1"/>
  <c r="AQ51" i="159"/>
  <c r="BB51" i="159"/>
  <c r="I20" i="58"/>
  <c r="I38" i="58" s="1"/>
  <c r="I72" i="58" s="1"/>
  <c r="H10" i="198"/>
  <c r="V10" i="198" s="1"/>
  <c r="T42" i="159"/>
  <c r="AG42" i="159" s="1"/>
  <c r="AS42" i="159"/>
  <c r="T62" i="159"/>
  <c r="AS62" i="159"/>
  <c r="AS66" i="159" s="1"/>
  <c r="BP30" i="159"/>
  <c r="L15" i="8"/>
  <c r="P26" i="141"/>
  <c r="R26" i="141" s="1"/>
  <c r="AS34" i="159"/>
  <c r="W66" i="159"/>
  <c r="AW33" i="159"/>
  <c r="AT58" i="159"/>
  <c r="AW58" i="159" s="1"/>
  <c r="U58" i="159"/>
  <c r="AE58" i="159" s="1"/>
  <c r="X62" i="198"/>
  <c r="AH62" i="198" s="1"/>
  <c r="AJ62" i="198"/>
  <c r="AF62" i="198"/>
  <c r="AW26" i="159"/>
  <c r="X45" i="198"/>
  <c r="AH45" i="198" s="1"/>
  <c r="AF45" i="198"/>
  <c r="BF27" i="159"/>
  <c r="BT27" i="159"/>
  <c r="BE58" i="159"/>
  <c r="X63" i="159"/>
  <c r="AD63" i="159" s="1"/>
  <c r="AC38" i="198"/>
  <c r="R38" i="198"/>
  <c r="BF28" i="159"/>
  <c r="BT28" i="159"/>
  <c r="AC34" i="198"/>
  <c r="R34" i="198"/>
  <c r="AC52" i="163"/>
  <c r="R52" i="163"/>
  <c r="AL24" i="198"/>
  <c r="Z24" i="198"/>
  <c r="AG24" i="198" s="1"/>
  <c r="R65" i="198"/>
  <c r="AC65" i="198"/>
  <c r="AL65" i="198" s="1"/>
  <c r="P60" i="87"/>
  <c r="E43" i="163"/>
  <c r="U43" i="163" s="1"/>
  <c r="X39" i="198"/>
  <c r="AC17" i="159"/>
  <c r="BN31" i="159"/>
  <c r="BE64" i="159"/>
  <c r="AW64" i="159"/>
  <c r="AF48" i="198"/>
  <c r="AF60" i="198"/>
  <c r="BE37" i="159"/>
  <c r="AW37" i="159"/>
  <c r="AQ37" i="159" s="1"/>
  <c r="BH47" i="159"/>
  <c r="AF42" i="198"/>
  <c r="AG42" i="198" s="1"/>
  <c r="BT39" i="159"/>
  <c r="AW39" i="159"/>
  <c r="BF39" i="159"/>
  <c r="F53" i="198"/>
  <c r="AW17" i="159"/>
  <c r="AU22" i="159"/>
  <c r="BG17" i="159"/>
  <c r="BG22" i="159" s="1"/>
  <c r="BE38" i="159"/>
  <c r="AW38" i="159"/>
  <c r="AQ38" i="159" s="1"/>
  <c r="X39" i="159"/>
  <c r="BE39" i="159"/>
  <c r="AC38" i="163"/>
  <c r="R38" i="163"/>
  <c r="AF59" i="198"/>
  <c r="W53" i="163"/>
  <c r="W67" i="163" s="1"/>
  <c r="X37" i="163"/>
  <c r="BH36" i="159"/>
  <c r="BE60" i="159"/>
  <c r="AC64" i="163"/>
  <c r="R64" i="163"/>
  <c r="X18" i="198"/>
  <c r="V23" i="198"/>
  <c r="AC11" i="198"/>
  <c r="E56" i="159"/>
  <c r="E41" i="198"/>
  <c r="U41" i="198" s="1"/>
  <c r="X26" i="198"/>
  <c r="AH26" i="198" s="1"/>
  <c r="BG23" i="159"/>
  <c r="X38" i="159"/>
  <c r="BH23" i="159"/>
  <c r="AV34" i="159"/>
  <c r="BE63" i="159"/>
  <c r="AW63" i="159"/>
  <c r="X37" i="159"/>
  <c r="AG37" i="159"/>
  <c r="BP37" i="159" s="1"/>
  <c r="AF37" i="159"/>
  <c r="BT32" i="159"/>
  <c r="AW32" i="159"/>
  <c r="BF32" i="159"/>
  <c r="BN32" i="159"/>
  <c r="T53" i="198"/>
  <c r="X40" i="198"/>
  <c r="X48" i="198"/>
  <c r="AH48" i="198" s="1"/>
  <c r="X42" i="198"/>
  <c r="AC42" i="198" s="1"/>
  <c r="I8" i="173" l="1"/>
  <c r="I7" i="173"/>
  <c r="X45" i="163"/>
  <c r="AH45" i="163" s="1"/>
  <c r="G65" i="3"/>
  <c r="L19" i="173"/>
  <c r="K19" i="173" s="1"/>
  <c r="N49" i="173"/>
  <c r="N6" i="173" s="1"/>
  <c r="H26" i="3"/>
  <c r="J14" i="173"/>
  <c r="H59" i="3"/>
  <c r="H36" i="3"/>
  <c r="I10" i="3" s="1"/>
  <c r="I36" i="3" s="1"/>
  <c r="J10" i="3" s="1"/>
  <c r="J36" i="3" s="1"/>
  <c r="K10" i="3" s="1"/>
  <c r="K36" i="3" s="1"/>
  <c r="L10" i="3" s="1"/>
  <c r="L36" i="3" s="1"/>
  <c r="S8" i="173"/>
  <c r="I62" i="370"/>
  <c r="J49" i="370" s="1"/>
  <c r="G78" i="83"/>
  <c r="L14" i="173"/>
  <c r="G10" i="321" s="1"/>
  <c r="M77" i="95"/>
  <c r="G77" i="95"/>
  <c r="K43" i="307"/>
  <c r="E30" i="9"/>
  <c r="E31" i="9" s="1"/>
  <c r="G13" i="319"/>
  <c r="AC7" i="27"/>
  <c r="AC21" i="27" s="1"/>
  <c r="T7" i="27"/>
  <c r="U7" i="27" s="1"/>
  <c r="E52" i="140"/>
  <c r="F49" i="140" s="1"/>
  <c r="E54" i="140"/>
  <c r="E56" i="140" s="1"/>
  <c r="U56" i="159"/>
  <c r="AT56" i="159"/>
  <c r="U59" i="159"/>
  <c r="AT59" i="159"/>
  <c r="H67" i="159"/>
  <c r="AI45" i="163"/>
  <c r="AF45" i="163"/>
  <c r="M55" i="277"/>
  <c r="H23" i="97"/>
  <c r="X49" i="159"/>
  <c r="R49" i="159" s="1"/>
  <c r="AG62" i="159"/>
  <c r="BP62" i="159" s="1"/>
  <c r="C18" i="197"/>
  <c r="C22" i="197" s="1"/>
  <c r="AL51" i="198"/>
  <c r="D26" i="8"/>
  <c r="D32" i="8" s="1"/>
  <c r="AK41" i="163"/>
  <c r="I51" i="27"/>
  <c r="AG43" i="159"/>
  <c r="BP43" i="159" s="1"/>
  <c r="N19" i="8"/>
  <c r="AJ48" i="163"/>
  <c r="AE43" i="159"/>
  <c r="BN43" i="159" s="1"/>
  <c r="I36" i="307"/>
  <c r="I38" i="307" s="1"/>
  <c r="I14" i="307"/>
  <c r="I42" i="307" s="1"/>
  <c r="I44" i="307" s="1"/>
  <c r="G36" i="307"/>
  <c r="G38" i="307" s="1"/>
  <c r="K76" i="58"/>
  <c r="H74" i="346" s="1"/>
  <c r="I20" i="8"/>
  <c r="O18" i="8"/>
  <c r="AQ31" i="159"/>
  <c r="AE26" i="141"/>
  <c r="AG26" i="141" s="1"/>
  <c r="AJ26" i="141" s="1"/>
  <c r="BI51" i="159"/>
  <c r="AI41" i="163"/>
  <c r="E18" i="96"/>
  <c r="BT45" i="159"/>
  <c r="AF60" i="163"/>
  <c r="BF49" i="159"/>
  <c r="AI60" i="163"/>
  <c r="AE40" i="159"/>
  <c r="BN40" i="159" s="1"/>
  <c r="AF49" i="159"/>
  <c r="BO49" i="159" s="1"/>
  <c r="AC26" i="159"/>
  <c r="Z26" i="159" s="1"/>
  <c r="AK60" i="163"/>
  <c r="X60" i="163"/>
  <c r="AH60" i="163" s="1"/>
  <c r="BG26" i="159"/>
  <c r="F45" i="200"/>
  <c r="C51" i="200"/>
  <c r="C52" i="200" s="1"/>
  <c r="C54" i="200" s="1"/>
  <c r="BN29" i="159"/>
  <c r="BN34" i="159" s="1"/>
  <c r="L11" i="8"/>
  <c r="M11" i="8" s="1"/>
  <c r="AL52" i="198"/>
  <c r="AI48" i="163"/>
  <c r="AK49" i="163"/>
  <c r="G8" i="319"/>
  <c r="T32" i="198"/>
  <c r="X32" i="198" s="1"/>
  <c r="AH32" i="198" s="1"/>
  <c r="G7" i="319"/>
  <c r="L10" i="307"/>
  <c r="AJ49" i="163"/>
  <c r="X48" i="163"/>
  <c r="AH48" i="163" s="1"/>
  <c r="AJ45" i="163"/>
  <c r="AF48" i="163"/>
  <c r="AI56" i="163"/>
  <c r="BI50" i="159"/>
  <c r="AK49" i="198"/>
  <c r="AJ49" i="198"/>
  <c r="AI48" i="198"/>
  <c r="AK48" i="198"/>
  <c r="AJ48" i="198"/>
  <c r="AJ46" i="198"/>
  <c r="AK46" i="198"/>
  <c r="AI46" i="198"/>
  <c r="AI45" i="198"/>
  <c r="AJ45" i="198"/>
  <c r="AK45" i="198"/>
  <c r="AK43" i="198"/>
  <c r="AJ43" i="198"/>
  <c r="AI43" i="198"/>
  <c r="AJ41" i="198"/>
  <c r="AK41" i="198"/>
  <c r="AI41" i="198"/>
  <c r="AI62" i="198"/>
  <c r="AK60" i="198"/>
  <c r="AJ60" i="198"/>
  <c r="AI59" i="198"/>
  <c r="AK59" i="198"/>
  <c r="AJ59" i="198"/>
  <c r="AI60" i="198"/>
  <c r="AJ56" i="163"/>
  <c r="AG60" i="159"/>
  <c r="BP60" i="159" s="1"/>
  <c r="AF48" i="159"/>
  <c r="BO48" i="159" s="1"/>
  <c r="AG48" i="159"/>
  <c r="BP48" i="159" s="1"/>
  <c r="G25" i="3"/>
  <c r="G38" i="3" s="1"/>
  <c r="B80" i="95" s="1"/>
  <c r="AC50" i="163"/>
  <c r="Z50" i="163" s="1"/>
  <c r="AG50" i="163" s="1"/>
  <c r="AI43" i="163"/>
  <c r="AK43" i="163"/>
  <c r="AJ43" i="163"/>
  <c r="AC27" i="198"/>
  <c r="Z27" i="198" s="1"/>
  <c r="AG27" i="198" s="1"/>
  <c r="AG44" i="159"/>
  <c r="AF44" i="159"/>
  <c r="BO44" i="159" s="1"/>
  <c r="AE44" i="159"/>
  <c r="BN44" i="159" s="1"/>
  <c r="AF60" i="159"/>
  <c r="BO60" i="159" s="1"/>
  <c r="AE45" i="159"/>
  <c r="BN45" i="159" s="1"/>
  <c r="AF40" i="159"/>
  <c r="BO40" i="159" s="1"/>
  <c r="H16" i="9"/>
  <c r="D28" i="140"/>
  <c r="N57" i="87" s="1"/>
  <c r="AF58" i="159"/>
  <c r="BO58" i="159" s="1"/>
  <c r="AF45" i="159"/>
  <c r="BO45" i="159" s="1"/>
  <c r="AG58" i="159"/>
  <c r="BP58" i="159" s="1"/>
  <c r="R50" i="198"/>
  <c r="AG47" i="159"/>
  <c r="BP47" i="159" s="1"/>
  <c r="AE47" i="159"/>
  <c r="BN47" i="159" s="1"/>
  <c r="AF47" i="159"/>
  <c r="BO47" i="159" s="1"/>
  <c r="AW28" i="159"/>
  <c r="BI28" i="159" s="1"/>
  <c r="R27" i="159"/>
  <c r="AJ59" i="163"/>
  <c r="AK59" i="163"/>
  <c r="AG49" i="159"/>
  <c r="BP49" i="159" s="1"/>
  <c r="AD50" i="159"/>
  <c r="Z50" i="159" s="1"/>
  <c r="R50" i="159"/>
  <c r="BC50" i="159"/>
  <c r="BB50" i="159"/>
  <c r="AQ50" i="159"/>
  <c r="R50" i="163"/>
  <c r="Q45" i="141"/>
  <c r="W34" i="27"/>
  <c r="B78" i="83"/>
  <c r="Z39" i="163"/>
  <c r="B26" i="101"/>
  <c r="V14" i="141"/>
  <c r="D34" i="200"/>
  <c r="E34" i="200" s="1"/>
  <c r="E31" i="274"/>
  <c r="X40" i="159"/>
  <c r="AD40" i="159" s="1"/>
  <c r="BM40" i="159" s="1"/>
  <c r="H35" i="141"/>
  <c r="H40" i="141" s="1"/>
  <c r="H45" i="141" s="1"/>
  <c r="M15" i="8"/>
  <c r="AC55" i="198"/>
  <c r="AL55" i="198" s="1"/>
  <c r="R51" i="159"/>
  <c r="AC51" i="159"/>
  <c r="Z51" i="159" s="1"/>
  <c r="D18" i="96"/>
  <c r="BM64" i="159"/>
  <c r="BF62" i="159"/>
  <c r="G72" i="58"/>
  <c r="C15" i="373" s="1"/>
  <c r="C16" i="373" s="1"/>
  <c r="AW62" i="159"/>
  <c r="BB62" i="159" s="1"/>
  <c r="AC64" i="159"/>
  <c r="Z64" i="159" s="1"/>
  <c r="N21" i="87"/>
  <c r="C64" i="140"/>
  <c r="N22" i="87"/>
  <c r="R64" i="159"/>
  <c r="AF62" i="159"/>
  <c r="BO62" i="159" s="1"/>
  <c r="Z41" i="159"/>
  <c r="AJ44" i="198"/>
  <c r="X44" i="198"/>
  <c r="R28" i="159"/>
  <c r="AC28" i="159"/>
  <c r="BC28" i="159" s="1"/>
  <c r="M23" i="8"/>
  <c r="AF34" i="159"/>
  <c r="BF45" i="159"/>
  <c r="BT44" i="159"/>
  <c r="R55" i="198"/>
  <c r="AK44" i="198"/>
  <c r="BH66" i="159"/>
  <c r="AH30" i="198"/>
  <c r="AC30" i="198"/>
  <c r="R30" i="198"/>
  <c r="AI59" i="163"/>
  <c r="AI62" i="163"/>
  <c r="AE62" i="159"/>
  <c r="BN62" i="159" s="1"/>
  <c r="BP45" i="159"/>
  <c r="BP40" i="159"/>
  <c r="AC31" i="198"/>
  <c r="AL31" i="198" s="1"/>
  <c r="R58" i="163"/>
  <c r="R28" i="198"/>
  <c r="BO43" i="159"/>
  <c r="AC17" i="141"/>
  <c r="E7" i="197" s="1"/>
  <c r="X48" i="159"/>
  <c r="AD48" i="159" s="1"/>
  <c r="D77" i="140"/>
  <c r="D79" i="140" s="1"/>
  <c r="E9" i="200"/>
  <c r="AH39" i="141"/>
  <c r="AC58" i="163"/>
  <c r="AL58" i="163" s="1"/>
  <c r="U58" i="198"/>
  <c r="U66" i="198" s="1"/>
  <c r="AF41" i="163"/>
  <c r="AC50" i="198"/>
  <c r="AL50" i="198" s="1"/>
  <c r="AT53" i="159"/>
  <c r="BH34" i="159"/>
  <c r="BB23" i="159"/>
  <c r="AY23" i="159" s="1"/>
  <c r="AQ23" i="159"/>
  <c r="BF43" i="159"/>
  <c r="D75" i="140"/>
  <c r="O61" i="87" s="1"/>
  <c r="AC45" i="163"/>
  <c r="AI49" i="198"/>
  <c r="AW43" i="159"/>
  <c r="BB43" i="159" s="1"/>
  <c r="N61" i="87"/>
  <c r="X49" i="198"/>
  <c r="AH49" i="198" s="1"/>
  <c r="AF49" i="198"/>
  <c r="X60" i="159"/>
  <c r="AD60" i="159" s="1"/>
  <c r="BM60" i="159" s="1"/>
  <c r="I34" i="159"/>
  <c r="I67" i="159" s="1"/>
  <c r="X62" i="159"/>
  <c r="AD62" i="159" s="1"/>
  <c r="BN58" i="159"/>
  <c r="X41" i="163"/>
  <c r="X49" i="163"/>
  <c r="AI49" i="163"/>
  <c r="AC43" i="198"/>
  <c r="AG34" i="159"/>
  <c r="AE48" i="159"/>
  <c r="BN48" i="159" s="1"/>
  <c r="BF40" i="159"/>
  <c r="BT40" i="159"/>
  <c r="E66" i="198"/>
  <c r="AF41" i="198"/>
  <c r="X41" i="198"/>
  <c r="L11" i="345"/>
  <c r="L19" i="345"/>
  <c r="F50" i="27"/>
  <c r="AC58" i="58"/>
  <c r="AC59" i="58" s="1"/>
  <c r="W22" i="141"/>
  <c r="AF22" i="141" s="1"/>
  <c r="L16" i="8"/>
  <c r="M16" i="8" s="1"/>
  <c r="AD19" i="27"/>
  <c r="AW48" i="159"/>
  <c r="AQ48" i="159" s="1"/>
  <c r="BF48" i="159"/>
  <c r="U53" i="159"/>
  <c r="BG27" i="159"/>
  <c r="R45" i="163"/>
  <c r="R25" i="198"/>
  <c r="AC25" i="198"/>
  <c r="AL25" i="198" s="1"/>
  <c r="R29" i="198"/>
  <c r="AC29" i="198"/>
  <c r="AL29" i="198" s="1"/>
  <c r="R27" i="163"/>
  <c r="AC27" i="163"/>
  <c r="AL27" i="163" s="1"/>
  <c r="AS53" i="159"/>
  <c r="AS67" i="159" s="1"/>
  <c r="V29" i="159"/>
  <c r="X29" i="159" s="1"/>
  <c r="AD29" i="159" s="1"/>
  <c r="BI31" i="159"/>
  <c r="I67" i="163"/>
  <c r="BH42" i="159"/>
  <c r="BH53" i="159" s="1"/>
  <c r="AU25" i="159"/>
  <c r="BG25" i="159" s="1"/>
  <c r="V26" i="163"/>
  <c r="X26" i="163" s="1"/>
  <c r="AH26" i="163" s="1"/>
  <c r="B23" i="307"/>
  <c r="F16" i="321"/>
  <c r="S23" i="173"/>
  <c r="G6" i="278"/>
  <c r="J6" i="278" s="1"/>
  <c r="G10" i="278"/>
  <c r="AC29" i="163"/>
  <c r="Z29" i="163" s="1"/>
  <c r="AG29" i="163" s="1"/>
  <c r="R29" i="163"/>
  <c r="H17" i="198"/>
  <c r="H35" i="198" s="1"/>
  <c r="H67" i="198" s="1"/>
  <c r="AG24" i="141"/>
  <c r="AJ24" i="141" s="1"/>
  <c r="W24" i="141"/>
  <c r="AF24" i="141" s="1"/>
  <c r="G54" i="3"/>
  <c r="C24" i="97"/>
  <c r="H24" i="97" s="1"/>
  <c r="B7" i="211"/>
  <c r="E6" i="277"/>
  <c r="T19" i="173"/>
  <c r="B17" i="98"/>
  <c r="F13" i="321"/>
  <c r="BF44" i="159"/>
  <c r="R43" i="198"/>
  <c r="AC32" i="159"/>
  <c r="AH32" i="159" s="1"/>
  <c r="R32" i="159"/>
  <c r="H12" i="307"/>
  <c r="J12" i="307"/>
  <c r="F12" i="307"/>
  <c r="F36" i="307" s="1"/>
  <c r="F38" i="307" s="1"/>
  <c r="K11" i="307"/>
  <c r="AH41" i="159"/>
  <c r="X36" i="159"/>
  <c r="R36" i="159" s="1"/>
  <c r="E46" i="163"/>
  <c r="U46" i="163" s="1"/>
  <c r="X47" i="159"/>
  <c r="AD47" i="159" s="1"/>
  <c r="BF47" i="159"/>
  <c r="BT47" i="159"/>
  <c r="X44" i="159"/>
  <c r="AD44" i="159" s="1"/>
  <c r="X43" i="159"/>
  <c r="AD43" i="159" s="1"/>
  <c r="AC60" i="198"/>
  <c r="R60" i="198"/>
  <c r="R59" i="198"/>
  <c r="AC59" i="198"/>
  <c r="F8" i="319"/>
  <c r="BM31" i="159"/>
  <c r="BQ31" i="159" s="1"/>
  <c r="R31" i="159"/>
  <c r="AC31" i="159"/>
  <c r="X58" i="159"/>
  <c r="AD58" i="159" s="1"/>
  <c r="BM58" i="159" s="1"/>
  <c r="AF56" i="163"/>
  <c r="U53" i="198"/>
  <c r="E53" i="198"/>
  <c r="AI24" i="141"/>
  <c r="W29" i="141"/>
  <c r="AF29" i="141" s="1"/>
  <c r="Q23" i="8" s="1"/>
  <c r="O32" i="157"/>
  <c r="C32" i="157"/>
  <c r="X56" i="163"/>
  <c r="AH56" i="163" s="1"/>
  <c r="X46" i="198"/>
  <c r="AH46" i="198" s="1"/>
  <c r="AF46" i="198"/>
  <c r="Z51" i="163"/>
  <c r="AG51" i="163" s="1"/>
  <c r="AC38" i="159"/>
  <c r="Z38" i="159" s="1"/>
  <c r="R38" i="159"/>
  <c r="AC37" i="159"/>
  <c r="Z37" i="159" s="1"/>
  <c r="R37" i="159"/>
  <c r="H24" i="9"/>
  <c r="K24" i="9" s="1"/>
  <c r="E46" i="277"/>
  <c r="E49" i="277" s="1"/>
  <c r="C31" i="274"/>
  <c r="G14" i="173"/>
  <c r="D14" i="173" s="1"/>
  <c r="C8" i="277"/>
  <c r="O27" i="58"/>
  <c r="AL51" i="163"/>
  <c r="X45" i="159"/>
  <c r="AD45" i="159" s="1"/>
  <c r="BB44" i="159"/>
  <c r="AQ44" i="159"/>
  <c r="AL28" i="198"/>
  <c r="Z28" i="198"/>
  <c r="AG28" i="198" s="1"/>
  <c r="BP34" i="159"/>
  <c r="I67" i="198"/>
  <c r="AL33" i="163"/>
  <c r="T66" i="159"/>
  <c r="W67" i="159"/>
  <c r="F67" i="198"/>
  <c r="I52" i="27"/>
  <c r="BI23" i="159"/>
  <c r="AC23" i="159"/>
  <c r="BC23" i="159" s="1"/>
  <c r="R23" i="159"/>
  <c r="P49" i="173"/>
  <c r="O14" i="58"/>
  <c r="AY51" i="159"/>
  <c r="BQ51" i="159"/>
  <c r="AC18" i="163"/>
  <c r="F36" i="173"/>
  <c r="G32" i="95"/>
  <c r="L32" i="95" s="1"/>
  <c r="G39" i="3"/>
  <c r="V16" i="159"/>
  <c r="X9" i="159"/>
  <c r="AY31" i="159"/>
  <c r="D10" i="140"/>
  <c r="O45" i="87" s="1"/>
  <c r="N45" i="87"/>
  <c r="H9" i="8"/>
  <c r="D13" i="8"/>
  <c r="R30" i="159"/>
  <c r="AC30" i="159"/>
  <c r="D103" i="140"/>
  <c r="I42" i="173"/>
  <c r="D11" i="13"/>
  <c r="D50" i="27"/>
  <c r="C32" i="197"/>
  <c r="C35" i="197" s="1"/>
  <c r="G87" i="58"/>
  <c r="G90" i="58" s="1"/>
  <c r="C21" i="204"/>
  <c r="O70" i="58"/>
  <c r="AG23" i="141"/>
  <c r="AJ23" i="141" s="1"/>
  <c r="AG25" i="141"/>
  <c r="S17" i="173"/>
  <c r="E17" i="173"/>
  <c r="F17" i="173" s="1"/>
  <c r="K7" i="9"/>
  <c r="R24" i="163"/>
  <c r="AC24" i="163"/>
  <c r="D43" i="140"/>
  <c r="N48" i="87"/>
  <c r="O48" i="87" s="1"/>
  <c r="D41" i="140"/>
  <c r="D22" i="95"/>
  <c r="B33" i="95"/>
  <c r="Z30" i="163"/>
  <c r="AG30" i="163" s="1"/>
  <c r="AL30" i="163"/>
  <c r="C30" i="197"/>
  <c r="BE42" i="159"/>
  <c r="H67" i="163"/>
  <c r="I9" i="173"/>
  <c r="G24" i="3"/>
  <c r="AC25" i="159"/>
  <c r="R25" i="159"/>
  <c r="BN36" i="159"/>
  <c r="AF36" i="159"/>
  <c r="AG36" i="159"/>
  <c r="BP36" i="159" s="1"/>
  <c r="J35" i="141"/>
  <c r="AW29" i="159"/>
  <c r="J20" i="8"/>
  <c r="AL40" i="163"/>
  <c r="Z40" i="163"/>
  <c r="K9" i="9"/>
  <c r="AL33" i="198"/>
  <c r="Z33" i="198"/>
  <c r="AG33" i="198" s="1"/>
  <c r="T19" i="141"/>
  <c r="V19" i="141" s="1"/>
  <c r="D8" i="197"/>
  <c r="D18" i="197" s="1"/>
  <c r="D22" i="197" s="1"/>
  <c r="I17" i="8"/>
  <c r="AL63" i="163"/>
  <c r="Z63" i="163"/>
  <c r="AG63" i="163" s="1"/>
  <c r="AW9" i="159"/>
  <c r="AU16" i="159"/>
  <c r="BG9" i="159"/>
  <c r="BG16" i="159" s="1"/>
  <c r="Z15" i="141"/>
  <c r="O15" i="141"/>
  <c r="O59" i="87"/>
  <c r="O58" i="87"/>
  <c r="BG30" i="159"/>
  <c r="AW30" i="159"/>
  <c r="BM30" i="159" s="1"/>
  <c r="AB19" i="141"/>
  <c r="AA19" i="141"/>
  <c r="AL28" i="163"/>
  <c r="Z28" i="163"/>
  <c r="AG28" i="163" s="1"/>
  <c r="BI65" i="159"/>
  <c r="BB65" i="159"/>
  <c r="R33" i="159"/>
  <c r="AD33" i="159"/>
  <c r="AC33" i="159"/>
  <c r="G17" i="198"/>
  <c r="G35" i="198" s="1"/>
  <c r="G67" i="198" s="1"/>
  <c r="U14" i="141"/>
  <c r="L9" i="13"/>
  <c r="L10" i="13" s="1"/>
  <c r="Q12" i="8"/>
  <c r="R12" i="8" s="1"/>
  <c r="AC10" i="159"/>
  <c r="BI10" i="159"/>
  <c r="AL42" i="198"/>
  <c r="BN60" i="159"/>
  <c r="E11" i="13"/>
  <c r="G85" i="58"/>
  <c r="G29" i="156"/>
  <c r="H29" i="156" s="1"/>
  <c r="AA28" i="141"/>
  <c r="AC28" i="141" s="1"/>
  <c r="J9" i="173"/>
  <c r="L10" i="8"/>
  <c r="M10" i="8" s="1"/>
  <c r="W38" i="141"/>
  <c r="AF38" i="141" s="1"/>
  <c r="F62" i="27"/>
  <c r="C63" i="27" s="1"/>
  <c r="X42" i="159"/>
  <c r="AF42" i="159"/>
  <c r="AL25" i="163"/>
  <c r="Z25" i="163"/>
  <c r="AG25" i="163" s="1"/>
  <c r="AJ62" i="163"/>
  <c r="X62" i="163"/>
  <c r="AH62" i="163" s="1"/>
  <c r="T66" i="163"/>
  <c r="T67" i="163" s="1"/>
  <c r="BB49" i="159"/>
  <c r="BB33" i="159"/>
  <c r="AQ33" i="159"/>
  <c r="BI33" i="159"/>
  <c r="I18" i="8"/>
  <c r="T26" i="141"/>
  <c r="V26" i="141" s="1"/>
  <c r="X31" i="163"/>
  <c r="AC63" i="198"/>
  <c r="Z34" i="163"/>
  <c r="AG34" i="163" s="1"/>
  <c r="AL34" i="163"/>
  <c r="BE36" i="159"/>
  <c r="AW36" i="159"/>
  <c r="N15" i="141"/>
  <c r="N35" i="141" s="1"/>
  <c r="Y15" i="141"/>
  <c r="Y35" i="141" s="1"/>
  <c r="V12" i="141"/>
  <c r="AI12" i="141" s="1"/>
  <c r="U11" i="141"/>
  <c r="AC44" i="163"/>
  <c r="R44" i="163"/>
  <c r="AQ41" i="159"/>
  <c r="BI41" i="159"/>
  <c r="V17" i="163"/>
  <c r="X10" i="163"/>
  <c r="Z32" i="163"/>
  <c r="AG32" i="163" s="1"/>
  <c r="AL32" i="163"/>
  <c r="Z64" i="198"/>
  <c r="AG64" i="198" s="1"/>
  <c r="AL64" i="198"/>
  <c r="AQ40" i="159"/>
  <c r="BB40" i="159"/>
  <c r="M30" i="95"/>
  <c r="I48" i="277"/>
  <c r="D22" i="140"/>
  <c r="D24" i="140" s="1"/>
  <c r="D20" i="140"/>
  <c r="V21" i="141"/>
  <c r="AJ37" i="198"/>
  <c r="X37" i="198"/>
  <c r="AK37" i="198"/>
  <c r="AW42" i="159"/>
  <c r="BF42" i="159"/>
  <c r="BT42" i="159"/>
  <c r="AG22" i="141"/>
  <c r="AJ22" i="141" s="1"/>
  <c r="AG14" i="141"/>
  <c r="BT23" i="159"/>
  <c r="BF23" i="159"/>
  <c r="W28" i="141"/>
  <c r="AF28" i="141" s="1"/>
  <c r="BO34" i="159"/>
  <c r="T53" i="159"/>
  <c r="BE62" i="159"/>
  <c r="BE66" i="159" s="1"/>
  <c r="W37" i="141"/>
  <c r="AF37" i="141" s="1"/>
  <c r="W20" i="141"/>
  <c r="AF20" i="141" s="1"/>
  <c r="T17" i="141"/>
  <c r="AQ45" i="159"/>
  <c r="BB45" i="159"/>
  <c r="Z11" i="198"/>
  <c r="AL11" i="198"/>
  <c r="AC40" i="198"/>
  <c r="R40" i="198"/>
  <c r="AH40" i="198"/>
  <c r="BI63" i="159"/>
  <c r="BB63" i="159"/>
  <c r="AQ63" i="159"/>
  <c r="R26" i="198"/>
  <c r="AC26" i="198"/>
  <c r="BB60" i="159"/>
  <c r="AQ60" i="159"/>
  <c r="AC37" i="163"/>
  <c r="R37" i="163"/>
  <c r="AL38" i="163"/>
  <c r="Z38" i="163"/>
  <c r="BB47" i="159"/>
  <c r="AQ47" i="159"/>
  <c r="BI37" i="159"/>
  <c r="BB37" i="159"/>
  <c r="AC39" i="198"/>
  <c r="R39" i="198"/>
  <c r="AL38" i="198"/>
  <c r="Z38" i="198"/>
  <c r="Z27" i="159"/>
  <c r="BC27" i="159"/>
  <c r="AH27" i="159"/>
  <c r="AV67" i="159"/>
  <c r="R48" i="198"/>
  <c r="AC48" i="198"/>
  <c r="AC18" i="198"/>
  <c r="Z64" i="163"/>
  <c r="AG64" i="163" s="1"/>
  <c r="AL64" i="163"/>
  <c r="AD39" i="159"/>
  <c r="AC39" i="159"/>
  <c r="R39" i="159"/>
  <c r="AF59" i="163"/>
  <c r="U66" i="163"/>
  <c r="X59" i="163"/>
  <c r="AH59" i="163" s="1"/>
  <c r="AF56" i="198"/>
  <c r="X56" i="198"/>
  <c r="AH56" i="198" s="1"/>
  <c r="R62" i="198"/>
  <c r="AC62" i="198"/>
  <c r="BT60" i="159"/>
  <c r="BF60" i="159"/>
  <c r="BG24" i="159"/>
  <c r="AW24" i="159"/>
  <c r="AL34" i="198"/>
  <c r="Z34" i="198"/>
  <c r="AG34" i="198" s="1"/>
  <c r="BM63" i="159"/>
  <c r="AC63" i="159"/>
  <c r="Z63" i="159" s="1"/>
  <c r="R63" i="159"/>
  <c r="BI26" i="159"/>
  <c r="BB26" i="159"/>
  <c r="AQ26" i="159"/>
  <c r="BF58" i="159"/>
  <c r="BT58" i="159"/>
  <c r="BB32" i="159"/>
  <c r="BM32" i="159"/>
  <c r="AQ32" i="159"/>
  <c r="BI32" i="159"/>
  <c r="BI38" i="159"/>
  <c r="BB38" i="159"/>
  <c r="BB17" i="159"/>
  <c r="BI17" i="159"/>
  <c r="BI39" i="159"/>
  <c r="BB39" i="159"/>
  <c r="AQ39" i="159"/>
  <c r="BI64" i="159"/>
  <c r="BB64" i="159"/>
  <c r="AQ64" i="159"/>
  <c r="AH17" i="159"/>
  <c r="BC17" i="159"/>
  <c r="R24" i="159"/>
  <c r="AC24" i="159"/>
  <c r="Z52" i="163"/>
  <c r="AG52" i="163" s="1"/>
  <c r="AL52" i="163"/>
  <c r="AQ58" i="159"/>
  <c r="BB58" i="159"/>
  <c r="AQ27" i="159"/>
  <c r="BI27" i="159"/>
  <c r="BB27" i="159"/>
  <c r="AC45" i="198"/>
  <c r="R45" i="198"/>
  <c r="N8" i="173" l="1"/>
  <c r="N7" i="173"/>
  <c r="N9" i="173" s="1"/>
  <c r="P7" i="173"/>
  <c r="H5" i="321" s="1"/>
  <c r="AC10" i="27"/>
  <c r="E49" i="173"/>
  <c r="E7" i="173" s="1"/>
  <c r="F7" i="173" s="1"/>
  <c r="D49" i="173"/>
  <c r="D7" i="173" s="1"/>
  <c r="R59" i="3"/>
  <c r="S59" i="3" s="1"/>
  <c r="E16" i="82"/>
  <c r="I77" i="95"/>
  <c r="K77" i="95" s="1"/>
  <c r="L77" i="95" s="1"/>
  <c r="J31" i="370"/>
  <c r="J18" i="370"/>
  <c r="J33" i="370"/>
  <c r="J36" i="370"/>
  <c r="J60" i="370"/>
  <c r="J30" i="370"/>
  <c r="J9" i="370"/>
  <c r="J20" i="370"/>
  <c r="J54" i="370"/>
  <c r="J59" i="370"/>
  <c r="J45" i="370"/>
  <c r="J53" i="370"/>
  <c r="J57" i="370"/>
  <c r="J13" i="370"/>
  <c r="J7" i="370"/>
  <c r="J12" i="370"/>
  <c r="J38" i="370"/>
  <c r="J17" i="370"/>
  <c r="J27" i="370"/>
  <c r="J58" i="370"/>
  <c r="J22" i="370"/>
  <c r="J34" i="370"/>
  <c r="J47" i="370"/>
  <c r="J42" i="370"/>
  <c r="J55" i="370"/>
  <c r="J23" i="370"/>
  <c r="J48" i="370"/>
  <c r="J52" i="370"/>
  <c r="J11" i="370"/>
  <c r="J56" i="370"/>
  <c r="J21" i="370"/>
  <c r="J24" i="370"/>
  <c r="J19" i="370"/>
  <c r="J41" i="370"/>
  <c r="J25" i="370"/>
  <c r="J39" i="370"/>
  <c r="J46" i="370"/>
  <c r="J61" i="370"/>
  <c r="J29" i="370"/>
  <c r="J51" i="370"/>
  <c r="J28" i="370"/>
  <c r="J44" i="370"/>
  <c r="J26" i="370"/>
  <c r="J43" i="370"/>
  <c r="J10" i="370"/>
  <c r="J37" i="370"/>
  <c r="J35" i="370"/>
  <c r="J16" i="370"/>
  <c r="J40" i="370"/>
  <c r="AC9" i="27"/>
  <c r="AA9" i="27" s="1"/>
  <c r="AA7" i="27"/>
  <c r="B80" i="83"/>
  <c r="G25" i="173"/>
  <c r="G32" i="173" s="1"/>
  <c r="B25" i="307"/>
  <c r="B43" i="307" s="1"/>
  <c r="B37" i="307"/>
  <c r="C40" i="157"/>
  <c r="C23" i="86"/>
  <c r="C25" i="86" s="1"/>
  <c r="D40" i="200"/>
  <c r="E40" i="200" s="1"/>
  <c r="F54" i="140"/>
  <c r="F56" i="140" s="1"/>
  <c r="F52" i="140"/>
  <c r="H26" i="8"/>
  <c r="H32" i="8" s="1"/>
  <c r="M59" i="277"/>
  <c r="I51" i="277" s="1"/>
  <c r="AC49" i="159"/>
  <c r="AD49" i="159"/>
  <c r="BM49" i="159" s="1"/>
  <c r="AY49" i="159" s="1"/>
  <c r="BI49" i="159"/>
  <c r="AC48" i="163"/>
  <c r="Z48" i="163" s="1"/>
  <c r="AG48" i="163" s="1"/>
  <c r="E47" i="197"/>
  <c r="D27" i="204"/>
  <c r="R60" i="163"/>
  <c r="AC60" i="163"/>
  <c r="AL60" i="163" s="1"/>
  <c r="E30" i="95"/>
  <c r="G30" i="95" s="1"/>
  <c r="L30" i="95" s="1"/>
  <c r="R23" i="8"/>
  <c r="B19" i="98"/>
  <c r="B8" i="211" s="1"/>
  <c r="AH51" i="159"/>
  <c r="H36" i="307"/>
  <c r="H38" i="307" s="1"/>
  <c r="H14" i="307"/>
  <c r="H42" i="307" s="1"/>
  <c r="H44" i="307" s="1"/>
  <c r="J36" i="307"/>
  <c r="J38" i="307" s="1"/>
  <c r="J14" i="307"/>
  <c r="J42" i="307" s="1"/>
  <c r="J44" i="307" s="1"/>
  <c r="D35" i="27"/>
  <c r="I35" i="27"/>
  <c r="BM28" i="159"/>
  <c r="AQ28" i="159"/>
  <c r="AL27" i="198"/>
  <c r="BB28" i="159"/>
  <c r="BD28" i="159" s="1"/>
  <c r="AH26" i="159"/>
  <c r="BE53" i="159"/>
  <c r="BE67" i="159" s="1"/>
  <c r="BC26" i="159"/>
  <c r="BD26" i="159" s="1"/>
  <c r="BC51" i="159"/>
  <c r="BD51" i="159" s="1"/>
  <c r="T35" i="198"/>
  <c r="T67" i="198" s="1"/>
  <c r="AL45" i="163"/>
  <c r="AH50" i="159"/>
  <c r="Z43" i="198"/>
  <c r="AG43" i="198" s="1"/>
  <c r="AL50" i="163"/>
  <c r="R48" i="163"/>
  <c r="Z31" i="198"/>
  <c r="AG31" i="198" s="1"/>
  <c r="AW25" i="159"/>
  <c r="AQ25" i="159" s="1"/>
  <c r="C35" i="27"/>
  <c r="Z55" i="198"/>
  <c r="AG55" i="198" s="1"/>
  <c r="P61" i="87"/>
  <c r="P63" i="87" s="1"/>
  <c r="AJ32" i="198"/>
  <c r="AJ35" i="198" s="1"/>
  <c r="AI32" i="198"/>
  <c r="AI35" i="198" s="1"/>
  <c r="AK32" i="198"/>
  <c r="AK35" i="198" s="1"/>
  <c r="Z59" i="198"/>
  <c r="AG59" i="198" s="1"/>
  <c r="V9" i="27"/>
  <c r="V10" i="27"/>
  <c r="T10" i="27" s="1"/>
  <c r="U10" i="27" s="1"/>
  <c r="AC60" i="159"/>
  <c r="BC60" i="159" s="1"/>
  <c r="BD60" i="159" s="1"/>
  <c r="L29" i="173"/>
  <c r="G23" i="321" s="1"/>
  <c r="G24" i="321" s="1"/>
  <c r="AL60" i="198"/>
  <c r="AF58" i="198"/>
  <c r="AF66" i="198" s="1"/>
  <c r="AK58" i="198"/>
  <c r="AK66" i="198" s="1"/>
  <c r="AJ58" i="198"/>
  <c r="AJ66" i="198" s="1"/>
  <c r="BM36" i="159"/>
  <c r="R48" i="159"/>
  <c r="N46" i="277"/>
  <c r="O46" i="277" s="1"/>
  <c r="AI46" i="163"/>
  <c r="AI53" i="163" s="1"/>
  <c r="AJ46" i="163"/>
  <c r="AJ53" i="163" s="1"/>
  <c r="AK46" i="163"/>
  <c r="AK53" i="163" s="1"/>
  <c r="AG56" i="159"/>
  <c r="AF56" i="159"/>
  <c r="BC64" i="159"/>
  <c r="BD64" i="159" s="1"/>
  <c r="BG29" i="159"/>
  <c r="BG34" i="159" s="1"/>
  <c r="BG67" i="159" s="1"/>
  <c r="D31" i="140"/>
  <c r="K16" i="9" s="1"/>
  <c r="D33" i="140"/>
  <c r="D35" i="140" s="1"/>
  <c r="P57" i="87" s="1"/>
  <c r="AH64" i="159"/>
  <c r="BH67" i="159"/>
  <c r="X59" i="159"/>
  <c r="AD59" i="159" s="1"/>
  <c r="AG59" i="159"/>
  <c r="BP59" i="159" s="1"/>
  <c r="AF59" i="159"/>
  <c r="AQ62" i="159"/>
  <c r="BM62" i="159"/>
  <c r="AY62" i="159" s="1"/>
  <c r="BI58" i="159"/>
  <c r="AC48" i="159"/>
  <c r="Z48" i="159" s="1"/>
  <c r="AH38" i="159"/>
  <c r="BC38" i="159"/>
  <c r="BD38" i="159" s="1"/>
  <c r="AC36" i="159"/>
  <c r="Z36" i="159" s="1"/>
  <c r="T14" i="173"/>
  <c r="AY50" i="159"/>
  <c r="BQ50" i="159"/>
  <c r="BD50" i="159"/>
  <c r="W7" i="27"/>
  <c r="E19" i="274" s="1"/>
  <c r="V19" i="27"/>
  <c r="W19" i="27"/>
  <c r="V21" i="27"/>
  <c r="L23" i="173"/>
  <c r="G16" i="321" s="1"/>
  <c r="F35" i="27"/>
  <c r="G35" i="27"/>
  <c r="BC32" i="159"/>
  <c r="BD32" i="159" s="1"/>
  <c r="BI45" i="159"/>
  <c r="AL30" i="198"/>
  <c r="BI40" i="159"/>
  <c r="AJ14" i="141"/>
  <c r="V35" i="163"/>
  <c r="V67" i="163" s="1"/>
  <c r="AB35" i="141"/>
  <c r="AB40" i="141" s="1"/>
  <c r="AI14" i="141"/>
  <c r="AC40" i="159"/>
  <c r="Z40" i="159" s="1"/>
  <c r="Z58" i="163"/>
  <c r="AG58" i="163" s="1"/>
  <c r="Z30" i="198"/>
  <c r="AG30" i="198" s="1"/>
  <c r="O35" i="141"/>
  <c r="O40" i="141" s="1"/>
  <c r="O45" i="141" s="1"/>
  <c r="R40" i="159"/>
  <c r="Z35" i="141"/>
  <c r="Z40" i="141" s="1"/>
  <c r="Z45" i="141" s="1"/>
  <c r="AL59" i="198"/>
  <c r="AE17" i="141"/>
  <c r="AG17" i="141" s="1"/>
  <c r="AJ17" i="141" s="1"/>
  <c r="O22" i="87"/>
  <c r="D61" i="140"/>
  <c r="O21" i="87"/>
  <c r="N20" i="8"/>
  <c r="AC62" i="159"/>
  <c r="BC62" i="159" s="1"/>
  <c r="BD62" i="159" s="1"/>
  <c r="O62" i="87"/>
  <c r="AH23" i="159"/>
  <c r="AC32" i="198"/>
  <c r="Z28" i="159"/>
  <c r="Z45" i="163"/>
  <c r="AG45" i="163" s="1"/>
  <c r="AH28" i="159"/>
  <c r="Z23" i="159"/>
  <c r="BJ23" i="159" s="1"/>
  <c r="BK23" i="159" s="1"/>
  <c r="R32" i="198"/>
  <c r="R44" i="198"/>
  <c r="AC44" i="198"/>
  <c r="R62" i="159"/>
  <c r="BI62" i="159"/>
  <c r="AH29" i="141"/>
  <c r="BQ23" i="159"/>
  <c r="AC49" i="198"/>
  <c r="AL49" i="198" s="1"/>
  <c r="R58" i="159"/>
  <c r="BI47" i="159"/>
  <c r="R60" i="159"/>
  <c r="R49" i="198"/>
  <c r="AC58" i="159"/>
  <c r="Z58" i="159" s="1"/>
  <c r="BI60" i="159"/>
  <c r="AJ66" i="163"/>
  <c r="AU34" i="159"/>
  <c r="AU67" i="159" s="1"/>
  <c r="AQ43" i="159"/>
  <c r="BT53" i="159"/>
  <c r="AE56" i="159"/>
  <c r="AI58" i="198"/>
  <c r="AI66" i="198" s="1"/>
  <c r="AE59" i="159"/>
  <c r="BN59" i="159" s="1"/>
  <c r="BO59" i="159"/>
  <c r="E53" i="163"/>
  <c r="X58" i="198"/>
  <c r="X66" i="198" s="1"/>
  <c r="Z50" i="198"/>
  <c r="AG50" i="198" s="1"/>
  <c r="AI53" i="198"/>
  <c r="AL43" i="198"/>
  <c r="BC37" i="159"/>
  <c r="BD37" i="159" s="1"/>
  <c r="AL29" i="163"/>
  <c r="Z27" i="163"/>
  <c r="AG27" i="163" s="1"/>
  <c r="Z25" i="198"/>
  <c r="AG25" i="198" s="1"/>
  <c r="S14" i="173"/>
  <c r="T67" i="159"/>
  <c r="V34" i="159"/>
  <c r="V67" i="159" s="1"/>
  <c r="AF53" i="198"/>
  <c r="AC29" i="159"/>
  <c r="Z29" i="159" s="1"/>
  <c r="BD23" i="159"/>
  <c r="M11" i="345"/>
  <c r="BM48" i="159"/>
  <c r="AH41" i="163"/>
  <c r="R41" i="163"/>
  <c r="AC41" i="163"/>
  <c r="AH49" i="163"/>
  <c r="R49" i="163"/>
  <c r="AC49" i="163"/>
  <c r="Z60" i="198"/>
  <c r="AG60" i="198" s="1"/>
  <c r="AW53" i="159"/>
  <c r="AQ53" i="159" s="1"/>
  <c r="BB48" i="159"/>
  <c r="BO53" i="159"/>
  <c r="BF53" i="159"/>
  <c r="BI43" i="159"/>
  <c r="AJ53" i="198"/>
  <c r="AK53" i="198"/>
  <c r="AH37" i="159"/>
  <c r="Z29" i="198"/>
  <c r="AG29" i="198" s="1"/>
  <c r="M19" i="345"/>
  <c r="BQ49" i="159"/>
  <c r="BI48" i="159"/>
  <c r="AF53" i="159"/>
  <c r="E67" i="198"/>
  <c r="L20" i="345"/>
  <c r="AH41" i="198"/>
  <c r="AH53" i="198" s="1"/>
  <c r="R41" i="198"/>
  <c r="AC41" i="198"/>
  <c r="AW59" i="159"/>
  <c r="BF59" i="159"/>
  <c r="BT59" i="159"/>
  <c r="M21" i="345"/>
  <c r="L21" i="345"/>
  <c r="M13" i="345"/>
  <c r="M14" i="345"/>
  <c r="L14" i="345"/>
  <c r="L15" i="345" s="1"/>
  <c r="L16" i="345" s="1"/>
  <c r="M20" i="345"/>
  <c r="M12" i="345"/>
  <c r="F11" i="319"/>
  <c r="F13" i="319" s="1"/>
  <c r="Q16" i="8"/>
  <c r="R16" i="8" s="1"/>
  <c r="AH22" i="141"/>
  <c r="Q21" i="8"/>
  <c r="R21" i="8" s="1"/>
  <c r="Q22" i="8"/>
  <c r="AH24" i="141"/>
  <c r="C33" i="274"/>
  <c r="BI44" i="159"/>
  <c r="Z32" i="159"/>
  <c r="BN53" i="159"/>
  <c r="R29" i="159"/>
  <c r="AG53" i="159"/>
  <c r="BP44" i="159"/>
  <c r="BP53" i="159" s="1"/>
  <c r="X46" i="163"/>
  <c r="AH46" i="163" s="1"/>
  <c r="AC26" i="163"/>
  <c r="R26" i="163"/>
  <c r="C10" i="278"/>
  <c r="L22" i="8"/>
  <c r="M22" i="8" s="1"/>
  <c r="E16" i="173"/>
  <c r="F16" i="173" s="1"/>
  <c r="F12" i="321"/>
  <c r="S16" i="173"/>
  <c r="E24" i="274"/>
  <c r="F10" i="321"/>
  <c r="Z39" i="159"/>
  <c r="G6" i="319"/>
  <c r="G9" i="319" s="1"/>
  <c r="G10" i="319" s="1"/>
  <c r="G14" i="319" s="1"/>
  <c r="K12" i="307"/>
  <c r="K14" i="307" s="1"/>
  <c r="K42" i="307" s="1"/>
  <c r="K44" i="307" s="1"/>
  <c r="AF46" i="163"/>
  <c r="BM47" i="159"/>
  <c r="BQ47" i="159" s="1"/>
  <c r="AC47" i="159"/>
  <c r="R47" i="159"/>
  <c r="R44" i="159"/>
  <c r="BM44" i="159"/>
  <c r="AC44" i="159"/>
  <c r="BM43" i="159"/>
  <c r="AY43" i="159" s="1"/>
  <c r="R43" i="159"/>
  <c r="AC43" i="159"/>
  <c r="X53" i="198"/>
  <c r="R53" i="198" s="1"/>
  <c r="F7" i="319"/>
  <c r="AH31" i="159"/>
  <c r="BC31" i="159"/>
  <c r="BD31" i="159" s="1"/>
  <c r="Z31" i="159"/>
  <c r="BJ31" i="159" s="1"/>
  <c r="BK31" i="159" s="1"/>
  <c r="K7" i="13"/>
  <c r="H7" i="13"/>
  <c r="H9" i="13" s="1"/>
  <c r="H10" i="13" s="1"/>
  <c r="I7" i="13" s="1"/>
  <c r="I9" i="13" s="1"/>
  <c r="I10" i="13" s="1"/>
  <c r="J7" i="13" s="1"/>
  <c r="C32" i="7"/>
  <c r="C25" i="97"/>
  <c r="D12" i="7"/>
  <c r="C23" i="7" s="1"/>
  <c r="D36" i="8"/>
  <c r="D23" i="157"/>
  <c r="D32" i="157" s="1"/>
  <c r="E23" i="157" s="1"/>
  <c r="E32" i="157" s="1"/>
  <c r="F23" i="157" s="1"/>
  <c r="F32" i="157" s="1"/>
  <c r="G23" i="157" s="1"/>
  <c r="G32" i="157" s="1"/>
  <c r="H23" i="157" s="1"/>
  <c r="H32" i="157" s="1"/>
  <c r="I23" i="157" s="1"/>
  <c r="I32" i="157" s="1"/>
  <c r="J23" i="157" s="1"/>
  <c r="J32" i="157" s="1"/>
  <c r="K23" i="157" s="1"/>
  <c r="K32" i="157" s="1"/>
  <c r="L23" i="157" s="1"/>
  <c r="L32" i="157" s="1"/>
  <c r="M23" i="157" s="1"/>
  <c r="M32" i="157" s="1"/>
  <c r="N23" i="157" s="1"/>
  <c r="N32" i="157" s="1"/>
  <c r="D32" i="97" s="1"/>
  <c r="R56" i="163"/>
  <c r="AC56" i="163"/>
  <c r="R46" i="198"/>
  <c r="AC46" i="198"/>
  <c r="E48" i="277"/>
  <c r="O47" i="277"/>
  <c r="O48" i="277"/>
  <c r="G48" i="277"/>
  <c r="D17" i="204"/>
  <c r="D21" i="204" s="1"/>
  <c r="AC45" i="159"/>
  <c r="Z45" i="159" s="1"/>
  <c r="BM45" i="159"/>
  <c r="AY45" i="159" s="1"/>
  <c r="R45" i="159"/>
  <c r="BM29" i="159"/>
  <c r="AE53" i="159"/>
  <c r="AK66" i="163"/>
  <c r="AI66" i="163"/>
  <c r="K18" i="9"/>
  <c r="AC31" i="163"/>
  <c r="R31" i="163"/>
  <c r="BI42" i="159"/>
  <c r="R42" i="159"/>
  <c r="AC42" i="159"/>
  <c r="Z42" i="159" s="1"/>
  <c r="W14" i="141"/>
  <c r="BD65" i="159"/>
  <c r="BQ65" i="159"/>
  <c r="H13" i="8"/>
  <c r="V17" i="141"/>
  <c r="W17" i="141" s="1"/>
  <c r="AF17" i="141" s="1"/>
  <c r="H24" i="3"/>
  <c r="Q10" i="8"/>
  <c r="R10" i="8" s="1"/>
  <c r="AH37" i="141"/>
  <c r="AI28" i="141"/>
  <c r="L24" i="8"/>
  <c r="M24" i="8" s="1"/>
  <c r="AI21" i="141"/>
  <c r="L19" i="8"/>
  <c r="M19" i="8" s="1"/>
  <c r="F13" i="274"/>
  <c r="C5" i="303"/>
  <c r="AC10" i="163"/>
  <c r="AY41" i="159"/>
  <c r="BQ41" i="159"/>
  <c r="G20" i="3"/>
  <c r="L8" i="8"/>
  <c r="W11" i="141"/>
  <c r="AF11" i="141" s="1"/>
  <c r="N40" i="141"/>
  <c r="N45" i="141" s="1"/>
  <c r="P15" i="141"/>
  <c r="BI36" i="159"/>
  <c r="BB36" i="159"/>
  <c r="AQ36" i="159"/>
  <c r="U21" i="198"/>
  <c r="X21" i="198" s="1"/>
  <c r="AC21" i="198" s="1"/>
  <c r="AL21" i="198" s="1"/>
  <c r="BB30" i="159"/>
  <c r="AQ30" i="159"/>
  <c r="BI30" i="159"/>
  <c r="G33" i="156"/>
  <c r="BI29" i="159"/>
  <c r="BB29" i="159"/>
  <c r="AQ29" i="159"/>
  <c r="E31" i="95"/>
  <c r="G31" i="95" s="1"/>
  <c r="L31" i="95" s="1"/>
  <c r="G37" i="3"/>
  <c r="M22" i="95"/>
  <c r="M33" i="95" s="1"/>
  <c r="D33" i="95"/>
  <c r="AJ25" i="141"/>
  <c r="Q15" i="8"/>
  <c r="H12" i="3"/>
  <c r="C80" i="95"/>
  <c r="C83" i="95" s="1"/>
  <c r="U14" i="198"/>
  <c r="X14" i="198" s="1"/>
  <c r="AC14" i="198" s="1"/>
  <c r="AL14" i="198" s="1"/>
  <c r="X10" i="198"/>
  <c r="V17" i="198"/>
  <c r="V35" i="198" s="1"/>
  <c r="V67" i="198" s="1"/>
  <c r="D82" i="95"/>
  <c r="H13" i="3"/>
  <c r="Y40" i="141"/>
  <c r="Y45" i="141" s="1"/>
  <c r="AA15" i="141"/>
  <c r="K38" i="58"/>
  <c r="E7" i="277"/>
  <c r="E42" i="277" s="1"/>
  <c r="AL63" i="198"/>
  <c r="Z63" i="198"/>
  <c r="AG63" i="198" s="1"/>
  <c r="AE28" i="141"/>
  <c r="N24" i="8"/>
  <c r="BC10" i="159"/>
  <c r="BD10" i="159" s="1"/>
  <c r="Z10" i="159"/>
  <c r="AH10" i="159"/>
  <c r="W19" i="141"/>
  <c r="AF19" i="141" s="1"/>
  <c r="L35" i="141"/>
  <c r="J40" i="141"/>
  <c r="D45" i="140"/>
  <c r="P47" i="87"/>
  <c r="P49" i="87" s="1"/>
  <c r="Z24" i="163"/>
  <c r="AG24" i="163" s="1"/>
  <c r="AL24" i="163"/>
  <c r="BS31" i="159"/>
  <c r="AC9" i="159"/>
  <c r="AL18" i="163"/>
  <c r="C6" i="277"/>
  <c r="X53" i="159"/>
  <c r="R53" i="159" s="1"/>
  <c r="W21" i="141"/>
  <c r="AF21" i="141" s="1"/>
  <c r="AH21" i="141" s="1"/>
  <c r="L9" i="8"/>
  <c r="M9" i="8" s="1"/>
  <c r="I53" i="27"/>
  <c r="AC19" i="141"/>
  <c r="D63" i="27"/>
  <c r="AH25" i="141"/>
  <c r="AH20" i="141"/>
  <c r="AC37" i="198"/>
  <c r="R37" i="198"/>
  <c r="BQ40" i="159"/>
  <c r="AY40" i="159"/>
  <c r="BC49" i="159"/>
  <c r="BD49" i="159" s="1"/>
  <c r="H25" i="3"/>
  <c r="Q11" i="8"/>
  <c r="R11" i="8" s="1"/>
  <c r="AH38" i="141"/>
  <c r="D106" i="140"/>
  <c r="D107" i="140"/>
  <c r="D109" i="140" s="1"/>
  <c r="AQ42" i="159"/>
  <c r="BB42" i="159"/>
  <c r="Z44" i="163"/>
  <c r="AG44" i="163" s="1"/>
  <c r="AL44" i="163"/>
  <c r="AY33" i="159"/>
  <c r="R62" i="163"/>
  <c r="AC62" i="163"/>
  <c r="I22" i="95"/>
  <c r="Z33" i="159"/>
  <c r="BC33" i="159"/>
  <c r="BD33" i="159" s="1"/>
  <c r="AH33" i="159"/>
  <c r="BI9" i="159"/>
  <c r="BB9" i="159"/>
  <c r="BC25" i="159"/>
  <c r="AH25" i="159"/>
  <c r="Z25" i="159"/>
  <c r="U15" i="198"/>
  <c r="X15" i="198" s="1"/>
  <c r="AC15" i="198" s="1"/>
  <c r="AL15" i="198" s="1"/>
  <c r="BC30" i="159"/>
  <c r="Z30" i="159"/>
  <c r="AH30" i="159"/>
  <c r="BJ51" i="159"/>
  <c r="BK51" i="159" s="1"/>
  <c r="BS51" i="159"/>
  <c r="I49" i="277"/>
  <c r="W12" i="141"/>
  <c r="AF12" i="141" s="1"/>
  <c r="G21" i="3"/>
  <c r="AH23" i="141"/>
  <c r="X43" i="163"/>
  <c r="AH43" i="163" s="1"/>
  <c r="AF43" i="163"/>
  <c r="U53" i="163"/>
  <c r="BQ58" i="159"/>
  <c r="AY58" i="159"/>
  <c r="BS58" i="159" s="1"/>
  <c r="AY26" i="159"/>
  <c r="BQ26" i="159"/>
  <c r="Z45" i="198"/>
  <c r="AG45" i="198" s="1"/>
  <c r="AL45" i="198"/>
  <c r="AF66" i="163"/>
  <c r="AH39" i="159"/>
  <c r="BC39" i="159"/>
  <c r="BD39" i="159" s="1"/>
  <c r="Z48" i="198"/>
  <c r="AG48" i="198" s="1"/>
  <c r="AL48" i="198"/>
  <c r="BQ60" i="159"/>
  <c r="AY60" i="159"/>
  <c r="BS60" i="159" s="1"/>
  <c r="Z40" i="198"/>
  <c r="AG40" i="198" s="1"/>
  <c r="AL40" i="198"/>
  <c r="AY27" i="159"/>
  <c r="BQ27" i="159"/>
  <c r="BD27" i="159"/>
  <c r="BQ17" i="159"/>
  <c r="BD17" i="159"/>
  <c r="Z24" i="159"/>
  <c r="BC24" i="159"/>
  <c r="AH24" i="159"/>
  <c r="BQ32" i="159"/>
  <c r="AY32" i="159"/>
  <c r="BS23" i="159"/>
  <c r="BC63" i="159"/>
  <c r="BD63" i="159" s="1"/>
  <c r="AH63" i="159"/>
  <c r="BT56" i="159"/>
  <c r="BF56" i="159"/>
  <c r="AW56" i="159"/>
  <c r="AT66" i="159"/>
  <c r="Z26" i="198"/>
  <c r="AG26" i="198" s="1"/>
  <c r="AL26" i="198"/>
  <c r="BQ64" i="159"/>
  <c r="AY64" i="159"/>
  <c r="BQ38" i="159"/>
  <c r="AY38" i="159"/>
  <c r="BJ38" i="159" s="1"/>
  <c r="BK38" i="159" s="1"/>
  <c r="Z62" i="198"/>
  <c r="AG62" i="198" s="1"/>
  <c r="AL62" i="198"/>
  <c r="AL18" i="198"/>
  <c r="AY63" i="159"/>
  <c r="BQ63" i="159"/>
  <c r="AQ24" i="159"/>
  <c r="BB24" i="159"/>
  <c r="BI24" i="159"/>
  <c r="R56" i="198"/>
  <c r="AC56" i="198"/>
  <c r="AH66" i="163"/>
  <c r="AC59" i="163"/>
  <c r="R59" i="163"/>
  <c r="X66" i="163"/>
  <c r="BM39" i="159"/>
  <c r="BQ39" i="159" s="1"/>
  <c r="X56" i="159"/>
  <c r="AD56" i="159" s="1"/>
  <c r="U66" i="159"/>
  <c r="Z39" i="198"/>
  <c r="AL39" i="198"/>
  <c r="AY37" i="159"/>
  <c r="BJ37" i="159" s="1"/>
  <c r="BK37" i="159" s="1"/>
  <c r="BQ37" i="159"/>
  <c r="AL37" i="163"/>
  <c r="Z37" i="163"/>
  <c r="AG37" i="163" s="1"/>
  <c r="L49" i="173" l="1"/>
  <c r="AD53" i="159"/>
  <c r="L8" i="173"/>
  <c r="G6" i="321" s="1"/>
  <c r="E7" i="373"/>
  <c r="E6" i="82"/>
  <c r="H135" i="140"/>
  <c r="H136" i="140" s="1"/>
  <c r="D11" i="97"/>
  <c r="J29" i="173"/>
  <c r="J30" i="173" s="1"/>
  <c r="T21" i="27"/>
  <c r="U21" i="27" s="1"/>
  <c r="W21" i="27"/>
  <c r="AH49" i="159"/>
  <c r="C7" i="373"/>
  <c r="G7" i="373" s="1"/>
  <c r="F131" i="140"/>
  <c r="F132" i="140" s="1"/>
  <c r="F137" i="140" s="1"/>
  <c r="F139" i="140" s="1"/>
  <c r="Z49" i="159"/>
  <c r="BJ49" i="159" s="1"/>
  <c r="BK49" i="159" s="1"/>
  <c r="T9" i="27"/>
  <c r="U9" i="27" s="1"/>
  <c r="G67" i="3"/>
  <c r="C34" i="274"/>
  <c r="D4" i="274" s="1"/>
  <c r="D34" i="274" s="1"/>
  <c r="BM25" i="159"/>
  <c r="AL48" i="163"/>
  <c r="Z60" i="163"/>
  <c r="AG60" i="163" s="1"/>
  <c r="Z60" i="159"/>
  <c r="BJ60" i="159" s="1"/>
  <c r="BK60" i="159" s="1"/>
  <c r="L7" i="173"/>
  <c r="K7" i="173" s="1"/>
  <c r="AY28" i="159"/>
  <c r="BJ28" i="159" s="1"/>
  <c r="BK28" i="159" s="1"/>
  <c r="AC59" i="159"/>
  <c r="Z59" i="159" s="1"/>
  <c r="R59" i="159"/>
  <c r="BQ28" i="159"/>
  <c r="L22" i="345"/>
  <c r="L34" i="345" s="1"/>
  <c r="L66" i="345" s="1"/>
  <c r="I55" i="27"/>
  <c r="F8" i="321"/>
  <c r="F15" i="321" s="1"/>
  <c r="F18" i="321" s="1"/>
  <c r="F20" i="321" s="1"/>
  <c r="F25" i="321" s="1"/>
  <c r="G15" i="13"/>
  <c r="B14" i="98"/>
  <c r="B16" i="98" s="1"/>
  <c r="B20" i="98" s="1"/>
  <c r="B24" i="98" s="1"/>
  <c r="T29" i="173"/>
  <c r="C27" i="98"/>
  <c r="L30" i="173"/>
  <c r="G76" i="58"/>
  <c r="H71" i="347" s="1"/>
  <c r="S12" i="173"/>
  <c r="AH36" i="159"/>
  <c r="BC36" i="159"/>
  <c r="BD36" i="159" s="1"/>
  <c r="AH60" i="159"/>
  <c r="BQ62" i="159"/>
  <c r="BI59" i="159"/>
  <c r="BB25" i="159"/>
  <c r="BD25" i="159" s="1"/>
  <c r="BI25" i="159"/>
  <c r="T23" i="173"/>
  <c r="W9" i="27"/>
  <c r="E20" i="274" s="1"/>
  <c r="AH48" i="159"/>
  <c r="BC48" i="159"/>
  <c r="BD48" i="159" s="1"/>
  <c r="AL32" i="198"/>
  <c r="K72" i="58"/>
  <c r="J84" i="58"/>
  <c r="J86" i="58" s="1"/>
  <c r="O57" i="87"/>
  <c r="AB7" i="27"/>
  <c r="Z32" i="198"/>
  <c r="AG32" i="198" s="1"/>
  <c r="AJ67" i="198"/>
  <c r="Z62" i="159"/>
  <c r="BJ62" i="159" s="1"/>
  <c r="BK62" i="159" s="1"/>
  <c r="AY47" i="159"/>
  <c r="BS47" i="159" s="1"/>
  <c r="BS50" i="159"/>
  <c r="BJ50" i="159"/>
  <c r="BK50" i="159" s="1"/>
  <c r="AD21" i="27"/>
  <c r="AC11" i="27"/>
  <c r="V29" i="27"/>
  <c r="V14" i="27"/>
  <c r="I56" i="27"/>
  <c r="AH62" i="159"/>
  <c r="BC40" i="159"/>
  <c r="BD40" i="159" s="1"/>
  <c r="AH40" i="159"/>
  <c r="AB45" i="141"/>
  <c r="AD34" i="27"/>
  <c r="AH58" i="159"/>
  <c r="BC58" i="159"/>
  <c r="BD58" i="159" s="1"/>
  <c r="R15" i="8"/>
  <c r="AI67" i="198"/>
  <c r="AK67" i="198"/>
  <c r="N54" i="87"/>
  <c r="N55" i="87"/>
  <c r="D64" i="140"/>
  <c r="Z44" i="198"/>
  <c r="AG44" i="198" s="1"/>
  <c r="AL44" i="198"/>
  <c r="BF66" i="159"/>
  <c r="AJ67" i="163"/>
  <c r="Z49" i="198"/>
  <c r="AG49" i="198" s="1"/>
  <c r="BQ43" i="159"/>
  <c r="AH29" i="159"/>
  <c r="E44" i="197"/>
  <c r="H72" i="346"/>
  <c r="H73" i="346" s="1"/>
  <c r="AH58" i="198"/>
  <c r="AH66" i="198" s="1"/>
  <c r="R58" i="198"/>
  <c r="AC58" i="198"/>
  <c r="AC66" i="198" s="1"/>
  <c r="BQ48" i="159"/>
  <c r="BC29" i="159"/>
  <c r="BD29" i="159" s="1"/>
  <c r="AY48" i="159"/>
  <c r="AL41" i="163"/>
  <c r="Z41" i="163"/>
  <c r="AG41" i="163" s="1"/>
  <c r="AL49" i="163"/>
  <c r="Z49" i="163"/>
  <c r="AG49" i="163" s="1"/>
  <c r="BM59" i="159"/>
  <c r="Z41" i="198"/>
  <c r="AG41" i="198" s="1"/>
  <c r="AL41" i="198"/>
  <c r="AQ59" i="159"/>
  <c r="BB59" i="159"/>
  <c r="R22" i="8"/>
  <c r="K36" i="307"/>
  <c r="K38" i="307" s="1"/>
  <c r="M22" i="345"/>
  <c r="M15" i="345"/>
  <c r="M16" i="345" s="1"/>
  <c r="AC40" i="58"/>
  <c r="AC41" i="58" s="1"/>
  <c r="BI53" i="159"/>
  <c r="R46" i="163"/>
  <c r="AC46" i="163"/>
  <c r="AL46" i="163" s="1"/>
  <c r="K49" i="173"/>
  <c r="Z26" i="163"/>
  <c r="AG26" i="163" s="1"/>
  <c r="AL26" i="163"/>
  <c r="AC53" i="198"/>
  <c r="Z53" i="198" s="1"/>
  <c r="F53" i="197" s="1"/>
  <c r="BJ33" i="159"/>
  <c r="BK33" i="159" s="1"/>
  <c r="AC53" i="159"/>
  <c r="Z53" i="159" s="1"/>
  <c r="BB53" i="159"/>
  <c r="BQ45" i="159"/>
  <c r="Z47" i="159"/>
  <c r="AH47" i="159"/>
  <c r="BC47" i="159"/>
  <c r="BD47" i="159" s="1"/>
  <c r="BQ44" i="159"/>
  <c r="AY44" i="159"/>
  <c r="BC44" i="159"/>
  <c r="BD44" i="159" s="1"/>
  <c r="Z44" i="159"/>
  <c r="AH44" i="159"/>
  <c r="Z43" i="159"/>
  <c r="BJ43" i="159" s="1"/>
  <c r="BK43" i="159" s="1"/>
  <c r="BC43" i="159"/>
  <c r="BD43" i="159" s="1"/>
  <c r="AH43" i="159"/>
  <c r="G48" i="156"/>
  <c r="X16" i="198"/>
  <c r="AC16" i="198" s="1"/>
  <c r="AL16" i="198" s="1"/>
  <c r="X22" i="198"/>
  <c r="AC22" i="198" s="1"/>
  <c r="AL22" i="198" s="1"/>
  <c r="C22" i="303"/>
  <c r="F22" i="303" s="1"/>
  <c r="G22" i="303" s="1"/>
  <c r="AI67" i="163"/>
  <c r="N27" i="173"/>
  <c r="C49" i="157"/>
  <c r="O40" i="157"/>
  <c r="O49" i="157" s="1"/>
  <c r="D23" i="86" s="1"/>
  <c r="D25" i="86" s="1"/>
  <c r="E25" i="86" s="1"/>
  <c r="P32" i="157"/>
  <c r="AK67" i="163"/>
  <c r="Z56" i="163"/>
  <c r="AG56" i="163" s="1"/>
  <c r="AL56" i="163"/>
  <c r="Z46" i="198"/>
  <c r="AG46" i="198" s="1"/>
  <c r="AL46" i="198"/>
  <c r="BD30" i="159"/>
  <c r="U27" i="173"/>
  <c r="D9" i="211"/>
  <c r="Q14" i="27"/>
  <c r="Q20" i="8"/>
  <c r="E14" i="274"/>
  <c r="K8" i="173"/>
  <c r="N50" i="277"/>
  <c r="G49" i="277" s="1"/>
  <c r="O44" i="277"/>
  <c r="K29" i="173"/>
  <c r="K30" i="173" s="1"/>
  <c r="AH45" i="159"/>
  <c r="BC45" i="159"/>
  <c r="BD45" i="159" s="1"/>
  <c r="P9" i="173"/>
  <c r="M82" i="95"/>
  <c r="G82" i="95"/>
  <c r="AY29" i="159"/>
  <c r="BQ29" i="159"/>
  <c r="H20" i="3"/>
  <c r="Q8" i="8"/>
  <c r="AH11" i="141"/>
  <c r="BC42" i="159"/>
  <c r="BD42" i="159" s="1"/>
  <c r="AH42" i="159"/>
  <c r="H21" i="3"/>
  <c r="Q9" i="8"/>
  <c r="R9" i="8" s="1"/>
  <c r="AH12" i="141"/>
  <c r="N38" i="58"/>
  <c r="M11" i="307" s="1"/>
  <c r="M12" i="307" s="1"/>
  <c r="O26" i="58"/>
  <c r="G7" i="277"/>
  <c r="BQ42" i="159"/>
  <c r="AY42" i="159"/>
  <c r="E80" i="95"/>
  <c r="H38" i="3"/>
  <c r="R61" i="3" s="1"/>
  <c r="S61" i="3" s="1"/>
  <c r="BJ40" i="159"/>
  <c r="BK40" i="159" s="1"/>
  <c r="BS40" i="159"/>
  <c r="Z37" i="198"/>
  <c r="AG37" i="198" s="1"/>
  <c r="AL37" i="198"/>
  <c r="E8" i="197"/>
  <c r="E18" i="197" s="1"/>
  <c r="E22" i="197" s="1"/>
  <c r="AE19" i="141"/>
  <c r="N17" i="8"/>
  <c r="H39" i="3"/>
  <c r="D13" i="159"/>
  <c r="D14" i="163"/>
  <c r="U14" i="163" s="1"/>
  <c r="X14" i="163" s="1"/>
  <c r="AC14" i="163" s="1"/>
  <c r="AL14" i="163" s="1"/>
  <c r="D16" i="163"/>
  <c r="U16" i="163" s="1"/>
  <c r="D15" i="159"/>
  <c r="E22" i="95"/>
  <c r="G22" i="95" s="1"/>
  <c r="G33" i="3"/>
  <c r="H7" i="3" s="1"/>
  <c r="E81" i="95"/>
  <c r="AI17" i="141"/>
  <c r="L20" i="8"/>
  <c r="M20" i="8" s="1"/>
  <c r="Z62" i="163"/>
  <c r="AG62" i="163" s="1"/>
  <c r="AL62" i="163"/>
  <c r="S26" i="58"/>
  <c r="D20" i="163"/>
  <c r="D19" i="159"/>
  <c r="BC9" i="159"/>
  <c r="AH9" i="159"/>
  <c r="AC15" i="141"/>
  <c r="D21" i="159"/>
  <c r="D22" i="163"/>
  <c r="U22" i="163" s="1"/>
  <c r="D12" i="159"/>
  <c r="D13" i="163"/>
  <c r="AC10" i="198"/>
  <c r="D21" i="163"/>
  <c r="U21" i="163" s="1"/>
  <c r="X21" i="163" s="1"/>
  <c r="AC21" i="163" s="1"/>
  <c r="AL21" i="163" s="1"/>
  <c r="D20" i="159"/>
  <c r="AY36" i="159"/>
  <c r="BS36" i="159" s="1"/>
  <c r="BQ36" i="159"/>
  <c r="AL10" i="163"/>
  <c r="E24" i="95"/>
  <c r="G24" i="95" s="1"/>
  <c r="L24" i="95" s="1"/>
  <c r="G34" i="3"/>
  <c r="D15" i="163"/>
  <c r="U15" i="163" s="1"/>
  <c r="X15" i="163" s="1"/>
  <c r="AC15" i="163" s="1"/>
  <c r="AL15" i="163" s="1"/>
  <c r="D14" i="159"/>
  <c r="BQ9" i="159"/>
  <c r="BS49" i="159"/>
  <c r="C42" i="277"/>
  <c r="C43" i="277" s="1"/>
  <c r="U15" i="141"/>
  <c r="U35" i="141" s="1"/>
  <c r="L40" i="141"/>
  <c r="L45" i="141" s="1"/>
  <c r="AI26" i="141"/>
  <c r="L18" i="8"/>
  <c r="M18" i="8" s="1"/>
  <c r="G6" i="277"/>
  <c r="O20" i="58"/>
  <c r="AY30" i="159"/>
  <c r="BS30" i="159" s="1"/>
  <c r="BQ30" i="159"/>
  <c r="R15" i="141"/>
  <c r="L13" i="8"/>
  <c r="M8" i="8"/>
  <c r="BJ41" i="159"/>
  <c r="BK41" i="159" s="1"/>
  <c r="BS41" i="159"/>
  <c r="AL31" i="163"/>
  <c r="Z31" i="163"/>
  <c r="AG31" i="163" s="1"/>
  <c r="K22" i="95"/>
  <c r="I33" i="95"/>
  <c r="AG28" i="141"/>
  <c r="U20" i="198"/>
  <c r="D23" i="198"/>
  <c r="P19" i="173"/>
  <c r="F7" i="277"/>
  <c r="F12" i="277"/>
  <c r="F37" i="277"/>
  <c r="F16" i="277"/>
  <c r="F28" i="277"/>
  <c r="F9" i="277"/>
  <c r="E43" i="277"/>
  <c r="F41" i="277"/>
  <c r="F27" i="277"/>
  <c r="F13" i="277"/>
  <c r="F39" i="277"/>
  <c r="F38" i="277"/>
  <c r="F17" i="277"/>
  <c r="F19" i="277"/>
  <c r="F36" i="277"/>
  <c r="F20" i="277"/>
  <c r="F6" i="277"/>
  <c r="F32" i="277"/>
  <c r="F22" i="277"/>
  <c r="F24" i="277"/>
  <c r="F15" i="277"/>
  <c r="F10" i="277"/>
  <c r="F18" i="277"/>
  <c r="F25" i="277"/>
  <c r="F11" i="277"/>
  <c r="F8" i="277"/>
  <c r="F30" i="277"/>
  <c r="F31" i="277"/>
  <c r="F23" i="277"/>
  <c r="F34" i="277"/>
  <c r="F29" i="277"/>
  <c r="F21" i="277"/>
  <c r="F35" i="277"/>
  <c r="F14" i="277"/>
  <c r="F33" i="277"/>
  <c r="F40" i="277"/>
  <c r="F26" i="277"/>
  <c r="C29" i="197"/>
  <c r="C31" i="197" s="1"/>
  <c r="C33" i="197" s="1"/>
  <c r="C37" i="197" s="1"/>
  <c r="G84" i="58"/>
  <c r="G86" i="58" s="1"/>
  <c r="G91" i="58" s="1"/>
  <c r="C36" i="197" s="1"/>
  <c r="G50" i="27"/>
  <c r="F11" i="13"/>
  <c r="J45" i="141"/>
  <c r="F47" i="3"/>
  <c r="F49" i="3" s="1"/>
  <c r="AI19" i="141"/>
  <c r="L17" i="8"/>
  <c r="D17" i="198"/>
  <c r="U13" i="198"/>
  <c r="B81" i="95"/>
  <c r="D81" i="95" s="1"/>
  <c r="H11" i="3"/>
  <c r="AF14" i="141"/>
  <c r="Q19" i="8"/>
  <c r="R19" i="8" s="1"/>
  <c r="W26" i="141"/>
  <c r="AF26" i="141" s="1"/>
  <c r="AH17" i="141"/>
  <c r="D80" i="95"/>
  <c r="H36" i="8"/>
  <c r="BS43" i="159"/>
  <c r="AL59" i="163"/>
  <c r="Z59" i="163"/>
  <c r="AG59" i="163" s="1"/>
  <c r="AC66" i="163"/>
  <c r="AC56" i="159"/>
  <c r="Z56" i="159" s="1"/>
  <c r="X66" i="159"/>
  <c r="R56" i="159"/>
  <c r="BQ24" i="159"/>
  <c r="AY24" i="159"/>
  <c r="BD24" i="159"/>
  <c r="BT66" i="159"/>
  <c r="BJ45" i="159"/>
  <c r="BK45" i="159" s="1"/>
  <c r="BS45" i="159"/>
  <c r="BJ26" i="159"/>
  <c r="BK26" i="159" s="1"/>
  <c r="BS26" i="159"/>
  <c r="AY39" i="159"/>
  <c r="BN56" i="159"/>
  <c r="BN66" i="159" s="1"/>
  <c r="BN67" i="159" s="1"/>
  <c r="AE66" i="159"/>
  <c r="AE67" i="159" s="1"/>
  <c r="BS37" i="159"/>
  <c r="BP56" i="159"/>
  <c r="BP66" i="159" s="1"/>
  <c r="BP67" i="159" s="1"/>
  <c r="AG66" i="159"/>
  <c r="AG67" i="159" s="1"/>
  <c r="BO56" i="159"/>
  <c r="BO66" i="159" s="1"/>
  <c r="BO67" i="159" s="1"/>
  <c r="AF66" i="159"/>
  <c r="AF67" i="159" s="1"/>
  <c r="AL56" i="198"/>
  <c r="Z56" i="198"/>
  <c r="AG56" i="198" s="1"/>
  <c r="BS63" i="159"/>
  <c r="BJ63" i="159"/>
  <c r="BK63" i="159" s="1"/>
  <c r="BS62" i="159"/>
  <c r="R66" i="198"/>
  <c r="BI56" i="159"/>
  <c r="BB56" i="159"/>
  <c r="AQ56" i="159"/>
  <c r="AW66" i="159"/>
  <c r="BJ32" i="159"/>
  <c r="BK32" i="159" s="1"/>
  <c r="BS32" i="159"/>
  <c r="BJ27" i="159"/>
  <c r="BK27" i="159" s="1"/>
  <c r="BS27" i="159"/>
  <c r="BJ58" i="159"/>
  <c r="BK58" i="159" s="1"/>
  <c r="BM53" i="159"/>
  <c r="BS38" i="159"/>
  <c r="BJ64" i="159"/>
  <c r="BK64" i="159" s="1"/>
  <c r="BS64" i="159"/>
  <c r="AF53" i="163"/>
  <c r="AC43" i="163"/>
  <c r="R43" i="163"/>
  <c r="AH53" i="163"/>
  <c r="X53" i="163"/>
  <c r="R53" i="163" s="1"/>
  <c r="V33" i="27" l="1"/>
  <c r="H61" i="3"/>
  <c r="R19" i="173"/>
  <c r="Q19" i="173"/>
  <c r="Q9" i="173"/>
  <c r="I133" i="140"/>
  <c r="R62" i="3"/>
  <c r="S62" i="3" s="1"/>
  <c r="H62" i="3"/>
  <c r="G71" i="3"/>
  <c r="H54" i="3" s="1"/>
  <c r="C15" i="98"/>
  <c r="C7" i="211" s="1"/>
  <c r="G45" i="3"/>
  <c r="F51" i="3"/>
  <c r="N51" i="3" s="1"/>
  <c r="I12" i="3"/>
  <c r="I38" i="3" s="1"/>
  <c r="J12" i="3" s="1"/>
  <c r="J38" i="3" s="1"/>
  <c r="K12" i="3" s="1"/>
  <c r="K38" i="3" s="1"/>
  <c r="L12" i="3" s="1"/>
  <c r="L38" i="3" s="1"/>
  <c r="L16" i="173"/>
  <c r="G12" i="321" s="1"/>
  <c r="I13" i="3"/>
  <c r="I39" i="3" s="1"/>
  <c r="J13" i="3" s="1"/>
  <c r="J39" i="3" s="1"/>
  <c r="K13" i="3" s="1"/>
  <c r="K39" i="3" s="1"/>
  <c r="L13" i="3" s="1"/>
  <c r="L39" i="3" s="1"/>
  <c r="G40" i="173"/>
  <c r="K82" i="95"/>
  <c r="L82" i="95" s="1"/>
  <c r="I80" i="95"/>
  <c r="K80" i="95" s="1"/>
  <c r="X48" i="173"/>
  <c r="M36" i="307"/>
  <c r="M14" i="307"/>
  <c r="M42" i="307" s="1"/>
  <c r="G5" i="321"/>
  <c r="E4" i="274"/>
  <c r="P23" i="173"/>
  <c r="U23" i="173" s="1"/>
  <c r="K74" i="58"/>
  <c r="K75" i="58" s="1"/>
  <c r="K77" i="58" s="1"/>
  <c r="H75" i="346" s="1"/>
  <c r="AH59" i="159"/>
  <c r="E13" i="274"/>
  <c r="BS28" i="159"/>
  <c r="BC59" i="159"/>
  <c r="BD59" i="159" s="1"/>
  <c r="O50" i="277"/>
  <c r="BI66" i="159"/>
  <c r="AY25" i="159"/>
  <c r="BS25" i="159" s="1"/>
  <c r="BQ25" i="159"/>
  <c r="G51" i="277"/>
  <c r="D20" i="222"/>
  <c r="E20" i="222" s="1"/>
  <c r="D44" i="200"/>
  <c r="E44" i="200" s="1"/>
  <c r="E45" i="197"/>
  <c r="E46" i="197" s="1"/>
  <c r="E48" i="197" s="1"/>
  <c r="D18" i="204"/>
  <c r="D19" i="204" s="1"/>
  <c r="D28" i="204" s="1"/>
  <c r="C39" i="197"/>
  <c r="C47" i="197" s="1"/>
  <c r="C27" i="204"/>
  <c r="S32" i="173"/>
  <c r="S25" i="173"/>
  <c r="AY53" i="159"/>
  <c r="BS53" i="159" s="1"/>
  <c r="AC29" i="27"/>
  <c r="AB9" i="27"/>
  <c r="N72" i="58"/>
  <c r="D15" i="373" s="1"/>
  <c r="D16" i="373" s="1"/>
  <c r="L11" i="307"/>
  <c r="L12" i="307" s="1"/>
  <c r="L14" i="307" s="1"/>
  <c r="L42" i="307" s="1"/>
  <c r="D8" i="200"/>
  <c r="T14" i="27"/>
  <c r="AA10" i="27"/>
  <c r="AB10" i="27" s="1"/>
  <c r="AA11" i="27"/>
  <c r="AB11" i="27" s="1"/>
  <c r="AD9" i="27"/>
  <c r="F20" i="274" s="1"/>
  <c r="AA21" i="27"/>
  <c r="AA29" i="27" s="1"/>
  <c r="BJ47" i="159"/>
  <c r="BK47" i="159" s="1"/>
  <c r="Z46" i="163"/>
  <c r="AG46" i="163" s="1"/>
  <c r="AC14" i="27"/>
  <c r="F22" i="274"/>
  <c r="AD29" i="27"/>
  <c r="U14" i="27"/>
  <c r="U29" i="27"/>
  <c r="E22" i="274"/>
  <c r="T29" i="27"/>
  <c r="O54" i="87"/>
  <c r="O55" i="87"/>
  <c r="U21" i="159"/>
  <c r="X21" i="159" s="1"/>
  <c r="AC21" i="159" s="1"/>
  <c r="AT21" i="159"/>
  <c r="U15" i="159"/>
  <c r="X15" i="159" s="1"/>
  <c r="AC15" i="159" s="1"/>
  <c r="AT15" i="159"/>
  <c r="Z58" i="198"/>
  <c r="AG58" i="198" s="1"/>
  <c r="AL58" i="198"/>
  <c r="AL66" i="198" s="1"/>
  <c r="AD40" i="58"/>
  <c r="AD41" i="58" s="1"/>
  <c r="BS48" i="159"/>
  <c r="BJ48" i="159"/>
  <c r="BK48" i="159" s="1"/>
  <c r="AY59" i="159"/>
  <c r="BS59" i="159" s="1"/>
  <c r="BC53" i="159"/>
  <c r="BQ59" i="159"/>
  <c r="M34" i="345"/>
  <c r="BQ53" i="159"/>
  <c r="BC98" i="159"/>
  <c r="BE98" i="159" s="1"/>
  <c r="C34" i="101"/>
  <c r="AL53" i="198"/>
  <c r="AH53" i="159"/>
  <c r="BJ44" i="159"/>
  <c r="BK44" i="159" s="1"/>
  <c r="BS44" i="159"/>
  <c r="X16" i="163"/>
  <c r="AC16" i="163" s="1"/>
  <c r="AL16" i="163" s="1"/>
  <c r="X22" i="163"/>
  <c r="AC22" i="163" s="1"/>
  <c r="AL22" i="163" s="1"/>
  <c r="BS39" i="159"/>
  <c r="BJ39" i="159"/>
  <c r="BK39" i="159" s="1"/>
  <c r="D40" i="157"/>
  <c r="D49" i="157" s="1"/>
  <c r="E40" i="157" s="1"/>
  <c r="E49" i="157" s="1"/>
  <c r="F40" i="157" s="1"/>
  <c r="F49" i="157" s="1"/>
  <c r="G40" i="157" s="1"/>
  <c r="G49" i="157" s="1"/>
  <c r="H40" i="157" s="1"/>
  <c r="H49" i="157" s="1"/>
  <c r="I40" i="157" s="1"/>
  <c r="I49" i="157" s="1"/>
  <c r="J40" i="157" s="1"/>
  <c r="J49" i="157" s="1"/>
  <c r="K40" i="157" s="1"/>
  <c r="K49" i="157" s="1"/>
  <c r="L40" i="157" s="1"/>
  <c r="L49" i="157" s="1"/>
  <c r="M40" i="157" s="1"/>
  <c r="M49" i="157" s="1"/>
  <c r="N40" i="157" s="1"/>
  <c r="N49" i="157" s="1"/>
  <c r="E32" i="97" s="1"/>
  <c r="E23" i="86"/>
  <c r="AL66" i="163"/>
  <c r="R20" i="8"/>
  <c r="Q13" i="8"/>
  <c r="BD53" i="159"/>
  <c r="BJ30" i="159"/>
  <c r="BK30" i="159" s="1"/>
  <c r="G42" i="277"/>
  <c r="H31" i="277" s="1"/>
  <c r="BJ36" i="159"/>
  <c r="BK36" i="159" s="1"/>
  <c r="C17" i="303"/>
  <c r="F17" i="303" s="1"/>
  <c r="G17" i="303" s="1"/>
  <c r="O19" i="173"/>
  <c r="U19" i="173"/>
  <c r="H72" i="95"/>
  <c r="K33" i="95"/>
  <c r="T15" i="141"/>
  <c r="I26" i="8"/>
  <c r="H8" i="3"/>
  <c r="B74" i="95"/>
  <c r="D74" i="95" s="1"/>
  <c r="I50" i="27"/>
  <c r="F52" i="27"/>
  <c r="G52" i="27"/>
  <c r="F56" i="27"/>
  <c r="G56" i="27"/>
  <c r="AG19" i="141"/>
  <c r="AH19" i="141" s="1"/>
  <c r="BS42" i="159"/>
  <c r="BJ42" i="159"/>
  <c r="BK42" i="159" s="1"/>
  <c r="F76" i="83"/>
  <c r="O38" i="58"/>
  <c r="N84" i="58"/>
  <c r="N86" i="58" s="1"/>
  <c r="N91" i="58" s="1"/>
  <c r="D36" i="197" s="1"/>
  <c r="U50" i="27"/>
  <c r="W50" i="27" s="1"/>
  <c r="D29" i="197"/>
  <c r="D31" i="197" s="1"/>
  <c r="D33" i="197" s="1"/>
  <c r="D37" i="197" s="1"/>
  <c r="D40" i="197" s="1"/>
  <c r="J11" i="13"/>
  <c r="E74" i="95"/>
  <c r="H37" i="3"/>
  <c r="G81" i="95"/>
  <c r="M81" i="95"/>
  <c r="D24" i="277"/>
  <c r="D25" i="277"/>
  <c r="D33" i="277"/>
  <c r="D10" i="277"/>
  <c r="D15" i="277"/>
  <c r="D22" i="277"/>
  <c r="D17" i="277"/>
  <c r="D29" i="277"/>
  <c r="D13" i="277"/>
  <c r="D8" i="277"/>
  <c r="D36" i="277"/>
  <c r="D23" i="277"/>
  <c r="D21" i="277"/>
  <c r="D12" i="277"/>
  <c r="D27" i="277"/>
  <c r="D14" i="277"/>
  <c r="D11" i="277"/>
  <c r="D20" i="277"/>
  <c r="D41" i="277"/>
  <c r="D40" i="277"/>
  <c r="D16" i="277"/>
  <c r="D7" i="277"/>
  <c r="D18" i="277"/>
  <c r="D30" i="277"/>
  <c r="D9" i="277"/>
  <c r="D19" i="277"/>
  <c r="D31" i="277"/>
  <c r="D39" i="277"/>
  <c r="D35" i="277"/>
  <c r="D38" i="277"/>
  <c r="D34" i="277"/>
  <c r="D26" i="277"/>
  <c r="D37" i="277"/>
  <c r="D28" i="277"/>
  <c r="D32" i="277"/>
  <c r="D16" i="159"/>
  <c r="U12" i="159"/>
  <c r="AT12" i="159"/>
  <c r="U20" i="163"/>
  <c r="D23" i="163"/>
  <c r="AH26" i="141"/>
  <c r="Q18" i="8"/>
  <c r="R18" i="8" s="1"/>
  <c r="AH14" i="141"/>
  <c r="M17" i="8"/>
  <c r="E14" i="173"/>
  <c r="F14" i="173" s="1"/>
  <c r="G11" i="13"/>
  <c r="AJ28" i="141"/>
  <c r="Q24" i="8"/>
  <c r="R24" i="8" s="1"/>
  <c r="AT20" i="159"/>
  <c r="U20" i="159"/>
  <c r="X20" i="159" s="1"/>
  <c r="AC20" i="159" s="1"/>
  <c r="U13" i="163"/>
  <c r="D17" i="163"/>
  <c r="AE15" i="141"/>
  <c r="N26" i="8"/>
  <c r="AT19" i="159"/>
  <c r="D22" i="159"/>
  <c r="U19" i="159"/>
  <c r="L14" i="13"/>
  <c r="D35" i="198"/>
  <c r="D6" i="277"/>
  <c r="BD9" i="159"/>
  <c r="L22" i="95"/>
  <c r="G74" i="58"/>
  <c r="C18" i="204"/>
  <c r="C45" i="197"/>
  <c r="C46" i="197" s="1"/>
  <c r="G80" i="95"/>
  <c r="M80" i="95"/>
  <c r="U23" i="198"/>
  <c r="AF23" i="198"/>
  <c r="X20" i="198"/>
  <c r="AT13" i="159"/>
  <c r="U13" i="159"/>
  <c r="X13" i="159" s="1"/>
  <c r="AC13" i="159" s="1"/>
  <c r="U17" i="198"/>
  <c r="AF16" i="198"/>
  <c r="AF17" i="198" s="1"/>
  <c r="X13" i="198"/>
  <c r="R8" i="8"/>
  <c r="R13" i="8" s="1"/>
  <c r="M13" i="8"/>
  <c r="U14" i="159"/>
  <c r="X14" i="159" s="1"/>
  <c r="AC14" i="159" s="1"/>
  <c r="AT14" i="159"/>
  <c r="AL10" i="198"/>
  <c r="I6" i="277"/>
  <c r="T20" i="58"/>
  <c r="S38" i="58"/>
  <c r="N11" i="307" s="1"/>
  <c r="I7" i="277"/>
  <c r="T26" i="58"/>
  <c r="B72" i="95"/>
  <c r="D72" i="95" s="1"/>
  <c r="H56" i="3"/>
  <c r="I72" i="95" s="1"/>
  <c r="E72" i="95"/>
  <c r="BS29" i="159"/>
  <c r="BJ29" i="159"/>
  <c r="BK29" i="159" s="1"/>
  <c r="F42" i="277"/>
  <c r="AH28" i="141"/>
  <c r="BB66" i="159"/>
  <c r="AG53" i="198"/>
  <c r="BJ24" i="159"/>
  <c r="BK24" i="159" s="1"/>
  <c r="BS24" i="159"/>
  <c r="AH56" i="159"/>
  <c r="BC56" i="159"/>
  <c r="AC66" i="159"/>
  <c r="AL43" i="163"/>
  <c r="AL53" i="163" s="1"/>
  <c r="Z43" i="163"/>
  <c r="AG43" i="163" s="1"/>
  <c r="AC53" i="163"/>
  <c r="Z53" i="163" s="1"/>
  <c r="AG53" i="163" s="1"/>
  <c r="Z66" i="198"/>
  <c r="F54" i="197" s="1"/>
  <c r="AD66" i="159"/>
  <c r="BM56" i="159"/>
  <c r="BM66" i="159" s="1"/>
  <c r="T16" i="173" l="1"/>
  <c r="H16" i="321"/>
  <c r="H60" i="3"/>
  <c r="R60" i="3"/>
  <c r="S60" i="3" s="1"/>
  <c r="N21" i="307"/>
  <c r="M20" i="307"/>
  <c r="M28" i="307" s="1"/>
  <c r="R23" i="173"/>
  <c r="Q23" i="173"/>
  <c r="D37" i="200"/>
  <c r="E37" i="200" s="1"/>
  <c r="J16" i="173"/>
  <c r="K16" i="173" s="1"/>
  <c r="D24" i="97"/>
  <c r="D18" i="222"/>
  <c r="E18" i="222" s="1"/>
  <c r="I11" i="3"/>
  <c r="I37" i="3" s="1"/>
  <c r="J11" i="3" s="1"/>
  <c r="J37" i="3" s="1"/>
  <c r="K11" i="3" s="1"/>
  <c r="K37" i="3" s="1"/>
  <c r="L11" i="3" s="1"/>
  <c r="L37" i="3" s="1"/>
  <c r="L80" i="95"/>
  <c r="U33" i="27"/>
  <c r="T33" i="27"/>
  <c r="I81" i="95"/>
  <c r="K81" i="95" s="1"/>
  <c r="L81" i="95" s="1"/>
  <c r="X57" i="173"/>
  <c r="X59" i="173" s="1"/>
  <c r="AH66" i="159"/>
  <c r="BC66" i="159"/>
  <c r="BJ25" i="159"/>
  <c r="BK25" i="159" s="1"/>
  <c r="C40" i="197"/>
  <c r="D22" i="204"/>
  <c r="D23" i="204" s="1"/>
  <c r="D31" i="204" s="1"/>
  <c r="L9" i="173"/>
  <c r="H14" i="13"/>
  <c r="K14" i="13" s="1"/>
  <c r="E7" i="204" s="1"/>
  <c r="C48" i="197"/>
  <c r="G34" i="173"/>
  <c r="G54" i="197"/>
  <c r="G53" i="197"/>
  <c r="M21" i="307"/>
  <c r="M29" i="307" s="1"/>
  <c r="AB14" i="27"/>
  <c r="AB21" i="27"/>
  <c r="AB29" i="27" s="1"/>
  <c r="L36" i="307"/>
  <c r="F45" i="197"/>
  <c r="F46" i="197" s="1"/>
  <c r="L21" i="307"/>
  <c r="L29" i="307" s="1"/>
  <c r="L20" i="307"/>
  <c r="L28" i="307" s="1"/>
  <c r="D24" i="200"/>
  <c r="E24" i="200" s="1"/>
  <c r="D23" i="200"/>
  <c r="D18" i="200" s="1"/>
  <c r="E18" i="200" s="1"/>
  <c r="AA14" i="27"/>
  <c r="I36" i="173"/>
  <c r="J36" i="173"/>
  <c r="J15" i="173" s="1"/>
  <c r="AE40" i="58"/>
  <c r="AE41" i="58" s="1"/>
  <c r="BJ59" i="159"/>
  <c r="BK59" i="159" s="1"/>
  <c r="N36" i="173"/>
  <c r="N15" i="173" s="1"/>
  <c r="H53" i="197"/>
  <c r="F24" i="274"/>
  <c r="BJ53" i="159"/>
  <c r="BK53" i="159" s="1"/>
  <c r="C26" i="97"/>
  <c r="C28" i="97" s="1"/>
  <c r="C40" i="7"/>
  <c r="G20" i="13"/>
  <c r="D20" i="13" s="1"/>
  <c r="D15" i="13"/>
  <c r="H6" i="319"/>
  <c r="H9" i="319" s="1"/>
  <c r="H10" i="319" s="1"/>
  <c r="F44" i="321"/>
  <c r="P49" i="157"/>
  <c r="H33" i="3"/>
  <c r="I7" i="3" s="1"/>
  <c r="I33" i="3" s="1"/>
  <c r="J7" i="3" s="1"/>
  <c r="J33" i="3" s="1"/>
  <c r="K7" i="3" s="1"/>
  <c r="K33" i="3" s="1"/>
  <c r="L7" i="3" s="1"/>
  <c r="L33" i="3" s="1"/>
  <c r="N29" i="307"/>
  <c r="H7" i="277"/>
  <c r="H20" i="277"/>
  <c r="H14" i="277"/>
  <c r="H24" i="277"/>
  <c r="H32" i="277"/>
  <c r="H40" i="277"/>
  <c r="H19" i="277"/>
  <c r="H30" i="277"/>
  <c r="H39" i="277"/>
  <c r="H36" i="277"/>
  <c r="H33" i="277"/>
  <c r="H28" i="277"/>
  <c r="H18" i="277"/>
  <c r="H27" i="277"/>
  <c r="H16" i="277"/>
  <c r="H10" i="277"/>
  <c r="H15" i="277"/>
  <c r="H8" i="277"/>
  <c r="H35" i="277"/>
  <c r="H29" i="277"/>
  <c r="H23" i="277"/>
  <c r="H22" i="277"/>
  <c r="H26" i="277"/>
  <c r="H37" i="277"/>
  <c r="H34" i="277"/>
  <c r="H12" i="277"/>
  <c r="H21" i="277"/>
  <c r="H41" i="277"/>
  <c r="H11" i="277"/>
  <c r="G43" i="277"/>
  <c r="H13" i="277"/>
  <c r="H9" i="277"/>
  <c r="H25" i="277"/>
  <c r="H38" i="277"/>
  <c r="H17" i="277"/>
  <c r="H6" i="277"/>
  <c r="AF35" i="198"/>
  <c r="AF67" i="198" s="1"/>
  <c r="E15" i="13"/>
  <c r="D34" i="159"/>
  <c r="C72" i="159" s="1"/>
  <c r="AW15" i="159"/>
  <c r="BF15" i="159"/>
  <c r="U40" i="141"/>
  <c r="U45" i="141" s="1"/>
  <c r="BF13" i="159"/>
  <c r="AW13" i="159"/>
  <c r="G75" i="58"/>
  <c r="M14" i="13"/>
  <c r="L16" i="13"/>
  <c r="F51" i="27"/>
  <c r="F53" i="27" s="1"/>
  <c r="G55" i="27"/>
  <c r="G57" i="27" s="1"/>
  <c r="F55" i="27"/>
  <c r="F57" i="27" s="1"/>
  <c r="D51" i="27"/>
  <c r="D53" i="27" s="1"/>
  <c r="G51" i="27"/>
  <c r="G53" i="27" s="1"/>
  <c r="D55" i="27"/>
  <c r="D57" i="27" s="1"/>
  <c r="G72" i="95"/>
  <c r="M72" i="95"/>
  <c r="BC13" i="159"/>
  <c r="AH13" i="159"/>
  <c r="AC20" i="198"/>
  <c r="X23" i="198"/>
  <c r="C19" i="204"/>
  <c r="C28" i="204" s="1"/>
  <c r="C22" i="204"/>
  <c r="C23" i="204" s="1"/>
  <c r="C31" i="204" s="1"/>
  <c r="D67" i="198"/>
  <c r="F12" i="274"/>
  <c r="F7" i="274" s="1"/>
  <c r="P50" i="173"/>
  <c r="F11" i="204"/>
  <c r="P6" i="173"/>
  <c r="H4" i="321" s="1"/>
  <c r="H7" i="321" s="1"/>
  <c r="U5" i="173"/>
  <c r="D12" i="98"/>
  <c r="X19" i="159"/>
  <c r="U22" i="159"/>
  <c r="AF16" i="163"/>
  <c r="AF17" i="163" s="1"/>
  <c r="X13" i="163"/>
  <c r="U17" i="163"/>
  <c r="U23" i="163"/>
  <c r="AF23" i="163"/>
  <c r="X20" i="163"/>
  <c r="K11" i="13"/>
  <c r="K20" i="13" s="1"/>
  <c r="J9" i="13"/>
  <c r="BF21" i="159"/>
  <c r="AW21" i="159"/>
  <c r="G74" i="95"/>
  <c r="M74" i="95"/>
  <c r="V15" i="141"/>
  <c r="D42" i="277"/>
  <c r="AH20" i="159"/>
  <c r="BC20" i="159"/>
  <c r="AT16" i="159"/>
  <c r="AW12" i="159"/>
  <c r="BT15" i="159"/>
  <c r="BT16" i="159" s="1"/>
  <c r="BF12" i="159"/>
  <c r="BC14" i="159"/>
  <c r="AH14" i="159"/>
  <c r="AH21" i="159"/>
  <c r="BC21" i="159"/>
  <c r="K72" i="95"/>
  <c r="H83" i="95"/>
  <c r="D35" i="163"/>
  <c r="S84" i="58"/>
  <c r="N11" i="13"/>
  <c r="F84" i="83"/>
  <c r="E29" i="197"/>
  <c r="E31" i="197" s="1"/>
  <c r="AA50" i="27"/>
  <c r="T38" i="58"/>
  <c r="AC13" i="198"/>
  <c r="X17" i="198"/>
  <c r="AG15" i="141"/>
  <c r="F78" i="83"/>
  <c r="F80" i="83" s="1"/>
  <c r="D78" i="83"/>
  <c r="D80" i="83" s="1"/>
  <c r="BC15" i="159"/>
  <c r="AH15" i="159"/>
  <c r="BF14" i="159"/>
  <c r="AW14" i="159"/>
  <c r="BF19" i="159"/>
  <c r="AW19" i="159"/>
  <c r="AT22" i="159"/>
  <c r="AW20" i="159"/>
  <c r="BF20" i="159"/>
  <c r="X12" i="159"/>
  <c r="U16" i="159"/>
  <c r="D3" i="222"/>
  <c r="E3" i="222" s="1"/>
  <c r="N74" i="58"/>
  <c r="N75" i="58" s="1"/>
  <c r="O72" i="58"/>
  <c r="E18" i="204"/>
  <c r="G45" i="197"/>
  <c r="G46" i="197" s="1"/>
  <c r="G48" i="197" s="1"/>
  <c r="D4" i="222"/>
  <c r="AJ19" i="141"/>
  <c r="Q17" i="8"/>
  <c r="U35" i="198"/>
  <c r="U67" i="198" s="1"/>
  <c r="H34" i="3"/>
  <c r="R57" i="3" s="1"/>
  <c r="S57" i="3" s="1"/>
  <c r="AG66" i="198"/>
  <c r="AY56" i="159"/>
  <c r="BQ56" i="159"/>
  <c r="BQ66" i="159" s="1"/>
  <c r="BD56" i="159"/>
  <c r="BD66" i="159" s="1"/>
  <c r="H57" i="3" l="1"/>
  <c r="E23" i="173"/>
  <c r="F23" i="173"/>
  <c r="I74" i="95"/>
  <c r="K74" i="95" s="1"/>
  <c r="L74" i="95" s="1"/>
  <c r="I8" i="3"/>
  <c r="I34" i="3" s="1"/>
  <c r="J8" i="3" s="1"/>
  <c r="J34" i="3" s="1"/>
  <c r="K8" i="3" s="1"/>
  <c r="K34" i="3" s="1"/>
  <c r="L8" i="3" s="1"/>
  <c r="L34" i="3" s="1"/>
  <c r="P33" i="173"/>
  <c r="B9" i="368" s="1"/>
  <c r="C9" i="368" s="1"/>
  <c r="D8" i="98"/>
  <c r="E11" i="204"/>
  <c r="D15" i="222"/>
  <c r="E12" i="274"/>
  <c r="E7" i="274" s="1"/>
  <c r="F33" i="321"/>
  <c r="F35" i="321" s="1"/>
  <c r="G38" i="173"/>
  <c r="L22" i="173" s="1"/>
  <c r="C25" i="98" s="1"/>
  <c r="C12" i="98"/>
  <c r="S34" i="173"/>
  <c r="L50" i="173"/>
  <c r="I51" i="173" s="1"/>
  <c r="T5" i="173"/>
  <c r="L6" i="173"/>
  <c r="H16" i="13"/>
  <c r="I14" i="13"/>
  <c r="I16" i="13" s="1"/>
  <c r="W52" i="27"/>
  <c r="T52" i="27" s="1"/>
  <c r="I18" i="368"/>
  <c r="I17" i="368"/>
  <c r="I20" i="368" s="1"/>
  <c r="D19" i="200"/>
  <c r="E19" i="200" s="1"/>
  <c r="S86" i="58"/>
  <c r="R84" i="58"/>
  <c r="W15" i="141"/>
  <c r="AF15" i="141" s="1"/>
  <c r="R17" i="8"/>
  <c r="D16" i="7"/>
  <c r="C27" i="7" s="1"/>
  <c r="C35" i="7" s="1"/>
  <c r="R17" i="198"/>
  <c r="AH17" i="198"/>
  <c r="AH35" i="198" s="1"/>
  <c r="AH67" i="198" s="1"/>
  <c r="E23" i="200"/>
  <c r="F16" i="274"/>
  <c r="F20" i="13"/>
  <c r="E20" i="13"/>
  <c r="I6" i="319"/>
  <c r="N20" i="307"/>
  <c r="N28" i="307" s="1"/>
  <c r="L72" i="95"/>
  <c r="AF35" i="163"/>
  <c r="AF67" i="163" s="1"/>
  <c r="U35" i="163"/>
  <c r="U67" i="163" s="1"/>
  <c r="BF22" i="159"/>
  <c r="F15" i="13"/>
  <c r="BF16" i="159"/>
  <c r="AC12" i="159"/>
  <c r="X16" i="159"/>
  <c r="AC19" i="159"/>
  <c r="X22" i="159"/>
  <c r="AL20" i="198"/>
  <c r="AL23" i="198" s="1"/>
  <c r="AC23" i="198"/>
  <c r="E22" i="204"/>
  <c r="E23" i="204" s="1"/>
  <c r="E31" i="204" s="1"/>
  <c r="E19" i="204"/>
  <c r="E28" i="204" s="1"/>
  <c r="BI19" i="159"/>
  <c r="BB19" i="159"/>
  <c r="AW22" i="159"/>
  <c r="G80" i="83"/>
  <c r="AJ15" i="141"/>
  <c r="AL13" i="198"/>
  <c r="AL17" i="198" s="1"/>
  <c r="AC17" i="198"/>
  <c r="BI21" i="159"/>
  <c r="BB21" i="159"/>
  <c r="AC20" i="163"/>
  <c r="X23" i="163"/>
  <c r="C4" i="303"/>
  <c r="D10" i="200"/>
  <c r="E8" i="200"/>
  <c r="E10" i="200" s="1"/>
  <c r="R23" i="198"/>
  <c r="X35" i="198"/>
  <c r="D12" i="173"/>
  <c r="D54" i="27"/>
  <c r="BB13" i="159"/>
  <c r="BI13" i="159"/>
  <c r="U34" i="159"/>
  <c r="U67" i="159" s="1"/>
  <c r="N14" i="13"/>
  <c r="BT22" i="159"/>
  <c r="AT34" i="159"/>
  <c r="AT67" i="159" s="1"/>
  <c r="K9" i="13"/>
  <c r="G54" i="27"/>
  <c r="F12" i="173"/>
  <c r="E12" i="173"/>
  <c r="F54" i="27"/>
  <c r="G7" i="13"/>
  <c r="C46" i="277"/>
  <c r="C48" i="277" s="1"/>
  <c r="D7" i="13"/>
  <c r="AI15" i="141"/>
  <c r="L26" i="8"/>
  <c r="BI15" i="159"/>
  <c r="BB15" i="159"/>
  <c r="E4" i="222"/>
  <c r="D11" i="222"/>
  <c r="E11" i="222" s="1"/>
  <c r="N77" i="58"/>
  <c r="BI20" i="159"/>
  <c r="BB20" i="159"/>
  <c r="BB14" i="159"/>
  <c r="BI14" i="159"/>
  <c r="BB12" i="159"/>
  <c r="BI12" i="159"/>
  <c r="AW16" i="159"/>
  <c r="AQ16" i="159" s="1"/>
  <c r="J8" i="13"/>
  <c r="J10" i="13"/>
  <c r="AC13" i="163"/>
  <c r="X17" i="163"/>
  <c r="C24" i="101"/>
  <c r="D5" i="211"/>
  <c r="N51" i="173"/>
  <c r="D23" i="173"/>
  <c r="I57" i="27"/>
  <c r="G77" i="58"/>
  <c r="H72" i="347" s="1"/>
  <c r="BJ56" i="159"/>
  <c r="BK56" i="159" s="1"/>
  <c r="BS56" i="159"/>
  <c r="M36" i="173"/>
  <c r="C5" i="211" l="1"/>
  <c r="I22" i="368"/>
  <c r="I23" i="368" s="1"/>
  <c r="F23" i="368" s="1"/>
  <c r="B24" i="101"/>
  <c r="D37" i="97" s="1"/>
  <c r="E37" i="97" s="1"/>
  <c r="V48" i="173"/>
  <c r="G41" i="173"/>
  <c r="G42" i="173" s="1"/>
  <c r="D32" i="200"/>
  <c r="D6" i="200" s="1"/>
  <c r="D53" i="200" s="1"/>
  <c r="E53" i="200" s="1"/>
  <c r="E15" i="222"/>
  <c r="J51" i="173"/>
  <c r="K51" i="173"/>
  <c r="S38" i="173"/>
  <c r="E16" i="274"/>
  <c r="G4" i="321"/>
  <c r="G7" i="321" s="1"/>
  <c r="J14" i="13"/>
  <c r="J16" i="13" s="1"/>
  <c r="K6" i="173"/>
  <c r="K9" i="173" s="1"/>
  <c r="U52" i="27"/>
  <c r="H39" i="8"/>
  <c r="H41" i="8" s="1"/>
  <c r="C33" i="7"/>
  <c r="R16" i="159"/>
  <c r="AD16" i="159"/>
  <c r="R17" i="163"/>
  <c r="AH17" i="163"/>
  <c r="AH35" i="163" s="1"/>
  <c r="AH67" i="163" s="1"/>
  <c r="B11" i="320"/>
  <c r="BF34" i="159"/>
  <c r="BF67" i="159" s="1"/>
  <c r="BI22" i="159"/>
  <c r="I54" i="27"/>
  <c r="BI16" i="159"/>
  <c r="AL35" i="198"/>
  <c r="AL13" i="163"/>
  <c r="AL17" i="163" s="1"/>
  <c r="AC17" i="163"/>
  <c r="Z17" i="163" s="1"/>
  <c r="AG17" i="163" s="1"/>
  <c r="BT34" i="159"/>
  <c r="D12" i="200"/>
  <c r="D14" i="200"/>
  <c r="E14" i="200" s="1"/>
  <c r="Z16" i="198"/>
  <c r="Z17" i="198"/>
  <c r="AG17" i="198" s="1"/>
  <c r="Q26" i="8"/>
  <c r="AH15" i="141"/>
  <c r="BQ15" i="159"/>
  <c r="BD15" i="159"/>
  <c r="D14" i="13"/>
  <c r="D9" i="13"/>
  <c r="D10" i="13" s="1"/>
  <c r="E7" i="13" s="1"/>
  <c r="I20" i="13"/>
  <c r="H20" i="13"/>
  <c r="J20" i="13"/>
  <c r="BQ19" i="159"/>
  <c r="BB22" i="159"/>
  <c r="AC35" i="198"/>
  <c r="Z23" i="198"/>
  <c r="AG23" i="198" s="1"/>
  <c r="AH12" i="159"/>
  <c r="AH16" i="159" s="1"/>
  <c r="BC12" i="159"/>
  <c r="BC16" i="159" s="1"/>
  <c r="AC16" i="159"/>
  <c r="Z16" i="159" s="1"/>
  <c r="R23" i="163"/>
  <c r="X35" i="163"/>
  <c r="BQ12" i="159"/>
  <c r="BB16" i="159"/>
  <c r="AY16" i="159" s="1"/>
  <c r="BQ14" i="159"/>
  <c r="BD14" i="159"/>
  <c r="K8" i="13"/>
  <c r="K16" i="13"/>
  <c r="K10" i="13"/>
  <c r="O14" i="13"/>
  <c r="BD13" i="159"/>
  <c r="BQ13" i="159"/>
  <c r="BQ21" i="159"/>
  <c r="BD21" i="159"/>
  <c r="AQ22" i="159"/>
  <c r="AW34" i="159"/>
  <c r="AH19" i="159"/>
  <c r="AH22" i="159" s="1"/>
  <c r="BC19" i="159"/>
  <c r="BC22" i="159" s="1"/>
  <c r="AC22" i="159"/>
  <c r="BD20" i="159"/>
  <c r="BQ20" i="159"/>
  <c r="M26" i="8"/>
  <c r="G49" i="173"/>
  <c r="G50" i="173" s="1"/>
  <c r="D51" i="173" s="1"/>
  <c r="G9" i="13"/>
  <c r="R35" i="198"/>
  <c r="X67" i="198"/>
  <c r="R67" i="198" s="1"/>
  <c r="C7" i="303"/>
  <c r="AL20" i="163"/>
  <c r="AL23" i="163" s="1"/>
  <c r="AC23" i="163"/>
  <c r="R22" i="159"/>
  <c r="X34" i="159"/>
  <c r="W48" i="173" l="1"/>
  <c r="W57" i="173" s="1"/>
  <c r="V57" i="173"/>
  <c r="V59" i="173" s="1"/>
  <c r="L33" i="173" s="1"/>
  <c r="D9" i="222" s="1"/>
  <c r="U48" i="173"/>
  <c r="U57" i="173" s="1"/>
  <c r="U59" i="173" s="1"/>
  <c r="E32" i="200"/>
  <c r="D13" i="222"/>
  <c r="E13" i="222" s="1"/>
  <c r="L51" i="173"/>
  <c r="G52" i="197"/>
  <c r="M22" i="307"/>
  <c r="M23" i="307" s="1"/>
  <c r="M25" i="307" s="1"/>
  <c r="L22" i="307"/>
  <c r="D22" i="200"/>
  <c r="E22" i="200" s="1"/>
  <c r="E25" i="200" s="1"/>
  <c r="AD34" i="159"/>
  <c r="AD67" i="159" s="1"/>
  <c r="BM16" i="159"/>
  <c r="BM34" i="159" s="1"/>
  <c r="BM67" i="159" s="1"/>
  <c r="BI34" i="159"/>
  <c r="BI67" i="159" s="1"/>
  <c r="BQ22" i="159"/>
  <c r="K36" i="173"/>
  <c r="AL67" i="198"/>
  <c r="BQ16" i="159"/>
  <c r="BC34" i="159"/>
  <c r="BC67" i="159" s="1"/>
  <c r="Z35" i="198"/>
  <c r="F52" i="197" s="1"/>
  <c r="AC67" i="198"/>
  <c r="Z67" i="198" s="1"/>
  <c r="F55" i="197" s="1"/>
  <c r="R34" i="159"/>
  <c r="X67" i="159"/>
  <c r="G8" i="13"/>
  <c r="G10" i="13"/>
  <c r="F14" i="13"/>
  <c r="D16" i="13"/>
  <c r="D17" i="13" s="1"/>
  <c r="D18" i="13" s="1"/>
  <c r="D19" i="13" s="1"/>
  <c r="D21" i="13" s="1"/>
  <c r="G14" i="13"/>
  <c r="G16" i="13" s="1"/>
  <c r="G17" i="13" s="1"/>
  <c r="E14" i="13"/>
  <c r="AH34" i="159"/>
  <c r="AH67" i="159" s="1"/>
  <c r="E8" i="173"/>
  <c r="D8" i="173"/>
  <c r="E20" i="173"/>
  <c r="E25" i="173" s="1"/>
  <c r="F49" i="173"/>
  <c r="F20" i="173" s="1"/>
  <c r="F25" i="173" s="1"/>
  <c r="D20" i="173"/>
  <c r="D25" i="173" s="1"/>
  <c r="D33" i="173"/>
  <c r="E33" i="173"/>
  <c r="BJ16" i="159"/>
  <c r="BK16" i="159" s="1"/>
  <c r="BS16" i="159"/>
  <c r="R35" i="163"/>
  <c r="X67" i="163"/>
  <c r="E9" i="13"/>
  <c r="E10" i="13" s="1"/>
  <c r="F7" i="13" s="1"/>
  <c r="E12" i="200"/>
  <c r="D13" i="200"/>
  <c r="E13" i="200" s="1"/>
  <c r="AL35" i="163"/>
  <c r="AL67" i="163" s="1"/>
  <c r="BD19" i="159"/>
  <c r="BD22" i="159" s="1"/>
  <c r="AQ34" i="159"/>
  <c r="AW67" i="159"/>
  <c r="BT67" i="159"/>
  <c r="Z23" i="163"/>
  <c r="AG23" i="163" s="1"/>
  <c r="AC35" i="163"/>
  <c r="R26" i="8"/>
  <c r="AC34" i="159"/>
  <c r="Z22" i="159"/>
  <c r="F7" i="204"/>
  <c r="AY22" i="159"/>
  <c r="BB34" i="159"/>
  <c r="BD12" i="159"/>
  <c r="BD16" i="159" s="1"/>
  <c r="L36" i="173" l="1"/>
  <c r="C6" i="98"/>
  <c r="L23" i="307"/>
  <c r="L30" i="307"/>
  <c r="L31" i="307" s="1"/>
  <c r="L33" i="307" s="1"/>
  <c r="F21" i="368"/>
  <c r="C8" i="98"/>
  <c r="T33" i="173"/>
  <c r="G31" i="321"/>
  <c r="I33" i="173"/>
  <c r="K33" i="173"/>
  <c r="W59" i="173"/>
  <c r="G55" i="197"/>
  <c r="Z34" i="159"/>
  <c r="D25" i="200"/>
  <c r="D20" i="200" s="1"/>
  <c r="E20" i="200" s="1"/>
  <c r="D17" i="200"/>
  <c r="E17" i="200" s="1"/>
  <c r="BQ34" i="159"/>
  <c r="G18" i="13"/>
  <c r="G19" i="13" s="1"/>
  <c r="G21" i="13" s="1"/>
  <c r="F33" i="173"/>
  <c r="BD34" i="159"/>
  <c r="BD67" i="159" s="1"/>
  <c r="F8" i="173"/>
  <c r="F9" i="13"/>
  <c r="BC97" i="159"/>
  <c r="BE97" i="159" s="1"/>
  <c r="AY34" i="159"/>
  <c r="BB67" i="159"/>
  <c r="AC67" i="159"/>
  <c r="E16" i="13"/>
  <c r="E17" i="13" s="1"/>
  <c r="E18" i="13" s="1"/>
  <c r="E19" i="13" s="1"/>
  <c r="E21" i="13" s="1"/>
  <c r="Z35" i="163"/>
  <c r="AG35" i="163" s="1"/>
  <c r="AC67" i="163"/>
  <c r="AG67" i="198"/>
  <c r="D5" i="222"/>
  <c r="E5" i="222" s="1"/>
  <c r="BJ22" i="159"/>
  <c r="BK22" i="159" s="1"/>
  <c r="BS22" i="159"/>
  <c r="E51" i="173"/>
  <c r="AG35" i="198"/>
  <c r="F51" i="173"/>
  <c r="F9" i="173" s="1"/>
  <c r="H133" i="140" l="1"/>
  <c r="L15" i="173"/>
  <c r="B21" i="368"/>
  <c r="L37" i="307"/>
  <c r="L25" i="307"/>
  <c r="L43" i="307" s="1"/>
  <c r="L44" i="307" s="1"/>
  <c r="J33" i="173"/>
  <c r="F20" i="368"/>
  <c r="B20" i="368"/>
  <c r="H134" i="140"/>
  <c r="C14" i="211"/>
  <c r="E9" i="274"/>
  <c r="E9" i="222"/>
  <c r="J40" i="156"/>
  <c r="J42" i="156" s="1"/>
  <c r="J45" i="156" s="1"/>
  <c r="J46" i="156" s="1"/>
  <c r="D27" i="200"/>
  <c r="E27" i="200" s="1"/>
  <c r="E28" i="200" s="1"/>
  <c r="C10" i="98"/>
  <c r="T36" i="173"/>
  <c r="E9" i="173"/>
  <c r="E32" i="173" s="1"/>
  <c r="E34" i="173" s="1"/>
  <c r="E38" i="173" s="1"/>
  <c r="G51" i="173"/>
  <c r="G41" i="321"/>
  <c r="H11" i="319"/>
  <c r="BQ67" i="159"/>
  <c r="N22" i="307"/>
  <c r="N23" i="307" s="1"/>
  <c r="O36" i="173"/>
  <c r="F6" i="173"/>
  <c r="F8" i="13"/>
  <c r="F16" i="13"/>
  <c r="F17" i="13" s="1"/>
  <c r="H52" i="197"/>
  <c r="BJ34" i="159"/>
  <c r="BK34" i="159" s="1"/>
  <c r="BS34" i="159"/>
  <c r="D9" i="173"/>
  <c r="F32" i="173"/>
  <c r="F34" i="173" s="1"/>
  <c r="F38" i="173" s="1"/>
  <c r="F10" i="13"/>
  <c r="BE99" i="159"/>
  <c r="BG98" i="159" s="1"/>
  <c r="P36" i="173" l="1"/>
  <c r="F47" i="197"/>
  <c r="F48" i="197" s="1"/>
  <c r="L38" i="307"/>
  <c r="D6" i="98"/>
  <c r="N31" i="307"/>
  <c r="N33" i="307" s="1"/>
  <c r="N25" i="307"/>
  <c r="D28" i="200"/>
  <c r="D50" i="200" s="1"/>
  <c r="E50" i="200" s="1"/>
  <c r="D6" i="222"/>
  <c r="E6" i="222" s="1"/>
  <c r="G11" i="321"/>
  <c r="E10" i="274"/>
  <c r="B7" i="101"/>
  <c r="D10" i="23"/>
  <c r="C17" i="211"/>
  <c r="G34" i="321"/>
  <c r="G30" i="321"/>
  <c r="G32" i="321" s="1"/>
  <c r="E6" i="173"/>
  <c r="I11" i="319"/>
  <c r="B16" i="320" s="1"/>
  <c r="BG97" i="159"/>
  <c r="D32" i="173"/>
  <c r="D34" i="173" s="1"/>
  <c r="D38" i="173" s="1"/>
  <c r="D6" i="173"/>
  <c r="F18" i="13"/>
  <c r="F19" i="13" s="1"/>
  <c r="F21" i="13" s="1"/>
  <c r="P15" i="173" l="1"/>
  <c r="I12" i="319"/>
  <c r="I13" i="319" s="1"/>
  <c r="B8" i="368"/>
  <c r="C8" i="368" s="1"/>
  <c r="F8" i="368"/>
  <c r="N43" i="307"/>
  <c r="I134" i="140"/>
  <c r="D7" i="222"/>
  <c r="E7" i="222" s="1"/>
  <c r="H24" i="98"/>
  <c r="D12" i="23"/>
  <c r="D13" i="23" s="1"/>
  <c r="D31" i="97"/>
  <c r="D34" i="23" s="1"/>
  <c r="K15" i="173"/>
  <c r="T15" i="173"/>
  <c r="D25" i="23"/>
  <c r="D36" i="200"/>
  <c r="E36" i="200" s="1"/>
  <c r="R36" i="173"/>
  <c r="H43" i="321"/>
  <c r="H39" i="321"/>
  <c r="B17" i="320"/>
  <c r="B18" i="320" s="1"/>
  <c r="U36" i="173"/>
  <c r="H30" i="321"/>
  <c r="H34" i="321"/>
  <c r="G44" i="321"/>
  <c r="D14" i="211"/>
  <c r="O15" i="173" l="1"/>
  <c r="Q15" i="173"/>
  <c r="D8" i="222"/>
  <c r="E8" i="222" s="1"/>
  <c r="E10" i="222" s="1"/>
  <c r="D16" i="23"/>
  <c r="E7" i="23" s="1"/>
  <c r="C7" i="101"/>
  <c r="E10" i="23"/>
  <c r="D17" i="211"/>
  <c r="F9" i="274"/>
  <c r="D10" i="98"/>
  <c r="F9" i="368"/>
  <c r="U33" i="173"/>
  <c r="H40" i="321"/>
  <c r="H41" i="321" s="1"/>
  <c r="H31" i="321"/>
  <c r="H32" i="321" s="1"/>
  <c r="C28" i="303"/>
  <c r="N33" i="173"/>
  <c r="G64" i="83"/>
  <c r="G66" i="83" s="1"/>
  <c r="P14" i="173" l="1"/>
  <c r="Q14" i="173" s="1"/>
  <c r="F10" i="274"/>
  <c r="D10" i="222"/>
  <c r="D22" i="23"/>
  <c r="D32" i="23" s="1"/>
  <c r="D35" i="23" s="1"/>
  <c r="E12" i="23"/>
  <c r="E13" i="23" s="1"/>
  <c r="R15" i="173"/>
  <c r="I24" i="98"/>
  <c r="U15" i="173"/>
  <c r="H11" i="321"/>
  <c r="E25" i="23"/>
  <c r="C12" i="303"/>
  <c r="F12" i="303" s="1"/>
  <c r="G12" i="303" s="1"/>
  <c r="E31" i="97"/>
  <c r="E34" i="23" s="1"/>
  <c r="F31" i="274"/>
  <c r="B86" i="83"/>
  <c r="C26" i="101"/>
  <c r="G86" i="83"/>
  <c r="D29" i="23" l="1"/>
  <c r="E16" i="23"/>
  <c r="E22" i="23" s="1"/>
  <c r="E29" i="23" s="1"/>
  <c r="H10" i="321"/>
  <c r="R14" i="173"/>
  <c r="B88" i="83"/>
  <c r="M14" i="173" s="1"/>
  <c r="U14" i="173"/>
  <c r="C11" i="303"/>
  <c r="F86" i="83"/>
  <c r="F88" i="83" s="1"/>
  <c r="O14" i="173" s="1"/>
  <c r="D86" i="83"/>
  <c r="D88" i="83" s="1"/>
  <c r="E32" i="23" l="1"/>
  <c r="E35" i="23" s="1"/>
  <c r="G88" i="83"/>
  <c r="N14" i="173"/>
  <c r="F11" i="303"/>
  <c r="G11" i="303" l="1"/>
  <c r="L42" i="321" l="1"/>
  <c r="N30" i="307" l="1"/>
  <c r="D35" i="200" l="1"/>
  <c r="E35" i="200" s="1"/>
  <c r="J13" i="173"/>
  <c r="B27" i="101"/>
  <c r="H18" i="98"/>
  <c r="E30" i="274"/>
  <c r="L13" i="173"/>
  <c r="K13" i="173"/>
  <c r="T13" i="173" l="1"/>
  <c r="G9" i="321"/>
  <c r="M54" i="345" l="1"/>
  <c r="M65" i="345" s="1"/>
  <c r="M66" i="345" s="1"/>
  <c r="D55" i="163"/>
  <c r="F55" i="163" s="1"/>
  <c r="F66" i="163" s="1"/>
  <c r="F67" i="163" s="1"/>
  <c r="D55" i="159"/>
  <c r="D66" i="159" s="1"/>
  <c r="R70" i="58"/>
  <c r="I34" i="277"/>
  <c r="F5" i="303" l="1"/>
  <c r="C74" i="159"/>
  <c r="C75" i="159" s="1"/>
  <c r="AY66" i="159"/>
  <c r="BS66" i="159" s="1"/>
  <c r="L11" i="13"/>
  <c r="S72" i="58"/>
  <c r="E15" i="373" s="1"/>
  <c r="E16" i="373" s="1"/>
  <c r="D66" i="163"/>
  <c r="D67" i="163" s="1"/>
  <c r="R66" i="159"/>
  <c r="I42" i="277"/>
  <c r="J34" i="277" s="1"/>
  <c r="AQ66" i="159"/>
  <c r="D67" i="159"/>
  <c r="AY67" i="159" s="1"/>
  <c r="Z66" i="159"/>
  <c r="E55" i="163"/>
  <c r="E66" i="163" s="1"/>
  <c r="E67" i="163" s="1"/>
  <c r="N9" i="307"/>
  <c r="S87" i="58"/>
  <c r="X50" i="27"/>
  <c r="AB50" i="27" s="1"/>
  <c r="G5" i="303"/>
  <c r="F21" i="204"/>
  <c r="E32" i="197"/>
  <c r="T70" i="58"/>
  <c r="F55" i="159"/>
  <c r="F66" i="159" s="1"/>
  <c r="F67" i="159" s="1"/>
  <c r="M49" i="173" l="1"/>
  <c r="O11" i="13"/>
  <c r="M7" i="13"/>
  <c r="M9" i="13" s="1"/>
  <c r="M16" i="13" s="1"/>
  <c r="E55" i="159"/>
  <c r="E66" i="159" s="1"/>
  <c r="E67" i="159" s="1"/>
  <c r="R66" i="163"/>
  <c r="Z66" i="163"/>
  <c r="AG66" i="163" s="1"/>
  <c r="E33" i="197"/>
  <c r="E37" i="197" s="1"/>
  <c r="E40" i="197" s="1"/>
  <c r="E35" i="197"/>
  <c r="N12" i="307"/>
  <c r="N14" i="307" s="1"/>
  <c r="N42" i="307" s="1"/>
  <c r="N44" i="307" s="1"/>
  <c r="I8" i="319"/>
  <c r="S74" i="58"/>
  <c r="S75" i="58" s="1"/>
  <c r="F18" i="204"/>
  <c r="T72" i="58"/>
  <c r="H45" i="197"/>
  <c r="H46" i="197" s="1"/>
  <c r="H48" i="197" s="1"/>
  <c r="R67" i="163"/>
  <c r="Z67" i="163"/>
  <c r="AG67" i="163" s="1"/>
  <c r="F7" i="303"/>
  <c r="G4" i="303"/>
  <c r="G7" i="303" s="1"/>
  <c r="BS67" i="159"/>
  <c r="Z67" i="159"/>
  <c r="R67" i="159"/>
  <c r="AQ67" i="159"/>
  <c r="J6" i="277"/>
  <c r="J11" i="277"/>
  <c r="J30" i="277"/>
  <c r="J37" i="277"/>
  <c r="J39" i="277"/>
  <c r="J33" i="277"/>
  <c r="J17" i="277"/>
  <c r="J29" i="277"/>
  <c r="J40" i="277"/>
  <c r="J8" i="277"/>
  <c r="J18" i="277"/>
  <c r="J15" i="277"/>
  <c r="J14" i="277"/>
  <c r="J38" i="277"/>
  <c r="J23" i="277"/>
  <c r="J13" i="277"/>
  <c r="I43" i="277"/>
  <c r="J26" i="277"/>
  <c r="J27" i="277"/>
  <c r="J32" i="277"/>
  <c r="J24" i="277"/>
  <c r="J35" i="277"/>
  <c r="J19" i="277"/>
  <c r="J20" i="277"/>
  <c r="J21" i="277"/>
  <c r="J9" i="277"/>
  <c r="J22" i="277"/>
  <c r="J28" i="277"/>
  <c r="J25" i="277"/>
  <c r="J12" i="277"/>
  <c r="J16" i="277"/>
  <c r="J7" i="277"/>
  <c r="J10" i="277"/>
  <c r="J31" i="277"/>
  <c r="J41" i="277"/>
  <c r="J36" i="277"/>
  <c r="M7" i="173"/>
  <c r="O7" i="173" s="1"/>
  <c r="M8" i="173"/>
  <c r="O8" i="173" s="1"/>
  <c r="M33" i="173"/>
  <c r="O49" i="173"/>
  <c r="M27" i="173"/>
  <c r="M51" i="173"/>
  <c r="M6" i="173"/>
  <c r="BJ66" i="159"/>
  <c r="BK66" i="159" s="1"/>
  <c r="H54" i="197"/>
  <c r="S90" i="58"/>
  <c r="S91" i="58" s="1"/>
  <c r="E36" i="197" s="1"/>
  <c r="R87" i="58"/>
  <c r="O9" i="13" l="1"/>
  <c r="O10" i="13" s="1"/>
  <c r="O20" i="13"/>
  <c r="M20" i="13" s="1"/>
  <c r="N36" i="307"/>
  <c r="I4" i="368"/>
  <c r="I8" i="368" s="1"/>
  <c r="M10" i="13"/>
  <c r="N7" i="13" s="1"/>
  <c r="N9" i="13" s="1"/>
  <c r="M9" i="173"/>
  <c r="O6" i="173"/>
  <c r="O9" i="173" s="1"/>
  <c r="S77" i="58"/>
  <c r="T77" i="58" s="1"/>
  <c r="T75" i="58"/>
  <c r="I9" i="319"/>
  <c r="I10" i="319" s="1"/>
  <c r="I14" i="319" s="1"/>
  <c r="B13" i="320"/>
  <c r="B14" i="320" s="1"/>
  <c r="B15" i="320" s="1"/>
  <c r="B19" i="320" s="1"/>
  <c r="F22" i="204"/>
  <c r="F23" i="204" s="1"/>
  <c r="F31" i="204" s="1"/>
  <c r="F19" i="204"/>
  <c r="F28" i="204" s="1"/>
  <c r="O33" i="173"/>
  <c r="O27" i="173"/>
  <c r="O51" i="173"/>
  <c r="P51" i="173" s="1"/>
  <c r="J42" i="277"/>
  <c r="BJ67" i="159"/>
  <c r="BK67" i="159" s="1"/>
  <c r="H55" i="197"/>
  <c r="I10" i="368" l="1"/>
  <c r="I11" i="368" s="1"/>
  <c r="F11" i="368" s="1"/>
  <c r="O8" i="13"/>
  <c r="O16" i="13"/>
  <c r="L20" i="13"/>
  <c r="N20" i="13"/>
  <c r="N38" i="307"/>
  <c r="I5" i="368"/>
  <c r="N16" i="13"/>
  <c r="N8" i="13"/>
  <c r="N10" i="13"/>
  <c r="B6" i="211" l="1"/>
  <c r="B13" i="211" s="1"/>
  <c r="B16" i="211" s="1"/>
  <c r="B18" i="211" s="1"/>
  <c r="B32" i="98" l="1"/>
  <c r="C44" i="97" s="1"/>
  <c r="C26" i="98" l="1"/>
  <c r="C45" i="97"/>
  <c r="C46" i="97" s="1"/>
  <c r="C15" i="345" l="1"/>
  <c r="C16" i="345" s="1"/>
  <c r="C34" i="345" s="1"/>
  <c r="J19" i="347"/>
  <c r="J18" i="347"/>
  <c r="C66" i="345" l="1"/>
  <c r="B11" i="307"/>
  <c r="H37" i="347"/>
  <c r="B12" i="307" l="1"/>
  <c r="B14" i="307" s="1"/>
  <c r="B42" i="307" s="1"/>
  <c r="B44" i="307" s="1"/>
  <c r="F6" i="319"/>
  <c r="F9" i="319" s="1"/>
  <c r="F10" i="319" s="1"/>
  <c r="F14" i="319" s="1"/>
  <c r="J37" i="347"/>
  <c r="C52" i="197" s="1"/>
  <c r="H67" i="347"/>
  <c r="B36" i="307" l="1"/>
  <c r="B38" i="307" s="1"/>
  <c r="J67" i="347"/>
  <c r="C55" i="197" s="1"/>
  <c r="H69" i="347"/>
  <c r="H70" i="347" s="1"/>
  <c r="Z13" i="27"/>
  <c r="AD13" i="27" s="1"/>
  <c r="X14" i="27"/>
  <c r="M31" i="307" l="1"/>
  <c r="M38" i="307"/>
  <c r="H12" i="319" l="1"/>
  <c r="H13" i="319" s="1"/>
  <c r="H14" i="319" s="1"/>
  <c r="M33" i="307"/>
  <c r="M43" i="307" s="1"/>
  <c r="M44" i="307" s="1"/>
  <c r="M30" i="307"/>
  <c r="S26" i="27"/>
  <c r="W26" i="27" s="1"/>
  <c r="S27" i="27"/>
  <c r="W29" i="27" l="1"/>
  <c r="S23" i="27"/>
  <c r="S29" i="27" s="1"/>
  <c r="L11" i="372" s="1"/>
  <c r="Q29" i="27"/>
  <c r="R29" i="27"/>
  <c r="S31" i="27"/>
  <c r="W31" i="27" l="1"/>
  <c r="AC31" i="27" s="1"/>
  <c r="F7" i="278"/>
  <c r="G7" i="278" s="1"/>
  <c r="AA31" i="27" l="1"/>
  <c r="AA33" i="27" s="1"/>
  <c r="AC33" i="27"/>
  <c r="AB31" i="27" l="1"/>
  <c r="AB33" i="27" s="1"/>
  <c r="AB52" i="27" s="1"/>
  <c r="Y52" i="27" l="1"/>
  <c r="AA52" i="27"/>
  <c r="Z23" i="27"/>
  <c r="Z29" i="27" s="1"/>
  <c r="X29" i="27"/>
  <c r="Y29" i="27"/>
  <c r="Z31" i="27"/>
  <c r="AD31" i="27" s="1"/>
  <c r="I7" i="278" l="1"/>
  <c r="J7" i="278" s="1"/>
  <c r="O31" i="87"/>
  <c r="Z7" i="27" l="1"/>
  <c r="AD7" i="27" l="1"/>
  <c r="F19" i="274" l="1"/>
  <c r="Z10" i="27"/>
  <c r="AD10" i="27" s="1"/>
  <c r="F21" i="274" s="1"/>
  <c r="Y14" i="27"/>
  <c r="Z11" i="27"/>
  <c r="Z14" i="27" s="1"/>
  <c r="P10" i="372" s="1"/>
  <c r="AD11" i="27" l="1"/>
  <c r="F23" i="274" l="1"/>
  <c r="AD14" i="27"/>
  <c r="S10" i="27"/>
  <c r="W10" i="27" s="1"/>
  <c r="E21" i="274" l="1"/>
  <c r="Q32" i="27"/>
  <c r="Z32" i="27"/>
  <c r="P11" i="372" s="1"/>
  <c r="AD32" i="27" l="1"/>
  <c r="AD33" i="27" s="1"/>
  <c r="C25" i="101" s="1"/>
  <c r="P12" i="372"/>
  <c r="Q11" i="372"/>
  <c r="R32" i="27"/>
  <c r="Q33" i="27"/>
  <c r="P12" i="173"/>
  <c r="Q12" i="173" s="1"/>
  <c r="AD35" i="27"/>
  <c r="I8" i="278"/>
  <c r="F25" i="274"/>
  <c r="F29" i="274" s="1"/>
  <c r="E25" i="274"/>
  <c r="F8" i="278"/>
  <c r="G8" i="278" s="1"/>
  <c r="Z33" i="27"/>
  <c r="X32" i="27"/>
  <c r="X33" i="27" s="1"/>
  <c r="X34" i="27" s="1"/>
  <c r="AA34" i="27"/>
  <c r="AC34" i="27"/>
  <c r="Z34" i="27" l="1"/>
  <c r="P13" i="372" s="1"/>
  <c r="P14" i="372" s="1"/>
  <c r="P9" i="372"/>
  <c r="I71" i="83"/>
  <c r="I16" i="98"/>
  <c r="I131" i="140"/>
  <c r="X35" i="27"/>
  <c r="H8" i="321"/>
  <c r="C9" i="303"/>
  <c r="U12" i="173"/>
  <c r="AA35" i="27"/>
  <c r="Y32" i="27"/>
  <c r="Y33" i="27" s="1"/>
  <c r="AB51" i="27" s="1"/>
  <c r="Z35" i="27"/>
  <c r="AB34" i="27"/>
  <c r="AB35" i="27" s="1"/>
  <c r="AC35" i="27"/>
  <c r="J8" i="278"/>
  <c r="AB56" i="27" l="1"/>
  <c r="I132" i="140"/>
  <c r="J131" i="140"/>
  <c r="J132" i="140" s="1"/>
  <c r="M7" i="373"/>
  <c r="Y51" i="27"/>
  <c r="Y53" i="27" s="1"/>
  <c r="AB53" i="27"/>
  <c r="AA51" i="27"/>
  <c r="AA53" i="27" s="1"/>
  <c r="X51" i="27"/>
  <c r="X53" i="27" s="1"/>
  <c r="F9" i="303"/>
  <c r="Y56" i="27"/>
  <c r="AA56" i="27"/>
  <c r="Y34" i="27"/>
  <c r="AB55" i="27" s="1"/>
  <c r="Y35" i="27" l="1"/>
  <c r="O7" i="373" s="1"/>
  <c r="Q7" i="373" s="1"/>
  <c r="AA54" i="27"/>
  <c r="O12" i="173"/>
  <c r="X54" i="27"/>
  <c r="M12" i="173"/>
  <c r="X55" i="27"/>
  <c r="X57" i="27" s="1"/>
  <c r="AA55" i="27"/>
  <c r="AA57" i="27" s="1"/>
  <c r="Y55" i="27"/>
  <c r="Y57" i="27" s="1"/>
  <c r="G9" i="303"/>
  <c r="N12" i="173"/>
  <c r="Y54" i="27"/>
  <c r="N23" i="173" l="1"/>
  <c r="O23" i="173"/>
  <c r="AB54" i="27"/>
  <c r="AB57" i="27"/>
  <c r="M23" i="173"/>
  <c r="R14" i="27" l="1"/>
  <c r="R33" i="27" s="1"/>
  <c r="S11" i="27"/>
  <c r="S14" i="27" l="1"/>
  <c r="W11" i="27"/>
  <c r="W51" i="27"/>
  <c r="S33" i="27" l="1"/>
  <c r="L9" i="372" s="1"/>
  <c r="Q9" i="372" s="1"/>
  <c r="L10" i="372"/>
  <c r="U51" i="27"/>
  <c r="U53" i="27" s="1"/>
  <c r="R51" i="27"/>
  <c r="R53" i="27" s="1"/>
  <c r="W53" i="27"/>
  <c r="T51" i="27"/>
  <c r="T53" i="27" s="1"/>
  <c r="W14" i="27"/>
  <c r="W33" i="27" s="1"/>
  <c r="E23" i="274"/>
  <c r="E29" i="274" s="1"/>
  <c r="L12" i="372" l="1"/>
  <c r="Q10" i="372"/>
  <c r="W35" i="27"/>
  <c r="V34" i="27"/>
  <c r="S34" i="27"/>
  <c r="T34" i="27"/>
  <c r="Q34" i="27"/>
  <c r="D33" i="200"/>
  <c r="L12" i="173"/>
  <c r="R34" i="27"/>
  <c r="R35" i="27" s="1"/>
  <c r="B25" i="101"/>
  <c r="R54" i="27"/>
  <c r="I12" i="173"/>
  <c r="J12" i="173"/>
  <c r="T54" i="27"/>
  <c r="K12" i="173"/>
  <c r="U54" i="27"/>
  <c r="S35" i="27" l="1"/>
  <c r="L13" i="372"/>
  <c r="Q13" i="372" s="1"/>
  <c r="L14" i="372"/>
  <c r="Q14" i="372" s="1"/>
  <c r="Q12" i="372"/>
  <c r="U34" i="27"/>
  <c r="W56" i="27" s="1"/>
  <c r="V35" i="27"/>
  <c r="U35" i="27"/>
  <c r="J7" i="373" s="1"/>
  <c r="H131" i="140"/>
  <c r="H132" i="140" s="1"/>
  <c r="H137" i="140" s="1"/>
  <c r="H16" i="98"/>
  <c r="Q35" i="27"/>
  <c r="W55" i="27"/>
  <c r="T12" i="173"/>
  <c r="C14" i="98"/>
  <c r="G8" i="321"/>
  <c r="R12" i="173"/>
  <c r="E33" i="200"/>
  <c r="W54" i="27"/>
  <c r="T35" i="27"/>
  <c r="H7" i="373" l="1"/>
  <c r="L7" i="373" s="1"/>
  <c r="U55" i="27"/>
  <c r="T55" i="27"/>
  <c r="R55" i="27"/>
  <c r="R57" i="27" s="1"/>
  <c r="H139" i="140"/>
  <c r="C94" i="140"/>
  <c r="U56" i="27"/>
  <c r="T56" i="27"/>
  <c r="C16" i="98"/>
  <c r="N32" i="87" l="1"/>
  <c r="C99" i="140"/>
  <c r="C101" i="140" s="1"/>
  <c r="I23" i="173"/>
  <c r="T57" i="27"/>
  <c r="U57" i="27"/>
  <c r="K23" i="173" l="1"/>
  <c r="J23" i="173"/>
  <c r="W57" i="27"/>
  <c r="B30" i="101"/>
  <c r="P31" i="87"/>
  <c r="L18" i="173"/>
  <c r="P30" i="27"/>
  <c r="P33" i="27" s="1"/>
  <c r="P35" i="27" s="1"/>
  <c r="H12" i="173" l="1"/>
  <c r="H25" i="173" s="1"/>
  <c r="H32" i="173" s="1"/>
  <c r="H34" i="173" s="1"/>
  <c r="H38" i="173" s="1"/>
  <c r="G131" i="140"/>
  <c r="G132" i="140" s="1"/>
  <c r="G137" i="140" s="1"/>
  <c r="G139" i="140" s="1"/>
  <c r="I65" i="3"/>
  <c r="J65" i="3"/>
  <c r="K65" i="3"/>
  <c r="L65" i="3"/>
  <c r="D8" i="376" l="1"/>
  <c r="D12" i="376" s="1"/>
  <c r="E12" i="7"/>
  <c r="E16" i="7"/>
  <c r="D23" i="7"/>
  <c r="E23" i="7"/>
  <c r="D27" i="7"/>
  <c r="E27" i="7"/>
  <c r="D32" i="7"/>
  <c r="E32" i="7"/>
  <c r="D33" i="7"/>
  <c r="E33" i="7"/>
  <c r="D35" i="7"/>
  <c r="E35" i="7"/>
  <c r="D40" i="7"/>
  <c r="E40" i="7"/>
  <c r="D8" i="381"/>
  <c r="E8" i="381"/>
  <c r="D9" i="381"/>
  <c r="E9" i="381"/>
  <c r="D11" i="381"/>
  <c r="E11" i="381"/>
  <c r="D12" i="381"/>
  <c r="E12" i="381"/>
  <c r="D13" i="381"/>
  <c r="E13" i="381"/>
  <c r="D15" i="381"/>
  <c r="E15" i="381"/>
  <c r="C10" i="303"/>
  <c r="F10" i="303"/>
  <c r="G10" i="303"/>
  <c r="C13" i="303"/>
  <c r="F13" i="303"/>
  <c r="G13" i="303"/>
  <c r="C15" i="303"/>
  <c r="F15" i="303"/>
  <c r="G15" i="303"/>
  <c r="C16" i="303"/>
  <c r="F16" i="303"/>
  <c r="G16" i="303"/>
  <c r="C18" i="303"/>
  <c r="F18" i="303"/>
  <c r="G18" i="303"/>
  <c r="C19" i="303"/>
  <c r="F19" i="303"/>
  <c r="G19" i="303"/>
  <c r="C20" i="303"/>
  <c r="F20" i="303"/>
  <c r="G20" i="303"/>
  <c r="C23" i="303"/>
  <c r="F23" i="303"/>
  <c r="G23" i="303"/>
  <c r="C24" i="303"/>
  <c r="F24" i="303"/>
  <c r="G24" i="303"/>
  <c r="C25" i="303"/>
  <c r="F25" i="303"/>
  <c r="G25" i="303"/>
  <c r="D16" i="222"/>
  <c r="E16" i="222"/>
  <c r="D17" i="222"/>
  <c r="E17" i="222"/>
  <c r="D19" i="222"/>
  <c r="E19" i="222"/>
  <c r="D21" i="222"/>
  <c r="E21" i="222"/>
  <c r="D22" i="222"/>
  <c r="E22" i="222"/>
  <c r="M27" i="141"/>
  <c r="P27" i="141"/>
  <c r="R27" i="141"/>
  <c r="T27" i="141"/>
  <c r="V27" i="141"/>
  <c r="W27" i="141"/>
  <c r="X27" i="141"/>
  <c r="AA27" i="141"/>
  <c r="AC27" i="141"/>
  <c r="AE27" i="141"/>
  <c r="AF27" i="141"/>
  <c r="AG27" i="141"/>
  <c r="AH27" i="141"/>
  <c r="S34" i="141"/>
  <c r="T34" i="141"/>
  <c r="V34" i="141"/>
  <c r="W34" i="141"/>
  <c r="AD34" i="141"/>
  <c r="AE34" i="141"/>
  <c r="AF34" i="141"/>
  <c r="AG34" i="141"/>
  <c r="AH34" i="141"/>
  <c r="M35" i="141"/>
  <c r="P35" i="141"/>
  <c r="R35" i="141"/>
  <c r="S35" i="141"/>
  <c r="T35" i="141"/>
  <c r="V35" i="141"/>
  <c r="W35" i="141"/>
  <c r="X35" i="141"/>
  <c r="AA35" i="141"/>
  <c r="AC35" i="141"/>
  <c r="AD35" i="141"/>
  <c r="AE35" i="141"/>
  <c r="AF35" i="141"/>
  <c r="AG35" i="141"/>
  <c r="AH35" i="141"/>
  <c r="AI35" i="141"/>
  <c r="AJ35" i="141"/>
  <c r="M40" i="141"/>
  <c r="P40" i="141"/>
  <c r="R40" i="141"/>
  <c r="S40" i="141"/>
  <c r="T40" i="141"/>
  <c r="V40" i="141"/>
  <c r="W40" i="141"/>
  <c r="X40" i="141"/>
  <c r="AA40" i="141"/>
  <c r="AC40" i="141"/>
  <c r="AD40" i="141"/>
  <c r="AE40" i="141"/>
  <c r="AF40" i="141"/>
  <c r="AG40" i="141"/>
  <c r="AH40" i="141"/>
  <c r="AJ40" i="141"/>
  <c r="M45" i="141"/>
  <c r="P45" i="141"/>
  <c r="R45" i="141"/>
  <c r="S45" i="141"/>
  <c r="T45" i="141"/>
  <c r="V45" i="141"/>
  <c r="W45" i="141"/>
  <c r="X45" i="141"/>
  <c r="AA45" i="141"/>
  <c r="AC45" i="141"/>
  <c r="AD45" i="141"/>
  <c r="AE45" i="141"/>
  <c r="AF45" i="141"/>
  <c r="AG45" i="141"/>
  <c r="AH45" i="141"/>
  <c r="V48" i="141"/>
  <c r="V49" i="141"/>
  <c r="V50" i="141"/>
  <c r="V52" i="141"/>
  <c r="H9" i="3"/>
  <c r="I9" i="3"/>
  <c r="J9" i="3"/>
  <c r="K9" i="3"/>
  <c r="L9" i="3"/>
  <c r="H16" i="3"/>
  <c r="I16" i="3"/>
  <c r="J16" i="3"/>
  <c r="K16" i="3"/>
  <c r="L16" i="3"/>
  <c r="G22" i="3"/>
  <c r="H22" i="3"/>
  <c r="G30" i="3"/>
  <c r="H30" i="3"/>
  <c r="G35" i="3"/>
  <c r="H35" i="3"/>
  <c r="I35" i="3"/>
  <c r="J35" i="3"/>
  <c r="K35" i="3"/>
  <c r="L35" i="3"/>
  <c r="G42" i="3"/>
  <c r="H42" i="3"/>
  <c r="I42" i="3"/>
  <c r="J42" i="3"/>
  <c r="K42" i="3"/>
  <c r="L42" i="3"/>
  <c r="H45" i="3"/>
  <c r="I45" i="3"/>
  <c r="J45" i="3"/>
  <c r="K45" i="3"/>
  <c r="L45" i="3"/>
  <c r="G47" i="3"/>
  <c r="H47" i="3"/>
  <c r="G48" i="3"/>
  <c r="H48" i="3"/>
  <c r="G49" i="3"/>
  <c r="H49" i="3"/>
  <c r="I49" i="3"/>
  <c r="J49" i="3"/>
  <c r="K49" i="3"/>
  <c r="L49" i="3"/>
  <c r="G51" i="3"/>
  <c r="H51" i="3"/>
  <c r="I51" i="3"/>
  <c r="J51" i="3"/>
  <c r="K51" i="3"/>
  <c r="L51" i="3"/>
  <c r="I54" i="3"/>
  <c r="H58" i="3"/>
  <c r="R58" i="3"/>
  <c r="S58" i="3"/>
  <c r="H65" i="3"/>
  <c r="R65" i="3"/>
  <c r="S65" i="3"/>
  <c r="H67" i="3"/>
  <c r="H71" i="3"/>
  <c r="G73" i="3"/>
  <c r="H73" i="3"/>
  <c r="D15" i="26"/>
  <c r="F15" i="26"/>
  <c r="D16" i="26"/>
  <c r="F16" i="26"/>
  <c r="D22" i="26"/>
  <c r="F22" i="26"/>
  <c r="D23" i="26"/>
  <c r="F23" i="26"/>
  <c r="D25" i="26"/>
  <c r="F25" i="26"/>
  <c r="C39" i="26"/>
  <c r="D39" i="26"/>
  <c r="F39" i="26"/>
  <c r="C40" i="26"/>
  <c r="D40" i="26"/>
  <c r="F40" i="26"/>
  <c r="C46" i="26"/>
  <c r="D46" i="26"/>
  <c r="F46" i="26"/>
  <c r="C47" i="26"/>
  <c r="D47" i="26"/>
  <c r="F47" i="26"/>
  <c r="C49" i="26"/>
  <c r="D49" i="26"/>
  <c r="F49" i="26"/>
  <c r="F6" i="82"/>
  <c r="F16" i="82"/>
  <c r="C6" i="376"/>
  <c r="C8" i="376"/>
  <c r="C12" i="376"/>
  <c r="O19" i="87"/>
  <c r="P19" i="87"/>
  <c r="O32" i="87"/>
  <c r="P32" i="87"/>
  <c r="L51" i="87"/>
  <c r="M51" i="87"/>
  <c r="N51" i="87"/>
  <c r="O51" i="87"/>
  <c r="P51" i="87"/>
  <c r="N64" i="87"/>
  <c r="O64" i="87"/>
  <c r="P64" i="87"/>
  <c r="N65" i="87"/>
  <c r="O65" i="87"/>
  <c r="P65" i="87"/>
  <c r="E26" i="95"/>
  <c r="G26" i="95"/>
  <c r="L26" i="95"/>
  <c r="E33" i="95"/>
  <c r="G33" i="95"/>
  <c r="L33" i="95"/>
  <c r="B76" i="95"/>
  <c r="D76" i="95"/>
  <c r="E76" i="95"/>
  <c r="G76" i="95"/>
  <c r="I76" i="95"/>
  <c r="K76" i="95"/>
  <c r="L76" i="95"/>
  <c r="M76" i="95"/>
  <c r="B83" i="95"/>
  <c r="D83" i="95"/>
  <c r="E83" i="95"/>
  <c r="G83" i="95"/>
  <c r="I83" i="95"/>
  <c r="K83" i="95"/>
  <c r="L83" i="95"/>
  <c r="M83" i="95"/>
  <c r="I25" i="8"/>
  <c r="L25" i="8"/>
  <c r="M25" i="8"/>
  <c r="N25" i="8"/>
  <c r="Q25" i="8"/>
  <c r="R25" i="8"/>
  <c r="J31" i="8"/>
  <c r="L31" i="8"/>
  <c r="M31" i="8"/>
  <c r="O31" i="8"/>
  <c r="Q31" i="8"/>
  <c r="R31" i="8"/>
  <c r="I32" i="8"/>
  <c r="J32" i="8"/>
  <c r="L32" i="8"/>
  <c r="M32" i="8"/>
  <c r="N32" i="8"/>
  <c r="O32" i="8"/>
  <c r="Q32" i="8"/>
  <c r="R32" i="8"/>
  <c r="I36" i="8"/>
  <c r="J36" i="8"/>
  <c r="L36" i="8"/>
  <c r="M36" i="8"/>
  <c r="N36" i="8"/>
  <c r="O36" i="8"/>
  <c r="Q36" i="8"/>
  <c r="R36" i="8"/>
  <c r="M39" i="8"/>
  <c r="R39" i="8"/>
  <c r="M41" i="8"/>
  <c r="R41" i="8"/>
  <c r="D10" i="97"/>
  <c r="E10" i="97"/>
  <c r="E11" i="97"/>
  <c r="D15" i="97"/>
  <c r="E15" i="97"/>
  <c r="G16" i="97"/>
  <c r="H16" i="97"/>
  <c r="D20" i="97"/>
  <c r="E20" i="97"/>
  <c r="D23" i="97"/>
  <c r="E23" i="97"/>
  <c r="E24" i="97"/>
  <c r="D25" i="97"/>
  <c r="E25" i="97"/>
  <c r="D26" i="97"/>
  <c r="E26" i="97"/>
  <c r="D28" i="97"/>
  <c r="E28" i="97"/>
  <c r="D33" i="97"/>
  <c r="E33" i="97"/>
  <c r="D38" i="97"/>
  <c r="E38" i="97"/>
  <c r="D41" i="97"/>
  <c r="E41" i="97"/>
  <c r="D44" i="97"/>
  <c r="E44" i="97"/>
  <c r="D45" i="97"/>
  <c r="E45" i="97"/>
  <c r="D46" i="97"/>
  <c r="E46" i="97"/>
  <c r="D14" i="98"/>
  <c r="D15" i="98"/>
  <c r="D16" i="98"/>
  <c r="C17" i="98"/>
  <c r="D17" i="98"/>
  <c r="H17" i="98"/>
  <c r="I17" i="98"/>
  <c r="C18" i="98"/>
  <c r="D18" i="98"/>
  <c r="I18" i="98"/>
  <c r="C19" i="98"/>
  <c r="D19" i="98"/>
  <c r="C20" i="98"/>
  <c r="D20" i="98"/>
  <c r="H20" i="98"/>
  <c r="I20" i="98"/>
  <c r="C21" i="98"/>
  <c r="D21" i="98"/>
  <c r="C22" i="98"/>
  <c r="D22" i="98"/>
  <c r="H22" i="98"/>
  <c r="I22" i="98"/>
  <c r="C24" i="98"/>
  <c r="D24" i="98"/>
  <c r="D25" i="98"/>
  <c r="H25" i="98"/>
  <c r="I25" i="98"/>
  <c r="D26" i="98"/>
  <c r="D27" i="98"/>
  <c r="C32" i="98"/>
  <c r="D32" i="98"/>
  <c r="C34" i="98"/>
  <c r="D34" i="98"/>
  <c r="C35" i="98"/>
  <c r="D35" i="98"/>
  <c r="C36" i="98"/>
  <c r="D36" i="98"/>
  <c r="C6" i="101"/>
  <c r="B10" i="101"/>
  <c r="C10" i="101"/>
  <c r="B19" i="101"/>
  <c r="C19" i="101"/>
  <c r="E19" i="101"/>
  <c r="B21" i="101"/>
  <c r="C21" i="101"/>
  <c r="E21" i="101"/>
  <c r="C27" i="101"/>
  <c r="C28" i="101"/>
  <c r="B29" i="101"/>
  <c r="C29" i="101"/>
  <c r="C30" i="101"/>
  <c r="B35" i="101"/>
  <c r="C35" i="101"/>
  <c r="B38" i="101"/>
  <c r="C38" i="101"/>
  <c r="B39" i="101"/>
  <c r="C39" i="101"/>
  <c r="B41" i="101"/>
  <c r="C41" i="101"/>
  <c r="F4" i="274"/>
  <c r="F30" i="274"/>
  <c r="E32" i="274"/>
  <c r="F32" i="274"/>
  <c r="E33" i="274"/>
  <c r="F33" i="274"/>
  <c r="E34" i="274"/>
  <c r="F34" i="274"/>
  <c r="F12" i="9"/>
  <c r="H12" i="9"/>
  <c r="I12" i="9"/>
  <c r="J12" i="9"/>
  <c r="K12" i="9"/>
  <c r="F25" i="9"/>
  <c r="H25" i="9"/>
  <c r="I25" i="9"/>
  <c r="J25" i="9"/>
  <c r="K25" i="9"/>
  <c r="H30" i="9"/>
  <c r="K30" i="9"/>
  <c r="H31" i="9"/>
  <c r="K31" i="9"/>
  <c r="H15" i="13"/>
  <c r="I15" i="13"/>
  <c r="J15" i="13"/>
  <c r="K15" i="13"/>
  <c r="L15" i="13"/>
  <c r="M15" i="13"/>
  <c r="N15" i="13"/>
  <c r="O15" i="13"/>
  <c r="H17" i="13"/>
  <c r="I17" i="13"/>
  <c r="J17" i="13"/>
  <c r="K17" i="13"/>
  <c r="L17" i="13"/>
  <c r="M17" i="13"/>
  <c r="N17" i="13"/>
  <c r="O17" i="13"/>
  <c r="H18" i="13"/>
  <c r="I18" i="13"/>
  <c r="J18" i="13"/>
  <c r="K18" i="13"/>
  <c r="L18" i="13"/>
  <c r="M18" i="13"/>
  <c r="N18" i="13"/>
  <c r="O18" i="13"/>
  <c r="H19" i="13"/>
  <c r="I19" i="13"/>
  <c r="J19" i="13"/>
  <c r="K19" i="13"/>
  <c r="L19" i="13"/>
  <c r="M19" i="13"/>
  <c r="N19" i="13"/>
  <c r="O19" i="13"/>
  <c r="H21" i="13"/>
  <c r="I21" i="13"/>
  <c r="J21" i="13"/>
  <c r="K21" i="13"/>
  <c r="L21" i="13"/>
  <c r="M21" i="13"/>
  <c r="N21" i="13"/>
  <c r="O21" i="13"/>
  <c r="H25" i="13"/>
  <c r="I25" i="13"/>
  <c r="J25" i="13"/>
  <c r="K25" i="13"/>
  <c r="H26" i="13"/>
  <c r="I26" i="13"/>
  <c r="J26" i="13"/>
  <c r="K26" i="13"/>
  <c r="K27" i="13"/>
  <c r="N13" i="173"/>
  <c r="O13" i="173"/>
  <c r="P13" i="173"/>
  <c r="Q13" i="173"/>
  <c r="R13" i="173"/>
  <c r="U13" i="173"/>
  <c r="N16" i="173"/>
  <c r="O16" i="173"/>
  <c r="P16" i="173"/>
  <c r="Q16" i="173"/>
  <c r="R16" i="173"/>
  <c r="U16" i="173"/>
  <c r="J17" i="173"/>
  <c r="K17" i="173"/>
  <c r="L17" i="173"/>
  <c r="N17" i="173"/>
  <c r="O17" i="173"/>
  <c r="P17" i="173"/>
  <c r="Q17" i="173"/>
  <c r="R17" i="173"/>
  <c r="T17" i="173"/>
  <c r="U17" i="173"/>
  <c r="P18" i="173"/>
  <c r="Q18" i="173"/>
  <c r="I20" i="173"/>
  <c r="J20" i="173"/>
  <c r="K20" i="173"/>
  <c r="L20" i="173"/>
  <c r="M20" i="173"/>
  <c r="N20" i="173"/>
  <c r="O20" i="173"/>
  <c r="P20" i="173"/>
  <c r="Q20" i="173"/>
  <c r="R20" i="173"/>
  <c r="T20" i="173"/>
  <c r="U20" i="173"/>
  <c r="L21" i="173"/>
  <c r="P21" i="173"/>
  <c r="Q21" i="173"/>
  <c r="P22" i="173"/>
  <c r="Q22" i="173"/>
  <c r="J24" i="173"/>
  <c r="K24" i="173"/>
  <c r="L24" i="173"/>
  <c r="N24" i="173"/>
  <c r="O24" i="173"/>
  <c r="P24" i="173"/>
  <c r="Q24" i="173"/>
  <c r="R24" i="173"/>
  <c r="T24" i="173"/>
  <c r="U24" i="173"/>
  <c r="I25" i="173"/>
  <c r="J25" i="173"/>
  <c r="K25" i="173"/>
  <c r="L25" i="173"/>
  <c r="M25" i="173"/>
  <c r="N25" i="173"/>
  <c r="O25" i="173"/>
  <c r="P25" i="173"/>
  <c r="Q25" i="173"/>
  <c r="R25" i="173"/>
  <c r="T25" i="173"/>
  <c r="U25" i="173"/>
  <c r="M28" i="173"/>
  <c r="N28" i="173"/>
  <c r="O28" i="173"/>
  <c r="P28" i="173"/>
  <c r="U28" i="173"/>
  <c r="N29" i="173"/>
  <c r="O29" i="173"/>
  <c r="P29" i="173"/>
  <c r="U29" i="173"/>
  <c r="M30" i="173"/>
  <c r="N30" i="173"/>
  <c r="O30" i="173"/>
  <c r="P30" i="173"/>
  <c r="Q30" i="173"/>
  <c r="I32" i="173"/>
  <c r="J32" i="173"/>
  <c r="K32" i="173"/>
  <c r="L32" i="173"/>
  <c r="M32" i="173"/>
  <c r="N32" i="173"/>
  <c r="O32" i="173"/>
  <c r="P32" i="173"/>
  <c r="Q32" i="173"/>
  <c r="R32" i="173"/>
  <c r="T32" i="173"/>
  <c r="U32" i="173"/>
  <c r="W32" i="173"/>
  <c r="I34" i="173"/>
  <c r="J34" i="173"/>
  <c r="K34" i="173"/>
  <c r="L34" i="173"/>
  <c r="M34" i="173"/>
  <c r="N34" i="173"/>
  <c r="O34" i="173"/>
  <c r="P34" i="173"/>
  <c r="R34" i="173"/>
  <c r="T34" i="173"/>
  <c r="U34" i="173"/>
  <c r="W34" i="173"/>
  <c r="I38" i="173"/>
  <c r="J38" i="173"/>
  <c r="K38" i="173"/>
  <c r="L38" i="173"/>
  <c r="M38" i="173"/>
  <c r="N38" i="173"/>
  <c r="O38" i="173"/>
  <c r="P38" i="173"/>
  <c r="R38" i="173"/>
  <c r="T38" i="173"/>
  <c r="U38" i="173"/>
  <c r="L40" i="173"/>
  <c r="M40" i="173"/>
  <c r="P40" i="173"/>
  <c r="R40" i="173"/>
  <c r="L41" i="173"/>
  <c r="P41" i="173"/>
  <c r="E10" i="155"/>
  <c r="F10" i="155"/>
  <c r="G10" i="155"/>
  <c r="H10" i="155"/>
  <c r="I10" i="155"/>
  <c r="J10" i="155"/>
  <c r="K10" i="155"/>
  <c r="L10" i="155"/>
  <c r="M10" i="155"/>
  <c r="H11" i="155"/>
  <c r="I11" i="155"/>
  <c r="J11" i="155"/>
  <c r="K11" i="155"/>
  <c r="L11" i="155"/>
  <c r="M11" i="155"/>
  <c r="E12" i="155"/>
  <c r="F12" i="155"/>
  <c r="G12" i="155"/>
  <c r="H12" i="155"/>
  <c r="I12" i="155"/>
  <c r="J12" i="155"/>
  <c r="K12" i="155"/>
  <c r="L12" i="155"/>
  <c r="M12" i="155"/>
  <c r="E13" i="155"/>
  <c r="F13" i="155"/>
  <c r="G13" i="155"/>
  <c r="H13" i="155"/>
  <c r="I13" i="155"/>
  <c r="J13" i="155"/>
  <c r="K13" i="155"/>
  <c r="L13" i="155"/>
  <c r="M13" i="155"/>
  <c r="E14" i="155"/>
  <c r="F14" i="155"/>
  <c r="G14" i="155"/>
  <c r="H14" i="155"/>
  <c r="I14" i="155"/>
  <c r="J14" i="155"/>
  <c r="K14" i="155"/>
  <c r="L14" i="155"/>
  <c r="M14" i="155"/>
  <c r="H15" i="155"/>
  <c r="I15" i="155"/>
  <c r="J15" i="155"/>
  <c r="K15" i="155"/>
  <c r="L15" i="155"/>
  <c r="M15" i="155"/>
  <c r="H16" i="155"/>
  <c r="I16" i="155"/>
  <c r="J16" i="155"/>
  <c r="K16" i="155"/>
  <c r="L16" i="155"/>
  <c r="M16" i="155"/>
  <c r="H17" i="155"/>
  <c r="I17" i="155"/>
  <c r="J17" i="155"/>
  <c r="K17" i="155"/>
  <c r="L17" i="155"/>
  <c r="M17" i="155"/>
  <c r="E18" i="155"/>
  <c r="F18" i="155"/>
  <c r="G18" i="155"/>
  <c r="H18" i="155"/>
  <c r="I18" i="155"/>
  <c r="J18" i="155"/>
  <c r="K18" i="155"/>
  <c r="L18" i="155"/>
  <c r="M18" i="155"/>
  <c r="E19" i="155"/>
  <c r="F19" i="155"/>
  <c r="G19" i="155"/>
  <c r="H19" i="155"/>
  <c r="I19" i="155"/>
  <c r="J19" i="155"/>
  <c r="K19" i="155"/>
  <c r="L19" i="155"/>
  <c r="M19" i="155"/>
  <c r="H20" i="155"/>
  <c r="I20" i="155"/>
  <c r="J20" i="155"/>
  <c r="K20" i="155"/>
  <c r="L20" i="155"/>
  <c r="M20" i="155"/>
  <c r="E21" i="155"/>
  <c r="F21" i="155"/>
  <c r="G21" i="155"/>
  <c r="H21" i="155"/>
  <c r="I21" i="155"/>
  <c r="J21" i="155"/>
  <c r="K21" i="155"/>
  <c r="L21" i="155"/>
  <c r="M21" i="155"/>
  <c r="B22" i="155"/>
  <c r="C22" i="155"/>
  <c r="D22" i="155"/>
  <c r="E22" i="155"/>
  <c r="F22" i="155"/>
  <c r="G22" i="155"/>
  <c r="K22" i="155"/>
  <c r="L22" i="155"/>
  <c r="M22" i="155"/>
  <c r="B23" i="155"/>
  <c r="C23" i="155"/>
  <c r="D23" i="155"/>
  <c r="E23" i="155"/>
  <c r="F23" i="155"/>
  <c r="G23" i="155"/>
  <c r="K23" i="155"/>
  <c r="L23" i="155"/>
  <c r="M23" i="155"/>
  <c r="B24" i="155"/>
  <c r="C24" i="155"/>
  <c r="D24" i="155"/>
  <c r="K24" i="155"/>
  <c r="L24" i="155"/>
  <c r="M24" i="155"/>
  <c r="B25" i="155"/>
  <c r="C25" i="155"/>
  <c r="D25" i="155"/>
  <c r="E25" i="155"/>
  <c r="F25" i="155"/>
  <c r="G25" i="155"/>
  <c r="K25" i="155"/>
  <c r="L25" i="155"/>
  <c r="M25" i="155"/>
  <c r="B26" i="155"/>
  <c r="C26" i="155"/>
  <c r="D26" i="155"/>
  <c r="E26" i="155"/>
  <c r="F26" i="155"/>
  <c r="G26" i="155"/>
  <c r="K26" i="155"/>
  <c r="L26" i="155"/>
  <c r="M26" i="155"/>
  <c r="B27" i="155"/>
  <c r="C27" i="155"/>
  <c r="D27" i="155"/>
  <c r="E27" i="155"/>
  <c r="F27" i="155"/>
  <c r="G27" i="155"/>
  <c r="K27" i="155"/>
  <c r="L27" i="155"/>
  <c r="M27" i="155"/>
  <c r="B28" i="155"/>
  <c r="C28" i="155"/>
  <c r="D28" i="155"/>
  <c r="E28" i="155"/>
  <c r="F28" i="155"/>
  <c r="G28" i="155"/>
  <c r="L28" i="155"/>
  <c r="B30" i="155"/>
  <c r="C30" i="155"/>
  <c r="L30" i="155"/>
  <c r="B32" i="155"/>
  <c r="C32" i="155"/>
  <c r="D32" i="155"/>
  <c r="E32" i="155"/>
  <c r="F32" i="155"/>
  <c r="G32" i="155"/>
  <c r="H32" i="155"/>
  <c r="I32" i="155"/>
  <c r="J32" i="155"/>
  <c r="K32" i="155"/>
  <c r="L32" i="155"/>
  <c r="D49" i="140"/>
  <c r="C50" i="140"/>
  <c r="D50" i="140"/>
  <c r="D51" i="140"/>
  <c r="C52" i="140"/>
  <c r="D52" i="140"/>
  <c r="D54" i="140"/>
  <c r="C55" i="140"/>
  <c r="D55" i="140"/>
  <c r="C56" i="140"/>
  <c r="D56" i="140"/>
  <c r="D94" i="140"/>
  <c r="D97" i="140"/>
  <c r="D99" i="140"/>
  <c r="D101" i="140"/>
  <c r="C110" i="140"/>
  <c r="D110" i="140"/>
  <c r="C114" i="140"/>
  <c r="D114" i="140"/>
  <c r="C119" i="140"/>
  <c r="D119" i="140"/>
  <c r="C120" i="140"/>
  <c r="D120" i="140"/>
  <c r="C121" i="140"/>
  <c r="D121" i="140"/>
  <c r="I135" i="140"/>
  <c r="J135" i="140"/>
  <c r="I136" i="140"/>
  <c r="J136" i="140"/>
  <c r="I137" i="140"/>
  <c r="J137" i="140"/>
  <c r="I139" i="140"/>
  <c r="J139" i="140"/>
  <c r="H9" i="321"/>
  <c r="H12" i="321"/>
  <c r="G13" i="321"/>
  <c r="H13" i="321"/>
  <c r="G15" i="321"/>
  <c r="H15" i="321"/>
  <c r="G17" i="321"/>
  <c r="H17" i="321"/>
  <c r="G18" i="321"/>
  <c r="H18" i="321"/>
  <c r="G19" i="321"/>
  <c r="H19" i="321"/>
  <c r="G20" i="321"/>
  <c r="H20" i="321"/>
  <c r="H23" i="321"/>
  <c r="H24" i="321"/>
  <c r="G25" i="321"/>
  <c r="H25" i="321"/>
  <c r="G33" i="321"/>
  <c r="H33" i="321"/>
  <c r="G35" i="321"/>
  <c r="H35" i="321"/>
  <c r="H42" i="321"/>
  <c r="H44" i="321"/>
  <c r="H48" i="321"/>
  <c r="B4" i="368"/>
  <c r="C4" i="368"/>
  <c r="F4" i="368"/>
  <c r="B5" i="368"/>
  <c r="C5" i="368"/>
  <c r="F5" i="368"/>
  <c r="B6" i="368"/>
  <c r="C6" i="368"/>
  <c r="F6" i="368"/>
  <c r="B7" i="368"/>
  <c r="C7" i="368"/>
  <c r="F7" i="368"/>
  <c r="B10" i="368"/>
  <c r="C10" i="368"/>
  <c r="F10" i="368"/>
  <c r="F12" i="368"/>
  <c r="B17" i="368"/>
  <c r="F17" i="368"/>
  <c r="B18" i="368"/>
  <c r="F18" i="368"/>
  <c r="B19" i="368"/>
  <c r="F19" i="368"/>
  <c r="B22" i="368"/>
  <c r="F22" i="368"/>
  <c r="F24" i="368"/>
  <c r="D38" i="200"/>
  <c r="E38" i="200"/>
  <c r="D39" i="200"/>
  <c r="E39" i="200"/>
  <c r="D41" i="200"/>
  <c r="E41" i="200"/>
  <c r="D45" i="200"/>
  <c r="E45" i="200"/>
  <c r="D46" i="200"/>
  <c r="E46" i="200"/>
  <c r="D51" i="200"/>
  <c r="E51" i="200"/>
  <c r="D52" i="200"/>
  <c r="E52" i="200"/>
  <c r="D54" i="200"/>
  <c r="E54" i="200"/>
  <c r="C6" i="211"/>
  <c r="D6" i="211"/>
  <c r="D7" i="211"/>
  <c r="C8" i="211"/>
  <c r="D8" i="211"/>
  <c r="D10" i="211"/>
  <c r="C11" i="211"/>
  <c r="D11" i="211"/>
  <c r="C13" i="211"/>
  <c r="D13" i="211"/>
  <c r="F14" i="211"/>
  <c r="C16" i="211"/>
  <c r="D16" i="211"/>
  <c r="C18" i="211"/>
  <c r="D18" i="211"/>
  <c r="BL10" i="159"/>
  <c r="BU10" i="159"/>
  <c r="BV10" i="159"/>
  <c r="BW10" i="159"/>
  <c r="BU15" i="159"/>
  <c r="BV15" i="159"/>
  <c r="BL16" i="159"/>
  <c r="BU16" i="159"/>
  <c r="BV16" i="159"/>
  <c r="BW16" i="159"/>
  <c r="BL22" i="159"/>
  <c r="BU22" i="159"/>
  <c r="BV22" i="159"/>
  <c r="BW22" i="159"/>
  <c r="BL23" i="159"/>
  <c r="BU23" i="159"/>
  <c r="BV23" i="159"/>
  <c r="BW23" i="159"/>
  <c r="BL24" i="159"/>
  <c r="BU24" i="159"/>
  <c r="BV24" i="159"/>
  <c r="BW24" i="159"/>
  <c r="BL25" i="159"/>
  <c r="BU25" i="159"/>
  <c r="BV25" i="159"/>
  <c r="BW25" i="159"/>
  <c r="BL26" i="159"/>
  <c r="BU26" i="159"/>
  <c r="BV26" i="159"/>
  <c r="BW26" i="159"/>
  <c r="BL27" i="159"/>
  <c r="BU27" i="159"/>
  <c r="BV27" i="159"/>
  <c r="BW27" i="159"/>
  <c r="BL28" i="159"/>
  <c r="BU28" i="159"/>
  <c r="BV28" i="159"/>
  <c r="BW28" i="159"/>
  <c r="BL29" i="159"/>
  <c r="BU29" i="159"/>
  <c r="BV29" i="159"/>
  <c r="BW29" i="159"/>
  <c r="BL30" i="159"/>
  <c r="BU30" i="159"/>
  <c r="BV30" i="159"/>
  <c r="BW30" i="159"/>
  <c r="BL31" i="159"/>
  <c r="BU31" i="159"/>
  <c r="BV31" i="159"/>
  <c r="BW31" i="159"/>
  <c r="BL32" i="159"/>
  <c r="BU32" i="159"/>
  <c r="BV32" i="159"/>
  <c r="BW32" i="159"/>
  <c r="BL33" i="159"/>
  <c r="BU33" i="159"/>
  <c r="BV33" i="159"/>
  <c r="BW33" i="159"/>
  <c r="BL34" i="159"/>
  <c r="BU34" i="159"/>
  <c r="BV34" i="159"/>
  <c r="BW34" i="159"/>
  <c r="BL36" i="159"/>
  <c r="BU36" i="159"/>
  <c r="BV36" i="159"/>
  <c r="BW36" i="159"/>
  <c r="BL37" i="159"/>
  <c r="BU37" i="159"/>
  <c r="BV37" i="159"/>
  <c r="BW37" i="159"/>
  <c r="BL38" i="159"/>
  <c r="BU38" i="159"/>
  <c r="BV38" i="159"/>
  <c r="BW38" i="159"/>
  <c r="BL39" i="159"/>
  <c r="BU39" i="159"/>
  <c r="BV39" i="159"/>
  <c r="BW39" i="159"/>
  <c r="BL40" i="159"/>
  <c r="BU40" i="159"/>
  <c r="BV40" i="159"/>
  <c r="BW40" i="159"/>
  <c r="BL41" i="159"/>
  <c r="BU41" i="159"/>
  <c r="BV41" i="159"/>
  <c r="BW41" i="159"/>
  <c r="BL42" i="159"/>
  <c r="BU42" i="159"/>
  <c r="BV42" i="159"/>
  <c r="BW42" i="159"/>
  <c r="BL43" i="159"/>
  <c r="BU43" i="159"/>
  <c r="BV43" i="159"/>
  <c r="BW43" i="159"/>
  <c r="BL44" i="159"/>
  <c r="BU44" i="159"/>
  <c r="BV44" i="159"/>
  <c r="BW44" i="159"/>
  <c r="BL45" i="159"/>
  <c r="BU45" i="159"/>
  <c r="BV45" i="159"/>
  <c r="BW45" i="159"/>
  <c r="BL46" i="159"/>
  <c r="BU46" i="159"/>
  <c r="BV46" i="159"/>
  <c r="BW46" i="159"/>
  <c r="BL47" i="159"/>
  <c r="BU47" i="159"/>
  <c r="BV47" i="159"/>
  <c r="BW47" i="159"/>
  <c r="BL48" i="159"/>
  <c r="BU48" i="159"/>
  <c r="BV48" i="159"/>
  <c r="BW48" i="159"/>
  <c r="BL49" i="159"/>
  <c r="BU49" i="159"/>
  <c r="BV49" i="159"/>
  <c r="BW49" i="159"/>
  <c r="BL50" i="159"/>
  <c r="BU50" i="159"/>
  <c r="BV50" i="159"/>
  <c r="BW50" i="159"/>
  <c r="BL51" i="159"/>
  <c r="BU51" i="159"/>
  <c r="BV51" i="159"/>
  <c r="BW51" i="159"/>
  <c r="BL52" i="159"/>
  <c r="BL53" i="159"/>
  <c r="BU53" i="159"/>
  <c r="BV53" i="159"/>
  <c r="BW53" i="159"/>
  <c r="BL56" i="159"/>
  <c r="BU56" i="159"/>
  <c r="BV56" i="159"/>
  <c r="BW56" i="159"/>
  <c r="BL57" i="159"/>
  <c r="BU57" i="159"/>
  <c r="BV57" i="159"/>
  <c r="BW57" i="159"/>
  <c r="BL58" i="159"/>
  <c r="BU58" i="159"/>
  <c r="BV58" i="159"/>
  <c r="BW58" i="159"/>
  <c r="BL59" i="159"/>
  <c r="BU59" i="159"/>
  <c r="BV59" i="159"/>
  <c r="BW59" i="159"/>
  <c r="BL60" i="159"/>
  <c r="BU60" i="159"/>
  <c r="BV60" i="159"/>
  <c r="BW60" i="159"/>
  <c r="BL61" i="159"/>
  <c r="BU61" i="159"/>
  <c r="BV61" i="159"/>
  <c r="BW61" i="159"/>
  <c r="BL62" i="159"/>
  <c r="BU62" i="159"/>
  <c r="BV62" i="159"/>
  <c r="BW62" i="159"/>
  <c r="BL63" i="159"/>
  <c r="BU63" i="159"/>
  <c r="BV63" i="159"/>
  <c r="BW63" i="159"/>
  <c r="BL64" i="159"/>
  <c r="BU64" i="159"/>
  <c r="BV64" i="159"/>
  <c r="BW64" i="159"/>
  <c r="BL65" i="159"/>
  <c r="BU65" i="159"/>
  <c r="BV65" i="159"/>
  <c r="BL66" i="159"/>
  <c r="BU66" i="159"/>
  <c r="BV66" i="159"/>
  <c r="BW66" i="159"/>
  <c r="BL67" i="159"/>
  <c r="BU67" i="159"/>
  <c r="BV67" i="159"/>
  <c r="BW67" i="159"/>
  <c r="D72" i="159"/>
  <c r="E72" i="159"/>
  <c r="D73" i="159"/>
  <c r="E73" i="159"/>
  <c r="D74" i="159"/>
  <c r="E74" i="159"/>
  <c r="D75" i="159"/>
  <c r="E75" i="15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tc={7579F2FF-9C06-458F-9CBC-BE41EDED0B7F}</author>
  </authors>
  <commentList>
    <comment ref="D4" authorId="0" shapeId="0" xr:uid="{7579F2FF-9C06-458F-9CBC-BE41EDED0B7F}">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As given by FInance dept and as indicated as FS</t>
        </r>
      </text>
    </comment>
  </commentList>
</comments>
</file>

<file path=xl/sharedStrings.xml><?xml version="1.0" encoding="utf-8"?>
<sst xmlns="http://schemas.openxmlformats.org/spreadsheetml/2006/main" count="5586" uniqueCount="2473">
  <si>
    <t>OERC</t>
  </si>
  <si>
    <t>FORM T-1</t>
  </si>
  <si>
    <t>Licencee-TPWODL</t>
  </si>
  <si>
    <t>ASSESSMENT OF CONSUMPTION FOR THE  ENSUING YEAR</t>
  </si>
  <si>
    <t>PREVIOUS YEAR</t>
  </si>
  <si>
    <t xml:space="preserve">1st SIX MONTH CURRENT YEAR </t>
  </si>
  <si>
    <t>CURRENT YEAR PROJECTED</t>
  </si>
  <si>
    <t xml:space="preserve">ENSUING YEAR </t>
  </si>
  <si>
    <t>ENSUING YEAR (APPROVED)</t>
  </si>
  <si>
    <t>SL No.</t>
  </si>
  <si>
    <t>CATEGORY OF CONSUMERS</t>
  </si>
  <si>
    <t>VOLTAGE OF SUPPLY</t>
  </si>
  <si>
    <t>Contract Demand (KW/ KVA)</t>
  </si>
  <si>
    <t>Consumption (MU)</t>
  </si>
  <si>
    <t>Contract Demand (KW/KVA)</t>
  </si>
  <si>
    <t>Consumption (MU)-KVAH</t>
  </si>
  <si>
    <t>Consumption (MU) KWH</t>
  </si>
  <si>
    <t>Percentage rise Annual %</t>
  </si>
  <si>
    <t>Anticipated Consumption (MU) KWh</t>
  </si>
  <si>
    <t xml:space="preserve">No. of </t>
  </si>
  <si>
    <t>Contract</t>
  </si>
  <si>
    <t>Anticipated</t>
  </si>
  <si>
    <t>Percentage</t>
  </si>
  <si>
    <t>No.</t>
  </si>
  <si>
    <t>OF</t>
  </si>
  <si>
    <t>Demand</t>
  </si>
  <si>
    <t>Consumers</t>
  </si>
  <si>
    <t>Consumption</t>
  </si>
  <si>
    <t>rise Annual</t>
  </si>
  <si>
    <t>Rebateable Units</t>
  </si>
  <si>
    <t xml:space="preserve"> </t>
  </si>
  <si>
    <t>CONSUMERS</t>
  </si>
  <si>
    <t xml:space="preserve">as on 1st April </t>
  </si>
  <si>
    <t>in the ensuing year</t>
  </si>
  <si>
    <t>(MW)</t>
  </si>
  <si>
    <t>(MU)</t>
  </si>
  <si>
    <t>of the</t>
  </si>
  <si>
    <t>(KW/KVA)</t>
  </si>
  <si>
    <t>(%)</t>
  </si>
  <si>
    <t>Ensg. yr-2000-01</t>
  </si>
  <si>
    <t xml:space="preserve"> ensuing year</t>
  </si>
  <si>
    <t>2021-22</t>
  </si>
  <si>
    <t>LT CATEGORY (A.C.)</t>
  </si>
  <si>
    <t>SAUBHAGYA &amp; other village electrification scheme</t>
  </si>
  <si>
    <t>DOMESTIC</t>
  </si>
  <si>
    <t>LT</t>
  </si>
  <si>
    <t>I)</t>
  </si>
  <si>
    <t>Kutirjyoti&lt;=30KWH</t>
  </si>
  <si>
    <t>BPL Con-Saubhagya</t>
  </si>
  <si>
    <t>ii)</t>
  </si>
  <si>
    <t>Others</t>
  </si>
  <si>
    <t>0&lt;=50 KWH</t>
  </si>
  <si>
    <t xml:space="preserve">MU to be sold </t>
  </si>
  <si>
    <t>&gt;50&lt;=200</t>
  </si>
  <si>
    <t>&gt;200&lt;=400</t>
  </si>
  <si>
    <t>More than 400 KWH (SLAB)</t>
  </si>
  <si>
    <t>Total Domestic</t>
  </si>
  <si>
    <t>General Purpose&lt;100 Kw</t>
  </si>
  <si>
    <t>All Units if  cons. within</t>
  </si>
  <si>
    <t>0-100 KWH</t>
  </si>
  <si>
    <t>&gt;100&lt;=300</t>
  </si>
  <si>
    <t>More than 300 KWH(SLAB)</t>
  </si>
  <si>
    <t>Total General Purpose (&lt;100kw)</t>
  </si>
  <si>
    <t>Irrigation Pumping and Agriculture</t>
  </si>
  <si>
    <t>Allied Agricultural Activities</t>
  </si>
  <si>
    <t>Allied Agro-Industrial Activities</t>
  </si>
  <si>
    <t>Public Lighting</t>
  </si>
  <si>
    <t>L.T. Industrial (S) Supply</t>
  </si>
  <si>
    <t>L.T. Industrial (M) Supply</t>
  </si>
  <si>
    <t>Specified Public Purpose &lt;100 kw</t>
  </si>
  <si>
    <t>Public Water Works &lt;100 KW</t>
  </si>
  <si>
    <t>Public Water Works &gt;=100 KW</t>
  </si>
  <si>
    <t>General Purpose &gt;=100 Kva</t>
  </si>
  <si>
    <t>Large Industry</t>
  </si>
  <si>
    <t>Total LT-----&gt;</t>
  </si>
  <si>
    <t>HT Category</t>
  </si>
  <si>
    <t>Bulk Supply - Domestic</t>
  </si>
  <si>
    <t>HT</t>
  </si>
  <si>
    <t>Specified Public Purpose</t>
  </si>
  <si>
    <t>General Purpose&gt;70 Kva &lt;110 Kva</t>
  </si>
  <si>
    <t>General Purpose &gt;=110 Kva</t>
  </si>
  <si>
    <t>H.T. Industrial (M) Supply</t>
  </si>
  <si>
    <t>Public Water Works &amp; Sweage Pumping</t>
  </si>
  <si>
    <t>Power Intensive Industry</t>
  </si>
  <si>
    <t xml:space="preserve">Mini Steel Plant          </t>
  </si>
  <si>
    <t>Railway Traction</t>
  </si>
  <si>
    <t>Emerg. Supply to CPP</t>
  </si>
  <si>
    <t>Colony Consumption</t>
  </si>
  <si>
    <t>Total HT -----&gt;</t>
  </si>
  <si>
    <t>EHT Category</t>
  </si>
  <si>
    <t>General Purpose</t>
  </si>
  <si>
    <t>EHT</t>
  </si>
  <si>
    <t>Heavy Industry</t>
  </si>
  <si>
    <t>Mini Steel Plant</t>
  </si>
  <si>
    <t>Total EHT -----&gt;</t>
  </si>
  <si>
    <t>GRAND TOTAL</t>
  </si>
  <si>
    <t>Power Purchase in (MU)</t>
  </si>
  <si>
    <t>Lost Units (MU)</t>
  </si>
  <si>
    <t>Dist. Loss in (%)</t>
  </si>
  <si>
    <t>Collection Efficiency(%)</t>
  </si>
  <si>
    <t>AT &amp; C Loss (%)</t>
  </si>
  <si>
    <t>Billing</t>
  </si>
  <si>
    <t>2020-21</t>
  </si>
  <si>
    <t>2022-23</t>
  </si>
  <si>
    <t>INPUT</t>
  </si>
  <si>
    <t>Input for LT &amp; HT</t>
  </si>
  <si>
    <t>Licencee:-TPWODL</t>
  </si>
  <si>
    <t>FORM T-2</t>
  </si>
  <si>
    <t>Consumption/Billing figures for DOMESTIC Consumers for the Previous year</t>
  </si>
  <si>
    <t>A.</t>
  </si>
  <si>
    <t>Domestic Consumers</t>
  </si>
  <si>
    <t>URBAN</t>
  </si>
  <si>
    <t>UNITS BILLED IN MU</t>
  </si>
  <si>
    <t>(FOR THE PERIOD OF REPORT)</t>
  </si>
  <si>
    <t>Sale in the slab rates -&gt;</t>
  </si>
  <si>
    <t>No. of Consumer 1st April of the Current Year</t>
  </si>
  <si>
    <t>Total connected Load in KW</t>
  </si>
  <si>
    <t>* MONTHLY CONSUMPTION SLAB</t>
  </si>
  <si>
    <t>0-30KWH (Only for Kutir Jyoti)</t>
  </si>
  <si>
    <t>0-50 KWH</t>
  </si>
  <si>
    <t>&gt;50 &lt;= 200KWH</t>
  </si>
  <si>
    <t>&gt;200 &lt;= 400KWH</t>
  </si>
  <si>
    <t>&gt;400KWH</t>
  </si>
  <si>
    <t>Total Energy Billed</t>
  </si>
  <si>
    <t>Total Revenue Billed</t>
  </si>
  <si>
    <t>Current Revenue Realised</t>
  </si>
  <si>
    <t>C.D.In KW</t>
  </si>
  <si>
    <t>1.0</t>
  </si>
  <si>
    <t>2.0</t>
  </si>
  <si>
    <t>3.0</t>
  </si>
  <si>
    <t>More than 4 KW</t>
  </si>
  <si>
    <t>SUB-TOTAL</t>
  </si>
  <si>
    <t>Large domestic consumers  11/33 KV Supply</t>
  </si>
  <si>
    <t>No of Kutir Jyoti Cons.</t>
  </si>
  <si>
    <t>Consumption/KJ conn.</t>
  </si>
  <si>
    <t xml:space="preserve">Total Consmption(KJ) </t>
  </si>
  <si>
    <t>TOTAL (URBAN)</t>
  </si>
  <si>
    <t>B.</t>
  </si>
  <si>
    <t>RURAL</t>
  </si>
  <si>
    <t>TOTAL (RURAL)</t>
  </si>
  <si>
    <t>TOTAL (Urban + Rural)</t>
  </si>
  <si>
    <t>No. of Domestic Consumers and consumption 1st April of the Current Year</t>
  </si>
  <si>
    <t>Billing as per Actual Meter Reading</t>
  </si>
  <si>
    <t>Unmetered supply</t>
  </si>
  <si>
    <t>supply with defective meters</t>
  </si>
  <si>
    <t>No Of Consumers</t>
  </si>
  <si>
    <t>Kutir Jyoti Consumers</t>
  </si>
  <si>
    <t>Total</t>
  </si>
  <si>
    <t>Consumption/Billing figures for DOMESTIC Consumers for 1st 6 months of the current year</t>
  </si>
  <si>
    <t>FORM T-3</t>
  </si>
  <si>
    <t>Consumption/Billing figures for General Purpose Consumers for the Previous year</t>
  </si>
  <si>
    <t>General purpose Consumers</t>
  </si>
  <si>
    <t>&gt;100-300KWH</t>
  </si>
  <si>
    <t>&gt;300KWH</t>
  </si>
  <si>
    <t>Large GP consumers  11/33 KV Supply</t>
  </si>
  <si>
    <t>No. of GP Consumer 1st April of the Current Year</t>
  </si>
  <si>
    <t>Consumption/Billing figures for General Purpose Consumers for 1st six months of the current year</t>
  </si>
  <si>
    <t>POWER PURCHASE , SALE  &amp; DEMAND OF  THE LICENSEE</t>
  </si>
  <si>
    <t>OERC FORM T-4</t>
  </si>
  <si>
    <t>Actual for Previous Year</t>
  </si>
  <si>
    <t>Current Year</t>
  </si>
  <si>
    <t>Licensee Proposal for Ensuing Year</t>
  </si>
  <si>
    <t>Apr</t>
  </si>
  <si>
    <t>May</t>
  </si>
  <si>
    <t>Jun</t>
  </si>
  <si>
    <t>Jul</t>
  </si>
  <si>
    <t>Aug</t>
  </si>
  <si>
    <t>Sep</t>
  </si>
  <si>
    <t>Total (Apr to Sep)</t>
  </si>
  <si>
    <t>Avg. from Apr  to Sep</t>
  </si>
  <si>
    <t>Licensee Estimate for Current Year</t>
  </si>
  <si>
    <t>Energy Purchased in (MU)</t>
  </si>
  <si>
    <t>Units Sold (MU)</t>
  </si>
  <si>
    <t>LT Category (A.C.)</t>
  </si>
  <si>
    <t>Domestic</t>
  </si>
  <si>
    <t xml:space="preserve"> I)</t>
  </si>
  <si>
    <t>Kutirjyoti (&lt;=30KWH)</t>
  </si>
  <si>
    <t xml:space="preserve"> ii)</t>
  </si>
  <si>
    <t>0&lt;=50KWH</t>
  </si>
  <si>
    <t>Total Domestic-----&gt;</t>
  </si>
  <si>
    <t>General Purpose (&lt;100 kw)</t>
  </si>
  <si>
    <t>Total General Purpose (&lt;100 kw)</t>
  </si>
  <si>
    <t>LT Industrial (S) Supply</t>
  </si>
  <si>
    <t>LT Industrial (M) Supply</t>
  </si>
  <si>
    <t>Specified Public Purpose &lt;100 KW</t>
  </si>
  <si>
    <t>Public Water Works&lt;100 KW</t>
  </si>
  <si>
    <t>Public Water Works&gt;=100 KW</t>
  </si>
  <si>
    <t>General Purpose &gt;= 110 Kva</t>
  </si>
  <si>
    <t xml:space="preserve"> Total LT-----&gt;</t>
  </si>
  <si>
    <t>General Purpose &lt; 110 KVA</t>
  </si>
  <si>
    <t>General Purpose (&gt;= 110 KVA)</t>
  </si>
  <si>
    <t>H.T.Industrial (M) Supply</t>
  </si>
  <si>
    <t>Public Water Works &amp; Sewage Pumping</t>
  </si>
  <si>
    <t>Total EHT-----&gt;</t>
  </si>
  <si>
    <t>MONTHLY DEMAND (MVA)</t>
  </si>
  <si>
    <t>Average for Previous Year</t>
  </si>
  <si>
    <t>Maximum for Previous Year</t>
  </si>
  <si>
    <t>Demand (MVA)</t>
  </si>
  <si>
    <t xml:space="preserve">Licencee:-TPWODL </t>
  </si>
  <si>
    <t>FORM T-5</t>
  </si>
  <si>
    <t xml:space="preserve">Consumption/Billing figures for IRRIGATION &amp; AGRICULTURAL Consumers </t>
  </si>
  <si>
    <t>Irrigation &amp; Agricultural Consumers, Allied Agricultural Activities &amp; Allied Agro-Industrial Activities</t>
  </si>
  <si>
    <t>1st six months of the current year</t>
  </si>
  <si>
    <t>C.D.In KW UP TO</t>
  </si>
  <si>
    <t>More Than 7 KW</t>
  </si>
  <si>
    <t xml:space="preserve">TOTAL </t>
  </si>
  <si>
    <t>No. of Irrigation &amp; Agricultural  Consumer and consumption</t>
  </si>
  <si>
    <t>Billing as per Actual Mtr Reading</t>
  </si>
  <si>
    <t>Un metered Supply</t>
  </si>
  <si>
    <t>Supply with Defective Mtr</t>
  </si>
  <si>
    <t>FORM T-6</t>
  </si>
  <si>
    <t>Consumer Commercial Information</t>
  </si>
  <si>
    <t>Category Of Consumers &amp; Sale Figures In MU</t>
  </si>
  <si>
    <t>ACTUAL FOR THE YEAR 2021-22</t>
  </si>
  <si>
    <t>Sl No</t>
  </si>
  <si>
    <t>Unit---------------&gt;</t>
  </si>
  <si>
    <t>Elect. Circle, (SAMBALPUR)</t>
  </si>
  <si>
    <t>Elect. Circle, (BARGARH)</t>
  </si>
  <si>
    <t>Elect. Circle, (ROURKELA)</t>
  </si>
  <si>
    <t>Elect. Circle, (BOLANGIR)</t>
  </si>
  <si>
    <t>Elect. Circle, (KALAHANDI)</t>
  </si>
  <si>
    <t>TOTAL SALE IN MU</t>
  </si>
  <si>
    <t>TOTAL REVENUE BILLED FOR EACH CATEGORY (Rs. Lakh)</t>
  </si>
  <si>
    <t>Avg. Rev Billed. (paise/kwh)</t>
  </si>
  <si>
    <t>BILLED</t>
  </si>
  <si>
    <t>General Purpose &gt;70Kva&lt; 110 KVA</t>
  </si>
  <si>
    <t>Lost Units in (MU)</t>
  </si>
  <si>
    <t>T&amp;D LOSS (%)</t>
  </si>
  <si>
    <t>Collection Efficiency in (%)</t>
  </si>
  <si>
    <t>AT &amp; C Loss in (%)</t>
  </si>
  <si>
    <t>Note:-Total Revenue Billed dose not includes Meter Rent &amp; DPS.</t>
  </si>
  <si>
    <t>TOTAL</t>
  </si>
  <si>
    <t>Purchase of Power(MU)</t>
  </si>
  <si>
    <t>OERC FORM T-7 (Current year)</t>
  </si>
  <si>
    <t>Revenue Computation for Current year with existing tariff.</t>
  </si>
  <si>
    <t>SL.  NO.</t>
  </si>
  <si>
    <t>Voltage of Supply</t>
  </si>
  <si>
    <t>Consumption during Current year (Anticipated)</t>
  </si>
  <si>
    <t>Consumption for L.F. of &lt;=60% (Anticipated)</t>
  </si>
  <si>
    <t>Consumption for L.F. of &gt; 60% (Anticipated)</t>
  </si>
  <si>
    <t>No of Consumers</t>
  </si>
  <si>
    <t>Contract Demand</t>
  </si>
  <si>
    <t>Total Connected Load in excess of 1st KW</t>
  </si>
  <si>
    <t>Demand Charge (Existing)</t>
  </si>
  <si>
    <t>Energy Charge (Existing)</t>
  </si>
  <si>
    <t>Graded Slab E.C. for cons. Ratio &gt;60% (Existing)</t>
  </si>
  <si>
    <t>Minimum Fixed Charge (Existing)</t>
  </si>
  <si>
    <t>Customer Service Charge (Existing)</t>
  </si>
  <si>
    <t>Basis for calculation of average charge-PF &amp; LF</t>
  </si>
  <si>
    <t>Average Charge</t>
  </si>
  <si>
    <t>MD/CD Ratio</t>
  </si>
  <si>
    <t>Revenue from Demand Charge</t>
  </si>
  <si>
    <t>Revenue from Energy Charge</t>
  </si>
  <si>
    <t>Revenue from Monthly Minimum Fixed Charge</t>
  </si>
  <si>
    <t>Revenue from Customer Service Charge</t>
  </si>
  <si>
    <t>Total Revenue</t>
  </si>
  <si>
    <t>Rebate</t>
  </si>
  <si>
    <t>Average charge after rebate</t>
  </si>
  <si>
    <t>Anticipated Rebateable Units</t>
  </si>
  <si>
    <t>Revenue Relief due to Rebate</t>
  </si>
  <si>
    <t>Total Revenue after rebate</t>
  </si>
  <si>
    <t>AVG. Charge as a % of Cost of Supply</t>
  </si>
  <si>
    <t>Electricity Duty</t>
  </si>
  <si>
    <t>Total Electricity Duty</t>
  </si>
  <si>
    <t>Total Charge to Con including ED</t>
  </si>
  <si>
    <t xml:space="preserve">Revenue releif due to prompt payment rebate </t>
  </si>
  <si>
    <t>Revenue from reliability surcharge</t>
  </si>
  <si>
    <t>Revenue from Power factor penalty</t>
  </si>
  <si>
    <t>Revenue relief due to Power Factor incentive</t>
  </si>
  <si>
    <t>Net Revenue after incentive/surcharge &amp; penalty</t>
  </si>
  <si>
    <t>Position w.r.t all India Tariff</t>
  </si>
  <si>
    <t>Units</t>
  </si>
  <si>
    <t>MU's</t>
  </si>
  <si>
    <t>Nos.</t>
  </si>
  <si>
    <t>KW/KVA</t>
  </si>
  <si>
    <t>KW</t>
  </si>
  <si>
    <t>Rs./KVA/month</t>
  </si>
  <si>
    <t>Paise/KWH</t>
  </si>
  <si>
    <t>For 1st KW (Rs./Con/M)</t>
  </si>
  <si>
    <t>FOR Addl. KW</t>
  </si>
  <si>
    <t>Rs./Customer</t>
  </si>
  <si>
    <t>PF</t>
  </si>
  <si>
    <t>LF</t>
  </si>
  <si>
    <t>paise/ kwh</t>
  </si>
  <si>
    <t>Rs. Lakhs</t>
  </si>
  <si>
    <t>Paise/kwh</t>
  </si>
  <si>
    <t>MU</t>
  </si>
  <si>
    <t>% age</t>
  </si>
  <si>
    <t>% age of Energy</t>
  </si>
  <si>
    <t>paise/kwh</t>
  </si>
  <si>
    <t xml:space="preserve"> i)</t>
  </si>
  <si>
    <t>More than 400 KWH (Slab)</t>
  </si>
  <si>
    <t>General Purpose (&lt;100 KW)</t>
  </si>
  <si>
    <t>Total General Purpose (&lt;100 KW)</t>
  </si>
  <si>
    <t xml:space="preserve">Specified Public Purpose </t>
  </si>
  <si>
    <t>Public Water Works&lt;100KW</t>
  </si>
  <si>
    <t>Public Water Works &gt;=100KW</t>
  </si>
  <si>
    <t>General Purpose (&gt;= 110 Kva)</t>
  </si>
  <si>
    <t>LT CATEGORY TOTAL</t>
  </si>
  <si>
    <t>HT CATEGORY</t>
  </si>
  <si>
    <t>Bulk Supply- Domestic</t>
  </si>
  <si>
    <t>General Purpose&gt;70Kva&lt;110 KVA</t>
  </si>
  <si>
    <t>General Purpose (&gt;=110 KVA)</t>
  </si>
  <si>
    <t>H.T.Industrial (M) Medium Industry</t>
  </si>
  <si>
    <t>Emergency Supply to CPP</t>
  </si>
  <si>
    <t xml:space="preserve"> Total HT -----&gt;</t>
  </si>
  <si>
    <t>EHT CATEGORY</t>
  </si>
  <si>
    <t>Special Tariff</t>
  </si>
  <si>
    <t>EHT CATEGORYTOTAL</t>
  </si>
  <si>
    <t>OERC FORM T-7</t>
  </si>
  <si>
    <t>Revenue Computation for ensuing year with existing tariff.</t>
  </si>
  <si>
    <t>CATEGORY</t>
  </si>
  <si>
    <t>Consumption during ensuing year (Anticipated)</t>
  </si>
  <si>
    <t>Graded Slab E.C. for L.F. of &gt;60% (Existing)</t>
  </si>
  <si>
    <t>Revenue on account of reliability surcharge</t>
  </si>
  <si>
    <t>Net Revenue after incentive/ surcharge &amp; penalty</t>
  </si>
  <si>
    <t>General Purpose &gt;70 Kva&lt;110 KVA</t>
  </si>
  <si>
    <t>FORM T-8</t>
  </si>
  <si>
    <t>OERC FORM T-8</t>
  </si>
  <si>
    <t>Revenue Computation for ensuing year using proposed tariffs.</t>
  </si>
  <si>
    <t>Existing</t>
  </si>
  <si>
    <t>Proposed</t>
  </si>
  <si>
    <t>Proposed-Exisitng</t>
  </si>
  <si>
    <t>No of consumers</t>
  </si>
  <si>
    <t>Total of Connected Load in excess of 1st kW</t>
  </si>
  <si>
    <t>Demand Charge</t>
  </si>
  <si>
    <t>Energy Charge</t>
  </si>
  <si>
    <t xml:space="preserve">Graded Slab E.C. for L.F. of &gt;60% </t>
  </si>
  <si>
    <t>Minimum Fixed Charge</t>
  </si>
  <si>
    <t>Customer Service Charge</t>
  </si>
  <si>
    <t>Basis for calculation of average charge-PF and LF</t>
  </si>
  <si>
    <t>Revenue from Demand Charges</t>
  </si>
  <si>
    <t>Revenue from Energy Charges</t>
  </si>
  <si>
    <t>Revenue From Monthly Minimum Fixed Charge</t>
  </si>
  <si>
    <t>Average Charge after rebate</t>
  </si>
  <si>
    <t>Revenue Releif due to Rebate</t>
  </si>
  <si>
    <t xml:space="preserve">Revenue releif due to prompt payment &amp; Digital rebate </t>
  </si>
  <si>
    <t>Net revenue after incnetive/surcharge &amp; Penalty</t>
  </si>
  <si>
    <t>Graded Salb E.C. for L.F. of &gt;60%</t>
  </si>
  <si>
    <t>MinimumFixed Charge</t>
  </si>
  <si>
    <t>Customer service charge</t>
  </si>
  <si>
    <t>Basis for calculation of average charge PF and LF</t>
  </si>
  <si>
    <t>Average charge</t>
  </si>
  <si>
    <t>MD/ CD Ratio</t>
  </si>
  <si>
    <t xml:space="preserve">Total Revenue </t>
  </si>
  <si>
    <t>Avg Charge after rebate</t>
  </si>
  <si>
    <t>Revenue releif due to rebate</t>
  </si>
  <si>
    <t>Change in Net Revenue</t>
  </si>
  <si>
    <t>Change in Revenue from Demand Charge</t>
  </si>
  <si>
    <t>Change in Revenue from Energy Charge</t>
  </si>
  <si>
    <t>Change in revenue from monthly minimum fixed charge</t>
  </si>
  <si>
    <t>Change in revenue from customer service charge</t>
  </si>
  <si>
    <t>Change in Total Revenue</t>
  </si>
  <si>
    <t>Change in Net Avergae Charge</t>
  </si>
  <si>
    <t>% age Change in Net Avergae Charge</t>
  </si>
  <si>
    <t>Proposed tariff as a % age of COS</t>
  </si>
  <si>
    <t>Revenue from power factor penalty</t>
  </si>
  <si>
    <t>Net revenue after incentive/ surcharge &amp; penalty</t>
  </si>
  <si>
    <t>Total charge to consumers including ED</t>
  </si>
  <si>
    <t>Total Electgricity Duty</t>
  </si>
  <si>
    <t>Total Cost of Supply</t>
  </si>
  <si>
    <t>Total Subsidy</t>
  </si>
  <si>
    <t>Subsidy</t>
  </si>
  <si>
    <t>Position w.r.t all India tariff</t>
  </si>
  <si>
    <t>Nos</t>
  </si>
  <si>
    <t>kW/kVA</t>
  </si>
  <si>
    <t>kw</t>
  </si>
  <si>
    <t>Paise/kWh</t>
  </si>
  <si>
    <t>Rs./Customer/M</t>
  </si>
  <si>
    <t>Rs.</t>
  </si>
  <si>
    <t>Paise/Kwh</t>
  </si>
  <si>
    <t>Rs.Lakhs</t>
  </si>
  <si>
    <t>General Purpose &lt;100 KW</t>
  </si>
  <si>
    <t>Total General Purpose (&lt;100KW)</t>
  </si>
  <si>
    <t>Total LT -----&gt;</t>
  </si>
  <si>
    <t>General Purpose (&lt;110 KVA)</t>
  </si>
  <si>
    <t xml:space="preserve">Special Tariff </t>
  </si>
  <si>
    <t>Grand Total-----&gt;</t>
  </si>
  <si>
    <t>Anticipated Consumption</t>
  </si>
  <si>
    <t>Cost of Supply (Rs./kwh)</t>
  </si>
  <si>
    <t>Cost of Supply (Paise/ kwh)</t>
  </si>
  <si>
    <t>Consumption at LT</t>
  </si>
  <si>
    <t>Consumption at HT</t>
  </si>
  <si>
    <t>Consumption at EHT</t>
  </si>
  <si>
    <t>Adjustment Factor</t>
  </si>
  <si>
    <t>Sale</t>
  </si>
  <si>
    <t>Other Income</t>
  </si>
  <si>
    <t>%</t>
  </si>
  <si>
    <t>Licencee :</t>
  </si>
  <si>
    <t>TPWODL</t>
  </si>
  <si>
    <t>OERC FORM T-9</t>
  </si>
  <si>
    <t>CONSUMPTION PATTERN OF HT AND EHT CONSUMERS HAVING CONTRACT DEMAND GREATER THAN 1 MVA</t>
  </si>
  <si>
    <t>SL NO</t>
  </si>
  <si>
    <t>DIVISION</t>
  </si>
  <si>
    <t>NAME</t>
  </si>
  <si>
    <t>Category</t>
  </si>
  <si>
    <t>SUPP VOLT</t>
  </si>
  <si>
    <t xml:space="preserve">Existing CD IN KVA </t>
  </si>
  <si>
    <t>Addition/ Reduction during Ensuing Year</t>
  </si>
  <si>
    <t>Total CD during Ensuing Year</t>
  </si>
  <si>
    <t>Current Year Months</t>
  </si>
  <si>
    <t>Esimated for Current Year</t>
  </si>
  <si>
    <t>LF Current Year</t>
  </si>
  <si>
    <t>Projection for Ensuing Year</t>
  </si>
  <si>
    <t>A</t>
  </si>
  <si>
    <t>KVAh</t>
  </si>
  <si>
    <t>KWH</t>
  </si>
  <si>
    <t>ULTRA TECH CEMENT LTD.</t>
  </si>
  <si>
    <t>LARGE</t>
  </si>
  <si>
    <t>M/S SHYAM METALICS &amp; ENERGY LTD</t>
  </si>
  <si>
    <t>GENERAL MANAGER ,(M.C.L)</t>
  </si>
  <si>
    <t>M/S.BARGARH CEMENTWORKS-ACCLTD</t>
  </si>
  <si>
    <t>M/S MAHANADI COAL FIELDS LTD</t>
  </si>
  <si>
    <t>M/S SHREE GANESH METALIKS LTD.</t>
  </si>
  <si>
    <t>M/S G M ORDNANCE FACTORY</t>
  </si>
  <si>
    <t>DIVISIONAL RAILWAY MANAGER(TRD)</t>
  </si>
  <si>
    <t>TRACTION</t>
  </si>
  <si>
    <t>DRM(ELEC) EAST COAST RAILWAY</t>
  </si>
  <si>
    <t>THE DIVISIONAL ELECT.ENG.(TRACTION)</t>
  </si>
  <si>
    <t>THE DIVISIONAL RAILWAY MANAGER(TRD)</t>
  </si>
  <si>
    <t>M/S. ADITYA ALLUMINIUM LIMITED</t>
  </si>
  <si>
    <t>HEAVY</t>
  </si>
  <si>
    <t>D G M I/C,POWER DISTRIBUTION</t>
  </si>
  <si>
    <t>M/S.ADHUNIK METALIKS LIMITED</t>
  </si>
  <si>
    <t>M/S HINDALCO INDUSTRIES LIMITED.</t>
  </si>
  <si>
    <t>BHUSHAN POWER &amp; STEEL LTD.</t>
  </si>
  <si>
    <t>VEDANTA ALUMINIUM LIMITED</t>
  </si>
  <si>
    <t>M/S.GRAPHITE INDIA LTD.</t>
  </si>
  <si>
    <t>MSP</t>
  </si>
  <si>
    <t>M/S VIRAJ STEEL &amp; ENERGY LTD.</t>
  </si>
  <si>
    <t>M/S ARYAN ISPAT AND POWER PVT. LTD.</t>
  </si>
  <si>
    <t>The Sr Divisional Electrical Engineer TRD</t>
  </si>
  <si>
    <t>EHT Total</t>
  </si>
  <si>
    <t>GM MCL(DBS)</t>
  </si>
  <si>
    <t>DBS</t>
  </si>
  <si>
    <t>11 KV</t>
  </si>
  <si>
    <t>BISRA STONE LIME CO LTD.</t>
  </si>
  <si>
    <t>33 KV</t>
  </si>
  <si>
    <t>THE EXECUTIVE ENGINEER</t>
  </si>
  <si>
    <t>THE E.E.MEGA LIFT PROJECTS,BBSR1397</t>
  </si>
  <si>
    <t>THE EE MEGA LIFT PROJECTS BBSR-3791</t>
  </si>
  <si>
    <t>EE,MGA LIFT,CHIKILI &amp; JAMPALI</t>
  </si>
  <si>
    <t>EE MGA LIFT,TAMDEI DUNGURI</t>
  </si>
  <si>
    <t>EXE.ENG.MEGALIFT IRRIG.PROJ.JHARSUG</t>
  </si>
  <si>
    <t>EE.MEGA LIFT IRRIGATION PROJECT.JSG</t>
  </si>
  <si>
    <t>EE.MEGA LIFT IRRIGATION PROJECT JSG</t>
  </si>
  <si>
    <t>EXECUTIVE ENGINEER MLIP</t>
  </si>
  <si>
    <t>EE,MEGA LIFT PROJECT,KEONJHAR</t>
  </si>
  <si>
    <t>THE EXECUTIVE ENGINEER,MLIP,TTLG</t>
  </si>
  <si>
    <t>E.E MLIP. AT/PO-BHATIPADA</t>
  </si>
  <si>
    <t>THE EXECUTIVE ENGINEER MEGA LIFT</t>
  </si>
  <si>
    <t>THE E.E.MEGALIFT PROJECT SONEPUR</t>
  </si>
  <si>
    <t>E.E MEGALIFT PROJECT SONEPUR</t>
  </si>
  <si>
    <t>132 KV</t>
  </si>
  <si>
    <t>NATIONAL INSTITUTE OF TECHNOLOGY</t>
  </si>
  <si>
    <t>SPP</t>
  </si>
  <si>
    <t>COLLECTOR &amp; DISTRICT MAGISTRATE</t>
  </si>
  <si>
    <t>THE DEAN &amp; PRINCIPAL</t>
  </si>
  <si>
    <t>DIV . ENGG(ELECTRICAL)</t>
  </si>
  <si>
    <t>AIRPORTS AUTHORITY OF INDIA</t>
  </si>
  <si>
    <t>VEDANTA ALUMINIUM LTD.</t>
  </si>
  <si>
    <t>M/S.GLOBAL COAL &amp; MINING PVT LTD.</t>
  </si>
  <si>
    <t>DIVISIONAL ENGENEER (G)</t>
  </si>
  <si>
    <t>M/S NTPC LTD.</t>
  </si>
  <si>
    <t>M/S.VISHAL METALLICS(P)LTD.</t>
  </si>
  <si>
    <t>M/S FORUM PROJECTS PVT.LTD.</t>
  </si>
  <si>
    <t>E.E.(P.H),DIVISION,SBP</t>
  </si>
  <si>
    <t>E E, PHD,(IDCOL POINT)</t>
  </si>
  <si>
    <t>M/S.JAY JAGANNATH STEEL &amp; POWER LTD</t>
  </si>
  <si>
    <t>M/S. JAI HANUMAN UDYOG LTD.</t>
  </si>
  <si>
    <t>M/S SUPRIYAA ISPAT PRIVATE LTD.</t>
  </si>
  <si>
    <t>M/S. APAR INDUSTRIES LIMITED</t>
  </si>
  <si>
    <t>M/S.TRL KROSAKI REFRACTOIES LTD</t>
  </si>
  <si>
    <t>EARTH MINERAL COMPANY LTD.</t>
  </si>
  <si>
    <t>M/S. MAA BHAGAWATI RE-ROLLING MILL</t>
  </si>
  <si>
    <t>M/S.KAUSHAL FERRO METALS PLTD.</t>
  </si>
  <si>
    <t>M/S. A.C.B (INDIA) LTD</t>
  </si>
  <si>
    <t>ROURKELA MINERALS CO.(P) LTD.</t>
  </si>
  <si>
    <t>M/S IFGL REFRACTORIES LTD.</t>
  </si>
  <si>
    <t>M/S SURAJ PRODUCTS LTD.</t>
  </si>
  <si>
    <t>M/S. SHIVA CEMENT LTD.</t>
  </si>
  <si>
    <t>LARSEN &amp; TOUBRO LTD</t>
  </si>
  <si>
    <t>SHARDA RE-ROLLERS(P) LTD.</t>
  </si>
  <si>
    <t>SHREE.GANESH ROLLING MILLS(P)LTD</t>
  </si>
  <si>
    <t>M/S.BAJRANG STEEL &amp; ALLOYS LTD</t>
  </si>
  <si>
    <t>SHREE SALASAR CASTINGS(P)LTD.</t>
  </si>
  <si>
    <t>M/S AMBICA IRON &amp; STEELS(P)LTD</t>
  </si>
  <si>
    <t>M/S TOP TECH STEELS PVT.LTD.</t>
  </si>
  <si>
    <t>M/S MAA GIRIJA ISPAT(P)LTD.</t>
  </si>
  <si>
    <t>M/S. THAKUR PRASAD SAO &amp; SONS(P)LTD</t>
  </si>
  <si>
    <t>M/S.HINDUSTAN AQUA LTD</t>
  </si>
  <si>
    <t>M/S TIME STEEL &amp; POWER PVT LTD.</t>
  </si>
  <si>
    <t>M/S.BAJRANGBALI RE-ROLLERS(P)L</t>
  </si>
  <si>
    <t>M/S.SLM TECHNOLOGY PVT.LTD.</t>
  </si>
  <si>
    <t>M/S. SCAN STEELS LTD</t>
  </si>
  <si>
    <t>M/S. BEE PEE ROLLERS PVT LTD</t>
  </si>
  <si>
    <t>M/S.AURN STEEL INDUSTRIES PVT LTD.</t>
  </si>
  <si>
    <t>M/S.COGENT STEEL &amp; PIPES PVT LTD.</t>
  </si>
  <si>
    <t>M/S.BAJRANGBALI SPONGE &amp; POWER LTD.</t>
  </si>
  <si>
    <t>M/S.SHUBH ISPAT PVT LTD</t>
  </si>
  <si>
    <t>M/S.SUBHLABH CEMENTS PVT LTD.</t>
  </si>
  <si>
    <t>M/S.PAWANJAY SPONGE IRON LTD</t>
  </si>
  <si>
    <t>M/S.PANESAR STEEL &amp; POWER LTD.</t>
  </si>
  <si>
    <t>M/S STERLING INDUSTRIES</t>
  </si>
  <si>
    <t>Manager, Barsuan Iron Mines</t>
  </si>
  <si>
    <t>M/S.SURENDRA MINING IND(P)LTD.</t>
  </si>
  <si>
    <t>M/S. RUNGTA MINES LTD.</t>
  </si>
  <si>
    <t>M/S.JAY BALAJI JYOTI STEELS LT</t>
  </si>
  <si>
    <t>M/S.RUNGTA SONS PVT LTD</t>
  </si>
  <si>
    <t>M/S LINDE INDIA LTD.,2X853TPD PLANT</t>
  </si>
  <si>
    <t>EASTERN ALLOYS (P) LTD.</t>
  </si>
  <si>
    <t>M/S REFULGENT ISPAT PVT.LTD.</t>
  </si>
  <si>
    <t>M/S.RELIABLE SPONGE (P) LTD.</t>
  </si>
  <si>
    <t>SHRI RADHAKRISHNA ISPAT(P)LTD.</t>
  </si>
  <si>
    <t>M/S. DD IRON &amp; STEEL (P) LTD</t>
  </si>
  <si>
    <t>M/S SATGURU METALS &amp; POWER (P) LTD.</t>
  </si>
  <si>
    <t>M/S. CHUN CHUN ISPAT (P) LTD</t>
  </si>
  <si>
    <t>M/S.B R STEEL AND POWER LTD</t>
  </si>
  <si>
    <t>BAJRANG STEEL &amp;ALLOY(P) LTD</t>
  </si>
  <si>
    <t>M/S.SCAN STEELS LTD (UNIT-I)</t>
  </si>
  <si>
    <t>M/S. SCAN STEELS LTD(UNIT-II)</t>
  </si>
  <si>
    <t>B</t>
  </si>
  <si>
    <t>HT Total</t>
  </si>
  <si>
    <t>EHT &amp; HT Total</t>
  </si>
  <si>
    <t>OERC FORM.1</t>
  </si>
  <si>
    <t>INFORMATION ON BLOCK CAPITAL</t>
  </si>
  <si>
    <t>(Rs. in lakh)</t>
  </si>
  <si>
    <t>Actuals for previous financial year</t>
  </si>
  <si>
    <t>Revised estimate for Current Financial Year</t>
  </si>
  <si>
    <t>Estimates for ensuing year</t>
  </si>
  <si>
    <t>Capital employed at the begining of the year</t>
  </si>
  <si>
    <t>(a) On completed works</t>
  </si>
  <si>
    <t>HT :</t>
  </si>
  <si>
    <t>LT :</t>
  </si>
  <si>
    <t>Sub Total :</t>
  </si>
  <si>
    <t>(b) On works in progress</t>
  </si>
  <si>
    <t>Capital employed during the year</t>
  </si>
  <si>
    <t>C.</t>
  </si>
  <si>
    <t>Asset withdrawn, if any</t>
  </si>
  <si>
    <t>D.</t>
  </si>
  <si>
    <t>Capital employed at the end of the year</t>
  </si>
  <si>
    <t>(a) on completion</t>
  </si>
  <si>
    <t>(b) on W.I.P</t>
  </si>
  <si>
    <t>Total (A+B+C)</t>
  </si>
  <si>
    <t>Note :</t>
  </si>
  <si>
    <t>1. The figures for current financial year are based upon provisional for 1 Year</t>
  </si>
  <si>
    <t>2. The principle followed for allocation of capital expenditure to completed</t>
  </si>
  <si>
    <t xml:space="preserve">    assets and work in progress should be stated.</t>
  </si>
  <si>
    <t>FORM  F.2</t>
  </si>
  <si>
    <t>Project wise /Scheme wise Capital Expenditure</t>
  </si>
  <si>
    <t>Rs. in Lakh</t>
  </si>
  <si>
    <t>Sl No.</t>
  </si>
  <si>
    <t>Description of the Project/Scheme</t>
  </si>
  <si>
    <t>Expn. during the year</t>
  </si>
  <si>
    <t>Interest during construction</t>
  </si>
  <si>
    <t>Overhead Capitalised</t>
  </si>
  <si>
    <t>Transfer to fixed assets</t>
  </si>
  <si>
    <t>Closing bal. of WIP as on 31.03.22</t>
  </si>
  <si>
    <t>Closing bal. of WIP as on 31.03.23</t>
  </si>
  <si>
    <t xml:space="preserve">Land </t>
  </si>
  <si>
    <t>Civil &amp; Buildings</t>
  </si>
  <si>
    <t>F&amp;F</t>
  </si>
  <si>
    <t>Vehicle</t>
  </si>
  <si>
    <t>Other Equipment</t>
  </si>
  <si>
    <t>PMU</t>
  </si>
  <si>
    <t>IPDS Scheme</t>
  </si>
  <si>
    <t>SAUBHAGYA</t>
  </si>
  <si>
    <t>Deposit Work and others</t>
  </si>
  <si>
    <t>Capex Plan GoO</t>
  </si>
  <si>
    <t>SYSTEM IMPROVEMENT(REC)</t>
  </si>
  <si>
    <t>SYSTEM IMPROVEMENT</t>
  </si>
  <si>
    <t>RLTAP</t>
  </si>
  <si>
    <t>ODSSP</t>
  </si>
  <si>
    <t>DDUGJY-Din Dayal Upadhya</t>
  </si>
  <si>
    <t>DDUGJY 12th plan</t>
  </si>
  <si>
    <t>DESI GoO</t>
  </si>
  <si>
    <t>Line cable network &amp; other T&amp;D</t>
  </si>
  <si>
    <t>Statutory, Safty &amp; Security</t>
  </si>
  <si>
    <t>Loss Reduction</t>
  </si>
  <si>
    <t>Network Reliability</t>
  </si>
  <si>
    <t>Load Growth</t>
  </si>
  <si>
    <t>Tecnology &amp; Civil Infrastructure</t>
  </si>
  <si>
    <t>Sub-Total of Network Assets</t>
  </si>
  <si>
    <t>Advance to Supplier for Capital Works</t>
  </si>
  <si>
    <t xml:space="preserve">Capital Stores </t>
  </si>
  <si>
    <t>TOTAL ---&gt;</t>
  </si>
  <si>
    <t>Check</t>
  </si>
  <si>
    <t>OERC FORM F.3</t>
  </si>
  <si>
    <t>Information on Receipt/ Repayment of Loan(Rs.in Lakh)</t>
  </si>
  <si>
    <t>Abstract:</t>
  </si>
  <si>
    <t>Source :</t>
  </si>
  <si>
    <t>Receipt during the current F.Y. 21-22</t>
  </si>
  <si>
    <t>Average rate of interest</t>
  </si>
  <si>
    <t>GRIDCO-LOAN*</t>
  </si>
  <si>
    <t>WORLD BANK-NET OF 30% Grant</t>
  </si>
  <si>
    <t>(Total Loan is Rs 12994.17 Lacs)</t>
  </si>
  <si>
    <t>TPWODL Capex</t>
  </si>
  <si>
    <t>APDRP LOAN -(NET OF 50% Grant)-GoO</t>
  </si>
  <si>
    <t>Govt. of Orissa-Capex Loan zero interest</t>
  </si>
  <si>
    <t>Govt. of Orissa-Capex Loan -interest bearing</t>
  </si>
  <si>
    <t>REC-Counter part capex scheme</t>
  </si>
  <si>
    <t>REC-SI loan &amp; Counter part Funding for APDRP.</t>
  </si>
  <si>
    <t>Note :The above figures are excluding interest</t>
  </si>
  <si>
    <t>* includes BST dues as per securitisation order of OERC.</t>
  </si>
  <si>
    <t>Check with (Balance Sheet)</t>
  </si>
  <si>
    <t>SALE  &amp; POWER PROCUREMENT</t>
  </si>
  <si>
    <t>OERC Form No.F.4</t>
  </si>
  <si>
    <t>Actual for 1st six month of Current Year</t>
  </si>
  <si>
    <t>Estimates for 2nd six month of Current Year</t>
  </si>
  <si>
    <t>Projection for ensuing year</t>
  </si>
  <si>
    <t>Categorywise sales</t>
  </si>
  <si>
    <t>Total Sale</t>
  </si>
  <si>
    <t>1st Six month of current year</t>
  </si>
  <si>
    <t>Next six month</t>
  </si>
  <si>
    <t>T&amp;D Loss</t>
  </si>
  <si>
    <t>Rs. Lacs</t>
  </si>
  <si>
    <t>Energy Requirement</t>
  </si>
  <si>
    <t>Purchase of power</t>
  </si>
  <si>
    <t>GRIDCO</t>
  </si>
  <si>
    <t>Other source if any (Give details)</t>
  </si>
  <si>
    <t>Total Power purchase (MU)</t>
  </si>
  <si>
    <t>Other Source</t>
  </si>
  <si>
    <t>Rate of power purchase from Other Source (P/U)</t>
  </si>
  <si>
    <t>C</t>
  </si>
  <si>
    <t>Total Cost</t>
  </si>
  <si>
    <t>Basis for ensuing year</t>
  </si>
  <si>
    <t>UI Charges *</t>
  </si>
  <si>
    <t>SLDC charges</t>
  </si>
  <si>
    <t>* UI not considered as overdrawan factored in BST</t>
  </si>
  <si>
    <t>OERC Form No.F.5</t>
  </si>
  <si>
    <t xml:space="preserve">CALCULATION OF COST OF POWER AT DIFFERENT VOLTAGE ENDS </t>
  </si>
  <si>
    <t>Actual for the previous year</t>
  </si>
  <si>
    <t>Estimate for the current year</t>
  </si>
  <si>
    <t>Projection for the ensuing year</t>
  </si>
  <si>
    <t>Description</t>
  </si>
  <si>
    <t xml:space="preserve">HT </t>
  </si>
  <si>
    <t>Technical Information</t>
  </si>
  <si>
    <t>Units Received into the system in MU</t>
  </si>
  <si>
    <t>Total Loss in the system in %</t>
  </si>
  <si>
    <t>Less Loss in the system in MU</t>
  </si>
  <si>
    <t>Transmitted through the system in MU</t>
  </si>
  <si>
    <t>D=A-C</t>
  </si>
  <si>
    <t>6</t>
  </si>
  <si>
    <t>Sale at system voltage in MU</t>
  </si>
  <si>
    <t>E</t>
  </si>
  <si>
    <t>COST AT SYSTEM VOLTAGE</t>
  </si>
  <si>
    <t>Existing rate of power purchase including transmission charges(paisa)</t>
  </si>
  <si>
    <t>F</t>
  </si>
  <si>
    <t>Total Cost of Distribution.(Rs.in Lacs)</t>
  </si>
  <si>
    <t>G</t>
  </si>
  <si>
    <t>Cost of units lost in the system(Rs in Lacs)</t>
  </si>
  <si>
    <t>H=(F*C)</t>
  </si>
  <si>
    <t>Cost of Trans. Dist and cost of lost units(Rs in Lacs)</t>
  </si>
  <si>
    <t>I=(G+H)</t>
  </si>
  <si>
    <t>Increment cost  (Paise/kwh)</t>
  </si>
  <si>
    <t>J=(I/D)</t>
  </si>
  <si>
    <t>Cost at system end (Paise/kwh)</t>
  </si>
  <si>
    <t>K(J+F)</t>
  </si>
  <si>
    <t>Element of Profit (paise/kwh) (RROR)</t>
  </si>
  <si>
    <t>L</t>
  </si>
  <si>
    <t>Total Cost with Profit(paise/kwh)</t>
  </si>
  <si>
    <t>M(K+L)</t>
  </si>
  <si>
    <t>Note:-</t>
  </si>
  <si>
    <r>
      <t>Basis of ariving the voltage wise cost of distribution to be given:-</t>
    </r>
    <r>
      <rPr>
        <b/>
        <sz val="12"/>
        <rFont val="Arial"/>
        <family val="2"/>
      </rPr>
      <t>Furnished in Form No.F-6</t>
    </r>
  </si>
  <si>
    <t>Total Cost with profit element</t>
  </si>
  <si>
    <t>M=(F * L)</t>
  </si>
  <si>
    <t>Total Cost without profit element</t>
  </si>
  <si>
    <t>M=(F * J)</t>
  </si>
  <si>
    <t>Balance (RR)</t>
  </si>
  <si>
    <t>OERC FORM F-6</t>
  </si>
  <si>
    <t>Revenue Gap Analysis (in Rs. Lakhs)</t>
  </si>
  <si>
    <t>Actual for Previous Year 2020-21</t>
  </si>
  <si>
    <t>1st Six month of Current year</t>
  </si>
  <si>
    <t>Projection for the Ensuing year 2022-23</t>
  </si>
  <si>
    <t xml:space="preserve">EHT </t>
  </si>
  <si>
    <t>Power Purchase Cost (A)</t>
  </si>
  <si>
    <t>Cost of Power</t>
  </si>
  <si>
    <t>Transmission charges</t>
  </si>
  <si>
    <t>SLDC Charges</t>
  </si>
  <si>
    <t>Total power purchase cost</t>
  </si>
  <si>
    <t>Additional power for TPA</t>
  </si>
  <si>
    <t>Distribution Costs (B)</t>
  </si>
  <si>
    <t>a)  Employees cost</t>
  </si>
  <si>
    <t>b)  Repair and Maintenance cost</t>
  </si>
  <si>
    <t>c)  Admn. &amp; General Expenses</t>
  </si>
  <si>
    <t>d)  Provision for bad and doubtful debts</t>
  </si>
  <si>
    <t>e)  Depreciation</t>
  </si>
  <si>
    <t>-</t>
  </si>
  <si>
    <t>g)  Interest on Security Deposits</t>
  </si>
  <si>
    <t>i)  Tax on ROE</t>
  </si>
  <si>
    <t>j) Carrying Cost on regulatory assets/liabilities</t>
  </si>
  <si>
    <t>k)  Less expenses capitalized (Employee Costs)</t>
  </si>
  <si>
    <t>l)  Less interest capitalized</t>
  </si>
  <si>
    <t>Total Distribution cost (a + b + c + d + e + f + g + h + i+j-k-l)</t>
  </si>
  <si>
    <t>Prior period items (C )</t>
  </si>
  <si>
    <t>Amortisation of regulatory asset (10% of agrregate amount as on 31.3.15)</t>
  </si>
  <si>
    <t xml:space="preserve">True up </t>
  </si>
  <si>
    <t>Contingency reserve</t>
  </si>
  <si>
    <t>Total Special appropriation</t>
  </si>
  <si>
    <t>TOTAL ( A +B +C)</t>
  </si>
  <si>
    <t>Less Miscellaneous receipts</t>
  </si>
  <si>
    <t xml:space="preserve">Total Revenue Requirement </t>
  </si>
  <si>
    <t>Revenue from tariffs (full year)</t>
  </si>
  <si>
    <t>Additional Rev from Special TPA</t>
  </si>
  <si>
    <t xml:space="preserve">Revenue Gap(+) / surplus(-) </t>
  </si>
  <si>
    <t>Note:Power Purchase cost is net of Rebate.</t>
  </si>
  <si>
    <t>FY22-23</t>
  </si>
  <si>
    <t>Allocation of Expenditure</t>
  </si>
  <si>
    <t>1st half FY21-22</t>
  </si>
  <si>
    <t>2nd half FY21-22</t>
  </si>
  <si>
    <t>Other Income offered in ARR</t>
  </si>
  <si>
    <t>Distribution of Power Cost</t>
  </si>
  <si>
    <t>Power Purchase Rebate</t>
  </si>
  <si>
    <t>Units Consumed by diff. categories(Ref.F-5)</t>
  </si>
  <si>
    <t>Meter Rent</t>
  </si>
  <si>
    <t>Rate per Unit</t>
  </si>
  <si>
    <t>ODP</t>
  </si>
  <si>
    <t>Value(Rs in Lacs)</t>
  </si>
  <si>
    <t>Reliability</t>
  </si>
  <si>
    <t>Supervision Charges</t>
  </si>
  <si>
    <t>Employee cost      (Ref. F-12)</t>
  </si>
  <si>
    <t>Misc.</t>
  </si>
  <si>
    <t xml:space="preserve">A&amp;G Expenditure   (Ref. F-13) </t>
  </si>
  <si>
    <t>FD Interest</t>
  </si>
  <si>
    <t>D</t>
  </si>
  <si>
    <t>Repair &amp; Maintenance Exp.:-</t>
  </si>
  <si>
    <t>On the basis of Asset value i.e, 60% to HT &amp; 40% to LT.</t>
  </si>
  <si>
    <t>DPS</t>
  </si>
  <si>
    <t xml:space="preserve">Interest </t>
  </si>
  <si>
    <t>Other Incl.Scrap</t>
  </si>
  <si>
    <t>Depreciation</t>
  </si>
  <si>
    <t>CSS</t>
  </si>
  <si>
    <t>Form No. F.7</t>
  </si>
  <si>
    <t xml:space="preserve">SUBSIDY ON AVERAGE COST BASIS BY CUSTOMER CLASS AND SERVICE LEVEL FOR THE ENSUING FINANCIAL YEAR </t>
  </si>
  <si>
    <t>Revenue as % of cost</t>
  </si>
  <si>
    <t>Subsidy Rs. Lacs</t>
  </si>
  <si>
    <t>Subsidy paise/kwh</t>
  </si>
  <si>
    <t>Rs/kwh</t>
  </si>
  <si>
    <t>Customer Class:</t>
  </si>
  <si>
    <t>General Purpose &lt; 100 KW</t>
  </si>
  <si>
    <t>Street Lighting</t>
  </si>
  <si>
    <t xml:space="preserve"> Industrial (M) Supply</t>
  </si>
  <si>
    <t>Specified Public Purpose &lt; 100 Kw</t>
  </si>
  <si>
    <t>Public Water Works &lt;100 kw</t>
  </si>
  <si>
    <t>Public Water Works</t>
  </si>
  <si>
    <t>Ministeel Plant</t>
  </si>
  <si>
    <t>Colony consumption</t>
  </si>
  <si>
    <t>Emergency Power supply to CPP</t>
  </si>
  <si>
    <t>DC Service:</t>
  </si>
  <si>
    <t>Special Tariff-</t>
  </si>
  <si>
    <t>Form No. F.8</t>
  </si>
  <si>
    <t>Proposed Charges, other than and in addition to the charges of tariff leviable for the purpose.</t>
  </si>
  <si>
    <t>(Amount in Rs.)</t>
  </si>
  <si>
    <t>(A)</t>
  </si>
  <si>
    <t>MONTHLY RECOVERY OF METER COST</t>
  </si>
  <si>
    <t>Single phase electro-magnetic KWH meter</t>
  </si>
  <si>
    <t>3 Phase electro-magnetic KWH meter</t>
  </si>
  <si>
    <t>3 Phase electro-magnetic Trivector Meter</t>
  </si>
  <si>
    <t>Trivector Meter for Railway Traction</t>
  </si>
  <si>
    <t>Single phase Static KWH meter</t>
  </si>
  <si>
    <t>3 Phase Static KWH meter</t>
  </si>
  <si>
    <t>3 Phase Static Trivector Meter</t>
  </si>
  <si>
    <t>3 Phase Static bivector meter</t>
  </si>
  <si>
    <t>33 KV Metering Unit without meter</t>
  </si>
  <si>
    <t>EHT metering arrangement without meter</t>
  </si>
  <si>
    <t>(B)</t>
  </si>
  <si>
    <t>RECONNECTION CHARGES</t>
  </si>
  <si>
    <t>LT Single phase Domestic consumer</t>
  </si>
  <si>
    <t>LT single phase other consumer</t>
  </si>
  <si>
    <t>LT three phase consumer</t>
  </si>
  <si>
    <t>All HT and EHT consumer</t>
  </si>
  <si>
    <t>(C)</t>
  </si>
  <si>
    <t>BASIS OF CALCULATION OF MONTHLY METER RENT</t>
  </si>
  <si>
    <t>RATE MAKING</t>
  </si>
  <si>
    <t>(D)</t>
  </si>
  <si>
    <t>BASIS OF FIXATION OF LOAD FACTOR FOR VARIOUS CATEGORIES OF CONSUMERS WITH DEFECTIVE METERS</t>
  </si>
  <si>
    <t>As per existing Tariff</t>
  </si>
  <si>
    <t>(E)</t>
  </si>
  <si>
    <t>BASIS OF FIXATION OF MINIMUM CHARGE</t>
  </si>
  <si>
    <t>(F)</t>
  </si>
  <si>
    <t>BASIS OF FIXATION OF MAXIMUM DEMAND CHARGE</t>
  </si>
  <si>
    <t>(G)</t>
  </si>
  <si>
    <t>Power Factor Incentive &amp; PowerFactor Penalty</t>
  </si>
  <si>
    <t>Not Applicable</t>
  </si>
  <si>
    <t>(H)</t>
  </si>
  <si>
    <t xml:space="preserve">Rebate &amp; prompt payment Incentive </t>
  </si>
  <si>
    <t>(I)</t>
  </si>
  <si>
    <t>Delayed Payment Surcharge</t>
  </si>
  <si>
    <t>Form No. F.9</t>
  </si>
  <si>
    <t>Statement of sundry debtors and provision for bad &amp; doubtful debt</t>
  </si>
  <si>
    <t>Sl. No.</t>
  </si>
  <si>
    <t>Particulars</t>
  </si>
  <si>
    <t>Receivable from consumers as at</t>
  </si>
  <si>
    <t>the beginning of the year</t>
  </si>
  <si>
    <t>Revenue billed for the year</t>
  </si>
  <si>
    <t>Collection for the year</t>
  </si>
  <si>
    <t xml:space="preserve">           Against current dues</t>
  </si>
  <si>
    <t xml:space="preserve">           Against arrears upto previous year</t>
  </si>
  <si>
    <t>Gross receivable from consumers</t>
  </si>
  <si>
    <t>as at the end of the year * As per TPWODL B/S</t>
  </si>
  <si>
    <t>Arrear against permanently disconnected</t>
  </si>
  <si>
    <r>
      <t xml:space="preserve">consumers         </t>
    </r>
    <r>
      <rPr>
        <b/>
        <i/>
        <sz val="10"/>
        <rFont val="Arial"/>
        <family val="2"/>
      </rPr>
      <t>(Included in Sl No.4)</t>
    </r>
  </si>
  <si>
    <t xml:space="preserve"> Receivables(4-5)  </t>
  </si>
  <si>
    <t>Provision  for bad and doubtful debts</t>
  </si>
  <si>
    <t>% of provision (item 7 expressed as</t>
  </si>
  <si>
    <t>a percentage of item 6)</t>
  </si>
  <si>
    <t>Note:- TPWODL has taken over wef 01st Jan-21 without old arrears</t>
  </si>
  <si>
    <t>Net Debtors as per Balance Sheet</t>
  </si>
  <si>
    <t>Check                                              As per B/S</t>
  </si>
  <si>
    <t>Licencee:TPWODL</t>
  </si>
  <si>
    <t>Form No. F.10</t>
  </si>
  <si>
    <t xml:space="preserve">INFORMATION ON INVENTORY </t>
  </si>
  <si>
    <t>Sl.</t>
  </si>
  <si>
    <t>Avg Bal.</t>
  </si>
  <si>
    <t>Opening Stock</t>
  </si>
  <si>
    <t>Purchase during the month</t>
  </si>
  <si>
    <t>Issue for consumption</t>
  </si>
  <si>
    <t>Adjustment</t>
  </si>
  <si>
    <t>(Write-off)</t>
  </si>
  <si>
    <t>Closing Stock</t>
  </si>
  <si>
    <t>(1+2-3-4)</t>
  </si>
  <si>
    <t>Note : The above inventory represents both capital and O&amp;M materials.</t>
  </si>
  <si>
    <t>Estimates for the Current year</t>
  </si>
  <si>
    <t>Estimates for the ensuing  year</t>
  </si>
  <si>
    <t>Form No. F. 11</t>
  </si>
  <si>
    <t xml:space="preserve">STATEMENT OF SHARE CAPITAL </t>
  </si>
  <si>
    <t>(Rs. in Cr)</t>
  </si>
  <si>
    <t>CURRENT YEAR</t>
  </si>
  <si>
    <t>Description of capital</t>
  </si>
  <si>
    <t>Balance at the beginning of the year</t>
  </si>
  <si>
    <t>Receipts during the year</t>
  </si>
  <si>
    <t>Redeemed during the year</t>
  </si>
  <si>
    <t>Balance at the end of the year</t>
  </si>
  <si>
    <t>Remarks</t>
  </si>
  <si>
    <t>Share capital</t>
  </si>
  <si>
    <t>Authorised capital (Amount)</t>
  </si>
  <si>
    <t>Ordinary shares of Rs.10 Each (Nos)</t>
  </si>
  <si>
    <t>% preference shares of Rs. Each</t>
  </si>
  <si>
    <t>Issued capital</t>
  </si>
  <si>
    <t>Ordinary shares of Rs. Each</t>
  </si>
  <si>
    <t>Subscribed capital(Amount)</t>
  </si>
  <si>
    <t>Ordinary shares of Rs.10 Each(Nos)</t>
  </si>
  <si>
    <t>Called-up capital</t>
  </si>
  <si>
    <t>Less calls in arrears</t>
  </si>
  <si>
    <t>Paid up capital</t>
  </si>
  <si>
    <t>Total paid up capital (Amount)</t>
  </si>
  <si>
    <t>ENSUING YEAR</t>
  </si>
  <si>
    <t>Form No. F. 12</t>
  </si>
  <si>
    <t>EMPLOYEES COST (PREVIOUS YEAR, CURRENT YEAR &amp; ENSUING YEAR)</t>
  </si>
  <si>
    <t>Effective Rate of D.A. in %</t>
  </si>
  <si>
    <t>21-22</t>
  </si>
  <si>
    <t>22-23</t>
  </si>
  <si>
    <t>NEW</t>
  </si>
  <si>
    <t>SL.NO.</t>
  </si>
  <si>
    <t>Account Code</t>
  </si>
  <si>
    <t>Executive</t>
  </si>
  <si>
    <t>Non-Executive</t>
  </si>
  <si>
    <t xml:space="preserve">Erstwhile TPWODL </t>
  </si>
  <si>
    <t>Executives</t>
  </si>
  <si>
    <t>Non-Executives</t>
  </si>
  <si>
    <t>CTC Total</t>
  </si>
  <si>
    <t>Erstwhile Total</t>
  </si>
  <si>
    <t>Basic Pay</t>
  </si>
  <si>
    <t>1.07.21</t>
  </si>
  <si>
    <t>Grade Pay</t>
  </si>
  <si>
    <t>1.01.22</t>
  </si>
  <si>
    <t>Dearness Allowance</t>
  </si>
  <si>
    <t>1.07.22</t>
  </si>
  <si>
    <t>Reimbursement of House Rent</t>
  </si>
  <si>
    <t>1.01.23</t>
  </si>
  <si>
    <t>Other Allowance</t>
  </si>
  <si>
    <t>1.07.23</t>
  </si>
  <si>
    <t>Arrear of 7th Pay Commission including pension</t>
  </si>
  <si>
    <t>Bonus</t>
  </si>
  <si>
    <t>Subtotal (1 to 7)</t>
  </si>
  <si>
    <t>Additional Employee cost</t>
  </si>
  <si>
    <t>Contractual Obligation</t>
  </si>
  <si>
    <t>Outsource Obligation for Grid and S/S manning (maintenance, watch &amp; ward)</t>
  </si>
  <si>
    <t>Others if any</t>
  </si>
  <si>
    <t>Total additional Employee cost(9 to 11)</t>
  </si>
  <si>
    <t>OTHER STAFF COST</t>
  </si>
  <si>
    <t>Reimbursement of Medical Expenses</t>
  </si>
  <si>
    <t>Leave Travel Concession</t>
  </si>
  <si>
    <t>Interim Relief to Staff</t>
  </si>
  <si>
    <t>Encashment of Earned Leave(UL)</t>
  </si>
  <si>
    <t>Honorarium</t>
  </si>
  <si>
    <t>Payment under Workmen compensation Act</t>
  </si>
  <si>
    <t>Pension</t>
  </si>
  <si>
    <t>Ex-gratia/Incentive</t>
  </si>
  <si>
    <t>Miscellaneous</t>
  </si>
  <si>
    <t>Total of other staff cost (13 to 20)</t>
  </si>
  <si>
    <t>Staff Welfare Expenses</t>
  </si>
  <si>
    <t>Terminal Benefits(Pension)</t>
  </si>
  <si>
    <t>Terminal Benefits(GRATUITY,Rehabilitation  and UNUTILISED LEAVE)</t>
  </si>
  <si>
    <t>Total (8+12+21+22+23+24)</t>
  </si>
  <si>
    <t>Less:-Employee cost Capitalised</t>
  </si>
  <si>
    <t>ADD. INFORMATION</t>
  </si>
  <si>
    <t>No. of Employees as on :</t>
  </si>
  <si>
    <t>No of Employees added during the year</t>
  </si>
  <si>
    <t>Emp Retd./Expired/resigned/ during the yr.</t>
  </si>
  <si>
    <t>Avg no of employees for the year</t>
  </si>
  <si>
    <t>No. of milloin units sold</t>
  </si>
  <si>
    <t>No. of employees per MKwh sold</t>
  </si>
  <si>
    <t>No. of consumer as at ...............</t>
  </si>
  <si>
    <t xml:space="preserve"> No. of emp per 1000 consumers</t>
  </si>
  <si>
    <t>Allocation of Employee Cost for 20-21</t>
  </si>
  <si>
    <t>Allocation of Employee Cost for 22-23</t>
  </si>
  <si>
    <t xml:space="preserve">Terminal Liability for FY 2021-22          </t>
  </si>
  <si>
    <t>Rs. Crore</t>
  </si>
  <si>
    <t>Employee Trust Valuation as on 31.03.22</t>
  </si>
  <si>
    <t>MU sold</t>
  </si>
  <si>
    <t>Employee Trust Valuation as on 31.03.21</t>
  </si>
  <si>
    <t>Ex.salary</t>
  </si>
  <si>
    <t>Interest on invstmnt during 2021-22 @ 8 %</t>
  </si>
  <si>
    <t>Non Ex.Salary</t>
  </si>
  <si>
    <t>Estimated payment during 2021-22</t>
  </si>
  <si>
    <t>Terminal benefit trust funding required for 2021-22 (1-2-3+4)</t>
  </si>
  <si>
    <t>Expected Corpus Availability FY 20-21</t>
  </si>
  <si>
    <t>No of Employee Retiring in 2022-23 are as follows</t>
  </si>
  <si>
    <t>Employee Trust Valuation as on 31.03.20</t>
  </si>
  <si>
    <t>No of Employee</t>
  </si>
  <si>
    <t>Interest on invstmnt during 2020-21 @ 8 %</t>
  </si>
  <si>
    <t>Basic</t>
  </si>
  <si>
    <t>Estimated payment during 2020-21</t>
  </si>
  <si>
    <t>Terminal benefit trust funding required for 2020-21 (1-2-3+4)</t>
  </si>
  <si>
    <t>DA</t>
  </si>
  <si>
    <t>Average Basic pay of Executive</t>
  </si>
  <si>
    <t>Average Basci pay of Non-Executive</t>
  </si>
  <si>
    <t>Saving in basic salary due to Retirement</t>
  </si>
  <si>
    <t>Non-executive</t>
  </si>
  <si>
    <t>Sub-Total (A)</t>
  </si>
  <si>
    <t>Less:-</t>
  </si>
  <si>
    <t>Pension to be disbursed</t>
  </si>
  <si>
    <t>Average pension of Executive</t>
  </si>
  <si>
    <t>Average pension of Non-Executive</t>
  </si>
  <si>
    <t>Sub-Total (B)</t>
  </si>
  <si>
    <t>Saving in basic salary for 2022-23</t>
  </si>
  <si>
    <t>(A-B)</t>
  </si>
  <si>
    <t>Additional Expenses due to New Employment/Regularisation</t>
  </si>
  <si>
    <t>Additional Expenses due to New Employment</t>
  </si>
  <si>
    <t>Additional Expenses for the above</t>
  </si>
  <si>
    <t>Sub-total</t>
  </si>
  <si>
    <t>total</t>
  </si>
  <si>
    <t>Outsourced Employee</t>
  </si>
  <si>
    <t>Grid Maintenance, Watch &amp; Ward</t>
  </si>
  <si>
    <t>Approximate cost p.m. per employee</t>
  </si>
  <si>
    <t>Sub total</t>
  </si>
  <si>
    <t>Capex GoO and safety officer</t>
  </si>
  <si>
    <t xml:space="preserve">REPAIRS AND MAINTENANCE EXPENSES </t>
  </si>
  <si>
    <t>Actual for 1st six month</t>
  </si>
  <si>
    <t>Civil repairs &amp; maintenance</t>
  </si>
  <si>
    <t>Distribution line repairs &amp; maintenance (Material)</t>
  </si>
  <si>
    <t>33 KV Network asset AMC</t>
  </si>
  <si>
    <t>11 KV &amp; below Network assets AMC</t>
  </si>
  <si>
    <t>Maintenance of grant assets</t>
  </si>
  <si>
    <t>Consumer service maintenance</t>
  </si>
  <si>
    <t>Substation operations &amp; maintenance</t>
  </si>
  <si>
    <t>Street lighting maintenance</t>
  </si>
  <si>
    <t>Transformer maintenance</t>
  </si>
  <si>
    <t>Other repairs &amp; maintenance</t>
  </si>
  <si>
    <t xml:space="preserve">   Note :- The above information should be available for each centre.</t>
  </si>
  <si>
    <t>Circle</t>
  </si>
  <si>
    <t>Vendor Name</t>
  </si>
  <si>
    <t>33 KV AMC</t>
  </si>
  <si>
    <t>11KV AMC</t>
  </si>
  <si>
    <t>Sambalpur</t>
  </si>
  <si>
    <t>Rourkela</t>
  </si>
  <si>
    <t>M/s Impelco Electric Company</t>
  </si>
  <si>
    <t>maintenance of LT &amp; HT Network , FCC , DTR , Installation ,Replacement and shifting of single phase meter, New connection up to 5kw, recovery and disconnection in TPWODL</t>
  </si>
  <si>
    <t>Bargarh</t>
  </si>
  <si>
    <t>M/s Hindusthan Engg. Corp</t>
  </si>
  <si>
    <t>M/s M/s BKS Enterprises</t>
  </si>
  <si>
    <t>Kalahandi</t>
  </si>
  <si>
    <t>M/s ORISSA ENTERPRISES</t>
  </si>
  <si>
    <t>M/s SUBHENDU DASH</t>
  </si>
  <si>
    <t>Bolangir</t>
  </si>
  <si>
    <t>M/s Surya Construction Company</t>
  </si>
  <si>
    <t>M/s THE IMPERIAL ELECTRIC COMPANY</t>
  </si>
  <si>
    <t>M/s Buddham Builders</t>
  </si>
  <si>
    <t>M/s H S Power Projects Private Limited</t>
  </si>
  <si>
    <t>M/s Swastik Engineering</t>
  </si>
  <si>
    <t>Form No. F. 14</t>
  </si>
  <si>
    <t>ADMINISTRATION &amp; GENERAL EXPENSES</t>
  </si>
  <si>
    <t>(Rs. in Lakh)</t>
  </si>
  <si>
    <t>Previous Year</t>
  </si>
  <si>
    <t>Actual for 1st six months of C.Year</t>
  </si>
  <si>
    <t>Ensuing Year</t>
  </si>
  <si>
    <t>98-99</t>
  </si>
  <si>
    <t>PROPERTY RELATED EXPENSES</t>
  </si>
  <si>
    <t>Licence Fees</t>
  </si>
  <si>
    <t>Lease rent</t>
  </si>
  <si>
    <t xml:space="preserve">Rent </t>
  </si>
  <si>
    <t>Rates &amp; Taxes including inspection fee</t>
  </si>
  <si>
    <t>Insurance</t>
  </si>
  <si>
    <t>Contribution to accident reserve fund</t>
  </si>
  <si>
    <t>Sub total :</t>
  </si>
  <si>
    <t>COMMUNICATION</t>
  </si>
  <si>
    <t>Telephone &amp; Trunk Call</t>
  </si>
  <si>
    <t>Postage &amp; Telegram</t>
  </si>
  <si>
    <t>Telex, Teleprinter Charges, Telefax</t>
  </si>
  <si>
    <t>Courier Charges</t>
  </si>
  <si>
    <t>Other</t>
  </si>
  <si>
    <t>PROFESSIONAL CHARGES</t>
  </si>
  <si>
    <t xml:space="preserve">Legal expenses </t>
  </si>
  <si>
    <t>Audit fees and expenses</t>
  </si>
  <si>
    <t>CONVEYANCE &amp; TRAVELLING</t>
  </si>
  <si>
    <t>Conveyance expenses</t>
  </si>
  <si>
    <t>Travelling expenses</t>
  </si>
  <si>
    <t>Hire charges of vehicle</t>
  </si>
  <si>
    <t>OTHER EXPENSES</t>
  </si>
  <si>
    <t>Fees &amp; Subscription</t>
  </si>
  <si>
    <t>Books &amp; Periodicals</t>
  </si>
  <si>
    <t>Printing &amp; Stationery</t>
  </si>
  <si>
    <t>Advertisement</t>
  </si>
  <si>
    <t>Meeting Expenses</t>
  </si>
  <si>
    <t>Electricity Charges</t>
  </si>
  <si>
    <t>Vigilance activity for rev imp</t>
  </si>
  <si>
    <t>Expenditure for Customer care &amp; call Centre</t>
  </si>
  <si>
    <t>Miscellaneous*</t>
  </si>
  <si>
    <t>MBC</t>
  </si>
  <si>
    <t>Training</t>
  </si>
  <si>
    <t>MATERIAL RELATED EXPENSES</t>
  </si>
  <si>
    <t>Demmurage and Wharfage on materials</t>
  </si>
  <si>
    <t>Clearing &amp; forwarding charges</t>
  </si>
  <si>
    <t>Transit insurance</t>
  </si>
  <si>
    <t xml:space="preserve">Others </t>
  </si>
  <si>
    <t>GIS&amp; SCADA</t>
  </si>
  <si>
    <t>Automation</t>
  </si>
  <si>
    <t>Housekeeping</t>
  </si>
  <si>
    <t>GIS</t>
  </si>
  <si>
    <t>Communication</t>
  </si>
  <si>
    <t>Allocation of A &amp; G Expenses.</t>
  </si>
  <si>
    <t>MU Sold</t>
  </si>
  <si>
    <t>A&amp;G Exp</t>
  </si>
  <si>
    <t>A&amp;G</t>
  </si>
  <si>
    <t># 2% of total A&amp;G expenditure has been allocated to EHT Consumers &amp; balacne allocated to</t>
  </si>
  <si>
    <t xml:space="preserve">  HT &amp; LT consumers on the basis of MU sold.</t>
  </si>
  <si>
    <t>Form No. F. 15</t>
  </si>
  <si>
    <t>Categories of Consumer/Region</t>
  </si>
  <si>
    <t>0 – 6 m</t>
  </si>
  <si>
    <t>6 – 12 m</t>
  </si>
  <si>
    <t>Over 24 Months</t>
  </si>
  <si>
    <t>Total Out-standing</t>
  </si>
  <si>
    <t>Sale as per -T-6</t>
  </si>
  <si>
    <t>No. of Days of Sales</t>
  </si>
  <si>
    <t>Disputed Amount</t>
  </si>
  <si>
    <t xml:space="preserve">Discon-nected </t>
  </si>
  <si>
    <t>Suit filed</t>
  </si>
  <si>
    <t>Provision made</t>
  </si>
  <si>
    <t>Kutir Jyoti</t>
  </si>
  <si>
    <t>General purpose &lt;100 kw</t>
  </si>
  <si>
    <t>Street lighting</t>
  </si>
  <si>
    <t>PWWS &lt; 100kw</t>
  </si>
  <si>
    <t>Irrigation</t>
  </si>
  <si>
    <t>Public Water Works&gt;100kw</t>
  </si>
  <si>
    <t>Captive Power Plant</t>
  </si>
  <si>
    <t>Note : Further break ups into regions, HT, LT type of consumers etc. may be required by OERC.</t>
  </si>
  <si>
    <t>As on 31-3-2010</t>
  </si>
  <si>
    <t>Debtor</t>
  </si>
  <si>
    <t>Billing energy</t>
  </si>
  <si>
    <t>Collection</t>
  </si>
  <si>
    <t>Outstanding</t>
  </si>
  <si>
    <t>Debtor written off up uo Mar-07</t>
  </si>
  <si>
    <t>Total o/s</t>
  </si>
  <si>
    <t>Form No. F. 16</t>
  </si>
  <si>
    <t>CONSOLIDATED REPORT ON INVENTORY HOLDING</t>
  </si>
  <si>
    <t>As at 31st March 2022</t>
  </si>
  <si>
    <t>Stock as at</t>
  </si>
  <si>
    <t>Inventory Holding</t>
  </si>
  <si>
    <t>For the Quarter/month</t>
  </si>
  <si>
    <t>(in months)</t>
  </si>
  <si>
    <t>Transmission business</t>
  </si>
  <si>
    <t>Transformers</t>
  </si>
  <si>
    <t>Towers</t>
  </si>
  <si>
    <t>Switch gears</t>
  </si>
  <si>
    <t>Cables</t>
  </si>
  <si>
    <t>Distribution business</t>
  </si>
  <si>
    <t>Switch gears &amp; metering equipments</t>
  </si>
  <si>
    <t>Cables, conductors</t>
  </si>
  <si>
    <t>Insulators</t>
  </si>
  <si>
    <t>Steel</t>
  </si>
  <si>
    <t>The above stock represents both capital and O&amp;M stock at Central Store.</t>
  </si>
  <si>
    <t>Note : The above instructions may be called for (if required) each operating centre wise</t>
  </si>
  <si>
    <t>Form No. F. 17</t>
  </si>
  <si>
    <t>CONSOLIDATED REPORT ON SECURED/UNSECURED LOAN</t>
  </si>
  <si>
    <t>TERMS</t>
  </si>
  <si>
    <t>AMOUNT OF LOAN REDEEMED</t>
  </si>
  <si>
    <t>BALANCE OF LOAN</t>
  </si>
  <si>
    <t>COST</t>
  </si>
  <si>
    <t>Source (Institution wise/Bankwise</t>
  </si>
  <si>
    <t>Purpose</t>
  </si>
  <si>
    <t>Particulars of Loan raised (Loan wise)</t>
  </si>
  <si>
    <t>Amt. Sanctioned</t>
  </si>
  <si>
    <t>Date of Sanction</t>
  </si>
  <si>
    <t>Amt. Of Drawal</t>
  </si>
  <si>
    <t>Date of Drawal</t>
  </si>
  <si>
    <t>Interest Rate</t>
  </si>
  <si>
    <t>Tenure of Loan</t>
  </si>
  <si>
    <t>Moratorium Period</t>
  </si>
  <si>
    <t>Amt. of loan redeemed upto the beginning of the year</t>
  </si>
  <si>
    <t>Loan redeemed during the year</t>
  </si>
  <si>
    <t>Total loan redeemed upto the end of the year</t>
  </si>
  <si>
    <t>Bal. of loan at the beginning of the year</t>
  </si>
  <si>
    <t xml:space="preserve">Penal Int. </t>
  </si>
  <si>
    <t>Exchange fluctuation</t>
  </si>
  <si>
    <t>Other charges like finance charges, committment charges</t>
  </si>
  <si>
    <t>Creation of Capital Assets.</t>
  </si>
  <si>
    <t>Rupee loan(as per agrement with GRIDCO )</t>
  </si>
  <si>
    <t>01.04.99</t>
  </si>
  <si>
    <t>17 years</t>
  </si>
  <si>
    <t>Opening Loan as on 31-3-2021</t>
  </si>
  <si>
    <t>Conversion of Accounts payable to Gridco Loan due to securitisation</t>
  </si>
  <si>
    <t>Total Interest</t>
  </si>
  <si>
    <t>GOVT OF ORISSA.(IBRD Loan)</t>
  </si>
  <si>
    <t xml:space="preserve">World bank Loan as per the subsidiary loan &amp; project implementation agreement </t>
  </si>
  <si>
    <t>15 Year</t>
  </si>
  <si>
    <t>5 Year</t>
  </si>
  <si>
    <t>To be drawn during 21-22</t>
  </si>
  <si>
    <t>Opening balance</t>
  </si>
  <si>
    <t>10 Years</t>
  </si>
  <si>
    <t>1 Years</t>
  </si>
  <si>
    <t>APDRP Loan -GoO</t>
  </si>
  <si>
    <t>20Years</t>
  </si>
  <si>
    <t>5 Years</t>
  </si>
  <si>
    <t>To be drawn during 20-21</t>
  </si>
  <si>
    <t>Govt. of Orissa-Capex Loan</t>
  </si>
  <si>
    <t>0% &amp; 4%</t>
  </si>
  <si>
    <t>15 Years</t>
  </si>
  <si>
    <t>REC-Counter part Capex Scheme</t>
  </si>
  <si>
    <t>13Years</t>
  </si>
  <si>
    <t>3 Years</t>
  </si>
  <si>
    <t>REC-Counter part Financing &amp; S.I.</t>
  </si>
  <si>
    <t>Grand Total</t>
  </si>
  <si>
    <t>Note : Details to be furnished category wise, institution wise.</t>
  </si>
  <si>
    <t>Bal. of loan at the end of the year 22-23</t>
  </si>
  <si>
    <t>Opening Loan</t>
  </si>
  <si>
    <t>GOVT OF ORISSA.</t>
  </si>
  <si>
    <t>15 years</t>
  </si>
  <si>
    <t>5 year</t>
  </si>
  <si>
    <t>TPWODL Capex Loan</t>
  </si>
  <si>
    <t>APDRP Loan-GoO</t>
  </si>
  <si>
    <t>REC-Counter part Financing &amp; SI</t>
  </si>
  <si>
    <t>To be drawn during 22-23</t>
  </si>
  <si>
    <t>Form No. F. 18</t>
  </si>
  <si>
    <t>STATEMENT OF ASSETS NOT IN USE AS ON …………..</t>
  </si>
  <si>
    <t>UNIT NAME &amp; CODE : …………………………..</t>
  </si>
  <si>
    <t>Date of Acquisition/Installation</t>
  </si>
  <si>
    <t>Historical Cost/Cost of Acquisition</t>
  </si>
  <si>
    <t xml:space="preserve">Date of withdrawal operations </t>
  </si>
  <si>
    <t>Accumulated Depreciation on date of withdrawal</t>
  </si>
  <si>
    <t>Written down value on date of withdrawal</t>
  </si>
  <si>
    <t>Form No. F. 19</t>
  </si>
  <si>
    <t>STATEMENT OF FIXED ASSET AND DEPRECIATION</t>
  </si>
  <si>
    <t>Fixed Assets</t>
  </si>
  <si>
    <t>Gross Block</t>
  </si>
  <si>
    <t>Net Block</t>
  </si>
  <si>
    <t>As at 31st March of Prev. Yr.</t>
  </si>
  <si>
    <t>Additions during the Year</t>
  </si>
  <si>
    <t>Sales / Adjustments during the year</t>
  </si>
  <si>
    <t>During the year</t>
  </si>
  <si>
    <t xml:space="preserve">Adjustment / withdrawals </t>
  </si>
  <si>
    <t>Depreciated &lt;90%</t>
  </si>
  <si>
    <t>Depreciated &gt;90%</t>
  </si>
  <si>
    <t>a. Transmission Assets</t>
  </si>
  <si>
    <t>Land and  Rights</t>
  </si>
  <si>
    <t>Freehold</t>
  </si>
  <si>
    <t>Lease hold</t>
  </si>
  <si>
    <t>Buildings</t>
  </si>
  <si>
    <t>Other Civil Works</t>
  </si>
  <si>
    <t>Plant and  Machinery</t>
  </si>
  <si>
    <t>Overhead lines</t>
  </si>
  <si>
    <t>Underground Cable Network</t>
  </si>
  <si>
    <t>Meters and other apparatus at customer’s premises</t>
  </si>
  <si>
    <t>Vehicles</t>
  </si>
  <si>
    <t>Furniture, Fixture</t>
  </si>
  <si>
    <t>Office Equipment</t>
  </si>
  <si>
    <t>Lines, Cables &amp; Network Assets</t>
  </si>
  <si>
    <t>B. Distribution Assets</t>
  </si>
  <si>
    <t>Land and Rights</t>
  </si>
  <si>
    <t>Furniture &amp; Fixtures</t>
  </si>
  <si>
    <t>Furniture, Fixtures</t>
  </si>
  <si>
    <t>C.General Assets</t>
  </si>
  <si>
    <t>Communication Equipment</t>
  </si>
  <si>
    <t>Laboratory &amp; Meter Testing Equipment</t>
  </si>
  <si>
    <t>Tools and Work Equipment</t>
  </si>
  <si>
    <t>Miscellaneous Equipment</t>
  </si>
  <si>
    <t>Note:</t>
  </si>
  <si>
    <t xml:space="preserve"> In case of distribution business High voltage assets and Medium &amp; Low voltage assets should be shown separately.</t>
  </si>
  <si>
    <t>FOR FY 22-23</t>
  </si>
  <si>
    <t>As at 31st March of Current Yr.</t>
  </si>
  <si>
    <t>Form No. F. 20</t>
  </si>
  <si>
    <t>Revenue Subsidies/ Capital Subsidies and Grants :</t>
  </si>
  <si>
    <t>Sl no</t>
  </si>
  <si>
    <t>As on Prev Year</t>
  </si>
  <si>
    <t>As on Currt Year</t>
  </si>
  <si>
    <t>As on Ensu Year</t>
  </si>
  <si>
    <t>Capital subsidy</t>
  </si>
  <si>
    <t>Revenue subsidy</t>
  </si>
  <si>
    <t>a</t>
  </si>
  <si>
    <t>Rural electrification</t>
  </si>
  <si>
    <t>b</t>
  </si>
  <si>
    <t>IPR</t>
  </si>
  <si>
    <t>c</t>
  </si>
  <si>
    <t>Other subsidies</t>
  </si>
  <si>
    <t>World Bank Grant</t>
  </si>
  <si>
    <t>Grants-APDRP</t>
  </si>
  <si>
    <t>Licencee :-TPWODL</t>
  </si>
  <si>
    <t>Form No. F. 21</t>
  </si>
  <si>
    <t>BALANCE SHEET AS AT</t>
  </si>
  <si>
    <t>As At 31.03.22</t>
  </si>
  <si>
    <t>As At 31.03.23</t>
  </si>
  <si>
    <t>Pr Year</t>
  </si>
  <si>
    <t>I.</t>
  </si>
  <si>
    <t>SOURCES OF FUNDS</t>
  </si>
  <si>
    <t>Shareholders’ Funds</t>
  </si>
  <si>
    <t>Share Capital</t>
  </si>
  <si>
    <t>Reserves and Surplus</t>
  </si>
  <si>
    <t>RE-Subsidy</t>
  </si>
  <si>
    <t>Grant</t>
  </si>
  <si>
    <t>Loan Funds</t>
  </si>
  <si>
    <t>Secured Loans</t>
  </si>
  <si>
    <t>Unsecured Loans</t>
  </si>
  <si>
    <t>Other Funds</t>
  </si>
  <si>
    <t>Consumers’ Security Deposits</t>
  </si>
  <si>
    <t>Capital contributions from consumers</t>
  </si>
  <si>
    <t>II.</t>
  </si>
  <si>
    <t>APPLICATION OF FUNDS</t>
  </si>
  <si>
    <t>Less: Accumulated Depreciation</t>
  </si>
  <si>
    <t>Capital Work in Progress</t>
  </si>
  <si>
    <t>Capital Stock</t>
  </si>
  <si>
    <t>Total C.W.I.P.</t>
  </si>
  <si>
    <t>Investments</t>
  </si>
  <si>
    <t>Current Assets, Loans and Advances</t>
  </si>
  <si>
    <t>Sundry Debtors</t>
  </si>
  <si>
    <t>Inventory</t>
  </si>
  <si>
    <t>Cash and Bank Balances</t>
  </si>
  <si>
    <t>Loans and Advances</t>
  </si>
  <si>
    <t>RE-Subsidy receivable</t>
  </si>
  <si>
    <t>Less: Current Liabilities and Provisions</t>
  </si>
  <si>
    <t>Accounts Payable</t>
  </si>
  <si>
    <t>Current Liabilities</t>
  </si>
  <si>
    <t xml:space="preserve">NET CURRENT ASSETS </t>
  </si>
  <si>
    <t>Miscellaneous Expenditure to the extent not written</t>
  </si>
  <si>
    <t>off or adjusted</t>
  </si>
  <si>
    <t>Profit &amp; Loss Account Debit Balance</t>
  </si>
  <si>
    <t>Total Application</t>
  </si>
  <si>
    <t>Form No. F. 22</t>
  </si>
  <si>
    <t xml:space="preserve">PROFIT &amp; LOSS ACCOUNT FOR THE YEAR ENDED </t>
  </si>
  <si>
    <t>INCOME</t>
  </si>
  <si>
    <t>Revenue from Sale of Power</t>
  </si>
  <si>
    <t>Revenue from Sale Out of Tri-partiet agreement</t>
  </si>
  <si>
    <t>MTR Rent, DPS, ODP &amp; Reliability surcharge</t>
  </si>
  <si>
    <t>Other income including CSS</t>
  </si>
  <si>
    <t>EXPENDITURE</t>
  </si>
  <si>
    <t>Purchase of Power</t>
  </si>
  <si>
    <t>Purchase of Power for Tri-partiet agreement</t>
  </si>
  <si>
    <t>Operation Maintenance, Administration General and other expenses</t>
  </si>
  <si>
    <t>Profit (before interest &amp; finance charges)</t>
  </si>
  <si>
    <t>Emp</t>
  </si>
  <si>
    <t>Interest &amp; Finance Charges</t>
  </si>
  <si>
    <t>Less Transferred to Capital Work-in-Progress</t>
  </si>
  <si>
    <t>R&amp;M</t>
  </si>
  <si>
    <t>Net Interest &amp; Finance charges</t>
  </si>
  <si>
    <t>Carrying Cost</t>
  </si>
  <si>
    <t>Profit before tax for the year</t>
  </si>
  <si>
    <t>Return on equity</t>
  </si>
  <si>
    <t>Provision for Taxation-FBT</t>
  </si>
  <si>
    <t>Income to be recovered from future tariff- Regulatory Assest</t>
  </si>
  <si>
    <t>Profit After Tax</t>
  </si>
  <si>
    <t>Balance of profit and loss account  brought forward from last year</t>
  </si>
  <si>
    <t>Statutory reserves and Appropriations</t>
  </si>
  <si>
    <t>Amount available for distribution &amp; transfer to general reserve</t>
  </si>
  <si>
    <t>Proposed Dividend</t>
  </si>
  <si>
    <t>Corporate Tax on Dividend</t>
  </si>
  <si>
    <t>Transfer to General Reserve</t>
  </si>
  <si>
    <t>Balance carried to Balance Sheet</t>
  </si>
  <si>
    <t>Cash Flow Statement</t>
  </si>
  <si>
    <t>Rs. In Lakh</t>
  </si>
  <si>
    <t>SOURCE</t>
  </si>
  <si>
    <t>Revenue collection</t>
  </si>
  <si>
    <t>Security Deposit from Consumers</t>
  </si>
  <si>
    <t>World bank Loan</t>
  </si>
  <si>
    <t>World Bank Loan-Grant</t>
  </si>
  <si>
    <t>Govt. Orissa-Capex Loan with interest</t>
  </si>
  <si>
    <t>Govt. Orissa-Capex Loan without interest</t>
  </si>
  <si>
    <t>APDRP-Grant</t>
  </si>
  <si>
    <t>APDRP-Loan</t>
  </si>
  <si>
    <t xml:space="preserve">Loan from REC-S.I.Scheme </t>
  </si>
  <si>
    <t>Loan from REC/IDBI Goo Capex Plan</t>
  </si>
  <si>
    <t>TPWODL capex Loan</t>
  </si>
  <si>
    <t>Short term loan</t>
  </si>
  <si>
    <t>APPLICATION</t>
  </si>
  <si>
    <t>Payment against purchase of Power</t>
  </si>
  <si>
    <t>Employee cost</t>
  </si>
  <si>
    <t>Adminstrative &amp; General Exp</t>
  </si>
  <si>
    <t>Repair &amp; Maintenance</t>
  </si>
  <si>
    <t>Repayment of Loan Principal</t>
  </si>
  <si>
    <t>Repayment of TPWODL capex Loan Int.</t>
  </si>
  <si>
    <t>Interest on security deposit &amp; Working Capital</t>
  </si>
  <si>
    <t>Refund of Security Deposit</t>
  </si>
  <si>
    <t>Installments of Securitisation</t>
  </si>
  <si>
    <t>Amortisation of Regulatory Asset</t>
  </si>
  <si>
    <t>Repayment of 7th Pay arrear</t>
  </si>
  <si>
    <t>Capital Expendiuture</t>
  </si>
  <si>
    <t>Loans &amp; Advances</t>
  </si>
  <si>
    <t>Closing Balance with Security Deposit</t>
  </si>
  <si>
    <t>Less :-Amount of Security Deposit  &amp; Depositwork FD included above</t>
  </si>
  <si>
    <t>Closing Balance without Security Deposit</t>
  </si>
  <si>
    <t xml:space="preserve"> OERC Form No. F. 24</t>
  </si>
  <si>
    <r>
      <rPr>
        <b/>
        <sz val="14"/>
        <rFont val="Times New Roman"/>
        <family val="1"/>
      </rPr>
      <t xml:space="preserve">Status of Funds and Investments </t>
    </r>
    <r>
      <rPr>
        <sz val="12"/>
        <rFont val="Times New Roman"/>
        <family val="1"/>
      </rPr>
      <t xml:space="preserve">                                                                                              (Rs. In lakh)</t>
    </r>
  </si>
  <si>
    <t>Interest accrued on deposits</t>
  </si>
  <si>
    <t>Estimated addition during Current year</t>
  </si>
  <si>
    <t>Payments out of the Fund during  Current year</t>
  </si>
  <si>
    <t>Expected additions during the Ensuing year</t>
  </si>
  <si>
    <t>Payments out of the Fund during  Ensuing year</t>
  </si>
  <si>
    <t>Availability</t>
  </si>
  <si>
    <t>Security Deposits</t>
  </si>
  <si>
    <t>Pension Trust</t>
  </si>
  <si>
    <t>Gratuity Trust</t>
  </si>
  <si>
    <t>Bank</t>
  </si>
  <si>
    <t>FD/PSU</t>
  </si>
  <si>
    <t>Govt Bonds</t>
  </si>
  <si>
    <t>Other Deposits</t>
  </si>
  <si>
    <t>Security Deposits*</t>
  </si>
  <si>
    <t>OERC Form No. F. 25</t>
  </si>
  <si>
    <t>Revenue Cash Flow Statement</t>
  </si>
  <si>
    <t>Rs in lakh</t>
  </si>
  <si>
    <t>Actual of Pr. Year</t>
  </si>
  <si>
    <t>1st 6 month of Current Year</t>
  </si>
  <si>
    <t>Est. for Current Year</t>
  </si>
  <si>
    <t>Cash Inflows</t>
  </si>
  <si>
    <t>Revenue from Sale of power*</t>
  </si>
  <si>
    <t>Rebate on BST&amp; Transmission  bills</t>
  </si>
  <si>
    <t>SOD for payment of BST Bills &amp; Transmission charges (Net)</t>
  </si>
  <si>
    <t>Other receipts</t>
  </si>
  <si>
    <t>Total Inflow</t>
  </si>
  <si>
    <t>Cash Outflows</t>
  </si>
  <si>
    <t>BSP</t>
  </si>
  <si>
    <t>Trasmission Charges</t>
  </si>
  <si>
    <t>Power purchase from other source</t>
  </si>
  <si>
    <t>HRA</t>
  </si>
  <si>
    <t>MA</t>
  </si>
  <si>
    <t>Gratuity</t>
  </si>
  <si>
    <t>Leave Encashment</t>
  </si>
  <si>
    <t>Others, specify</t>
  </si>
  <si>
    <t>Total Employee Cost</t>
  </si>
  <si>
    <t>Interest on Loan</t>
  </si>
  <si>
    <t>Total outflow</t>
  </si>
  <si>
    <t>*Revenue from sale of power includes int on SD.</t>
  </si>
  <si>
    <t xml:space="preserve"> OERC Form No. F. 26</t>
  </si>
  <si>
    <t xml:space="preserve">                                                     Details Escrow Deposit and Relaxation          </t>
  </si>
  <si>
    <t>Sl.No.</t>
  </si>
  <si>
    <t>Actual of previous Year</t>
  </si>
  <si>
    <t>First 6 months of Current Year</t>
  </si>
  <si>
    <t>Estimated for the Current Year</t>
  </si>
  <si>
    <t>Ensuing Year projection</t>
  </si>
  <si>
    <t xml:space="preserve">A. </t>
  </si>
  <si>
    <t>Revenue deposited in Escrow Account (current and arrear to be segregated)</t>
  </si>
  <si>
    <t>Adjustment made and relaxation as per the orders of the Commission</t>
  </si>
  <si>
    <t>(i) Current transmission &amp; SLDC</t>
  </si>
  <si>
    <t>(ii) Current BSP</t>
  </si>
  <si>
    <t>(iii) License fees to OERC</t>
  </si>
  <si>
    <t>(iv) Direct power purchase from CGPs &amp; other agencies</t>
  </si>
  <si>
    <t>(v) Escrow relaxed for monthly R &amp; M expenditure</t>
  </si>
  <si>
    <t>(vi) Escrow relaxed for monthly employees cost</t>
  </si>
  <si>
    <t>(vii) Monthly repayment of principal and interest in respect of loan  obtain for counterpart funding of capex</t>
  </si>
  <si>
    <t>(viii) Monthly special R &amp; M</t>
  </si>
  <si>
    <t>(ix) Average monthly obligation of defaulted arrear BSP at the end of previous year.</t>
  </si>
  <si>
    <t>Licensee:-TPWODL</t>
  </si>
  <si>
    <t>OERC F - 27</t>
  </si>
  <si>
    <t xml:space="preserve">Description of Item </t>
  </si>
  <si>
    <t>Unit</t>
  </si>
  <si>
    <t>Reference Formula</t>
  </si>
  <si>
    <t>Input to HT at 33Kv from EHT level</t>
  </si>
  <si>
    <t>Input to HT at 33Kv  from Generating companies inside the state.</t>
  </si>
  <si>
    <t>Sales at HT - 33Kv</t>
  </si>
  <si>
    <t>Input to HT at 11Kv from 33Kv level</t>
  </si>
  <si>
    <t>Loss at HT - 33Kv</t>
  </si>
  <si>
    <t>1+2-3-4</t>
  </si>
  <si>
    <t>Loss at HT - 33Kv (%)</t>
  </si>
  <si>
    <t>(5/(1+2)) *100</t>
  </si>
  <si>
    <t>Input to HT at 11 Kv  from Generating companies inside the state.</t>
  </si>
  <si>
    <t>Sales at HT - 11Kv</t>
  </si>
  <si>
    <t>8(a) + 8(b)</t>
  </si>
  <si>
    <t>(a)</t>
  </si>
  <si>
    <t xml:space="preserve">        Metered Sales</t>
  </si>
  <si>
    <t>(b)</t>
  </si>
  <si>
    <t xml:space="preserve">        Assessed Sales</t>
  </si>
  <si>
    <t>Sales at HT - 25Kv</t>
  </si>
  <si>
    <t>Input to LT from 11 Kv level</t>
  </si>
  <si>
    <t>4-5+7-8</t>
  </si>
  <si>
    <t>Loss at HT - 11Kv</t>
  </si>
  <si>
    <t>4+7 -8-9</t>
  </si>
  <si>
    <t>Loss at HT - 11Kv (%)</t>
  </si>
  <si>
    <t>(10/(4+7)) *100</t>
  </si>
  <si>
    <t>Input to LT  from Generating companies inside the state.</t>
  </si>
  <si>
    <t>Sales at LT</t>
  </si>
  <si>
    <t>13(a) + 13 (b)</t>
  </si>
  <si>
    <t>Loss at LT</t>
  </si>
  <si>
    <t>9+12-13</t>
  </si>
  <si>
    <t>Loss at LT (%)</t>
  </si>
  <si>
    <t>(14/(9+12)) *100</t>
  </si>
  <si>
    <t>* The above calculation has been done assuming HT loss of 8% and arrived the LT loss.</t>
  </si>
  <si>
    <t>Calculation of Monthly Voltage wise Loss (DISCOM) for the FY 2021-22*</t>
  </si>
  <si>
    <t>Category of Consumers</t>
  </si>
  <si>
    <t xml:space="preserve">Voltage of Supply  </t>
  </si>
  <si>
    <t xml:space="preserve">Demand Charge (Rs./KW/ Month)/ (Rs./KVA/ Month)         </t>
  </si>
  <si>
    <t>Customer Service Charge (Rs./Month)</t>
  </si>
  <si>
    <t>Monthly Minimum Fixed Charge for first KW or part (Rs.)</t>
  </si>
  <si>
    <t>Monthly Fixed Charge for any additional KW or part (Rs.)</t>
  </si>
  <si>
    <t xml:space="preserve">Rebate               (P/kWh)/ DPS                 </t>
  </si>
  <si>
    <t>LT Category</t>
  </si>
  <si>
    <t>1.a</t>
  </si>
  <si>
    <t>Kutir Jyoti  &lt; 30U/month</t>
  </si>
  <si>
    <t>FIXED MONTHLY CHARGE---&gt;</t>
  </si>
  <si>
    <t>1.b</t>
  </si>
  <si>
    <t xml:space="preserve"> (Consumption &lt;= 50 units/month)</t>
  </si>
  <si>
    <t xml:space="preserve"> (Consumption &gt;50, &lt;=200 units/month)</t>
  </si>
  <si>
    <t xml:space="preserve"> (Consumption &gt;200, &lt;=400 units/month)</t>
  </si>
  <si>
    <t xml:space="preserve"> (Consumption &gt;400 units/month)</t>
  </si>
  <si>
    <t xml:space="preserve"> (Consumption &lt;=100 units/month)</t>
  </si>
  <si>
    <t xml:space="preserve"> (Consumption &gt;100, &lt;=300 units/month)</t>
  </si>
  <si>
    <t xml:space="preserve"> (Consumption &gt;300 units/month)</t>
  </si>
  <si>
    <t>Allied Agricultural Activites</t>
  </si>
  <si>
    <t>10 </t>
  </si>
  <si>
    <t>Allied Agro Industrial Activities</t>
  </si>
  <si>
    <t>DPS/Rebate</t>
  </si>
  <si>
    <t xml:space="preserve">Public Lighting </t>
  </si>
  <si>
    <t>Public Water Works and Swerage Pumping&lt;110 KVA</t>
  </si>
  <si>
    <t>Public Water Works and Swerage Pumping &gt;=110 KVA</t>
  </si>
  <si>
    <t>General Purpose &gt;= 110 KVA</t>
  </si>
  <si>
    <t xml:space="preserve">HT Category </t>
  </si>
  <si>
    <t>As indicated in the notes below.</t>
  </si>
  <si>
    <t>General Purpose &gt;70 KVA &lt; 110 KVA</t>
  </si>
  <si>
    <t>H.T .Industrial (M) Supply</t>
  </si>
  <si>
    <t>Public Water Works &amp; Swerage Pumping</t>
  </si>
  <si>
    <t>Emergency  Supply to CGP</t>
  </si>
  <si>
    <t xml:space="preserve">Colony Consumption </t>
  </si>
  <si>
    <t xml:space="preserve">EHT Category </t>
  </si>
  <si>
    <t xml:space="preserve">Note: </t>
  </si>
  <si>
    <t>Energy Charges for HT &amp; EHT Consumers</t>
  </si>
  <si>
    <t>Load Factor (%)</t>
  </si>
  <si>
    <t>up to 60%</t>
  </si>
  <si>
    <t>585 p/u</t>
  </si>
  <si>
    <t>580 p/u</t>
  </si>
  <si>
    <t>&gt;60%</t>
  </si>
  <si>
    <t>475 p/u</t>
  </si>
  <si>
    <t>470 p/u</t>
  </si>
  <si>
    <t>( i )</t>
  </si>
  <si>
    <t>( ii )</t>
  </si>
  <si>
    <t>Power factor penalty / incentive and reliability surcharge are abolished.</t>
  </si>
  <si>
    <t>( iii )</t>
  </si>
  <si>
    <t xml:space="preserve">The reconnection charges w.e.f. 01.04.2015 shall continue unaltered
</t>
  </si>
  <si>
    <t>( iv )</t>
  </si>
  <si>
    <t>Energy Charges shall be 10% higher in case of temporary connection compared to the regular connection in respective categories.</t>
  </si>
  <si>
    <t>( v )</t>
  </si>
  <si>
    <t>(vi)</t>
  </si>
  <si>
    <t xml:space="preserve">Existing “Tatkal Scheme” for new connections, applicable to LT Domestic, Agricultural and General Purpose consumers. </t>
  </si>
  <si>
    <t>( ix )</t>
  </si>
  <si>
    <t>In case of installation with static meter/meter with provision of recording demand, the recorded demand rounded to nearest 0.5 KW shall be considered as the contract demand requiring no verification irrespective of the agreement. Therefore, for the purpose of calculation of Monthly Minimum Fixed Charge (MMFC) for the connected load below 110 KVA, the above shall form the basis they shall be billed on the basis of CD or demand recorded which ever is higher.</t>
  </si>
  <si>
    <t>( x )</t>
  </si>
  <si>
    <t>LT Domestic, LT General Purpose and HT Bulk Supply Domestic consumers will get 10 paise/unit rebate for prompt payment of the bill within due date. Thereafter, if the bill is paid within the next due date, there shall be no rebate/Delayed Payment Surcharge. But if it is paid beyond the next due date then there shall be a Delayed Payment Surcharge of 1% of the billed value for each month of delay.</t>
  </si>
  <si>
    <t>( xi )</t>
  </si>
  <si>
    <t>The billing demand in respect of consumer with Contract Demand of less than 110 KVA should be the highest demand recorded in the meter during the Financial Year irrespective of the Connected Load, which shall require no verification.</t>
  </si>
  <si>
    <t>Three phase consumers with static meters are allowed to avail TOD rebate excluding Public Lighting, emergency supply to CGP, LT Domestic and LT General Purpose categories @ 20 paise/unit for energy consumed during off peak hours. Off peak hours has been defined as 10 PM in the evening to 6 AM of the next day.</t>
  </si>
  <si>
    <t>Hostels attached to the Schools recognised and run by SC/ST Department, Government of Odisha shall get a rebate of Rs.2.40 paise per unit in energy charge under Specified Public Purpose category (LT / HT) which shall be over and above the normal rebate for which they are eligible.</t>
  </si>
  <si>
    <t>(xiv)</t>
  </si>
  <si>
    <t>Swajala Dhara consumers under Public Water Works and Sewerage Pumping Installation category shall get special 10% rebate if electricity bills are paid within due date over and above normal rebate.</t>
  </si>
  <si>
    <t>(xv)</t>
  </si>
  <si>
    <t>During the statutory restriction imposed by the Fisheries Department, the Ice Factories located at distance not more than 5 Km. Towards the land from the sea shore of the restricted zone will pay demand charges based on the actual maximum demand recorded during the billing period.</t>
  </si>
  <si>
    <t>(xvi)</t>
  </si>
  <si>
    <t>Poultry Farms with attached feed units having connected load less than 20% of the total connected load of poultry farms should be treated as Allied Agricultural Activites instead of General Purpose category for tariff purpose. If the connected load of the attached feed unit exceeds 20% of the total connected load then the entire consumption by the poultry farm and feed processing unit taken together shall be charged with the tariff as applicable for General Purpose or the Industrial purpose as the case may be.</t>
  </si>
  <si>
    <t>(xvii)</t>
  </si>
  <si>
    <t>The food processing unit attached with cold storage shall be charged at Agro-Industrial tariff if cold storage load is not less than 80% of the entire connected load. If the load of the food processing unit other than cold storage unit exceeds 20% of the connected load, then the entire consumption by the cold storage and the food processing unit taken together shall be charged with the tariff as applicable for general purpose or the industrial purpose as the case may be.</t>
  </si>
  <si>
    <t>(xviii)</t>
  </si>
  <si>
    <t>Drawal by the industries during off-peak hours upto 120% of Contract Demand without levy of any penalty has been allowed. “Off-peak hours” for the purpose of tariff is defined as a period from 10 PM in the evening to 6.00 A.M. of the next day. The consumers who draw beyond their contract demand during hours other than the off-peak hours shall not be eligible for this benefit. If the drawal in the off peak hours exceeds 120% of the contract demand, overdrawal penalty shall be charged on the drawal over and above the 120% of contract demand (for details refer Tariff Order). When Statutory Load Regulation is imposed then restricted demand shall be treated as contract demand.</t>
  </si>
  <si>
    <t>(xix)</t>
  </si>
  <si>
    <t>General purpose consumers with Contract Demand (CD) &lt; 70 KVA shall be treated as LT consumers for tariff purposes irrespective of level of supply voltage. As per Regulation 134 (I) of OERC Distribution (Conditions of Supply) Code, 2019 the supply for load above 5 KW upto and including 70 KVA shall be in 3-Phase, 3 or 4 wires at 400 volts between phases.</t>
  </si>
  <si>
    <t>Own Your Transformer – “OYT Scheme” is intended for the existing individual LT domestic, individual / Group General Purpose consumers who would like to avail single point supply  by  owning  their  distribution  transformer. In such a case licensee would extend a special concession of 5% rebate on the total electricity bill (except electricity duty and meter rent) of the respective category apart from the normal rebate on the payment of the bill by the due date. If the payment is not made within due date no rebate, either normal or special is payable. The maintenance of the ‘OYT’ transformer shall be made by DISCOMs. For removal of doubt it is clarified that the “OYT Scheme” is not applicable to any existing or new HT/EHT consumer.</t>
  </si>
  <si>
    <t xml:space="preserve">(xxii) </t>
  </si>
  <si>
    <t xml:space="preserve">(xxiii) </t>
  </si>
  <si>
    <t>2% rebate shall be allowed to all pre-paid consumers on pre-paid amount.</t>
  </si>
  <si>
    <t xml:space="preserve">(xxiv) </t>
  </si>
  <si>
    <t xml:space="preserve">(xxv) </t>
  </si>
  <si>
    <t>A Special rebate to the LT single phase consumers in addition to any other rebate he is otherwise eligible for shall be allowed at the end of the financial year (the bill for month of March) if he has paid the bill for all the 12 months of the financial year consistently without fail within due date during the relevant financial year. The amount of rebate shall be equal to the rebate of the month of March for timely payment of bill.</t>
  </si>
  <si>
    <t xml:space="preserve">(xxvi) </t>
  </si>
  <si>
    <t>The Educational Institution (Specified Public Purpose) having attached hostel and / or residential colony who draw power through a single meter in HT shall be eligible to be billed 15% of their energy drawal in HT bulk supply domestic category.</t>
  </si>
  <si>
    <t xml:space="preserve">(xxvii) </t>
  </si>
  <si>
    <t>The printout of the record of the static meter relating to MD, PF, number and period of interruption shall be supplied to the consumer wherever possible with a payment of Rs.500/- by the consumer for monthly record.</t>
  </si>
  <si>
    <t xml:space="preserve">(xxviii) </t>
  </si>
  <si>
    <t>STATEMENT OF DEMOGRAPHIC SPECIFICATION OF THE ORGANISATION</t>
  </si>
  <si>
    <t>Name of the Company</t>
  </si>
  <si>
    <t>:-</t>
  </si>
  <si>
    <t xml:space="preserve">Head Office </t>
  </si>
  <si>
    <t>Burla, Sambalpur-768017</t>
  </si>
  <si>
    <t>Nature of Business</t>
  </si>
  <si>
    <t>Distribution of Electricity in Western Zone of Odisha</t>
  </si>
  <si>
    <t xml:space="preserve">Consumer </t>
  </si>
  <si>
    <t>Circle SE Offices :</t>
  </si>
  <si>
    <t>SEEC, Rourkela Circle, Industrial Area, Rourkela-769004</t>
  </si>
  <si>
    <t>SEEC, Sambalpur Circle, Ainthapali,Sambalpur-768004</t>
  </si>
  <si>
    <t>SEEC, Bolangir Circle, Palace Line,Bolangir</t>
  </si>
  <si>
    <t>SEEC, Kalahandi Circle, Bahadurbagicha pada, Near Hanuman Mandir, B’patna</t>
  </si>
  <si>
    <t>SEEC, Bargarh Circle, Bhatli chawk,Bargarh-768028</t>
  </si>
  <si>
    <t>Distribution Divisions:</t>
  </si>
  <si>
    <t>Rourkela Electrical Division ,Udit Nagar,Rourkela-769012</t>
  </si>
  <si>
    <t>Rourkela Sadar Electrical Division, B-31,Industrial Est.,Rourkela-769004</t>
  </si>
  <si>
    <t>Rajgangpur Electrical Division, Rajgangpur-770017</t>
  </si>
  <si>
    <t>Sundargarh Electrical Division ,Jail Road,Sundargarh</t>
  </si>
  <si>
    <t>Sambalpur Electrical Division, Ainthapali,Sambalpur-768004</t>
  </si>
  <si>
    <t>Jharsuguda Electrical Division ,Beheramal, Kishan Chowk,Jharsuguda</t>
  </si>
  <si>
    <t>Bargarh Electrical Division ,Canal Avenue,Bargarh</t>
  </si>
  <si>
    <t>Deogarh Electrical Division ,Near Palace Building,Deogarh-768108</t>
  </si>
  <si>
    <t>Sambalpur East Electrical Division ,Bhutapara chowk,Jail Road,Sambalpur-1</t>
  </si>
  <si>
    <t>Bolangir Electrical Division ,Palace Line,Bolangir</t>
  </si>
  <si>
    <t>Titlagarh Electrical Division ,High School Pada,Belgaon Road,Titlagarh-33</t>
  </si>
  <si>
    <t>Sonepur Electrical Division ,Daspati Ghat,Palace Garden Lane,Sonepur</t>
  </si>
  <si>
    <t>Kalahandi East Electrical Division ,Telgu Banki Pada,Bhawanipatna-766001</t>
  </si>
  <si>
    <t>Kalahandi West Electrical Division ,Irrigation Colony,Lane-7,Bhawanipatna</t>
  </si>
  <si>
    <t>Nuapada Electrical Division ,Sirtol,Nuapada-766105</t>
  </si>
  <si>
    <t>Brajrajnagar Electrical Division, Gandhi Chowk, Brajrajnagar</t>
  </si>
  <si>
    <t>Electrical Store Divisions:</t>
  </si>
  <si>
    <t>Central Store, Burla, Sambalpur</t>
  </si>
  <si>
    <t>Sub-store, Burla, Sambalpur</t>
  </si>
  <si>
    <t>Sub-store, Bolangir</t>
  </si>
  <si>
    <t>Sub-store, Kesinga, Bolangir</t>
  </si>
  <si>
    <t>Sub-store, Rajgangpur, Sundargarh</t>
  </si>
  <si>
    <t>Material</t>
  </si>
  <si>
    <t>Contractor</t>
  </si>
  <si>
    <t>Mat, cnt &amp; oth total</t>
  </si>
  <si>
    <t>Emp Cap</t>
  </si>
  <si>
    <t>Total cost with Emp.</t>
  </si>
  <si>
    <t>Int Cap</t>
  </si>
  <si>
    <t>Capitalised</t>
  </si>
  <si>
    <t>Capitalised out of OB</t>
  </si>
  <si>
    <t>Capitalised from Cur</t>
  </si>
  <si>
    <t>Balance as on 31.03.23</t>
  </si>
  <si>
    <t>% of Current Cap 20-21</t>
  </si>
  <si>
    <t>% of ensuing yr Cap.21-22</t>
  </si>
  <si>
    <t>Opening</t>
  </si>
  <si>
    <t>Addition</t>
  </si>
  <si>
    <t>Scheme</t>
  </si>
  <si>
    <t>Land</t>
  </si>
  <si>
    <t>Line, Cables &amp; Networks</t>
  </si>
  <si>
    <t>S.I.</t>
  </si>
  <si>
    <t>RE/LI including Deposit Works</t>
  </si>
  <si>
    <t>IPDS-Scheme</t>
  </si>
  <si>
    <t>GoO-Capex</t>
  </si>
  <si>
    <t>DDUGJY-12th plan</t>
  </si>
  <si>
    <t>TOTAL of Net Work Assets</t>
  </si>
  <si>
    <t>Other office equipments</t>
  </si>
  <si>
    <t>CWA</t>
  </si>
  <si>
    <t>Capital Stores</t>
  </si>
  <si>
    <t>Total CWIP</t>
  </si>
  <si>
    <t>Allocation</t>
  </si>
  <si>
    <t>Mat</t>
  </si>
  <si>
    <t>Cont</t>
  </si>
  <si>
    <t>Oth</t>
  </si>
  <si>
    <t>Emp(%of Mat)</t>
  </si>
  <si>
    <t>Total(201-22)</t>
  </si>
  <si>
    <t>Total(22-23)</t>
  </si>
  <si>
    <t>T&amp;D</t>
  </si>
  <si>
    <t>ADB</t>
  </si>
  <si>
    <t>*</t>
  </si>
  <si>
    <t>RE/LI- including Deposit</t>
  </si>
  <si>
    <t>REC-Normal-MLAD</t>
  </si>
  <si>
    <t>REC-HB</t>
  </si>
  <si>
    <t>REC-MNP</t>
  </si>
  <si>
    <t>REC-SPA</t>
  </si>
  <si>
    <t>REC-Kutir Jyoti</t>
  </si>
  <si>
    <t>Biju Saharanchal</t>
  </si>
  <si>
    <t>Deposit work including govt</t>
  </si>
  <si>
    <t>Expended till Mar-20</t>
  </si>
  <si>
    <t>Elephant Corrider Ph-I, II &amp;III</t>
  </si>
  <si>
    <t>Scholl anganwadi</t>
  </si>
  <si>
    <t>Receipt till Mar-20</t>
  </si>
  <si>
    <t>Elephant Corrider Ph-IV</t>
  </si>
  <si>
    <t>Fund Recived till Mar-20</t>
  </si>
  <si>
    <t>Megalift</t>
  </si>
  <si>
    <t>VP Fund</t>
  </si>
  <si>
    <t>WODC</t>
  </si>
  <si>
    <t>Sanctioned</t>
  </si>
  <si>
    <t>DDUGJY</t>
  </si>
  <si>
    <t>DESI</t>
  </si>
  <si>
    <t>IPDS</t>
  </si>
  <si>
    <t>TPWODL LTD.</t>
  </si>
  <si>
    <t>Statement of Loan &amp; Interest Calculation</t>
  </si>
  <si>
    <t>All figs in Rs Lakhs</t>
  </si>
  <si>
    <t xml:space="preserve">Rate of interest </t>
  </si>
  <si>
    <t>GRIDCO- Loans</t>
  </si>
  <si>
    <t>2021/22</t>
  </si>
  <si>
    <t>2022/23</t>
  </si>
  <si>
    <t>Opening Balance</t>
  </si>
  <si>
    <t>Repayment of Instalments</t>
  </si>
  <si>
    <t>Closing Balance</t>
  </si>
  <si>
    <t>Interest on OB including penal intesrest</t>
  </si>
  <si>
    <t>Interest on Addition</t>
  </si>
  <si>
    <t>Total Interest(GRIDCO)</t>
  </si>
  <si>
    <t>Govt of Orissa (Capex Loan)</t>
  </si>
  <si>
    <t>Rate of interest</t>
  </si>
  <si>
    <t xml:space="preserve">Additions </t>
  </si>
  <si>
    <t>Repayment</t>
  </si>
  <si>
    <t>Interest on OB</t>
  </si>
  <si>
    <t>Total Interest(GoO)</t>
  </si>
  <si>
    <t>Total Interest(GOo)</t>
  </si>
  <si>
    <t>WB Loan</t>
  </si>
  <si>
    <t>Total Interest(WB)</t>
  </si>
  <si>
    <t>TPWODL CAPEX</t>
  </si>
  <si>
    <t>TPWODL Capex Interest</t>
  </si>
  <si>
    <t>APDRP</t>
  </si>
  <si>
    <t>REC-S.I. loan &amp; Couterpart Funding(APDRP)</t>
  </si>
  <si>
    <t>Loan from REC-Couterpart Funding  of Capex Scheme</t>
  </si>
  <si>
    <t>FY 21-22</t>
  </si>
  <si>
    <t>Interest on SD</t>
  </si>
  <si>
    <t>Opening SD</t>
  </si>
  <si>
    <t>Addition during the period</t>
  </si>
  <si>
    <t>Repayment of SD</t>
  </si>
  <si>
    <t>Closing SD</t>
  </si>
  <si>
    <t>Total Int on all loans</t>
  </si>
  <si>
    <t>Less:- Int capitalised</t>
  </si>
  <si>
    <t>WB</t>
  </si>
  <si>
    <t>Capex-Loan GoO</t>
  </si>
  <si>
    <t>REC/IDBI-counter part Gov Capex</t>
  </si>
  <si>
    <t>REC-SI &amp; Counter part (APDRP)</t>
  </si>
  <si>
    <t>Net Int chargeable to Reveneue</t>
  </si>
  <si>
    <t>World Bank Disbursement (Loan Net of Grant)</t>
  </si>
  <si>
    <t>Repayment of Principal will be 5 year Moratorium and 10 yearly equal instalment</t>
  </si>
  <si>
    <t>Through Gridco</t>
  </si>
  <si>
    <t>Repayment Due date</t>
  </si>
  <si>
    <t>Amount</t>
  </si>
  <si>
    <t>OB as on 1999</t>
  </si>
  <si>
    <t>Addition              1999-00</t>
  </si>
  <si>
    <t xml:space="preserve">                           2000-01</t>
  </si>
  <si>
    <t>2006-07</t>
  </si>
  <si>
    <t xml:space="preserve">                           2001-02</t>
  </si>
  <si>
    <t>2007-08</t>
  </si>
  <si>
    <t xml:space="preserve">                           2002-03</t>
  </si>
  <si>
    <t>2008-09</t>
  </si>
  <si>
    <t>Through TPWODL</t>
  </si>
  <si>
    <t>2000-01</t>
  </si>
  <si>
    <t>2001-02</t>
  </si>
  <si>
    <t>2002-03</t>
  </si>
  <si>
    <t>2003-04</t>
  </si>
  <si>
    <t>2004-05</t>
  </si>
  <si>
    <t>2005-06</t>
  </si>
  <si>
    <t xml:space="preserve">Depreciation Details </t>
  </si>
  <si>
    <t>Dep. rates</t>
  </si>
  <si>
    <t>Item</t>
  </si>
  <si>
    <t>Opening Gross Block</t>
  </si>
  <si>
    <t>Post-92</t>
  </si>
  <si>
    <t>Pre-92</t>
  </si>
  <si>
    <t>Govt. Grant Assets</t>
  </si>
  <si>
    <t>Sr. No</t>
  </si>
  <si>
    <t>BGJY</t>
  </si>
  <si>
    <t>Network assets</t>
  </si>
  <si>
    <t>BGJY DTR</t>
  </si>
  <si>
    <t>BSVY</t>
  </si>
  <si>
    <t>CAPEX</t>
  </si>
  <si>
    <t>DESI/IAP</t>
  </si>
  <si>
    <t>O/E</t>
  </si>
  <si>
    <t>ELEPHANT CORRIDOR</t>
  </si>
  <si>
    <t>O&amp;E-Computer</t>
  </si>
  <si>
    <t>KBK</t>
  </si>
  <si>
    <t>MP-MLA</t>
  </si>
  <si>
    <t>PHAILIN</t>
  </si>
  <si>
    <t>Additions</t>
  </si>
  <si>
    <t>SAMLESWARI TEMPLE</t>
  </si>
  <si>
    <t>SCHOOL &amp; ANGANWADI</t>
  </si>
  <si>
    <t>DMF</t>
  </si>
  <si>
    <t>OMBADC</t>
  </si>
  <si>
    <t>Executed by OPTCL</t>
  </si>
  <si>
    <t>O/E-Computers</t>
  </si>
  <si>
    <t>Name of Scheme</t>
  </si>
  <si>
    <t>Interest Capitalised</t>
  </si>
  <si>
    <t>DDUGJY New</t>
  </si>
  <si>
    <t>Closing Gross Block</t>
  </si>
  <si>
    <t>DDUGJY 12TH PLAN (PGCIL)</t>
  </si>
  <si>
    <t>DDUGJY 12TH PLAN (NTPC)</t>
  </si>
  <si>
    <t>CWIP</t>
  </si>
  <si>
    <t>Op.CWIP</t>
  </si>
  <si>
    <t>CWA &amp; Capital Stock</t>
  </si>
  <si>
    <t xml:space="preserve">Capitalised </t>
  </si>
  <si>
    <t>Cl.CWIP</t>
  </si>
  <si>
    <t>Total of CWIP</t>
  </si>
  <si>
    <t>Opng Accum. Depreciation</t>
  </si>
  <si>
    <t xml:space="preserve">to be checked </t>
  </si>
  <si>
    <t>Depn. for the year</t>
  </si>
  <si>
    <t>Less Depreciation on Consumer Contribution Assets</t>
  </si>
  <si>
    <t>Clsg Accum. Depreciation</t>
  </si>
  <si>
    <t>Closing Net Block</t>
  </si>
  <si>
    <t>(Rs in Lakh)</t>
  </si>
  <si>
    <t>Capex-22-23 with Emp. Capitalisation</t>
  </si>
  <si>
    <t>System Improvement</t>
  </si>
  <si>
    <t>Deposit work</t>
  </si>
  <si>
    <t>Govt of Orissa Capex Plan</t>
  </si>
  <si>
    <t>TPWODL Total capex</t>
  </si>
  <si>
    <t>Distribution Loss</t>
  </si>
  <si>
    <t>LT &amp; HT</t>
  </si>
  <si>
    <t>Dist. Loss in LT &amp; HT</t>
  </si>
  <si>
    <t>Over all Distribution Loss</t>
  </si>
  <si>
    <t>Collection Efficiency</t>
  </si>
  <si>
    <t>AT&amp; C Loss (%)</t>
  </si>
  <si>
    <t>FY 2021-22</t>
  </si>
  <si>
    <t>FY 2022-23</t>
  </si>
  <si>
    <t>Approved with rev tariff</t>
  </si>
  <si>
    <t>Input MU</t>
  </si>
  <si>
    <t>Sale MU</t>
  </si>
  <si>
    <t>AT &amp; C Loss</t>
  </si>
  <si>
    <t>Average Billing (paise per KWH)</t>
  </si>
  <si>
    <r>
      <rPr>
        <b/>
        <u/>
        <sz val="10"/>
        <rFont val="Arial"/>
        <family val="2"/>
      </rPr>
      <t>NB:</t>
    </r>
    <r>
      <rPr>
        <sz val="10"/>
        <rFont val="Arial"/>
        <family val="2"/>
      </rPr>
      <t xml:space="preserve">
</t>
    </r>
    <r>
      <rPr>
        <sz val="11"/>
        <rFont val="Arial"/>
        <family val="2"/>
      </rPr>
      <t>1.Increased in EHT Average rate of 1st half of the current year is due to levy of demand charges on actual basis including overdrawl penalty &amp; for 2nd half calculation made on the basis of 80% of CD &amp; assuming no overdrawl.
2.Increased in LT average rate during 1st half of current year is due to provisional &amp; average billing , in 2nd Half derived average is assuming entire sale as per actuals meter reading as MBC is in place &amp; activity of replacement of unmetered/defective meters is going on.</t>
    </r>
  </si>
  <si>
    <t>(Rs in Lacs)</t>
  </si>
  <si>
    <t>Diff</t>
  </si>
  <si>
    <t>Dist. Loss</t>
  </si>
  <si>
    <t>Dist. Loss LT &amp; HT</t>
  </si>
  <si>
    <t>Avg Charge</t>
  </si>
  <si>
    <t>Billing Value</t>
  </si>
  <si>
    <t>Expenditure</t>
  </si>
  <si>
    <t>Emp Cost</t>
  </si>
  <si>
    <t>Prov for Bad Debt</t>
  </si>
  <si>
    <t>Dep.</t>
  </si>
  <si>
    <t>Int. chargeable to Revenue</t>
  </si>
  <si>
    <t>Less Exp Capitalised</t>
  </si>
  <si>
    <t>Total of Exp</t>
  </si>
  <si>
    <t xml:space="preserve">ROE </t>
  </si>
  <si>
    <t>Contingency Reserve</t>
  </si>
  <si>
    <t>Total Requirement</t>
  </si>
  <si>
    <t xml:space="preserve">Rev GAP </t>
  </si>
  <si>
    <t>Without EHT</t>
  </si>
  <si>
    <t>Revenue</t>
  </si>
  <si>
    <t>Cost</t>
  </si>
  <si>
    <t>EHT -Subsidy</t>
  </si>
  <si>
    <t>Total Gap</t>
  </si>
  <si>
    <t>Rs. in Crs</t>
  </si>
  <si>
    <t>PARTICULARS</t>
  </si>
  <si>
    <t xml:space="preserve">2021-22 </t>
  </si>
  <si>
    <t xml:space="preserve">2022-23 </t>
  </si>
  <si>
    <t>PURCHASE OF POWER</t>
  </si>
  <si>
    <t>SALARY/ A &amp; G/ O &amp; M EXPENSES</t>
  </si>
  <si>
    <t>DEPRECIATION</t>
  </si>
  <si>
    <t>INTEREST</t>
  </si>
  <si>
    <t>AMORTISATION OF REGULATORY ASSET (10%)</t>
  </si>
  <si>
    <t xml:space="preserve">TRUING UP OF REVENUE GAP FY 20-21 </t>
  </si>
  <si>
    <t>REASONABLE RETURN &amp; CONTINGENCY RESERVE</t>
  </si>
  <si>
    <t>TOTAL ARR</t>
  </si>
  <si>
    <t>Less Misc. RECEIPT</t>
  </si>
  <si>
    <t>Less REV TO BE RECOVERED FROM FUTURE TARIFF</t>
  </si>
  <si>
    <t>NET ARR</t>
  </si>
  <si>
    <t>REVENUE FROM SALE OF POWER (With existing tariff)</t>
  </si>
  <si>
    <t>REVENUE (GAP)/SURPLUS</t>
  </si>
  <si>
    <t xml:space="preserve">Power Purchase cost </t>
  </si>
  <si>
    <t>Current Year (Approved)</t>
  </si>
  <si>
    <t>Current Year (Projected)</t>
  </si>
  <si>
    <t>Ensuing Year (Estimated)</t>
  </si>
  <si>
    <t>Power purchase from Gridco</t>
  </si>
  <si>
    <t>Energy Purchased (in MU)</t>
  </si>
  <si>
    <t>Bulk supply tariff (Rs.per KWH) *</t>
  </si>
  <si>
    <t xml:space="preserve">Maximum Demand in MVA </t>
  </si>
  <si>
    <t>Demand charge (Rupees in KVA)</t>
  </si>
  <si>
    <t>Other charges (Rs in Lakhs)</t>
  </si>
  <si>
    <t>Total Power purchase cost (Rs. in Lacs)</t>
  </si>
  <si>
    <t>(* Bulk Price includes BST, Transmission charges &amp; SLDC charges )</t>
  </si>
  <si>
    <t>Loss Details-Distribution , AT &amp; C loss and collection efficiency</t>
  </si>
  <si>
    <t>Current Yr (Six Month)</t>
  </si>
  <si>
    <t>Distribution Loss (%)</t>
  </si>
  <si>
    <t>Input in MU</t>
  </si>
  <si>
    <t>Billing MU</t>
  </si>
  <si>
    <t>Dist. Loss (%)</t>
  </si>
  <si>
    <t>Input LT &amp; HT (MU)</t>
  </si>
  <si>
    <t>Billing LT &amp; HT (MU)</t>
  </si>
  <si>
    <t>Collection Efficiency (%)</t>
  </si>
  <si>
    <t>Actual/ Projected</t>
  </si>
  <si>
    <t>AT &amp; C (%)</t>
  </si>
  <si>
    <t>LT&amp; HT Collection Efficiency</t>
  </si>
  <si>
    <t>Target by commission</t>
  </si>
  <si>
    <t>Current Yr GAP</t>
  </si>
  <si>
    <t>OERC Approval</t>
  </si>
  <si>
    <t>Estmd.</t>
  </si>
  <si>
    <t>No of Units - sale</t>
  </si>
  <si>
    <t>RST per unit</t>
  </si>
  <si>
    <t>Rs/Kwh</t>
  </si>
  <si>
    <t>Sales</t>
  </si>
  <si>
    <t>Rs Crore</t>
  </si>
  <si>
    <t>Less-Bad Debts</t>
  </si>
  <si>
    <t>Net Sales</t>
  </si>
  <si>
    <t>Total Income</t>
  </si>
  <si>
    <t>No. of Units - Purchase</t>
  </si>
  <si>
    <t>BST per Unit</t>
  </si>
  <si>
    <t>Distribution Expenses</t>
  </si>
  <si>
    <t>Interest &amp; Finance charges</t>
  </si>
  <si>
    <t>Total Expenditure</t>
  </si>
  <si>
    <t>Reasonable Return</t>
  </si>
  <si>
    <t>Excess/(deficit)</t>
  </si>
  <si>
    <t>TRUING UP UP TO 2011-12</t>
  </si>
  <si>
    <t>Year</t>
  </si>
  <si>
    <t>Revenue Requirement (Audited)</t>
  </si>
  <si>
    <t>Revenue Realisation (Audited)</t>
  </si>
  <si>
    <t>surplus/    (Gap)</t>
  </si>
  <si>
    <t>1999-00</t>
  </si>
  <si>
    <t>2009-10</t>
  </si>
  <si>
    <t>2010-11</t>
  </si>
  <si>
    <t>2011-12</t>
  </si>
  <si>
    <t>Revenue Gap (in Rs. Crs)</t>
  </si>
  <si>
    <t>TPWODL Period (Apr-20 to Dec-20) Audited</t>
  </si>
  <si>
    <t>TPWODL period (Jan21-Mar-21) Audited</t>
  </si>
  <si>
    <t>Difference wrt Approved</t>
  </si>
  <si>
    <t>OERC may Considered for True-up</t>
  </si>
  <si>
    <t>Three months Target on prorate basis.</t>
  </si>
  <si>
    <t>Three month true up in isolation</t>
  </si>
  <si>
    <t>Cost of Power Purchase considering
revise rate w.e.f 01.10.2020</t>
  </si>
  <si>
    <t>Transmission Cost</t>
  </si>
  <si>
    <t>SLDC Cost</t>
  </si>
  <si>
    <t>Total Power Purchase, Transmission
&amp; SLDC Cost(A)</t>
  </si>
  <si>
    <t>Employee Cost</t>
  </si>
  <si>
    <t>Administrative and General Expenses</t>
  </si>
  <si>
    <t>Provision for Bad &amp; Doubtful Debts</t>
  </si>
  <si>
    <t>Interest Chargeable to Revenue
including Interest on S.D</t>
  </si>
  <si>
    <t>Total Operation &amp; Maintenance and
Other Cost</t>
  </si>
  <si>
    <t>Return on Equity</t>
  </si>
  <si>
    <t>Total Distribution Cost</t>
  </si>
  <si>
    <t>Less: Miscellaneous Receipt</t>
  </si>
  <si>
    <t>Net Distribution Cost (B)</t>
  </si>
  <si>
    <t>Total Special Appropriation (C)</t>
  </si>
  <si>
    <t> </t>
  </si>
  <si>
    <t>Total Revenue Requirement
(A+B+C)</t>
  </si>
  <si>
    <t>Expected Revenue(Full year
considering tariff revision from
01.10.2020)</t>
  </si>
  <si>
    <t>GAP at existing(+/-)</t>
  </si>
  <si>
    <t>Allocation of wheeling cost and Retail supply cost</t>
  </si>
  <si>
    <t>Rs. Lakh</t>
  </si>
  <si>
    <t>Cost/Income Component</t>
  </si>
  <si>
    <t>Assumption Ratio for consideration in Wheeling Business</t>
  </si>
  <si>
    <t>Assumption Ratio for consideration in Retail Supply Business</t>
  </si>
  <si>
    <t>Transmission Charges</t>
  </si>
  <si>
    <t>Total power purchase cost *</t>
  </si>
  <si>
    <t>O&amp;M</t>
  </si>
  <si>
    <t>Repair &amp; Maintenance Cost</t>
  </si>
  <si>
    <t>Administrative &amp; General Expenses</t>
  </si>
  <si>
    <t>Bad &amp; Doubtful Debt including Rebate</t>
  </si>
  <si>
    <t>Interest on Loans</t>
  </si>
  <si>
    <t>for Working capital</t>
  </si>
  <si>
    <t>Interest on Security Deposits</t>
  </si>
  <si>
    <t>Tax on ROE</t>
  </si>
  <si>
    <t>Carrying cost on Regulatory Assets/Liabilities</t>
  </si>
  <si>
    <t>Special Appropriation</t>
  </si>
  <si>
    <t>Amortization of Regulator Assets</t>
  </si>
  <si>
    <t xml:space="preserve">True Up of Current year </t>
  </si>
  <si>
    <t>Other, if any-Contigency Reserve</t>
  </si>
  <si>
    <t>Miscellaneous Receipt</t>
  </si>
  <si>
    <t>Non-Tariff Income - Wheeling</t>
  </si>
  <si>
    <t>as per actual assumption</t>
  </si>
  <si>
    <t>Non-Tariff Income - Retail Business</t>
  </si>
  <si>
    <t>*Allocation of power purchase cost towards wheeling has been made considering 8% loss on input after effecting EHT sale</t>
  </si>
  <si>
    <t>SMD (MVA)*</t>
  </si>
  <si>
    <t>Input (MU)</t>
  </si>
  <si>
    <t>Billing (MU) kwh</t>
  </si>
  <si>
    <t>Billing (MU) kVAh</t>
  </si>
  <si>
    <t>Billing value(Rs. Lakh)</t>
  </si>
  <si>
    <t>Collection (Rs. Lakh)</t>
  </si>
  <si>
    <t>AT&amp; C Loss</t>
  </si>
  <si>
    <t>ARR Poposed</t>
  </si>
  <si>
    <t>OERC Approved</t>
  </si>
  <si>
    <t>Actual</t>
  </si>
  <si>
    <t>Projection</t>
  </si>
  <si>
    <t>2021-22 (Apr- Sep)</t>
  </si>
  <si>
    <t>2021-22 (Revised Estimate)</t>
  </si>
  <si>
    <t>Unit Purchased (MU)</t>
  </si>
  <si>
    <t>Unit Sold (MU)</t>
  </si>
  <si>
    <t>Distribution Loss%</t>
  </si>
  <si>
    <t>Billing (Rs Crs)</t>
  </si>
  <si>
    <t>Collection (Rs Crs)</t>
  </si>
  <si>
    <t>Collection Efficiency %</t>
  </si>
  <si>
    <t>AT &amp; C Loss %</t>
  </si>
  <si>
    <t>SMD (MVA)</t>
  </si>
  <si>
    <t>Parameters</t>
  </si>
  <si>
    <t>Current Year Actual- Apr-21 to Sept-21</t>
  </si>
  <si>
    <t>Estimated for FY21-22 9 (In Lacs)</t>
  </si>
  <si>
    <t>Projection for Ensuing Year FY22-23 (In Lacs)</t>
  </si>
  <si>
    <t>f)  Interest loans and financial charges</t>
  </si>
  <si>
    <t>h) Return on equity</t>
  </si>
  <si>
    <t>i)  Less expenses capitalized (Employee Costs, A&amp;G, R&amp;M)</t>
  </si>
  <si>
    <t>j)  Less interest capitalized</t>
  </si>
  <si>
    <t>Total Distribution cost (a + b + c + d + e + f + g + h - i-j)</t>
  </si>
  <si>
    <t>Income to be recovered from future tariff- Regulatory Asset</t>
  </si>
  <si>
    <t>Gap / (surplus) for the year</t>
  </si>
  <si>
    <t>ARR Proposed</t>
  </si>
  <si>
    <t>Prov (Actual)</t>
  </si>
  <si>
    <t>Projected (ARR)</t>
  </si>
  <si>
    <t xml:space="preserve">FY.- 2020-21 </t>
  </si>
  <si>
    <t xml:space="preserve">FY.- 2021-22 </t>
  </si>
  <si>
    <t>FY.- 2020-21</t>
  </si>
  <si>
    <t>FY.- 2021-22 with ABP</t>
  </si>
  <si>
    <t>FY.- 2021-22</t>
  </si>
  <si>
    <t>FY.- 2022-23</t>
  </si>
  <si>
    <t xml:space="preserve">Cost of Power Purchase </t>
  </si>
  <si>
    <t xml:space="preserve">Transmission Cost </t>
  </si>
  <si>
    <t xml:space="preserve">SLDC Cost </t>
  </si>
  <si>
    <t xml:space="preserve">Total Power Purchase, Transmission &amp; SLDC Cost(A) </t>
  </si>
  <si>
    <t xml:space="preserve">Employee costs </t>
  </si>
  <si>
    <t xml:space="preserve">Repair &amp; Maintenance </t>
  </si>
  <si>
    <t xml:space="preserve">Administrative and General Expenses </t>
  </si>
  <si>
    <t xml:space="preserve">Provision for Bad &amp; Doubtful Debts </t>
  </si>
  <si>
    <t xml:space="preserve">Depreciation </t>
  </si>
  <si>
    <t xml:space="preserve">Interest Chargeable to Revenue including Interest on S.D </t>
  </si>
  <si>
    <t>Carrying cost on Regulatory asset</t>
  </si>
  <si>
    <t xml:space="preserve">Sub-Total </t>
  </si>
  <si>
    <t xml:space="preserve">Less: Expenses capitalised </t>
  </si>
  <si>
    <t xml:space="preserve">Less: Interest capitalised </t>
  </si>
  <si>
    <t xml:space="preserve">Total Operation &amp; Maintenance and Other Cost  </t>
  </si>
  <si>
    <t xml:space="preserve">Return on equity </t>
  </si>
  <si>
    <t xml:space="preserve">Total Distribution Cost (B) </t>
  </si>
  <si>
    <t xml:space="preserve">Amortisation of Regulatory Asset </t>
  </si>
  <si>
    <t xml:space="preserve">True up of Past Losses </t>
  </si>
  <si>
    <t>Contingency reserve &amp; Exceptional Item</t>
  </si>
  <si>
    <t xml:space="preserve">Total Special Appropriation (C) </t>
  </si>
  <si>
    <t xml:space="preserve">Total Cost (A+B+C) </t>
  </si>
  <si>
    <t>With Railways</t>
  </si>
  <si>
    <r>
      <t xml:space="preserve"> Revenue from sale of power</t>
    </r>
    <r>
      <rPr>
        <b/>
        <sz val="14"/>
        <color rgb="FF000000"/>
        <rFont val="Arial Narrow"/>
        <family val="2"/>
      </rPr>
      <t xml:space="preserve"> </t>
    </r>
  </si>
  <si>
    <t xml:space="preserve">Miscellaneous Receipt </t>
  </si>
  <si>
    <t xml:space="preserve">Total Revenue Expected </t>
  </si>
  <si>
    <r>
      <t>Total Revenue Requirement</t>
    </r>
    <r>
      <rPr>
        <b/>
        <sz val="14"/>
        <color rgb="FF000000"/>
        <rFont val="Arial Narrow"/>
        <family val="2"/>
      </rPr>
      <t xml:space="preserve"> </t>
    </r>
  </si>
  <si>
    <t xml:space="preserve">Expected Revenue Receipt </t>
  </si>
  <si>
    <t xml:space="preserve">GAP (+/-) </t>
  </si>
  <si>
    <t>Without Railways</t>
  </si>
  <si>
    <t xml:space="preserve">FY.- 2019-20 </t>
  </si>
  <si>
    <t>Without Railway</t>
  </si>
  <si>
    <t>Railways Actaul Sales (Apr-21 to Sep-21) in MU</t>
  </si>
  <si>
    <t>Railways Projected Sale (Oct-21 to Mar-22) in MU</t>
  </si>
  <si>
    <t>Total for FY 21-22 in MU</t>
  </si>
  <si>
    <t>Railways Projected Sale for 2022-23</t>
  </si>
  <si>
    <t xml:space="preserve">Projection </t>
  </si>
  <si>
    <t>Unit Purchased MU</t>
  </si>
  <si>
    <t>Distribution Loss %</t>
  </si>
  <si>
    <t>Rs Cr</t>
  </si>
  <si>
    <t>Projected Input</t>
  </si>
  <si>
    <t>Expenditure including Special Appropriation  </t>
  </si>
  <si>
    <t>Projected Sales</t>
  </si>
  <si>
    <t>Reasonable return on ROE after tax</t>
  </si>
  <si>
    <t>Projected T&amp;D</t>
  </si>
  <si>
    <t>Sub Total </t>
  </si>
  <si>
    <t>Approved T&amp;D</t>
  </si>
  <si>
    <t>Revenue from sale of power at existing tariffs  </t>
  </si>
  <si>
    <t>Permitted Input</t>
  </si>
  <si>
    <t>Non Tariff Income </t>
  </si>
  <si>
    <t>Projected Power Purchase cost in Cr</t>
  </si>
  <si>
    <t>Revenue GAP(+)/Surplus(-) </t>
  </si>
  <si>
    <t>Allowable Power Purchase cost in Cr</t>
  </si>
  <si>
    <t>Estimated Input</t>
  </si>
  <si>
    <t>Estimated Sales</t>
  </si>
  <si>
    <t>Estimated T&amp;D</t>
  </si>
  <si>
    <t>Estimated Power Purchase cost in Cr</t>
  </si>
  <si>
    <t>No of Cons. as on 1st April of the Pr. year-2021-22</t>
  </si>
  <si>
    <t>No. of Consumers as on 1st April of the Curr.-yr-22-23</t>
  </si>
  <si>
    <t>No. of Consumers as on 1st April of the Ensuing-Yr-23-24</t>
  </si>
  <si>
    <t>Previous Year (21-22)</t>
  </si>
  <si>
    <t>ACTUAL FOR THE YEAR 2022-23 (Six Month)</t>
  </si>
  <si>
    <t>Actual for Previous Year 2021-22</t>
  </si>
  <si>
    <t>Pr. Year (31.03.22)</t>
  </si>
  <si>
    <t>Current Year (31.03.23)</t>
  </si>
  <si>
    <t>Ensuing Year (31.03.24)</t>
  </si>
  <si>
    <t>OB As on 1.4.21</t>
  </si>
  <si>
    <t>23-24</t>
  </si>
  <si>
    <t>Balance as on 31.03.24</t>
  </si>
  <si>
    <t>2023/24</t>
  </si>
  <si>
    <t>Loan Balance</t>
  </si>
  <si>
    <t>(Rs. Lakhs)</t>
  </si>
  <si>
    <t>Actual FY 2021-22</t>
  </si>
  <si>
    <t>Proposed for FY 22-23</t>
  </si>
  <si>
    <t>OERC Approval for FY 22-23</t>
  </si>
  <si>
    <t xml:space="preserve">1st Half FY 22-23 </t>
  </si>
  <si>
    <t>Actual 1st Half FY 22-23</t>
  </si>
  <si>
    <t>2nd Half FY 22-23</t>
  </si>
  <si>
    <t>Proposed FY 23-24</t>
  </si>
  <si>
    <t>As At 31.03.24</t>
  </si>
  <si>
    <t>Estimate for Current Year 2022-23</t>
  </si>
  <si>
    <t>Projection for the Ensuing year 2023-24</t>
  </si>
  <si>
    <t>Statement of Approval Vs. Actual/ Estimate for the year 2022-23</t>
  </si>
  <si>
    <t>OERC Approval for 2022-23</t>
  </si>
  <si>
    <t>Rev Estimation for 2022-23</t>
  </si>
  <si>
    <t>Prov. Surplus Considered</t>
  </si>
  <si>
    <t>TPA Input (incl. above) (MU)</t>
  </si>
  <si>
    <t>Input w/o TPA (MU)</t>
  </si>
  <si>
    <t>TPA Sale (incl. above) (MU)</t>
  </si>
  <si>
    <t>Billing w/o TPA (MU)</t>
  </si>
  <si>
    <t xml:space="preserve">Estimate FY 22-23 </t>
  </si>
  <si>
    <t>4130</t>
  </si>
  <si>
    <t>4170</t>
  </si>
  <si>
    <t>8120</t>
  </si>
  <si>
    <t>8130</t>
  </si>
  <si>
    <t>9030</t>
  </si>
  <si>
    <t>9120</t>
  </si>
  <si>
    <t xml:space="preserve">M/S DALMIA CEMENT(BHARAT)  LIMITED                             </t>
  </si>
  <si>
    <t>220 KV</t>
  </si>
  <si>
    <t>4160</t>
  </si>
  <si>
    <t>5120</t>
  </si>
  <si>
    <t>4110</t>
  </si>
  <si>
    <t>M/S. VEDANTA LIMITED</t>
  </si>
  <si>
    <t>M/S. MSP METALLICS LTD</t>
  </si>
  <si>
    <t>440 KV</t>
  </si>
  <si>
    <t>8110</t>
  </si>
  <si>
    <t>9040</t>
  </si>
  <si>
    <t>MEGA LIFT</t>
  </si>
  <si>
    <t>8140</t>
  </si>
  <si>
    <t>9060</t>
  </si>
  <si>
    <t>9110</t>
  </si>
  <si>
    <t>9150</t>
  </si>
  <si>
    <t>M/S. THE DIVISIONAL RAILWAY MANAGER TRD</t>
  </si>
  <si>
    <t>DIVISIONAL RAILWAY MANAGER TRD</t>
  </si>
  <si>
    <t>M/S.  THE DIVISIONAL MANAGAER TRD</t>
  </si>
  <si>
    <t>M/S. SR DIVISIONAL ELECTRICAL ENGINEER TRD</t>
  </si>
  <si>
    <t>M/S. SR.DVNL. ELECTRICAL ENGINER.TRD</t>
  </si>
  <si>
    <t>THE SR. DIVISIONAL ELECTRICAL ENGINEER TRD</t>
  </si>
  <si>
    <t>Mr. THE SR.DIVISIONAL ELEC.ENGINEER TRD</t>
  </si>
  <si>
    <t>SR. DIVISIONAL ELECTRICAL ENGINEER TRD</t>
  </si>
  <si>
    <t>Mr. DIVISIONAL RLY.ENGINEER TR E.CO.RLY</t>
  </si>
  <si>
    <t>ESCGP</t>
  </si>
  <si>
    <t>Existing Industries (EHT)</t>
  </si>
  <si>
    <t>New Industries (EHT)</t>
  </si>
  <si>
    <t>Existing Industries (HT)</t>
  </si>
  <si>
    <t>M/S. M/S INDIAN OIL CORPORATION LTD</t>
  </si>
  <si>
    <t>M/S.  NTPC LTD</t>
  </si>
  <si>
    <t>GP&gt;=110KVA</t>
  </si>
  <si>
    <t>PWW &amp; SP</t>
  </si>
  <si>
    <t>M/S. THAKUR PRASAD SAO &amp; SONS PVTLTD</t>
  </si>
  <si>
    <t>M/S.   APAR INDUSTRIES LTD</t>
  </si>
  <si>
    <t>M/S. ODISHA COAL &amp; POWER LTD.</t>
  </si>
  <si>
    <t>M/S. SAINIK MINING AND ALLIED SERVICES</t>
  </si>
  <si>
    <t>M/S. SLM METAL(P) LTD.</t>
  </si>
  <si>
    <t>M/S.  CAST PROFILES PVT LTD</t>
  </si>
  <si>
    <t>M/S.  MAA FOUNDRY PVT LTD</t>
  </si>
  <si>
    <t>M/S.  SHIVAM AGGREGATES PVT LTD</t>
  </si>
  <si>
    <t xml:space="preserve"> M/S PUSPANJANA ALLOYS PVT LTD.</t>
  </si>
  <si>
    <t>M/S.    CHARIOT STEEL &amp; POWER PVT</t>
  </si>
  <si>
    <t>M/S. SHREE MAHAVIR FERRO ALLOYS PLTD</t>
  </si>
  <si>
    <t>M/S. SHREERAM SPONGE &amp; STEELS P LTD</t>
  </si>
  <si>
    <t>M/S.  THAKUR PRASAD SAO &amp; SONS PVT LTD</t>
  </si>
  <si>
    <t>M/S.  KHEDARIA ISPAT LTD</t>
  </si>
  <si>
    <t>M/S. SHRI RADHA RAMAN ALLOYS LTD</t>
  </si>
  <si>
    <t>M/S ENVIROCARE INFRASOLUTIONS PVT. LTD.</t>
  </si>
  <si>
    <t>4140</t>
  </si>
  <si>
    <t>M/S.   EE MEGALIFT PROJECTS</t>
  </si>
  <si>
    <t>EXECUTIVE ENGINEER</t>
  </si>
  <si>
    <t>EXECUTIVE ENGINEER, MEGALIFT PROJECT, JHARSUGUDA</t>
  </si>
  <si>
    <t>M/S.  EXECUTIVE ENGINEER MEGALIFT PROJECT</t>
  </si>
  <si>
    <t>M/S.    EE MEGA LIFT PROJECTS DIVISION  ROURKELA</t>
  </si>
  <si>
    <t>Mr. EXECUTIVE ENGINEER MEGA LIFT TITLAGARH</t>
  </si>
  <si>
    <t>M/S. EXECUTIVE ENGINEER  MEGALIFT PROJECTS TITLAGARH</t>
  </si>
  <si>
    <t>M/S. EXECUTIVE ENGINEER MEGALIFT PROJECTS</t>
  </si>
  <si>
    <t>M/S.  EXECUTIVE ENGINEER MEGALIFT PROJECTS TITLAGARH</t>
  </si>
  <si>
    <t>New Industries (HT)</t>
  </si>
  <si>
    <t>M/S. Chief District Medical Officer Jharsuguda</t>
  </si>
  <si>
    <t>THE PROJECT ENGG OWSSB,SAMBALPUR STP -1 BHATRA</t>
  </si>
  <si>
    <t>M/S. ISGEC HEAVY ENGINEERING LIMITED</t>
  </si>
  <si>
    <t>M/S. OMC LTD KURMITRA IRON &amp; MANGANESE ORE MINES</t>
  </si>
  <si>
    <t>Energy charges for all LT consumers shall continue to be billed on the basis of kWh whereas the energy charges for HT and EHT consumers shall be billed on the basis of kVAh drawal. All open access transaction will be maintained in kWh sale only and kVAh based sale shall be converted into kWh base on the power factor for the month provided in the energy bills if necessary. For electricity duty purpose kWh shall be the unit for the consumers for whom ED is levied on the per unit basis. For load factor purpose kWh reading shall be taken into consideration.</t>
  </si>
  <si>
    <t>Any industry having CGP with CD up to 20MW willing to avail power from DISCOMs upto double the CD shall be allowed to draw power without payment of overdrawal penalty. For this purpose, the Industry has to operate at minimum CD of 80% for the entire month. The applicable charges for incremental energy drawl (kVAh) beyond CD shall be Rs.4.30 paise per kVAh. However, the DISCOMs shall not exceed their approved SMD during that period. The DISCOM must ensure that for such overdrawal the distribution system is not overloaded and no load shedding is imposed during that period.</t>
  </si>
  <si>
    <t>All the industrial consumers drawing power in EHT shall be eligible for a rebate of 10 paise per unit (kVAh) for all the units consumed in excess of 80% of load factor.</t>
  </si>
  <si>
    <t xml:space="preserve"> LT Single Phase consumers of all categories having CD upto 5 KW with pole within 30 meters from the consumer premises shall pay new connection charges excluding processing fees as follows:
Upto 2 KW   : Rs.1,500/-
Beyond 2 KW upto 5 KW : Rs.2,500/-
Provided that if the line extension is required beyond 30 meters, the licensee/supplier shall charge @ Rs.8,000/- for every span of line extension in addition to the above charges.
</t>
  </si>
  <si>
    <t>The rural LT domestic consumers who draw their power through correct meter and pay the bill in time shall get rebate of 10 paise per unit in addition to existing rebate for prompt payment.</t>
  </si>
  <si>
    <t>3% rebate over and above normal rebate shall be allowed on the bill to the LT domestic and single phase general purpose category of consumers only over and above all the rebates who pay the bill through digital mode. This rebate shall be applicable on the current month bill if paid in full.</t>
  </si>
  <si>
    <t>The consumers of any category can get a Green Consumer Certification by DISCOMs,if 100% of their power requirement is met from renewable sources by DISCOMs. The consumer has to pay additional 50 paise per unit as premium over and above the normal rate of energy charges. This facility shall be in force for one year from the effective date of this order. The consumer has to apply the concerned DISCOM in advance for this purpose. This facility shall not be available to the consumers having Captive Generating Plants (CGPs).</t>
  </si>
  <si>
    <t>Charging of electric vehicle through public charging system/station shall be covered under General Purpose (GP) category and single part tariff of Rs.5.50 per unit shall be applicable. The charging unit established by group housing society through a separate
connection shall also be treated as public charging system/station.</t>
  </si>
  <si>
    <t>The Mega Lift consumers (who are using electricity for irrigation purpose and not covered under irrigation pumping and agriculture category of the Regulation) connected either to HT or EHT system shall be treated as GP consumers and shall not pay any demand charges and shall get an additional rebate of Rs.2 per unit (kVAh) on the respective energy charges.</t>
  </si>
  <si>
    <t>LT Industrial (S) Supply consumers shall avail a rebate of 10 paisa per unit for all the units consumed if their monthly operating load factor is more than 60%.</t>
  </si>
  <si>
    <t>(vii)</t>
  </si>
  <si>
    <t>(viii)</t>
  </si>
  <si>
    <t>( xii )</t>
  </si>
  <si>
    <t>( xiii )</t>
  </si>
  <si>
    <t>(xx)</t>
  </si>
  <si>
    <t>(xxi)</t>
  </si>
  <si>
    <t xml:space="preserve">(xxix) </t>
  </si>
  <si>
    <t>(xxx)</t>
  </si>
  <si>
    <t>(xxxi)</t>
  </si>
  <si>
    <t>(xxxii)</t>
  </si>
  <si>
    <t>Energy Charge (P/kVAh)</t>
  </si>
  <si>
    <t>(P/kWh)</t>
  </si>
  <si>
    <t>M/S VEDANTA ALUMINA LTD. (Lanjigarh)</t>
  </si>
  <si>
    <t>M/S.  SMC POWER GENERATION LTD. (Plant 1)</t>
  </si>
  <si>
    <t>POI</t>
  </si>
  <si>
    <t>M/S SMC POWER GENERATION LTD. (Plant 2)</t>
  </si>
  <si>
    <t>TPA Power sold to M/S VEDANTA LTD. (incl. above)</t>
  </si>
  <si>
    <t>Approved</t>
  </si>
  <si>
    <t>FY</t>
  </si>
  <si>
    <t>Total Manpower Allowed</t>
  </si>
  <si>
    <t>OERC Approved FY21-22</t>
  </si>
  <si>
    <t>Statement of Truing up calcualtion for FY 21-22               Rs. In crs</t>
  </si>
  <si>
    <t>Total FY 21-22 (Audited)</t>
  </si>
  <si>
    <t>Considered for True-up FY 21-22</t>
  </si>
  <si>
    <t xml:space="preserve">Previous Yr (21-22) </t>
  </si>
  <si>
    <t>Total Manpower</t>
  </si>
  <si>
    <t xml:space="preserve"> PREVIOUS YEAR(21-22)</t>
  </si>
  <si>
    <t>OB as on 1.4.21</t>
  </si>
  <si>
    <t xml:space="preserve"> CURRENT YEAR(22-23)</t>
  </si>
  <si>
    <t xml:space="preserve"> ENSUING YEAR(23-24)</t>
  </si>
  <si>
    <t>Closing bal. of WIP as on 31.03.24</t>
  </si>
  <si>
    <t>Opening balance of loan as at the beginning of the previous financial year 01.04.21</t>
  </si>
  <si>
    <t>Receipt during the previous F.Y. 21-22</t>
  </si>
  <si>
    <t>Repayment during the previous F.Y.21-22</t>
  </si>
  <si>
    <t>Closing balance of loan as at the end of the previous financial year 31.03.22</t>
  </si>
  <si>
    <t>Repayment during the current F.Y.22-23</t>
  </si>
  <si>
    <t>Closing balance as at the end of the current F.Y. 31.03.23</t>
  </si>
  <si>
    <t>Estimates of  Receipt during ensuing F.Y. 2023-24</t>
  </si>
  <si>
    <t>Estimates of Repayment during ensuing financial year 23-24</t>
  </si>
  <si>
    <t>Closing balance as at the end of the ensuing year 31.3.24</t>
  </si>
  <si>
    <t>RETAIL SUPPLY TARIFF EFFECTIVE FROM 1st APRIL, 2023</t>
  </si>
  <si>
    <t>Power Intensive Industry *</t>
  </si>
  <si>
    <t xml:space="preserve">Large Industry </t>
  </si>
  <si>
    <t>Rungta Mines</t>
  </si>
  <si>
    <t>Bhatli - HPC</t>
  </si>
  <si>
    <t>Lower Suktel</t>
  </si>
  <si>
    <t>SAIL - new connection</t>
  </si>
  <si>
    <t>BST bill upto Sep-22 (as per schedule)</t>
  </si>
  <si>
    <t>Transmission charges (Upto Sep-22)</t>
  </si>
  <si>
    <t>UI Charges up to Sep-22 (overdrawn till sep-19)</t>
  </si>
  <si>
    <t>SLDC charges up to Sep-22</t>
  </si>
  <si>
    <t>Additional Bill</t>
  </si>
  <si>
    <t>BST bill  (@360 p/u)</t>
  </si>
  <si>
    <t>Transmission (@28 p/u)</t>
  </si>
  <si>
    <t>TPA Bill</t>
  </si>
  <si>
    <t>Next 6 months</t>
  </si>
  <si>
    <t>Addnl. Total</t>
  </si>
  <si>
    <t>Upto 80% of CD</t>
  </si>
  <si>
    <t>Rate of power purchase (incl Transmission charges)(p/U)</t>
  </si>
  <si>
    <t>Current Year (22-23)</t>
  </si>
  <si>
    <t>22-23 (Upto Q-2)</t>
  </si>
  <si>
    <t>1.01.24</t>
  </si>
  <si>
    <t>1.07.24</t>
  </si>
  <si>
    <t>Special R&amp;M (33kv &amp; 11KV river crossing &amp; forest area Tower maintenance)</t>
  </si>
  <si>
    <t>Sl. No</t>
  </si>
  <si>
    <t>Sale through Special Tariff (@ 4.30)</t>
  </si>
  <si>
    <t>Sale through Special Tariff (@4.30)</t>
  </si>
  <si>
    <t>Sale through TPA</t>
  </si>
  <si>
    <t>TPA Power (@426 p/u)</t>
  </si>
  <si>
    <t>Actual FY21-22</t>
  </si>
  <si>
    <t>Estimate for 1st half FY22-23</t>
  </si>
  <si>
    <t>Estimate for 2nd half FY22-23</t>
  </si>
  <si>
    <t>Estimate for FY22-23</t>
  </si>
  <si>
    <t>Proposed for FY23-24</t>
  </si>
  <si>
    <t>FY 2023-24</t>
  </si>
  <si>
    <t>2023-24</t>
  </si>
  <si>
    <t>Capex-21-221 with Emp. Capitalisation</t>
  </si>
  <si>
    <t>Capex-23-24 with Emp. Capitalisation</t>
  </si>
  <si>
    <t>SUMMARY OF REVENUE GAP FOR 2022-23 &amp; ARR FOR 2023-24</t>
  </si>
  <si>
    <t xml:space="preserve">2023-24 </t>
  </si>
  <si>
    <t xml:space="preserve">CTC </t>
  </si>
  <si>
    <t>CTC</t>
  </si>
  <si>
    <t>Allocation of Employee Cost for 23-24</t>
  </si>
  <si>
    <t>Addnl. Expenses for pipeline 170 employees during H2 of FY 2022-23</t>
  </si>
  <si>
    <t>Collection cost through agencies</t>
  </si>
  <si>
    <t>Sr.No</t>
  </si>
  <si>
    <t>Activity</t>
  </si>
  <si>
    <t>SBM Meter reading activity (including Re.1/- for OCR)</t>
  </si>
  <si>
    <t>Agriculture consumers meter reading</t>
  </si>
  <si>
    <t>NON SBM Meter reading activity *</t>
  </si>
  <si>
    <t>NON SBM Bill Printing &amp; Ditribution **</t>
  </si>
  <si>
    <t>Special Meter reading of SBM</t>
  </si>
  <si>
    <t>Special Meter reading of NON SBM</t>
  </si>
  <si>
    <t>SBM New connection (including Re.1/- for OCR)</t>
  </si>
  <si>
    <t>NON SBM New connection</t>
  </si>
  <si>
    <t>New NON SBM Bill Printing ditribution</t>
  </si>
  <si>
    <t>Total Cost of Meter Reading &amp; Bill Distribution</t>
  </si>
  <si>
    <t>Cost of Resources for Bill Revision</t>
  </si>
  <si>
    <t>Provisional remark resolution cost</t>
  </si>
  <si>
    <t>Disconnection Cost in the event of default</t>
  </si>
  <si>
    <t>Manthan survey Cost / Cost of Never Paid cases</t>
  </si>
  <si>
    <t>RCM TOTAL</t>
  </si>
  <si>
    <t>Qty./ Month</t>
  </si>
  <si>
    <t>Base Price</t>
  </si>
  <si>
    <t>Total (Rs. Cr.)</t>
  </si>
  <si>
    <t>Other Professional charges</t>
  </si>
  <si>
    <t>* Miscellaneous expenses include comp for injuries,provision for disputed matter, commission on sales,rev. stamp etc</t>
  </si>
  <si>
    <t>Consultancy/ Retainer charges</t>
  </si>
  <si>
    <t>Operational Technology</t>
  </si>
  <si>
    <t>Data Charges</t>
  </si>
  <si>
    <t>IT automation</t>
  </si>
  <si>
    <t>Special Drive to improve MBC activity</t>
  </si>
  <si>
    <t>Special Drive for Shifting of Meter to outside premises</t>
  </si>
  <si>
    <t>GIS, SCADA, Communication, OT, Data Charges</t>
  </si>
  <si>
    <t>Year 22-23</t>
  </si>
  <si>
    <t>Year 23-24</t>
  </si>
  <si>
    <t>Without TPA</t>
  </si>
  <si>
    <t>TPA Billing (incl. above) (Rs. Lakh)</t>
  </si>
  <si>
    <t>TPA Collection (incl. above) (Rs. Lakh)</t>
  </si>
  <si>
    <t>Collection w/o TPA (Rs. Lakh)</t>
  </si>
  <si>
    <t>Billing w/o TPA (Rs. Lakh)</t>
  </si>
  <si>
    <t>With TPA</t>
  </si>
  <si>
    <t>FY 2020-21</t>
  </si>
  <si>
    <t>Jan'21</t>
  </si>
  <si>
    <t>Apr'20</t>
  </si>
  <si>
    <t>May'20</t>
  </si>
  <si>
    <t>Jun'20</t>
  </si>
  <si>
    <t>Jul'20</t>
  </si>
  <si>
    <t>Aug'20</t>
  </si>
  <si>
    <t>Sep'20</t>
  </si>
  <si>
    <t>Oct'20</t>
  </si>
  <si>
    <t>Nov'20</t>
  </si>
  <si>
    <t>Dec'20</t>
  </si>
  <si>
    <t>Feb'21</t>
  </si>
  <si>
    <t>Mar'21</t>
  </si>
  <si>
    <t>CPI</t>
  </si>
  <si>
    <t>Index</t>
  </si>
  <si>
    <t>Base 2016 = 100</t>
  </si>
  <si>
    <t>Apr'21</t>
  </si>
  <si>
    <t>May'21</t>
  </si>
  <si>
    <t>Jun'21</t>
  </si>
  <si>
    <t>Jul'21</t>
  </si>
  <si>
    <t>Aug'21</t>
  </si>
  <si>
    <t>Sep'21</t>
  </si>
  <si>
    <t>Oct'21</t>
  </si>
  <si>
    <t>Nov'21</t>
  </si>
  <si>
    <t>Dec'21</t>
  </si>
  <si>
    <t>Jan'22</t>
  </si>
  <si>
    <t>Feb'22</t>
  </si>
  <si>
    <t>Mar'22</t>
  </si>
  <si>
    <t>Apr'22</t>
  </si>
  <si>
    <t>May'22</t>
  </si>
  <si>
    <t>Jun'22</t>
  </si>
  <si>
    <t>Jul'22</t>
  </si>
  <si>
    <t>Aug'22</t>
  </si>
  <si>
    <t>Sep'22</t>
  </si>
  <si>
    <t>Oct'22</t>
  </si>
  <si>
    <t>Nov'22</t>
  </si>
  <si>
    <t>Dec'22</t>
  </si>
  <si>
    <t>Jan'23</t>
  </si>
  <si>
    <t>Feb'23</t>
  </si>
  <si>
    <t>Mar'23</t>
  </si>
  <si>
    <t>2.88 Linking Factor</t>
  </si>
  <si>
    <t>WPI</t>
  </si>
  <si>
    <t>INFL</t>
  </si>
  <si>
    <t>INFL Index</t>
  </si>
  <si>
    <t>60% x WPI + 40% x CPI</t>
  </si>
  <si>
    <t>INDX Ratio</t>
  </si>
  <si>
    <t>CONSOLIDATED AGEWISE ANALYSIS OF DEBTORS OUTSTANDING AS ON 30 TH SEP-2022</t>
  </si>
  <si>
    <r>
      <t xml:space="preserve">FY 22-23 </t>
    </r>
    <r>
      <rPr>
        <sz val="8"/>
        <rFont val="Arial"/>
        <family val="2"/>
      </rPr>
      <t>(1st 6 Months)</t>
    </r>
  </si>
  <si>
    <r>
      <t xml:space="preserve">FY 22-23 </t>
    </r>
    <r>
      <rPr>
        <sz val="8"/>
        <rFont val="Arial"/>
        <family val="2"/>
      </rPr>
      <t>(Full Year)</t>
    </r>
  </si>
  <si>
    <t>FY 23-24</t>
  </si>
  <si>
    <t>Net Employee Cost</t>
  </si>
  <si>
    <t>S. No.</t>
  </si>
  <si>
    <t>TPA Sale MU</t>
  </si>
  <si>
    <t>FY 23 (6 months)</t>
  </si>
  <si>
    <t>FY23-24</t>
  </si>
  <si>
    <t>Year to date (April 22 to March 2023</t>
  </si>
  <si>
    <t>31.03.2024</t>
  </si>
  <si>
    <t>Previous Year 21-22</t>
  </si>
  <si>
    <t>Current Year 22-23</t>
  </si>
  <si>
    <t>Ensuing Year 23-24</t>
  </si>
  <si>
    <t>Available as on Previous year 31.3.22</t>
  </si>
  <si>
    <t>Available as on the end of current year 31.03.23</t>
  </si>
  <si>
    <t>Availability at the End of Ensuing Year 31.03.24</t>
  </si>
  <si>
    <t>Over 12 months</t>
  </si>
  <si>
    <t>Bulk supply-domestic</t>
  </si>
  <si>
    <t>Interest on Working Capital</t>
  </si>
  <si>
    <t>O&amp;M Expenses for 1 month</t>
  </si>
  <si>
    <t>Maintenance spares @ 40% of R&amp;M for 1 month</t>
  </si>
  <si>
    <t>Total Working Capital</t>
  </si>
  <si>
    <t>Rate of Interest for Working Capital</t>
  </si>
  <si>
    <t>FY 2022-23 
(6 months)</t>
  </si>
  <si>
    <t>R&amp;M Expenses</t>
  </si>
  <si>
    <t>Interest on Term Loans</t>
  </si>
  <si>
    <t>Actual Capitalization</t>
  </si>
  <si>
    <t>Debt @ 70%</t>
  </si>
  <si>
    <t>Average Debt (Considered towards Interest @ 70%)</t>
  </si>
  <si>
    <t>Rate of Interest</t>
  </si>
  <si>
    <t>Normative Interest on Term Loan</t>
  </si>
  <si>
    <t>Approved CAPEX</t>
  </si>
  <si>
    <t>Revenue Surplus/ Gap</t>
  </si>
  <si>
    <t>Closing</t>
  </si>
  <si>
    <t>Average</t>
  </si>
  <si>
    <t>Rate of Carrying Cost</t>
  </si>
  <si>
    <t>Carrying Cost Amount</t>
  </si>
  <si>
    <t>O&amp;M Expenses (Emp &amp; A&amp;G)</t>
  </si>
  <si>
    <t>Tax on RoE</t>
  </si>
  <si>
    <t>Rate (%)</t>
  </si>
  <si>
    <t>RoE</t>
  </si>
  <si>
    <t>Corporate Tax (%)</t>
  </si>
  <si>
    <t>Grossed up RoE</t>
  </si>
  <si>
    <t>Tax</t>
  </si>
  <si>
    <t>Opening Equity</t>
  </si>
  <si>
    <t>Closing Equity</t>
  </si>
  <si>
    <t>TPWODL CAPEX (Normative)</t>
  </si>
  <si>
    <t>Interest on Working Capital (Normative)</t>
  </si>
  <si>
    <t>Woring capital Requirement</t>
  </si>
  <si>
    <t>f)  Interest on working Capital-Normative</t>
  </si>
  <si>
    <t>f)  Interest on Capex loans-Normative</t>
  </si>
  <si>
    <t xml:space="preserve">Amortisation of regulatory asset </t>
  </si>
  <si>
    <t>Carrying cost on Regualtory (Surplus)/Deficit</t>
  </si>
  <si>
    <t>Energy Police Station</t>
  </si>
  <si>
    <t>GRIDCO Contribution of Asset</t>
  </si>
  <si>
    <t>Balance as on 31.03.22</t>
  </si>
  <si>
    <t>Balance of 21-22</t>
  </si>
  <si>
    <t>Mar-22 (In Lakh)</t>
  </si>
  <si>
    <t>Mar-23(In Lakh)</t>
  </si>
  <si>
    <t>M365</t>
  </si>
  <si>
    <t>Customer Experience Enhancement</t>
  </si>
  <si>
    <t>SAP AMC</t>
  </si>
  <si>
    <t>Internet Connectivity</t>
  </si>
  <si>
    <t>MBC CIS Support FG</t>
  </si>
  <si>
    <t>Manpower Support Services</t>
  </si>
  <si>
    <t>Software &amp; Subscriptions</t>
  </si>
  <si>
    <t>Enterprise IT &amp; Infra</t>
  </si>
  <si>
    <t>IT Automation</t>
  </si>
  <si>
    <t>Employee Cost per month for 125 Staff @ Rs.40000 p.m./employee</t>
  </si>
  <si>
    <t>Office Expenses including electiricty &amp; House keeping</t>
  </si>
  <si>
    <t>Vehicle expenses (Rs.30000 p.m. for 23 vehicles)</t>
  </si>
  <si>
    <t>Total Estimate yearly</t>
  </si>
  <si>
    <t>Consumer contribution including School Anganwadi, Elephant corridor &amp; Deposit work</t>
  </si>
  <si>
    <t>Equity contribution</t>
  </si>
  <si>
    <t>LT Single Phase AMR/AMI Compliant Smart meter</t>
  </si>
  <si>
    <t>LT Three phase AMR/AMI compliant smart meter</t>
  </si>
  <si>
    <t>ALL ARE IN USE AS ON                         30-11-2022</t>
  </si>
  <si>
    <t>FOR FY 23-24</t>
  </si>
  <si>
    <t>As at 31 st March of Current Year 22-23</t>
  </si>
  <si>
    <t>As at 31st March of Prev. Yr.21-22</t>
  </si>
  <si>
    <t>As at 31st March of Current Year 22-23</t>
  </si>
  <si>
    <t xml:space="preserve">As At (Current Year-22-23) </t>
  </si>
  <si>
    <t xml:space="preserve">As At (Previous Year 21-22) </t>
  </si>
  <si>
    <t>As at 31 st March of Ensuing Year 23-24</t>
  </si>
  <si>
    <t>As at 31st March of curr. Yr.22-23</t>
  </si>
  <si>
    <t>As at 31st March of Ensuing Year 23-24</t>
  </si>
  <si>
    <t xml:space="preserve">As At (Ensuing Year-23-24) </t>
  </si>
  <si>
    <t xml:space="preserve">As At (Current Year 22-23) </t>
  </si>
  <si>
    <t>Current Year FY22-23</t>
  </si>
  <si>
    <t>Saving in Power Purchase Cost in Cr</t>
  </si>
  <si>
    <t>Ensuing Year FY23-24</t>
  </si>
  <si>
    <t>Revenue Surplus (-) FY 22-23</t>
  </si>
  <si>
    <t>Revenue GAP (+)/Surplus(-)</t>
  </si>
  <si>
    <t>Revenue Gap with approved (19.60%)T&amp;D Current Year FY22-23</t>
  </si>
  <si>
    <t>Less Savings  in Power purchase cost due to efficieny gain</t>
  </si>
  <si>
    <t>Billin eff</t>
  </si>
  <si>
    <t>collec</t>
  </si>
  <si>
    <t>AT&amp;C</t>
  </si>
  <si>
    <t>Revenue Gap with approved T&amp;D (18.08%)  FY23-24</t>
  </si>
  <si>
    <t>Working capital Loan- Normative</t>
  </si>
  <si>
    <t xml:space="preserve">TPWODL Capex Loan Normative </t>
  </si>
  <si>
    <t>Investment details as on 31.3.22</t>
  </si>
  <si>
    <t>Not Applicable to TPWODL</t>
  </si>
  <si>
    <t>Opening Balance(Security Deposit FD Rs.85725 lakh &amp; Deposit workk FD 29288)</t>
  </si>
  <si>
    <t>Arrear- 7th Pay impact (30% of arrear in FY 21-22 and balance 20% in FY 22-23)</t>
  </si>
  <si>
    <t>As on 1st April 21</t>
  </si>
  <si>
    <t>Recruitement during FY 21-22</t>
  </si>
  <si>
    <t>Retirement/separation/deceased during FY 21-22</t>
  </si>
  <si>
    <t>As on 1st April 22</t>
  </si>
  <si>
    <t>Recruitement during FY 22-23</t>
  </si>
  <si>
    <t>Retirement/separation/deceased during FY 22-23</t>
  </si>
  <si>
    <t>As on 1st April 23</t>
  </si>
  <si>
    <t>Recruitement during FY 23-24</t>
  </si>
  <si>
    <t>Retirement/separation/deceased during FY 23-24</t>
  </si>
  <si>
    <t>As on 1st April 24</t>
  </si>
  <si>
    <t>Saving in basic salary for 2023-24</t>
  </si>
  <si>
    <t>Energy Audit</t>
  </si>
  <si>
    <t>OERC FORM.1 (b)</t>
  </si>
  <si>
    <t>Internal Accrual</t>
  </si>
  <si>
    <t>Sources of funds for Capital employed</t>
  </si>
  <si>
    <t>Capital assets added during FY</t>
  </si>
  <si>
    <t>Capital assets work-in-progress</t>
  </si>
  <si>
    <t>Total sources of fund</t>
  </si>
  <si>
    <t>OERC Form No.F.4(b)</t>
  </si>
  <si>
    <t>Form No. F.9(b)</t>
  </si>
  <si>
    <t>Collection of past arrears</t>
  </si>
  <si>
    <t>Estimate for Current Year</t>
  </si>
  <si>
    <t>Form No. F. 12(b)</t>
  </si>
  <si>
    <t>EMPLOYEES COST (New Recruitment)</t>
  </si>
  <si>
    <t>Technical</t>
  </si>
  <si>
    <t>Non-Technical</t>
  </si>
  <si>
    <t>No. of Employees</t>
  </si>
  <si>
    <t>Fixed Pay</t>
  </si>
  <si>
    <t>Variable Pay</t>
  </si>
  <si>
    <t xml:space="preserve">Total </t>
  </si>
  <si>
    <t>Less: Employee Cost Capitalised</t>
  </si>
  <si>
    <t>Form No. F. 12(c)</t>
  </si>
  <si>
    <t>EMPLOYEES COST</t>
  </si>
  <si>
    <t>Total Net Employee Cost (Erstwhile + Newly formed DISCOMs)</t>
  </si>
  <si>
    <t>Additional Information (For Total Employee Strength)</t>
  </si>
  <si>
    <t>S.No.</t>
  </si>
  <si>
    <t>No. of employees as on:</t>
  </si>
  <si>
    <t>No. of employees added during the year:</t>
  </si>
  <si>
    <t>Employees Retd./Expired/Resigned during the year:</t>
  </si>
  <si>
    <t>No. of MUs sold:</t>
  </si>
  <si>
    <t>Avg. no. of employees for the year:</t>
  </si>
  <si>
    <t>No. of employees per MU sold:</t>
  </si>
  <si>
    <t>No. of employees per 1000 consumers:</t>
  </si>
  <si>
    <t>Total Manpower:</t>
  </si>
  <si>
    <t>No. of consumers as on FY:</t>
  </si>
  <si>
    <t>Form No. F. 12(d)</t>
  </si>
  <si>
    <t>Employees proposed and approved FY 2022-23</t>
  </si>
  <si>
    <t>Employee Proposed 
(FY 2022-23)</t>
  </si>
  <si>
    <t>DISCOMs</t>
  </si>
  <si>
    <t>No. of employees as on 01.04.2021</t>
  </si>
  <si>
    <t>Add: Addition during FY 2021-22</t>
  </si>
  <si>
    <t>Less: Retirement/ Expired/ Resigned during FY 2021-22</t>
  </si>
  <si>
    <t>No. of employees as on 31.03.2022</t>
  </si>
  <si>
    <t>Add: Addition during FY 2022-23</t>
  </si>
  <si>
    <t>Less: Retirement/ Expired/ Resigned during FY 2022-23</t>
  </si>
  <si>
    <t>No. of employees as on 31.03.2023</t>
  </si>
  <si>
    <t>Employee Approved
(FY 2022-23)</t>
  </si>
  <si>
    <t>Avg. no. of employees for FY 2021-22</t>
  </si>
  <si>
    <t>Avg. no. of employees for FY 2022-23</t>
  </si>
  <si>
    <t xml:space="preserve">OERC </t>
  </si>
  <si>
    <t>Pro-rated for FY 2022-23</t>
  </si>
  <si>
    <t>Amount Collected out of Mar'20 Arrear</t>
  </si>
  <si>
    <t>Particulars (Own + Outsourced)</t>
  </si>
  <si>
    <t>Ensuing Year 
(23-24)</t>
  </si>
  <si>
    <t>Form No. F. 13(a)</t>
  </si>
  <si>
    <t>R&amp;M for FY 2023-24</t>
  </si>
  <si>
    <t>DISCOM's GFA as on 01.04.2023</t>
  </si>
  <si>
    <t>R&amp;M on GFA</t>
  </si>
  <si>
    <t>Govt. (Funded/Grant) Assets as on 01.04.2023</t>
  </si>
  <si>
    <t>R&amp;M on Govt. funded assets</t>
  </si>
  <si>
    <t>Total R&amp;M</t>
  </si>
  <si>
    <t>h) Return on equity &amp; Incentive on arrear collection (Prev. Year)</t>
  </si>
  <si>
    <t>Dep on old assets</t>
  </si>
  <si>
    <t>TPWODL assets</t>
  </si>
  <si>
    <t>FY 22-23</t>
  </si>
  <si>
    <t>Vigilance and enforcement</t>
  </si>
  <si>
    <t>Surplus considered</t>
  </si>
  <si>
    <t>Wheeling cost for FY 2023-24</t>
  </si>
  <si>
    <t>Retail supply Cost for FY 23-24</t>
  </si>
  <si>
    <t>ARR for FY 2023-24</t>
  </si>
  <si>
    <t>Man-power Cost</t>
  </si>
  <si>
    <t>Human Resource</t>
  </si>
  <si>
    <t>Qty</t>
  </si>
  <si>
    <t>Monthly Allowance</t>
  </si>
  <si>
    <t>Costing</t>
  </si>
  <si>
    <t>SP</t>
  </si>
  <si>
    <t>Inspector</t>
  </si>
  <si>
    <t>Sub Inspector</t>
  </si>
  <si>
    <t>Constable (Male)</t>
  </si>
  <si>
    <t>Constable (Female)</t>
  </si>
  <si>
    <t>Home Guard (Male)</t>
  </si>
  <si>
    <t>Home Guard (Female)</t>
  </si>
  <si>
    <t>Infrastructure Cost</t>
  </si>
  <si>
    <t>Office</t>
  </si>
  <si>
    <t>Vehicle Cost</t>
  </si>
  <si>
    <t>Miscallaneous (House Keeping, Pantry, Electricity, Stationary etc)</t>
  </si>
  <si>
    <t>Total Monthly Cost</t>
  </si>
  <si>
    <t>Annual Cost</t>
  </si>
  <si>
    <t>Revenue Gap with projected T&amp;D (18.11%) FY23-24</t>
  </si>
  <si>
    <t>Disallowance in Power Purchase Cost in Cr</t>
  </si>
  <si>
    <t>Less disalloance  in Power purchase cost due to efficieny gain</t>
  </si>
  <si>
    <t>Revenue Gap with Estimated T&amp;D (18.12%)-Current Year FY22-23</t>
  </si>
  <si>
    <t>For Term Loan CAPEX</t>
  </si>
  <si>
    <t>Shyam Dri is using double the CD &amp; M/ss Vedanta is using TPA power. Hence LF &gt;100%</t>
  </si>
  <si>
    <t>Form No. F. 13</t>
  </si>
  <si>
    <t>To be drawn during 23-24</t>
  </si>
  <si>
    <t>Bal. of loan at the end of the year 23-24</t>
  </si>
  <si>
    <t>All HT industrial consumers (Steel Plant) having Contract Demand (CD) of 1 MVA and above shall get a rebate on energy charge on achieving the load factor as given below:
                                                                              CD upto 6 MVA                                   CD above 6 MVA
For load factor of 65% and above upto 75%            10% on energy charge                                            -
For load factor above 75% upto 85%                      15% on energy charge                            8% on energy charge
For load factor above 85%                                     20% on energy charge                           10% on energy charge
The above rebate shall be on energy charges of entire unit of consumption.Load reduction shall not be permitted to such category of industry for availing this rebate during the financial year 2023-24.</t>
  </si>
  <si>
    <t>Any industry having CGP with CD up to 20MW willing to avail power from DISCOMs upto double the CD shall be allowed to draw power without payment of overdrawal penalty. For this purpose, the Industry has to operate at minimum CD of 80% for the entire month. The applicable charges for incremental energy drawl (kVAh) beyond CD shall be Rs.4.30 paise per kVAh. However, the DISCOMs shall not exceed their approved SMD during that period. The DISCOM must ensure that for such overdrawal, the distribution system is not overloaded and no load shedding is imposed during that period.</t>
  </si>
  <si>
    <t xml:space="preserve"> Bargarh West Electrical Division ,Commerce Plaza,1st Floor,N.H-6,Bargarh</t>
  </si>
  <si>
    <t>24-25</t>
  </si>
  <si>
    <t>25-26</t>
  </si>
  <si>
    <t>26-27</t>
  </si>
  <si>
    <t>27-28</t>
  </si>
  <si>
    <t>Cash Outgo on Contractual and Outsource engagement</t>
  </si>
  <si>
    <t>Proposed FY 2023-24</t>
  </si>
  <si>
    <t>Receivables /Power purchase Cost</t>
  </si>
  <si>
    <t>Receivables/Power Purchase for 1 month</t>
  </si>
  <si>
    <t>As per New Regulation</t>
  </si>
  <si>
    <t>Software</t>
  </si>
  <si>
    <t>As per Vesting order</t>
  </si>
  <si>
    <t>Capex Proposed</t>
  </si>
  <si>
    <t xml:space="preserve">Capex approved for </t>
  </si>
  <si>
    <t>Funding Mechanism</t>
  </si>
  <si>
    <t>Equity-51% share (TPCL)</t>
  </si>
  <si>
    <t>Rate of R&amp;M on GFA*</t>
  </si>
  <si>
    <t>Rate of R&amp;M on Govt. (Funded/ Grants) Assets*</t>
  </si>
  <si>
    <t>* Justification of proposal 5.4% has been mentioned in ARR FY 23-24</t>
  </si>
  <si>
    <t>Debt-Loan</t>
  </si>
  <si>
    <t>Equity-49% Share (GRIDCO)</t>
  </si>
  <si>
    <t>Short Term Loan &amp; Working capital (normative)</t>
  </si>
  <si>
    <t>Office Equipment, It equipments &amp; Software</t>
  </si>
  <si>
    <t>Plant and  Machinery &amp; NW</t>
  </si>
  <si>
    <t>Closing Balance(Security Deposit FD Rs.90402.47 lakh &amp; Deposit workk FD 21553)</t>
  </si>
  <si>
    <t>Calculation of Monthly Voltage wise Loss (DISCOM) for the FY 2022-23*</t>
  </si>
  <si>
    <t>22.24 Lakh As on 31st March 2022</t>
  </si>
  <si>
    <t>Opening with SD (OB-SD Rs.90402.47&amp; Deposit Work FD Rs.21553 lakh)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</si>
</sst>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3">
    <numFmt numFmtId="43" formatCode="_ * #,##0.00_ ;_ * \-#,##0.00_ ;_ * &quot;-&quot;??_ ;_ @_ "/>
    <numFmt numFmtId="164" formatCode="_(* #,##0_);_(* \(#,##0\);_(* &quot;-&quot;_);_(@_)"/>
    <numFmt numFmtId="165" formatCode="_(* #,##0.00_);_(* \(#,##0.00\);_(* &quot;-&quot;??_);_(@_)"/>
    <numFmt numFmtId="166" formatCode="_-* #,##0.00_-;\-* #,##0.00_-;_-* &quot;-&quot;??_-;_-@_-"/>
    <numFmt numFmtId="167" formatCode="0.000"/>
    <numFmt numFmtId="168" formatCode="0.0"/>
    <numFmt numFmtId="169" formatCode="0.000%"/>
    <numFmt numFmtId="170" formatCode="0.0%"/>
    <numFmt numFmtId="171" formatCode="0.00;[Red]0.00"/>
    <numFmt numFmtId="172" formatCode="0;[Red]0"/>
    <numFmt numFmtId="173" formatCode="0.00000"/>
    <numFmt numFmtId="174" formatCode="0.00_);\(0.00\)"/>
    <numFmt numFmtId="175" formatCode="0.0000"/>
    <numFmt numFmtId="176" formatCode="0&quot;  &quot;"/>
    <numFmt numFmtId="177" formatCode="General_)"/>
    <numFmt numFmtId="178" formatCode="d\.mmm\.yy"/>
    <numFmt numFmtId="179" formatCode="mmm\.yy"/>
    <numFmt numFmtId="180" formatCode="d\.m\.yy\ h:mm"/>
    <numFmt numFmtId="181" formatCode="0.00&quot;  &quot;"/>
    <numFmt numFmtId="182" formatCode="#,##0.000_);[Red]\(#,##0.000\)"/>
    <numFmt numFmtId="183" formatCode="_(* #,##0_);_(* \(#,##0\);_(* &quot;-&quot;??_);_(@_)"/>
    <numFmt numFmtId="184" formatCode="#,##0.0_);[Red]\(#,##0.0\)"/>
    <numFmt numFmtId="185" formatCode="_-* #,##0.000_-;\-* #,##0.000_-;_-* &quot;-&quot;??_-;_-@_-"/>
    <numFmt numFmtId="186" formatCode="yyyymmdd"/>
    <numFmt numFmtId="187" formatCode="mmddyyyy"/>
    <numFmt numFmtId="188" formatCode="0_);\(0\)"/>
    <numFmt numFmtId="189" formatCode="[$-409]mmm\-yy;@"/>
    <numFmt numFmtId="190" formatCode="0.000000"/>
    <numFmt numFmtId="191" formatCode="mm/dd/yy;@"/>
    <numFmt numFmtId="192" formatCode="_(* #,##0.000_);_(* \(#,##0.000\);_(* &quot;-&quot;??_);_(@_)"/>
    <numFmt numFmtId="193" formatCode="0.000_);\(0.000\)"/>
    <numFmt numFmtId="194" formatCode="0.0000000"/>
    <numFmt numFmtId="195" formatCode="[$-409]dd/mmm/yy;@"/>
    <numFmt numFmtId="196" formatCode="0.0000000000"/>
    <numFmt numFmtId="197" formatCode="_(* #,##0.0000000_);_(* \(#,##0.0000000\);_(* &quot;-&quot;??_);_(@_)"/>
    <numFmt numFmtId="198" formatCode="_(* #,##0.0_);_(* \(#,##0.0\);_(* &quot;-&quot;??_);_(@_)"/>
    <numFmt numFmtId="199" formatCode="_(* #,##0.00000000000_);_(* \(#,##0.00000000000\);_(* &quot;-&quot;??_);_(@_)"/>
    <numFmt numFmtId="200" formatCode="_(* #,##0.000000000000_);_(* \(#,##0.000000000000\);_(* &quot;-&quot;??_);_(@_)"/>
    <numFmt numFmtId="201" formatCode="0.000000000000000%"/>
    <numFmt numFmtId="202" formatCode="_(* #,##0.000000_);_(* \(#,##0.000000\);_(* &quot;-&quot;??_);_(@_)"/>
    <numFmt numFmtId="203" formatCode="_(* #,##0.00000000_);_(* \(#,##0.00000000\);_(* &quot;-&quot;??_);_(@_)"/>
    <numFmt numFmtId="204" formatCode="#,##0.0000"/>
    <numFmt numFmtId="205" formatCode="#,##0.0"/>
  </numFmts>
  <fonts count="139">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b/>
      <sz val="14"/>
      <name val="Arial"/>
      <family val="2"/>
    </font>
    <font>
      <sz val="10"/>
      <name val="Arial"/>
      <family val="2"/>
    </font>
    <font>
      <sz val="10"/>
      <color indexed="9"/>
      <name val="Arial"/>
      <family val="2"/>
    </font>
    <font>
      <b/>
      <sz val="10"/>
      <color indexed="8"/>
      <name val="Arial"/>
      <family val="2"/>
    </font>
    <font>
      <b/>
      <u/>
      <sz val="10"/>
      <color indexed="8"/>
      <name val="Arial"/>
      <family val="2"/>
    </font>
    <font>
      <b/>
      <u/>
      <sz val="12"/>
      <color indexed="8"/>
      <name val="Arial"/>
      <family val="2"/>
    </font>
    <font>
      <u/>
      <sz val="12"/>
      <color indexed="8"/>
      <name val="Arial"/>
      <family val="2"/>
    </font>
    <font>
      <b/>
      <sz val="12"/>
      <color indexed="8"/>
      <name val="Arial"/>
      <family val="2"/>
    </font>
    <font>
      <b/>
      <sz val="14"/>
      <color indexed="8"/>
      <name val="Arial"/>
      <family val="2"/>
    </font>
    <font>
      <sz val="14"/>
      <color indexed="8"/>
      <name val="Arial"/>
      <family val="2"/>
    </font>
    <font>
      <b/>
      <u/>
      <sz val="14"/>
      <color indexed="8"/>
      <name val="Arial"/>
      <family val="2"/>
    </font>
    <font>
      <sz val="12"/>
      <name val="Arial"/>
      <family val="2"/>
    </font>
    <font>
      <u/>
      <sz val="16"/>
      <color indexed="8"/>
      <name val="Arial"/>
      <family val="2"/>
    </font>
    <font>
      <sz val="10"/>
      <color indexed="8"/>
      <name val="Arial"/>
      <family val="2"/>
    </font>
    <font>
      <sz val="12"/>
      <color indexed="8"/>
      <name val="Arial"/>
      <family val="2"/>
    </font>
    <font>
      <b/>
      <sz val="8"/>
      <name val="Arial"/>
      <family val="2"/>
    </font>
    <font>
      <sz val="8"/>
      <name val="Arial"/>
      <family val="2"/>
    </font>
    <font>
      <sz val="10"/>
      <color indexed="10"/>
      <name val="Arial"/>
      <family val="2"/>
    </font>
    <font>
      <b/>
      <i/>
      <sz val="14"/>
      <name val="Arial"/>
      <family val="2"/>
    </font>
    <font>
      <b/>
      <i/>
      <sz val="10"/>
      <name val="Arial"/>
      <family val="2"/>
    </font>
    <font>
      <sz val="14"/>
      <name val="Arial"/>
      <family val="2"/>
    </font>
    <font>
      <b/>
      <sz val="16"/>
      <name val="Arial"/>
      <family val="2"/>
    </font>
    <font>
      <b/>
      <sz val="10"/>
      <color indexed="10"/>
      <name val="Arial"/>
      <family val="2"/>
    </font>
    <font>
      <b/>
      <u/>
      <sz val="24"/>
      <color indexed="8"/>
      <name val="Arial"/>
      <family val="2"/>
    </font>
    <font>
      <sz val="13"/>
      <color indexed="8"/>
      <name val="Arial"/>
      <family val="2"/>
    </font>
    <font>
      <b/>
      <sz val="13"/>
      <color indexed="8"/>
      <name val="Arial"/>
      <family val="2"/>
    </font>
    <font>
      <sz val="12"/>
      <name val="Times New Roman"/>
      <family val="1"/>
    </font>
    <font>
      <sz val="20"/>
      <name val="Arial"/>
      <family val="2"/>
    </font>
    <font>
      <b/>
      <sz val="20"/>
      <color indexed="10"/>
      <name val="Arial"/>
      <family val="2"/>
    </font>
    <font>
      <sz val="18"/>
      <color indexed="10"/>
      <name val="Arial"/>
      <family val="2"/>
    </font>
    <font>
      <b/>
      <sz val="8"/>
      <color indexed="8"/>
      <name val="Arial"/>
      <family val="2"/>
    </font>
    <font>
      <sz val="12"/>
      <color indexed="10"/>
      <name val="Arial"/>
      <family val="2"/>
    </font>
    <font>
      <sz val="11"/>
      <name val="Arial"/>
      <family val="2"/>
    </font>
    <font>
      <sz val="9"/>
      <name val="Arial"/>
      <family val="2"/>
    </font>
    <font>
      <sz val="12"/>
      <name val="Tms Rmn"/>
    </font>
    <font>
      <sz val="11"/>
      <name val="Univers Condensed"/>
      <family val="2"/>
    </font>
    <font>
      <sz val="9"/>
      <name val="Times New Roman"/>
      <family val="1"/>
    </font>
    <font>
      <sz val="12"/>
      <name val="Times New Roman"/>
      <family val="1"/>
    </font>
    <font>
      <sz val="10"/>
      <name val="Helv"/>
    </font>
    <font>
      <sz val="11"/>
      <name val="Book Antiqua"/>
      <family val="1"/>
    </font>
    <font>
      <sz val="10"/>
      <name val="MS Sans Serif"/>
      <family val="2"/>
    </font>
    <font>
      <sz val="7"/>
      <name val="Small Fonts"/>
      <family val="2"/>
    </font>
    <font>
      <sz val="10"/>
      <name val="Times New Roman"/>
      <family val="1"/>
    </font>
    <font>
      <b/>
      <sz val="12"/>
      <name val="Times New Roman"/>
      <family val="1"/>
    </font>
    <font>
      <b/>
      <u/>
      <sz val="10"/>
      <name val="Arial"/>
      <family val="2"/>
    </font>
    <font>
      <b/>
      <sz val="11"/>
      <name val="Arial"/>
      <family val="2"/>
    </font>
    <font>
      <b/>
      <u/>
      <sz val="12"/>
      <name val="Arial"/>
      <family val="2"/>
    </font>
    <font>
      <b/>
      <sz val="20"/>
      <name val="Arial"/>
      <family val="2"/>
    </font>
    <font>
      <b/>
      <sz val="13"/>
      <name val="Arial"/>
      <family val="2"/>
    </font>
    <font>
      <b/>
      <sz val="11"/>
      <name val="Arial"/>
      <family val="2"/>
    </font>
    <font>
      <i/>
      <sz val="10"/>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name val="Times New Roman"/>
      <family val="1"/>
    </font>
    <font>
      <b/>
      <sz val="10"/>
      <name val="Times New Roman"/>
      <family val="1"/>
    </font>
    <font>
      <i/>
      <sz val="11"/>
      <name val="Arial"/>
      <family val="2"/>
    </font>
    <font>
      <sz val="10"/>
      <color indexed="8"/>
      <name val="Tahoma"/>
      <family val="2"/>
    </font>
    <font>
      <sz val="10"/>
      <name val="Arial"/>
      <family val="2"/>
    </font>
    <font>
      <sz val="8"/>
      <name val="Arial"/>
      <family val="2"/>
    </font>
    <font>
      <b/>
      <sz val="10"/>
      <color indexed="54"/>
      <name val="Arial"/>
      <family val="2"/>
    </font>
    <font>
      <b/>
      <sz val="11"/>
      <name val="Times New Roman"/>
      <family val="1"/>
    </font>
    <font>
      <b/>
      <sz val="9"/>
      <name val="Times New Roman"/>
      <family val="1"/>
    </font>
    <font>
      <sz val="8"/>
      <name val="Arial"/>
      <family val="2"/>
    </font>
    <font>
      <sz val="12"/>
      <name val="Arial"/>
      <family val="2"/>
    </font>
    <font>
      <b/>
      <sz val="10"/>
      <color indexed="8"/>
      <name val="Calibri"/>
      <family val="2"/>
    </font>
    <font>
      <sz val="10"/>
      <color indexed="8"/>
      <name val="Calibri"/>
      <family val="2"/>
    </font>
    <font>
      <b/>
      <sz val="11"/>
      <color indexed="10"/>
      <name val="Calibri"/>
      <family val="2"/>
    </font>
    <font>
      <b/>
      <sz val="11"/>
      <name val="Calibri"/>
      <family val="2"/>
    </font>
    <font>
      <sz val="8"/>
      <name val="Arial"/>
      <family val="2"/>
    </font>
    <font>
      <sz val="12"/>
      <name val="Arial"/>
      <family val="2"/>
    </font>
    <font>
      <b/>
      <sz val="9"/>
      <name val="Arial"/>
      <family val="2"/>
    </font>
    <font>
      <sz val="10"/>
      <color rgb="FFFF0000"/>
      <name val="Arial"/>
      <family val="2"/>
    </font>
    <font>
      <b/>
      <sz val="11"/>
      <color theme="1"/>
      <name val="Calibri"/>
      <family val="2"/>
      <scheme val="minor"/>
    </font>
    <font>
      <sz val="12"/>
      <name val="Arial"/>
      <family val="2"/>
    </font>
    <font>
      <b/>
      <sz val="12"/>
      <color rgb="FF0000FF"/>
      <name val="Arial Narrow"/>
      <family val="2"/>
    </font>
    <font>
      <b/>
      <sz val="12"/>
      <color rgb="FFC00000"/>
      <name val="Arial Narrow"/>
      <family val="2"/>
    </font>
    <font>
      <b/>
      <sz val="12"/>
      <color rgb="FF000000"/>
      <name val="Arial Narrow"/>
      <family val="2"/>
    </font>
    <font>
      <b/>
      <sz val="12"/>
      <color rgb="FFFF0000"/>
      <name val="Arial Narrow"/>
      <family val="2"/>
    </font>
    <font>
      <b/>
      <sz val="14"/>
      <color rgb="FF000000"/>
      <name val="Arial Narrow"/>
      <family val="2"/>
    </font>
    <font>
      <b/>
      <sz val="14"/>
      <color rgb="FFFF0000"/>
      <name val="Arial Narrow"/>
      <family val="2"/>
    </font>
    <font>
      <b/>
      <sz val="14"/>
      <color rgb="FF0000FF"/>
      <name val="Arial Narrow"/>
      <family val="2"/>
    </font>
    <font>
      <b/>
      <sz val="14"/>
      <color rgb="FFC00000"/>
      <name val="Arial Narrow"/>
      <family val="2"/>
    </font>
    <font>
      <b/>
      <sz val="14"/>
      <color rgb="FF0000FF"/>
      <name val="Arial"/>
      <family val="2"/>
    </font>
    <font>
      <b/>
      <sz val="14"/>
      <color rgb="FF00B050"/>
      <name val="Arial Narrow"/>
      <family val="2"/>
    </font>
    <font>
      <b/>
      <sz val="12"/>
      <color indexed="8"/>
      <name val="Calibri"/>
      <family val="2"/>
    </font>
    <font>
      <sz val="12"/>
      <name val="Arial"/>
      <family val="2"/>
    </font>
    <font>
      <sz val="10"/>
      <color rgb="FF201F1E"/>
      <name val="Arial"/>
      <family val="2"/>
    </font>
    <font>
      <sz val="12"/>
      <color rgb="FF000000"/>
      <name val="Arial"/>
      <family val="2"/>
    </font>
    <font>
      <sz val="11"/>
      <color rgb="FF000000"/>
      <name val="Calibri"/>
      <family val="2"/>
    </font>
    <font>
      <sz val="16"/>
      <name val="Arial"/>
      <family val="2"/>
    </font>
    <font>
      <sz val="12"/>
      <color rgb="FFFFFFFF"/>
      <name val="Cambria"/>
      <family val="1"/>
    </font>
    <font>
      <sz val="12"/>
      <name val="Cambria"/>
      <family val="1"/>
    </font>
    <font>
      <sz val="10"/>
      <color theme="1"/>
      <name val="Arial"/>
      <family val="2"/>
    </font>
    <font>
      <b/>
      <sz val="12"/>
      <color rgb="FF000000"/>
      <name val="Cambria"/>
      <family val="1"/>
    </font>
    <font>
      <sz val="12"/>
      <color rgb="FF000000"/>
      <name val="Cambria"/>
      <family val="1"/>
    </font>
    <font>
      <sz val="12"/>
      <color theme="1"/>
      <name val="Cambria"/>
      <family val="1"/>
    </font>
    <font>
      <b/>
      <sz val="12"/>
      <color theme="1"/>
      <name val="Cambria"/>
      <family val="1"/>
    </font>
    <font>
      <b/>
      <sz val="16"/>
      <color rgb="FF000000"/>
      <name val="Calibri"/>
      <family val="2"/>
    </font>
    <font>
      <b/>
      <sz val="12"/>
      <color rgb="FF000000"/>
      <name val="Calibri"/>
      <family val="2"/>
    </font>
    <font>
      <b/>
      <sz val="11"/>
      <color rgb="FF000000"/>
      <name val="Calibri"/>
      <family val="2"/>
    </font>
    <font>
      <sz val="18"/>
      <name val="Arial"/>
      <family val="2"/>
    </font>
    <font>
      <b/>
      <sz val="14.5"/>
      <color rgb="FF000000"/>
      <name val="Myriad Pro"/>
    </font>
    <font>
      <sz val="14.5"/>
      <color rgb="FF000000"/>
      <name val="Myriad Pro"/>
    </font>
    <font>
      <b/>
      <sz val="12"/>
      <name val="Bronk"/>
    </font>
    <font>
      <sz val="11"/>
      <name val="Calibri"/>
      <family val="2"/>
      <scheme val="minor"/>
    </font>
    <font>
      <sz val="11"/>
      <color theme="1"/>
      <name val="Cambria"/>
      <family val="1"/>
      <scheme val="major"/>
    </font>
    <font>
      <i/>
      <sz val="12"/>
      <name val="Arial"/>
      <family val="2"/>
    </font>
    <font>
      <b/>
      <sz val="10"/>
      <color rgb="FFFF0000"/>
      <name val="Arial"/>
      <family val="2"/>
    </font>
    <font>
      <b/>
      <sz val="10"/>
      <color theme="1"/>
      <name val="Calibri"/>
      <family val="2"/>
      <scheme val="minor"/>
    </font>
    <font>
      <sz val="10"/>
      <color theme="1"/>
      <name val="Calibri"/>
      <family val="2"/>
      <scheme val="minor"/>
    </font>
    <font>
      <b/>
      <i/>
      <u/>
      <sz val="8"/>
      <name val="Arial"/>
      <family val="2"/>
    </font>
    <font>
      <b/>
      <i/>
      <sz val="8"/>
      <name val="Arial"/>
      <family val="2"/>
    </font>
    <font>
      <sz val="9"/>
      <color rgb="FF000000"/>
      <name val="Cambria"/>
      <family val="1"/>
    </font>
    <font>
      <sz val="10"/>
      <name val="Cambria"/>
      <family val="1"/>
    </font>
    <font>
      <sz val="9"/>
      <name val="Cambria"/>
      <family val="1"/>
    </font>
    <font>
      <b/>
      <sz val="9"/>
      <color rgb="FF000000"/>
      <name val="Cambria"/>
      <family val="1"/>
    </font>
    <font>
      <b/>
      <u val="double"/>
      <sz val="14"/>
      <name val="Arial"/>
      <family val="2"/>
    </font>
  </fonts>
  <fills count="4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9"/>
      </patternFill>
    </fill>
    <fill>
      <patternFill patternType="solid">
        <fgColor indexed="26"/>
      </patternFill>
    </fill>
    <fill>
      <patternFill patternType="solid">
        <fgColor indexed="18"/>
        <bgColor indexed="64"/>
      </patternFill>
    </fill>
    <fill>
      <patternFill patternType="solid">
        <fgColor indexed="9"/>
        <bgColor indexed="64"/>
      </patternFill>
    </fill>
    <fill>
      <patternFill patternType="solid">
        <fgColor rgb="FFFFFF00"/>
        <bgColor indexed="64"/>
      </patternFill>
    </fill>
    <fill>
      <patternFill patternType="solid">
        <fgColor rgb="FFF2DDDC"/>
        <bgColor indexed="64"/>
      </patternFill>
    </fill>
    <fill>
      <patternFill patternType="solid">
        <fgColor rgb="FFD7E4BC"/>
        <bgColor indexed="64"/>
      </patternFill>
    </fill>
    <fill>
      <patternFill patternType="solid">
        <fgColor rgb="FFB6DDE8"/>
        <bgColor indexed="64"/>
      </patternFill>
    </fill>
    <fill>
      <patternFill patternType="solid">
        <fgColor rgb="FFFFC000"/>
        <bgColor indexed="64"/>
      </patternFill>
    </fill>
    <fill>
      <patternFill patternType="solid">
        <fgColor rgb="FFFF0000"/>
        <bgColor indexed="64"/>
      </patternFill>
    </fill>
    <fill>
      <patternFill patternType="solid">
        <fgColor rgb="FF92D050"/>
        <bgColor indexed="64"/>
      </patternFill>
    </fill>
    <fill>
      <patternFill patternType="solid">
        <fgColor rgb="FF00B050"/>
        <bgColor indexed="64"/>
      </patternFill>
    </fill>
    <fill>
      <patternFill patternType="solid">
        <fgColor rgb="FF66FF99"/>
        <bgColor indexed="64"/>
      </patternFill>
    </fill>
    <fill>
      <patternFill patternType="solid">
        <fgColor theme="7" tint="0.59999389629810485"/>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rgb="FFFFFF00"/>
        <bgColor rgb="FF000000"/>
      </patternFill>
    </fill>
    <fill>
      <patternFill patternType="solid">
        <fgColor rgb="FFFFD966"/>
        <bgColor indexed="64"/>
      </patternFill>
    </fill>
    <fill>
      <patternFill patternType="solid">
        <fgColor rgb="FFB4C7E7"/>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FFFFCC"/>
        <bgColor indexed="64"/>
      </patternFill>
    </fill>
    <fill>
      <patternFill patternType="solid">
        <fgColor theme="2" tint="-9.9978637043366805E-2"/>
        <bgColor indexed="64"/>
      </patternFill>
    </fill>
    <fill>
      <patternFill patternType="solid">
        <fgColor theme="3" tint="0.39997558519241921"/>
        <bgColor indexed="64"/>
      </patternFill>
    </fill>
  </fills>
  <borders count="15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bottom/>
      <diagonal/>
    </border>
    <border>
      <left/>
      <right/>
      <top style="double">
        <color indexed="64"/>
      </top>
      <bottom style="double">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double">
        <color indexed="64"/>
      </bottom>
      <diagonal/>
    </border>
    <border>
      <left style="thin">
        <color indexed="64"/>
      </left>
      <right style="thin">
        <color indexed="8"/>
      </right>
      <top style="thin">
        <color indexed="8"/>
      </top>
      <bottom/>
      <diagonal/>
    </border>
    <border>
      <left style="thin">
        <color indexed="8"/>
      </left>
      <right style="thin">
        <color indexed="8"/>
      </right>
      <top style="thin">
        <color indexed="8"/>
      </top>
      <bottom/>
      <diagonal/>
    </border>
    <border>
      <left style="thin">
        <color indexed="64"/>
      </left>
      <right style="thin">
        <color indexed="8"/>
      </right>
      <top/>
      <bottom/>
      <diagonal/>
    </border>
    <border>
      <left style="thin">
        <color indexed="8"/>
      </left>
      <right style="thin">
        <color indexed="8"/>
      </right>
      <top/>
      <bottom/>
      <diagonal/>
    </border>
    <border>
      <left style="thin">
        <color indexed="64"/>
      </left>
      <right style="thin">
        <color indexed="8"/>
      </right>
      <top/>
      <bottom style="thin">
        <color indexed="64"/>
      </bottom>
      <diagonal/>
    </border>
    <border>
      <left style="thin">
        <color indexed="8"/>
      </left>
      <right style="thin">
        <color indexed="64"/>
      </right>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ck">
        <color indexed="8"/>
      </right>
      <top style="thin">
        <color indexed="64"/>
      </top>
      <bottom style="thin">
        <color indexed="64"/>
      </bottom>
      <diagonal/>
    </border>
    <border>
      <left style="thin">
        <color indexed="8"/>
      </left>
      <right/>
      <top style="thin">
        <color indexed="64"/>
      </top>
      <bottom style="thin">
        <color indexed="64"/>
      </bottom>
      <diagonal/>
    </border>
    <border>
      <left/>
      <right style="thick">
        <color indexed="8"/>
      </right>
      <top/>
      <bottom/>
      <diagonal/>
    </border>
    <border>
      <left style="thin">
        <color indexed="8"/>
      </left>
      <right/>
      <top/>
      <bottom/>
      <diagonal/>
    </border>
    <border>
      <left style="thin">
        <color indexed="8"/>
      </left>
      <right style="thin">
        <color indexed="8"/>
      </right>
      <top/>
      <bottom style="thin">
        <color indexed="8"/>
      </bottom>
      <diagonal/>
    </border>
    <border>
      <left style="thin">
        <color indexed="8"/>
      </left>
      <right style="thick">
        <color indexed="8"/>
      </right>
      <top/>
      <bottom style="thin">
        <color indexed="8"/>
      </bottom>
      <diagonal/>
    </border>
    <border>
      <left/>
      <right/>
      <top/>
      <bottom style="thin">
        <color indexed="8"/>
      </bottom>
      <diagonal/>
    </border>
    <border>
      <left style="thin">
        <color indexed="8"/>
      </left>
      <right/>
      <top/>
      <bottom style="thin">
        <color indexed="8"/>
      </bottom>
      <diagonal/>
    </border>
    <border>
      <left style="thin">
        <color indexed="8"/>
      </left>
      <right style="thin">
        <color indexed="8"/>
      </right>
      <top style="thin">
        <color indexed="8"/>
      </top>
      <bottom style="thin">
        <color indexed="8"/>
      </bottom>
      <diagonal/>
    </border>
    <border>
      <left/>
      <right style="thick">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right style="medium">
        <color indexed="64"/>
      </right>
      <top style="double">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8"/>
      </right>
      <top style="thin">
        <color indexed="64"/>
      </top>
      <bottom style="thin">
        <color indexed="64"/>
      </bottom>
      <diagonal/>
    </border>
    <border>
      <left/>
      <right style="thin">
        <color indexed="8"/>
      </right>
      <top/>
      <bottom style="thin">
        <color indexed="8"/>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8"/>
      </right>
      <top/>
      <bottom style="thin">
        <color indexed="8"/>
      </bottom>
      <diagonal/>
    </border>
    <border>
      <left style="thin">
        <color indexed="8"/>
      </left>
      <right style="medium">
        <color indexed="64"/>
      </right>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medium">
        <color indexed="64"/>
      </right>
      <top style="thin">
        <color indexed="64"/>
      </top>
      <bottom style="medium">
        <color indexed="64"/>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thick">
        <color indexed="8"/>
      </left>
      <right/>
      <top style="thin">
        <color indexed="8"/>
      </top>
      <bottom style="thin">
        <color indexed="8"/>
      </bottom>
      <diagonal/>
    </border>
    <border>
      <left style="thick">
        <color indexed="8"/>
      </left>
      <right/>
      <top/>
      <bottom/>
      <diagonal/>
    </border>
    <border>
      <left style="thick">
        <color indexed="8"/>
      </left>
      <right/>
      <top style="thin">
        <color indexed="8"/>
      </top>
      <bottom/>
      <diagonal/>
    </border>
    <border>
      <left style="medium">
        <color indexed="64"/>
      </left>
      <right style="medium">
        <color indexed="64"/>
      </right>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8"/>
      </top>
      <bottom/>
      <diagonal/>
    </border>
    <border>
      <left/>
      <right style="thin">
        <color indexed="8"/>
      </right>
      <top style="thin">
        <color indexed="8"/>
      </top>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8"/>
      </left>
      <right style="thin">
        <color indexed="8"/>
      </right>
      <top style="thin">
        <color indexed="64"/>
      </top>
      <bottom/>
      <diagonal/>
    </border>
    <border>
      <left/>
      <right/>
      <top style="thin">
        <color indexed="8"/>
      </top>
      <bottom style="thin">
        <color indexed="8"/>
      </bottom>
      <diagonal/>
    </border>
    <border>
      <left style="thin">
        <color indexed="64"/>
      </left>
      <right/>
      <top/>
      <bottom/>
      <diagonal/>
    </border>
    <border>
      <left/>
      <right style="medium">
        <color indexed="18"/>
      </right>
      <top style="medium">
        <color indexed="18"/>
      </top>
      <bottom/>
      <diagonal/>
    </border>
    <border>
      <left/>
      <right style="medium">
        <color indexed="18"/>
      </right>
      <top/>
      <bottom style="medium">
        <color indexed="18"/>
      </bottom>
      <diagonal/>
    </border>
    <border>
      <left style="medium">
        <color indexed="18"/>
      </left>
      <right style="medium">
        <color indexed="18"/>
      </right>
      <top/>
      <bottom style="medium">
        <color indexed="18"/>
      </bottom>
      <diagonal/>
    </border>
    <border>
      <left style="thin">
        <color indexed="64"/>
      </left>
      <right style="thin">
        <color indexed="64"/>
      </right>
      <top/>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18"/>
      </right>
      <top/>
      <bottom/>
      <diagonal/>
    </border>
    <border>
      <left style="thin">
        <color indexed="64"/>
      </left>
      <right/>
      <top/>
      <bottom style="thin">
        <color indexed="64"/>
      </bottom>
      <diagonal/>
    </border>
    <border>
      <left style="thin">
        <color indexed="8"/>
      </left>
      <right/>
      <top style="thin">
        <color indexed="8"/>
      </top>
      <bottom/>
      <diagonal/>
    </border>
    <border>
      <left style="thin">
        <color indexed="8"/>
      </left>
      <right/>
      <top style="thin">
        <color indexed="64"/>
      </top>
      <bottom/>
      <diagonal/>
    </border>
    <border>
      <left/>
      <right style="thin">
        <color indexed="8"/>
      </right>
      <top style="thin">
        <color indexed="64"/>
      </top>
      <bottom/>
      <diagonal/>
    </border>
    <border>
      <left/>
      <right style="medium">
        <color indexed="64"/>
      </right>
      <top style="medium">
        <color indexed="64"/>
      </top>
      <bottom style="medium">
        <color indexed="64"/>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8"/>
      </right>
      <top style="medium">
        <color indexed="64"/>
      </top>
      <bottom/>
      <diagonal/>
    </border>
    <border>
      <left style="medium">
        <color indexed="64"/>
      </left>
      <right style="thin">
        <color indexed="8"/>
      </right>
      <top/>
      <bottom/>
      <diagonal/>
    </border>
    <border>
      <left style="medium">
        <color indexed="64"/>
      </left>
      <right style="thin">
        <color indexed="8"/>
      </right>
      <top/>
      <bottom style="medium">
        <color indexed="64"/>
      </bottom>
      <diagonal/>
    </border>
    <border>
      <left style="thin">
        <color indexed="64"/>
      </left>
      <right style="thin">
        <color indexed="8"/>
      </right>
      <top style="medium">
        <color indexed="64"/>
      </top>
      <bottom/>
      <diagonal/>
    </border>
    <border>
      <left style="thin">
        <color indexed="64"/>
      </left>
      <right style="thin">
        <color indexed="8"/>
      </right>
      <top/>
      <bottom style="medium">
        <color indexed="64"/>
      </bottom>
      <diagonal/>
    </border>
    <border>
      <left style="thin">
        <color indexed="8"/>
      </left>
      <right style="thin">
        <color indexed="8"/>
      </right>
      <top/>
      <bottom style="double">
        <color indexed="64"/>
      </bottom>
      <diagonal/>
    </border>
    <border>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18"/>
      </left>
      <right style="medium">
        <color indexed="18"/>
      </right>
      <top style="medium">
        <color indexed="18"/>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style="thin">
        <color indexed="64"/>
      </right>
      <top style="medium">
        <color indexed="64"/>
      </top>
      <bottom/>
      <diagonal/>
    </border>
    <border>
      <left style="medium">
        <color indexed="64"/>
      </left>
      <right/>
      <top style="thin">
        <color indexed="64"/>
      </top>
      <bottom style="thin">
        <color indexed="64"/>
      </bottom>
      <diagonal/>
    </border>
    <border>
      <left style="thin">
        <color rgb="FF000000"/>
      </left>
      <right style="thin">
        <color rgb="FF000000"/>
      </right>
      <top style="thin">
        <color rgb="FF000000"/>
      </top>
      <bottom style="thin">
        <color auto="1"/>
      </bottom>
      <diagonal/>
    </border>
    <border>
      <left style="thin">
        <color rgb="FF000000"/>
      </left>
      <right style="thin">
        <color rgb="FF000000"/>
      </right>
      <top/>
      <bottom style="thin">
        <color auto="1"/>
      </bottom>
      <diagonal/>
    </border>
    <border>
      <left style="thin">
        <color rgb="FF000000"/>
      </left>
      <right style="thin">
        <color rgb="FF000000"/>
      </right>
      <top style="thin">
        <color auto="1"/>
      </top>
      <bottom style="thin">
        <color auto="1"/>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style="double">
        <color indexed="64"/>
      </bottom>
      <diagonal/>
    </border>
    <border>
      <left/>
      <right style="medium">
        <color rgb="FF000000"/>
      </right>
      <top style="medium">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medium">
        <color indexed="64"/>
      </right>
      <top/>
      <bottom style="thin">
        <color indexed="64"/>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thin">
        <color indexed="8"/>
      </left>
      <right style="medium">
        <color indexed="64"/>
      </right>
      <top/>
      <bottom/>
      <diagonal/>
    </border>
    <border>
      <left style="medium">
        <color indexed="64"/>
      </left>
      <right style="thin">
        <color indexed="8"/>
      </right>
      <top/>
      <bottom style="thin">
        <color indexed="64"/>
      </bottom>
      <diagonal/>
    </border>
    <border>
      <left style="thin">
        <color indexed="8"/>
      </left>
      <right style="medium">
        <color indexed="64"/>
      </right>
      <top/>
      <bottom style="thin">
        <color indexed="64"/>
      </bottom>
      <diagonal/>
    </border>
  </borders>
  <cellStyleXfs count="119">
    <xf numFmtId="0" fontId="0" fillId="0" borderId="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5" borderId="0" applyNumberFormat="0" applyBorder="0" applyAlignment="0" applyProtection="0"/>
    <xf numFmtId="0" fontId="58" fillId="8" borderId="0" applyNumberFormat="0" applyBorder="0" applyAlignment="0" applyProtection="0"/>
    <xf numFmtId="0" fontId="58" fillId="11" borderId="0" applyNumberFormat="0" applyBorder="0" applyAlignment="0" applyProtection="0"/>
    <xf numFmtId="0" fontId="59" fillId="12"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3" borderId="0" applyNumberFormat="0" applyBorder="0" applyAlignment="0" applyProtection="0"/>
    <xf numFmtId="0" fontId="59" fillId="14" borderId="0" applyNumberFormat="0" applyBorder="0" applyAlignment="0" applyProtection="0"/>
    <xf numFmtId="0" fontId="59" fillId="19" borderId="0" applyNumberFormat="0" applyBorder="0" applyAlignment="0" applyProtection="0"/>
    <xf numFmtId="0" fontId="60" fillId="3" borderId="0" applyNumberFormat="0" applyBorder="0" applyAlignment="0" applyProtection="0"/>
    <xf numFmtId="0" fontId="40" fillId="0" borderId="0" applyNumberFormat="0" applyFill="0" applyBorder="0" applyAlignment="0" applyProtection="0"/>
    <xf numFmtId="179" fontId="41" fillId="0" borderId="0" applyFill="0" applyBorder="0" applyAlignment="0"/>
    <xf numFmtId="177" fontId="42" fillId="0" borderId="0" applyFill="0" applyBorder="0" applyAlignment="0"/>
    <xf numFmtId="167" fontId="42" fillId="0" borderId="0" applyFill="0" applyBorder="0" applyAlignment="0"/>
    <xf numFmtId="180" fontId="41" fillId="0" borderId="0" applyFill="0" applyBorder="0" applyAlignment="0"/>
    <xf numFmtId="176" fontId="41" fillId="0" borderId="0" applyFill="0" applyBorder="0" applyAlignment="0"/>
    <xf numFmtId="179" fontId="41" fillId="0" borderId="0" applyFill="0" applyBorder="0" applyAlignment="0"/>
    <xf numFmtId="181" fontId="41" fillId="0" borderId="0" applyFill="0" applyBorder="0" applyAlignment="0"/>
    <xf numFmtId="177" fontId="42" fillId="0" borderId="0" applyFill="0" applyBorder="0" applyAlignment="0"/>
    <xf numFmtId="0" fontId="61" fillId="20" borderId="1" applyNumberFormat="0" applyAlignment="0" applyProtection="0"/>
    <xf numFmtId="0" fontId="62" fillId="21" borderId="2" applyNumberFormat="0" applyAlignment="0" applyProtection="0"/>
    <xf numFmtId="165" fontId="3" fillId="0" borderId="0" applyFont="0" applyFill="0" applyBorder="0" applyAlignment="0" applyProtection="0"/>
    <xf numFmtId="0" fontId="44" fillId="0" borderId="3"/>
    <xf numFmtId="179" fontId="41"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6" fontId="3" fillId="0" borderId="0" applyFont="0" applyFill="0" applyBorder="0" applyAlignment="0" applyProtection="0"/>
    <xf numFmtId="0" fontId="44" fillId="0" borderId="3"/>
    <xf numFmtId="177" fontId="42" fillId="0" borderId="0" applyFont="0" applyFill="0" applyBorder="0" applyAlignment="0" applyProtection="0"/>
    <xf numFmtId="15" fontId="45" fillId="0" borderId="0" applyFont="0" applyFill="0" applyBorder="0" applyAlignment="0"/>
    <xf numFmtId="14" fontId="19" fillId="0" borderId="0" applyFill="0" applyBorder="0" applyAlignment="0"/>
    <xf numFmtId="38" fontId="46" fillId="0" borderId="4">
      <alignment vertical="center"/>
    </xf>
    <xf numFmtId="179" fontId="41" fillId="0" borderId="0" applyFill="0" applyBorder="0" applyAlignment="0"/>
    <xf numFmtId="177" fontId="42" fillId="0" borderId="0" applyFill="0" applyBorder="0" applyAlignment="0"/>
    <xf numFmtId="179" fontId="41" fillId="0" borderId="0" applyFill="0" applyBorder="0" applyAlignment="0"/>
    <xf numFmtId="181" fontId="41" fillId="0" borderId="0" applyFill="0" applyBorder="0" applyAlignment="0"/>
    <xf numFmtId="177" fontId="42" fillId="0" borderId="0" applyFill="0" applyBorder="0" applyAlignment="0"/>
    <xf numFmtId="0" fontId="63" fillId="0" borderId="0" applyNumberFormat="0" applyFill="0" applyBorder="0" applyAlignment="0" applyProtection="0"/>
    <xf numFmtId="0" fontId="64" fillId="4" borderId="0" applyNumberFormat="0" applyBorder="0" applyAlignment="0" applyProtection="0"/>
    <xf numFmtId="38" fontId="22" fillId="22" borderId="0" applyNumberFormat="0" applyBorder="0" applyAlignment="0" applyProtection="0"/>
    <xf numFmtId="0" fontId="5" fillId="0" borderId="5" applyNumberFormat="0" applyAlignment="0" applyProtection="0">
      <alignment horizontal="left" vertical="center"/>
    </xf>
    <xf numFmtId="0" fontId="5" fillId="0" borderId="6">
      <alignment horizontal="left" vertical="center"/>
    </xf>
    <xf numFmtId="0" fontId="65" fillId="0" borderId="7" applyNumberFormat="0" applyFill="0" applyAlignment="0" applyProtection="0"/>
    <xf numFmtId="0" fontId="66" fillId="0" borderId="8" applyNumberFormat="0" applyFill="0" applyAlignment="0" applyProtection="0"/>
    <xf numFmtId="0" fontId="67" fillId="0" borderId="9" applyNumberFormat="0" applyFill="0" applyAlignment="0" applyProtection="0"/>
    <xf numFmtId="0" fontId="67" fillId="0" borderId="0" applyNumberFormat="0" applyFill="0" applyBorder="0" applyAlignment="0" applyProtection="0"/>
    <xf numFmtId="0" fontId="68" fillId="7" borderId="1" applyNumberFormat="0" applyAlignment="0" applyProtection="0"/>
    <xf numFmtId="10" fontId="22" fillId="23" borderId="10" applyNumberFormat="0" applyBorder="0" applyAlignment="0" applyProtection="0"/>
    <xf numFmtId="179" fontId="41" fillId="0" borderId="0" applyFill="0" applyBorder="0" applyAlignment="0"/>
    <xf numFmtId="177" fontId="42" fillId="0" borderId="0" applyFill="0" applyBorder="0" applyAlignment="0"/>
    <xf numFmtId="179" fontId="41" fillId="0" borderId="0" applyFill="0" applyBorder="0" applyAlignment="0"/>
    <xf numFmtId="181" fontId="41" fillId="0" borderId="0" applyFill="0" applyBorder="0" applyAlignment="0"/>
    <xf numFmtId="177" fontId="42" fillId="0" borderId="0" applyFill="0" applyBorder="0" applyAlignment="0"/>
    <xf numFmtId="0" fontId="69" fillId="0" borderId="11" applyNumberFormat="0" applyFill="0" applyAlignment="0" applyProtection="0"/>
    <xf numFmtId="0" fontId="70" fillId="24" borderId="0" applyNumberFormat="0" applyBorder="0" applyAlignment="0" applyProtection="0"/>
    <xf numFmtId="37" fontId="47" fillId="0" borderId="0"/>
    <xf numFmtId="178" fontId="3" fillId="0" borderId="0"/>
    <xf numFmtId="0" fontId="78" fillId="0" borderId="0"/>
    <xf numFmtId="0" fontId="7" fillId="0" borderId="0"/>
    <xf numFmtId="0" fontId="7" fillId="0" borderId="0"/>
    <xf numFmtId="0" fontId="85" fillId="25" borderId="0"/>
    <xf numFmtId="0" fontId="17" fillId="25" borderId="0"/>
    <xf numFmtId="0" fontId="91" fillId="25" borderId="0"/>
    <xf numFmtId="0" fontId="91" fillId="25" borderId="0"/>
    <xf numFmtId="0" fontId="58" fillId="0" borderId="0"/>
    <xf numFmtId="0" fontId="3" fillId="0" borderId="0"/>
    <xf numFmtId="0" fontId="17" fillId="25" borderId="0"/>
    <xf numFmtId="0" fontId="7" fillId="26" borderId="12" applyNumberFormat="0" applyFont="0" applyAlignment="0" applyProtection="0"/>
    <xf numFmtId="0" fontId="71" fillId="20" borderId="13" applyNumberFormat="0" applyAlignment="0" applyProtection="0"/>
    <xf numFmtId="9" fontId="3" fillId="0" borderId="0" applyFont="0" applyFill="0" applyBorder="0" applyAlignment="0" applyProtection="0"/>
    <xf numFmtId="176" fontId="41" fillId="0" borderId="0" applyFont="0" applyFill="0" applyBorder="0" applyAlignment="0" applyProtection="0"/>
    <xf numFmtId="182" fontId="41" fillId="0" borderId="0" applyFont="0" applyFill="0" applyBorder="0" applyAlignment="0" applyProtection="0"/>
    <xf numFmtId="10" fontId="3" fillId="0" borderId="0" applyFont="0" applyFill="0" applyBorder="0" applyAlignment="0" applyProtection="0"/>
    <xf numFmtId="9" fontId="79"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58" fillId="0" borderId="0" applyFont="0" applyFill="0" applyBorder="0" applyAlignment="0" applyProtection="0"/>
    <xf numFmtId="184" fontId="3" fillId="0" borderId="0" applyFill="0" applyBorder="0" applyAlignment="0"/>
    <xf numFmtId="177" fontId="42" fillId="0" borderId="0" applyFill="0" applyBorder="0" applyAlignment="0"/>
    <xf numFmtId="184" fontId="3" fillId="0" borderId="0" applyFill="0" applyBorder="0" applyAlignment="0"/>
    <xf numFmtId="185" fontId="3" fillId="0" borderId="0" applyFill="0" applyBorder="0" applyAlignment="0"/>
    <xf numFmtId="177" fontId="42" fillId="0" borderId="0" applyFill="0" applyBorder="0" applyAlignment="0"/>
    <xf numFmtId="49" fontId="19" fillId="0" borderId="0" applyFill="0" applyBorder="0" applyAlignment="0"/>
    <xf numFmtId="186" fontId="3" fillId="0" borderId="0" applyFill="0" applyBorder="0" applyAlignment="0"/>
    <xf numFmtId="187" fontId="3" fillId="0" borderId="0" applyFill="0" applyBorder="0" applyAlignment="0"/>
    <xf numFmtId="0" fontId="72" fillId="0" borderId="0" applyNumberFormat="0" applyFill="0" applyBorder="0" applyAlignment="0" applyProtection="0"/>
    <xf numFmtId="0" fontId="73" fillId="0" borderId="14" applyNumberFormat="0" applyFill="0" applyAlignment="0" applyProtection="0"/>
    <xf numFmtId="0" fontId="74" fillId="0" borderId="0" applyNumberFormat="0" applyFill="0" applyBorder="0" applyAlignment="0" applyProtection="0"/>
    <xf numFmtId="0" fontId="95" fillId="25" borderId="0"/>
    <xf numFmtId="0" fontId="2" fillId="0" borderId="0"/>
    <xf numFmtId="0" fontId="107" fillId="25" borderId="0"/>
    <xf numFmtId="0" fontId="3" fillId="0" borderId="0"/>
    <xf numFmtId="0" fontId="3" fillId="0" borderId="0"/>
    <xf numFmtId="9" fontId="3" fillId="0" borderId="0" applyFont="0" applyFill="0" applyBorder="0" applyAlignment="0" applyProtection="0"/>
    <xf numFmtId="0" fontId="17" fillId="25" borderId="0"/>
    <xf numFmtId="0" fontId="3" fillId="0" borderId="0"/>
    <xf numFmtId="9" fontId="1" fillId="0" borderId="0" applyFont="0" applyFill="0" applyBorder="0" applyAlignment="0" applyProtection="0"/>
    <xf numFmtId="0" fontId="3" fillId="0" borderId="0"/>
  </cellStyleXfs>
  <cellXfs count="2032">
    <xf numFmtId="0" fontId="0" fillId="0" borderId="0" xfId="0"/>
    <xf numFmtId="0" fontId="0" fillId="0" borderId="0" xfId="0" applyAlignment="1">
      <alignment horizontal="right"/>
    </xf>
    <xf numFmtId="0" fontId="4" fillId="0" borderId="0" xfId="0" applyFont="1"/>
    <xf numFmtId="0" fontId="4" fillId="0" borderId="0" xfId="0" applyFont="1" applyAlignment="1">
      <alignment horizontal="right"/>
    </xf>
    <xf numFmtId="167" fontId="0" fillId="0" borderId="0" xfId="0" applyNumberFormat="1"/>
    <xf numFmtId="0" fontId="5" fillId="0" borderId="0" xfId="0" applyFont="1"/>
    <xf numFmtId="0" fontId="6" fillId="0" borderId="0" xfId="0" applyFont="1"/>
    <xf numFmtId="2" fontId="0" fillId="0" borderId="0" xfId="0" applyNumberFormat="1"/>
    <xf numFmtId="0" fontId="0" fillId="0" borderId="0" xfId="0" applyAlignment="1">
      <alignment horizontal="center"/>
    </xf>
    <xf numFmtId="1" fontId="0" fillId="0" borderId="0" xfId="0" applyNumberFormat="1"/>
    <xf numFmtId="0" fontId="7" fillId="0" borderId="0" xfId="0" applyFont="1"/>
    <xf numFmtId="9" fontId="4" fillId="0" borderId="0" xfId="88" applyFont="1" applyFill="1" applyAlignment="1">
      <alignment horizontal="center"/>
    </xf>
    <xf numFmtId="2" fontId="4" fillId="0" borderId="0" xfId="0" applyNumberFormat="1" applyFont="1"/>
    <xf numFmtId="0" fontId="8" fillId="0" borderId="0" xfId="0" applyFont="1"/>
    <xf numFmtId="2" fontId="4" fillId="0" borderId="15" xfId="0" applyNumberFormat="1" applyFont="1" applyBorder="1"/>
    <xf numFmtId="1" fontId="0" fillId="0" borderId="15" xfId="0" applyNumberFormat="1" applyBorder="1"/>
    <xf numFmtId="0" fontId="0" fillId="0" borderId="15" xfId="0" applyBorder="1"/>
    <xf numFmtId="0" fontId="4" fillId="0" borderId="15" xfId="0" applyFont="1" applyBorder="1"/>
    <xf numFmtId="0" fontId="4" fillId="0" borderId="15" xfId="0" applyFont="1" applyBorder="1" applyAlignment="1">
      <alignment horizontal="left"/>
    </xf>
    <xf numFmtId="0" fontId="4" fillId="0" borderId="15" xfId="0" applyFont="1" applyBorder="1" applyAlignment="1">
      <alignment horizontal="center"/>
    </xf>
    <xf numFmtId="0" fontId="9" fillId="0" borderId="0" xfId="0" applyFont="1"/>
    <xf numFmtId="0" fontId="10" fillId="0" borderId="0" xfId="0" applyFont="1"/>
    <xf numFmtId="0" fontId="12" fillId="0" borderId="0" xfId="0" applyFont="1" applyAlignment="1">
      <alignment horizontal="centerContinuous"/>
    </xf>
    <xf numFmtId="0" fontId="0" fillId="0" borderId="10" xfId="0" applyBorder="1"/>
    <xf numFmtId="0" fontId="0" fillId="0" borderId="10" xfId="0" applyBorder="1" applyAlignment="1">
      <alignment horizontal="right"/>
    </xf>
    <xf numFmtId="0" fontId="13" fillId="0" borderId="0" xfId="0" applyFont="1"/>
    <xf numFmtId="0" fontId="0" fillId="0" borderId="0" xfId="0" applyAlignment="1">
      <alignment horizontal="centerContinuous"/>
    </xf>
    <xf numFmtId="0" fontId="16" fillId="0" borderId="0" xfId="0" applyFont="1" applyAlignment="1">
      <alignment horizontal="centerContinuous" vertical="top" wrapText="1"/>
    </xf>
    <xf numFmtId="0" fontId="4" fillId="0" borderId="10" xfId="0" applyFont="1" applyBorder="1"/>
    <xf numFmtId="0" fontId="0" fillId="0" borderId="10" xfId="0" applyBorder="1" applyAlignment="1">
      <alignment horizontal="center"/>
    </xf>
    <xf numFmtId="0" fontId="4" fillId="0" borderId="0" xfId="0" applyFont="1" applyAlignment="1">
      <alignment horizontal="center"/>
    </xf>
    <xf numFmtId="0" fontId="4" fillId="0" borderId="0" xfId="0" applyFont="1" applyAlignment="1">
      <alignment horizontal="left"/>
    </xf>
    <xf numFmtId="0" fontId="12" fillId="0" borderId="0" xfId="0" applyFont="1" applyAlignment="1">
      <alignment horizontal="centerContinuous" vertical="top" wrapText="1"/>
    </xf>
    <xf numFmtId="0" fontId="4" fillId="0" borderId="10" xfId="0" applyFont="1" applyBorder="1" applyAlignment="1">
      <alignment wrapText="1"/>
    </xf>
    <xf numFmtId="0" fontId="4" fillId="0" borderId="22" xfId="0" applyFont="1" applyBorder="1" applyAlignment="1">
      <alignment horizontal="center"/>
    </xf>
    <xf numFmtId="0" fontId="4" fillId="0" borderId="10" xfId="0" applyFont="1" applyBorder="1" applyAlignment="1">
      <alignment horizontal="center"/>
    </xf>
    <xf numFmtId="2" fontId="0" fillId="0" borderId="10" xfId="0" applyNumberFormat="1" applyBorder="1"/>
    <xf numFmtId="2" fontId="4" fillId="0" borderId="10" xfId="0" applyNumberFormat="1" applyFont="1" applyBorder="1"/>
    <xf numFmtId="0" fontId="17" fillId="0" borderId="0" xfId="85" applyFill="1"/>
    <xf numFmtId="0" fontId="17" fillId="0" borderId="0" xfId="85" applyFill="1" applyAlignment="1">
      <alignment horizontal="centerContinuous"/>
    </xf>
    <xf numFmtId="0" fontId="5" fillId="0" borderId="0" xfId="85" applyFont="1" applyFill="1" applyAlignment="1">
      <alignment horizontal="right"/>
    </xf>
    <xf numFmtId="0" fontId="12" fillId="0" borderId="0" xfId="85" applyFont="1" applyFill="1" applyAlignment="1">
      <alignment horizontal="centerContinuous"/>
    </xf>
    <xf numFmtId="0" fontId="13" fillId="0" borderId="0" xfId="85" applyFont="1" applyFill="1" applyAlignment="1">
      <alignment horizontal="centerContinuous"/>
    </xf>
    <xf numFmtId="0" fontId="9" fillId="0" borderId="23" xfId="85" applyFont="1" applyFill="1" applyBorder="1" applyAlignment="1">
      <alignment horizontal="center"/>
    </xf>
    <xf numFmtId="0" fontId="9" fillId="0" borderId="24" xfId="85" applyFont="1" applyFill="1" applyBorder="1" applyAlignment="1">
      <alignment horizontal="center"/>
    </xf>
    <xf numFmtId="0" fontId="9" fillId="0" borderId="25" xfId="85" applyFont="1" applyFill="1" applyBorder="1" applyAlignment="1">
      <alignment horizontal="center"/>
    </xf>
    <xf numFmtId="0" fontId="9" fillId="0" borderId="0" xfId="85" applyFont="1" applyFill="1" applyAlignment="1">
      <alignment horizontal="center"/>
    </xf>
    <xf numFmtId="0" fontId="9" fillId="0" borderId="19" xfId="85" applyFont="1" applyFill="1" applyBorder="1" applyAlignment="1">
      <alignment horizontal="center"/>
    </xf>
    <xf numFmtId="0" fontId="9" fillId="0" borderId="26" xfId="85" applyFont="1" applyFill="1" applyBorder="1" applyAlignment="1">
      <alignment horizontal="center"/>
    </xf>
    <xf numFmtId="0" fontId="9" fillId="0" borderId="26" xfId="85" applyFont="1" applyFill="1" applyBorder="1"/>
    <xf numFmtId="0" fontId="9" fillId="0" borderId="27" xfId="85" applyFont="1" applyFill="1" applyBorder="1" applyAlignment="1">
      <alignment horizontal="center"/>
    </xf>
    <xf numFmtId="0" fontId="9" fillId="0" borderId="0" xfId="85" applyFont="1" applyFill="1"/>
    <xf numFmtId="0" fontId="9" fillId="0" borderId="28" xfId="85" applyFont="1" applyFill="1" applyBorder="1" applyAlignment="1">
      <alignment horizontal="center"/>
    </xf>
    <xf numFmtId="0" fontId="9" fillId="0" borderId="29" xfId="85" applyFont="1" applyFill="1" applyBorder="1" applyAlignment="1">
      <alignment horizontal="center"/>
    </xf>
    <xf numFmtId="0" fontId="9" fillId="0" borderId="30" xfId="85" applyFont="1" applyFill="1" applyBorder="1" applyAlignment="1">
      <alignment horizontal="center"/>
    </xf>
    <xf numFmtId="0" fontId="9" fillId="0" borderId="31" xfId="85" applyFont="1" applyFill="1" applyBorder="1" applyAlignment="1">
      <alignment horizontal="center"/>
    </xf>
    <xf numFmtId="0" fontId="9" fillId="0" borderId="32" xfId="85" applyFont="1" applyFill="1" applyBorder="1" applyAlignment="1">
      <alignment horizontal="center"/>
    </xf>
    <xf numFmtId="0" fontId="9" fillId="0" borderId="33" xfId="85" applyFont="1" applyFill="1" applyBorder="1" applyAlignment="1">
      <alignment horizontal="center"/>
    </xf>
    <xf numFmtId="0" fontId="9" fillId="0" borderId="34" xfId="85" applyFont="1" applyFill="1" applyBorder="1" applyAlignment="1">
      <alignment horizontal="center"/>
    </xf>
    <xf numFmtId="0" fontId="14" fillId="0" borderId="0" xfId="85" applyFont="1" applyFill="1"/>
    <xf numFmtId="0" fontId="17" fillId="0" borderId="32" xfId="85" applyFill="1" applyBorder="1"/>
    <xf numFmtId="0" fontId="13" fillId="0" borderId="0" xfId="85" applyFont="1" applyFill="1"/>
    <xf numFmtId="0" fontId="17" fillId="0" borderId="10" xfId="85" applyFill="1" applyBorder="1"/>
    <xf numFmtId="0" fontId="17" fillId="0" borderId="32" xfId="85" applyFill="1" applyBorder="1" applyAlignment="1">
      <alignment horizontal="center"/>
    </xf>
    <xf numFmtId="0" fontId="17" fillId="0" borderId="0" xfId="85" applyFill="1" applyAlignment="1">
      <alignment horizontal="center"/>
    </xf>
    <xf numFmtId="0" fontId="5" fillId="0" borderId="0" xfId="85" applyFont="1" applyFill="1"/>
    <xf numFmtId="0" fontId="0" fillId="0" borderId="0" xfId="0" applyAlignment="1">
      <alignment wrapText="1"/>
    </xf>
    <xf numFmtId="0" fontId="4" fillId="0" borderId="0" xfId="0" applyFont="1" applyAlignment="1">
      <alignment horizontal="centerContinuous"/>
    </xf>
    <xf numFmtId="0" fontId="0" fillId="0" borderId="10" xfId="0" applyBorder="1" applyAlignment="1">
      <alignment wrapText="1"/>
    </xf>
    <xf numFmtId="0" fontId="0" fillId="0" borderId="10" xfId="0" applyBorder="1" applyAlignment="1">
      <alignment horizontal="centerContinuous"/>
    </xf>
    <xf numFmtId="0" fontId="21" fillId="0" borderId="0" xfId="0" applyFont="1"/>
    <xf numFmtId="0" fontId="4" fillId="0" borderId="10" xfId="0" applyFont="1" applyBorder="1" applyAlignment="1">
      <alignment vertical="top" wrapText="1"/>
    </xf>
    <xf numFmtId="0" fontId="4" fillId="0" borderId="10" xfId="0" applyFont="1" applyBorder="1" applyAlignment="1">
      <alignment horizontal="center" vertical="top" wrapText="1"/>
    </xf>
    <xf numFmtId="0" fontId="0" fillId="0" borderId="22" xfId="0" applyBorder="1"/>
    <xf numFmtId="0" fontId="4" fillId="0" borderId="22" xfId="0" applyFont="1" applyBorder="1"/>
    <xf numFmtId="0" fontId="4" fillId="0" borderId="10" xfId="0" applyFont="1" applyBorder="1" applyAlignment="1">
      <alignment horizontal="right"/>
    </xf>
    <xf numFmtId="174" fontId="0" fillId="0" borderId="0" xfId="0" applyNumberFormat="1"/>
    <xf numFmtId="173" fontId="0" fillId="0" borderId="0" xfId="0" applyNumberFormat="1"/>
    <xf numFmtId="1" fontId="0" fillId="0" borderId="10" xfId="0" applyNumberFormat="1" applyBorder="1"/>
    <xf numFmtId="167" fontId="0" fillId="0" borderId="10" xfId="0" applyNumberFormat="1" applyBorder="1"/>
    <xf numFmtId="2" fontId="0" fillId="0" borderId="10" xfId="0" applyNumberFormat="1" applyBorder="1" applyAlignment="1">
      <alignment horizontal="center"/>
    </xf>
    <xf numFmtId="0" fontId="0" fillId="0" borderId="38" xfId="0" applyBorder="1"/>
    <xf numFmtId="0" fontId="4" fillId="0" borderId="36" xfId="0" applyFont="1" applyBorder="1" applyAlignment="1">
      <alignment wrapText="1"/>
    </xf>
    <xf numFmtId="0" fontId="4" fillId="0" borderId="39" xfId="0" applyFont="1" applyBorder="1" applyAlignment="1">
      <alignment horizontal="centerContinuous" wrapText="1"/>
    </xf>
    <xf numFmtId="0" fontId="4" fillId="0" borderId="39" xfId="0" applyFont="1" applyBorder="1" applyAlignment="1">
      <alignment horizontal="centerContinuous"/>
    </xf>
    <xf numFmtId="0" fontId="4" fillId="0" borderId="37" xfId="0" applyFont="1" applyBorder="1" applyAlignment="1">
      <alignment horizontal="centerContinuous" wrapText="1"/>
    </xf>
    <xf numFmtId="0" fontId="4" fillId="0" borderId="36"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8" xfId="0" applyFont="1" applyBorder="1" applyAlignment="1">
      <alignment horizontal="center" wrapText="1"/>
    </xf>
    <xf numFmtId="0" fontId="0" fillId="0" borderId="42" xfId="0" applyBorder="1"/>
    <xf numFmtId="0" fontId="4" fillId="0" borderId="40" xfId="0" applyFont="1" applyBorder="1"/>
    <xf numFmtId="2" fontId="0" fillId="0" borderId="45" xfId="0" applyNumberFormat="1" applyBorder="1"/>
    <xf numFmtId="2" fontId="0" fillId="0" borderId="42" xfId="0" applyNumberFormat="1" applyBorder="1"/>
    <xf numFmtId="0" fontId="0" fillId="0" borderId="45" xfId="0" applyBorder="1"/>
    <xf numFmtId="2" fontId="4" fillId="0" borderId="42" xfId="0" applyNumberFormat="1" applyFont="1" applyBorder="1"/>
    <xf numFmtId="0" fontId="0" fillId="0" borderId="46" xfId="0" applyBorder="1"/>
    <xf numFmtId="2" fontId="4" fillId="0" borderId="45" xfId="0" applyNumberFormat="1" applyFont="1" applyBorder="1"/>
    <xf numFmtId="0" fontId="0" fillId="0" borderId="40" xfId="0" applyBorder="1"/>
    <xf numFmtId="10" fontId="0" fillId="0" borderId="0" xfId="88" applyNumberFormat="1" applyFont="1"/>
    <xf numFmtId="0" fontId="5" fillId="0" borderId="10" xfId="0" applyFont="1" applyBorder="1"/>
    <xf numFmtId="2" fontId="5" fillId="0" borderId="35" xfId="85" applyNumberFormat="1" applyFont="1" applyFill="1" applyBorder="1" applyAlignment="1">
      <alignment horizontal="center"/>
    </xf>
    <xf numFmtId="0" fontId="0" fillId="0" borderId="10" xfId="0" applyBorder="1" applyAlignment="1">
      <alignment horizontal="left"/>
    </xf>
    <xf numFmtId="0" fontId="5" fillId="0" borderId="50" xfId="85" applyFont="1" applyFill="1" applyBorder="1" applyAlignment="1">
      <alignment horizontal="center"/>
    </xf>
    <xf numFmtId="0" fontId="5" fillId="0" borderId="50" xfId="85" applyFont="1" applyFill="1" applyBorder="1"/>
    <xf numFmtId="169" fontId="0" fillId="0" borderId="10" xfId="0" applyNumberFormat="1" applyBorder="1"/>
    <xf numFmtId="2" fontId="17" fillId="0" borderId="0" xfId="85" applyNumberFormat="1" applyFill="1"/>
    <xf numFmtId="10" fontId="0" fillId="0" borderId="0" xfId="0" applyNumberFormat="1"/>
    <xf numFmtId="10" fontId="0" fillId="0" borderId="10" xfId="88" applyNumberFormat="1" applyFont="1" applyFill="1" applyBorder="1"/>
    <xf numFmtId="2" fontId="5" fillId="0" borderId="10" xfId="85" applyNumberFormat="1" applyFont="1" applyFill="1" applyBorder="1" applyAlignment="1">
      <alignment horizontal="center"/>
    </xf>
    <xf numFmtId="167" fontId="5" fillId="0" borderId="10" xfId="85" applyNumberFormat="1" applyFont="1" applyFill="1" applyBorder="1" applyAlignment="1">
      <alignment horizontal="center"/>
    </xf>
    <xf numFmtId="167" fontId="5" fillId="0" borderId="35" xfId="85" applyNumberFormat="1" applyFont="1" applyFill="1" applyBorder="1" applyAlignment="1">
      <alignment horizontal="center"/>
    </xf>
    <xf numFmtId="1" fontId="5" fillId="0" borderId="35" xfId="85" applyNumberFormat="1" applyFont="1" applyFill="1" applyBorder="1" applyAlignment="1">
      <alignment horizontal="center"/>
    </xf>
    <xf numFmtId="2" fontId="0" fillId="0" borderId="10" xfId="0" applyNumberFormat="1" applyBorder="1" applyAlignment="1">
      <alignment horizontal="right"/>
    </xf>
    <xf numFmtId="2" fontId="4" fillId="0" borderId="53" xfId="0" applyNumberFormat="1" applyFont="1" applyBorder="1"/>
    <xf numFmtId="2" fontId="0" fillId="0" borderId="38" xfId="0" applyNumberFormat="1" applyBorder="1"/>
    <xf numFmtId="2" fontId="4" fillId="0" borderId="0" xfId="0" applyNumberFormat="1" applyFont="1" applyAlignment="1">
      <alignment horizontal="right"/>
    </xf>
    <xf numFmtId="2" fontId="0" fillId="0" borderId="0" xfId="0" applyNumberFormat="1" applyAlignment="1">
      <alignment horizontal="centerContinuous"/>
    </xf>
    <xf numFmtId="2" fontId="0" fillId="0" borderId="10" xfId="0" applyNumberFormat="1" applyBorder="1" applyAlignment="1">
      <alignment horizontal="centerContinuous"/>
    </xf>
    <xf numFmtId="169" fontId="0" fillId="0" borderId="0" xfId="0" applyNumberFormat="1"/>
    <xf numFmtId="169" fontId="0" fillId="0" borderId="0" xfId="0" applyNumberFormat="1" applyAlignment="1">
      <alignment horizontal="centerContinuous"/>
    </xf>
    <xf numFmtId="169" fontId="0" fillId="0" borderId="10" xfId="0" applyNumberFormat="1" applyBorder="1" applyAlignment="1">
      <alignment horizontal="centerContinuous"/>
    </xf>
    <xf numFmtId="2" fontId="4" fillId="0" borderId="10" xfId="0" applyNumberFormat="1" applyFont="1" applyBorder="1" applyAlignment="1">
      <alignment horizontal="centerContinuous"/>
    </xf>
    <xf numFmtId="2" fontId="0" fillId="0" borderId="50" xfId="0" applyNumberFormat="1" applyBorder="1"/>
    <xf numFmtId="0" fontId="5" fillId="0" borderId="0" xfId="0" applyFont="1" applyAlignment="1">
      <alignment horizontal="right"/>
    </xf>
    <xf numFmtId="167" fontId="17" fillId="0" borderId="0" xfId="85" applyNumberFormat="1" applyFill="1"/>
    <xf numFmtId="0" fontId="9" fillId="0" borderId="55" xfId="85" applyFont="1" applyFill="1" applyBorder="1" applyAlignment="1">
      <alignment horizontal="center"/>
    </xf>
    <xf numFmtId="0" fontId="9" fillId="0" borderId="3" xfId="85" applyFont="1" applyFill="1" applyBorder="1" applyAlignment="1">
      <alignment horizontal="center"/>
    </xf>
    <xf numFmtId="0" fontId="9" fillId="0" borderId="56" xfId="85" applyFont="1" applyFill="1" applyBorder="1" applyAlignment="1">
      <alignment horizontal="center"/>
    </xf>
    <xf numFmtId="0" fontId="9" fillId="0" borderId="35" xfId="85" applyFont="1" applyFill="1" applyBorder="1" applyAlignment="1">
      <alignment horizontal="center"/>
    </xf>
    <xf numFmtId="0" fontId="4" fillId="0" borderId="46" xfId="0" applyFont="1" applyBorder="1"/>
    <xf numFmtId="0" fontId="4" fillId="0" borderId="45" xfId="0" applyFont="1" applyBorder="1"/>
    <xf numFmtId="0" fontId="4" fillId="0" borderId="45" xfId="0" applyFont="1" applyBorder="1" applyAlignment="1">
      <alignment horizontal="right"/>
    </xf>
    <xf numFmtId="9" fontId="0" fillId="0" borderId="0" xfId="88" applyFont="1"/>
    <xf numFmtId="49" fontId="27" fillId="0" borderId="0" xfId="0" applyNumberFormat="1" applyFont="1"/>
    <xf numFmtId="174" fontId="4" fillId="0" borderId="10" xfId="0" applyNumberFormat="1" applyFont="1" applyBorder="1"/>
    <xf numFmtId="0" fontId="0" fillId="0" borderId="58" xfId="0" applyBorder="1"/>
    <xf numFmtId="0" fontId="0" fillId="0" borderId="60" xfId="0" applyBorder="1"/>
    <xf numFmtId="0" fontId="0" fillId="0" borderId="61" xfId="0" applyBorder="1"/>
    <xf numFmtId="0" fontId="13" fillId="0" borderId="61" xfId="0" applyFont="1" applyBorder="1"/>
    <xf numFmtId="0" fontId="0" fillId="0" borderId="62" xfId="0" applyBorder="1"/>
    <xf numFmtId="0" fontId="0" fillId="0" borderId="28" xfId="0" applyBorder="1"/>
    <xf numFmtId="0" fontId="0" fillId="0" borderId="63" xfId="0" applyBorder="1"/>
    <xf numFmtId="0" fontId="0" fillId="0" borderId="64" xfId="0" applyBorder="1"/>
    <xf numFmtId="0" fontId="0" fillId="0" borderId="32" xfId="0" applyBorder="1"/>
    <xf numFmtId="0" fontId="0" fillId="0" borderId="65" xfId="0" applyBorder="1"/>
    <xf numFmtId="2" fontId="0" fillId="0" borderId="64" xfId="0" applyNumberFormat="1" applyBorder="1"/>
    <xf numFmtId="2" fontId="0" fillId="0" borderId="32" xfId="0" applyNumberFormat="1" applyBorder="1"/>
    <xf numFmtId="2" fontId="0" fillId="0" borderId="65" xfId="0" applyNumberFormat="1" applyBorder="1"/>
    <xf numFmtId="1" fontId="0" fillId="0" borderId="64" xfId="0" applyNumberFormat="1" applyBorder="1"/>
    <xf numFmtId="2" fontId="4" fillId="0" borderId="64" xfId="0" applyNumberFormat="1" applyFont="1" applyBorder="1"/>
    <xf numFmtId="2" fontId="4" fillId="0" borderId="32" xfId="0" applyNumberFormat="1" applyFont="1" applyBorder="1"/>
    <xf numFmtId="2" fontId="4" fillId="0" borderId="65" xfId="0" applyNumberFormat="1" applyFont="1" applyBorder="1"/>
    <xf numFmtId="0" fontId="0" fillId="0" borderId="66" xfId="0" applyBorder="1"/>
    <xf numFmtId="0" fontId="0" fillId="0" borderId="67" xfId="0" applyBorder="1"/>
    <xf numFmtId="0" fontId="0" fillId="0" borderId="68" xfId="0" applyBorder="1"/>
    <xf numFmtId="0" fontId="0" fillId="0" borderId="69" xfId="0" applyBorder="1"/>
    <xf numFmtId="2" fontId="0" fillId="0" borderId="67" xfId="0" applyNumberFormat="1" applyBorder="1"/>
    <xf numFmtId="2" fontId="0" fillId="0" borderId="68" xfId="0" applyNumberFormat="1" applyBorder="1"/>
    <xf numFmtId="2" fontId="0" fillId="0" borderId="69" xfId="0" applyNumberFormat="1" applyBorder="1"/>
    <xf numFmtId="2" fontId="23" fillId="0" borderId="10" xfId="0" applyNumberFormat="1" applyFont="1" applyBorder="1"/>
    <xf numFmtId="0" fontId="28" fillId="0" borderId="0" xfId="0" applyFont="1"/>
    <xf numFmtId="2" fontId="28" fillId="0" borderId="0" xfId="0" applyNumberFormat="1" applyFont="1"/>
    <xf numFmtId="0" fontId="29" fillId="0" borderId="0" xfId="85" applyFont="1" applyFill="1"/>
    <xf numFmtId="0" fontId="13" fillId="0" borderId="70" xfId="85" applyFont="1" applyFill="1" applyBorder="1" applyAlignment="1">
      <alignment horizontal="center"/>
    </xf>
    <xf numFmtId="0" fontId="17" fillId="0" borderId="35" xfId="85" applyFill="1" applyBorder="1" applyAlignment="1">
      <alignment horizontal="center"/>
    </xf>
    <xf numFmtId="0" fontId="30" fillId="0" borderId="35" xfId="85" applyFont="1" applyFill="1" applyBorder="1" applyAlignment="1">
      <alignment horizontal="center"/>
    </xf>
    <xf numFmtId="0" fontId="30" fillId="0" borderId="35" xfId="85" applyFont="1" applyFill="1" applyBorder="1"/>
    <xf numFmtId="0" fontId="17" fillId="0" borderId="70" xfId="85" applyFill="1" applyBorder="1" applyAlignment="1">
      <alignment horizontal="center"/>
    </xf>
    <xf numFmtId="0" fontId="17" fillId="0" borderId="32" xfId="85" applyFill="1" applyBorder="1" applyAlignment="1">
      <alignment horizontal="left"/>
    </xf>
    <xf numFmtId="1" fontId="30" fillId="0" borderId="35" xfId="85" applyNumberFormat="1" applyFont="1" applyFill="1" applyBorder="1" applyAlignment="1">
      <alignment horizontal="center"/>
    </xf>
    <xf numFmtId="2" fontId="30" fillId="0" borderId="35" xfId="85" applyNumberFormat="1" applyFont="1" applyFill="1" applyBorder="1"/>
    <xf numFmtId="2" fontId="30" fillId="0" borderId="35" xfId="85" applyNumberFormat="1" applyFont="1" applyFill="1" applyBorder="1" applyAlignment="1">
      <alignment horizontal="center"/>
    </xf>
    <xf numFmtId="167" fontId="30" fillId="0" borderId="35" xfId="85" applyNumberFormat="1" applyFont="1" applyFill="1" applyBorder="1" applyAlignment="1">
      <alignment horizontal="center"/>
    </xf>
    <xf numFmtId="2" fontId="17" fillId="0" borderId="35" xfId="85" applyNumberFormat="1" applyFill="1" applyBorder="1" applyAlignment="1">
      <alignment horizontal="center"/>
    </xf>
    <xf numFmtId="0" fontId="17" fillId="0" borderId="35" xfId="85" applyFill="1" applyBorder="1"/>
    <xf numFmtId="167" fontId="17" fillId="0" borderId="35" xfId="85" applyNumberFormat="1" applyFill="1" applyBorder="1" applyAlignment="1">
      <alignment horizontal="center"/>
    </xf>
    <xf numFmtId="2" fontId="17" fillId="0" borderId="0" xfId="85" applyNumberFormat="1" applyFill="1" applyAlignment="1">
      <alignment horizontal="center"/>
    </xf>
    <xf numFmtId="0" fontId="17" fillId="0" borderId="19" xfId="85" applyFill="1" applyBorder="1" applyAlignment="1">
      <alignment horizontal="left"/>
    </xf>
    <xf numFmtId="167" fontId="20" fillId="0" borderId="35" xfId="85" applyNumberFormat="1" applyFont="1" applyFill="1" applyBorder="1" applyAlignment="1">
      <alignment horizontal="center"/>
    </xf>
    <xf numFmtId="2" fontId="31" fillId="0" borderId="35" xfId="85" applyNumberFormat="1" applyFont="1" applyFill="1" applyBorder="1"/>
    <xf numFmtId="2" fontId="31" fillId="0" borderId="35" xfId="85" applyNumberFormat="1" applyFont="1" applyFill="1" applyBorder="1" applyAlignment="1">
      <alignment horizontal="center"/>
    </xf>
    <xf numFmtId="167" fontId="31" fillId="0" borderId="35" xfId="85" applyNumberFormat="1" applyFont="1" applyFill="1" applyBorder="1" applyAlignment="1">
      <alignment horizontal="center"/>
    </xf>
    <xf numFmtId="0" fontId="17" fillId="0" borderId="71" xfId="85" applyFill="1" applyBorder="1" applyAlignment="1">
      <alignment horizontal="center"/>
    </xf>
    <xf numFmtId="167" fontId="30" fillId="0" borderId="3" xfId="85" applyNumberFormat="1" applyFont="1" applyFill="1" applyBorder="1" applyAlignment="1">
      <alignment horizontal="center"/>
    </xf>
    <xf numFmtId="0" fontId="30" fillId="0" borderId="19" xfId="85" applyFont="1" applyFill="1" applyBorder="1"/>
    <xf numFmtId="2" fontId="30" fillId="0" borderId="19" xfId="85" applyNumberFormat="1" applyFont="1" applyFill="1" applyBorder="1" applyAlignment="1">
      <alignment horizontal="center"/>
    </xf>
    <xf numFmtId="2" fontId="30" fillId="0" borderId="19" xfId="85" applyNumberFormat="1" applyFont="1" applyFill="1" applyBorder="1"/>
    <xf numFmtId="1" fontId="30" fillId="0" borderId="17" xfId="85" applyNumberFormat="1" applyFont="1" applyFill="1" applyBorder="1" applyAlignment="1">
      <alignment horizontal="center"/>
    </xf>
    <xf numFmtId="2" fontId="30" fillId="0" borderId="17" xfId="85" applyNumberFormat="1" applyFont="1" applyFill="1" applyBorder="1" applyAlignment="1">
      <alignment horizontal="center"/>
    </xf>
    <xf numFmtId="0" fontId="30" fillId="0" borderId="17" xfId="85" applyFont="1" applyFill="1" applyBorder="1"/>
    <xf numFmtId="2" fontId="4" fillId="0" borderId="10" xfId="0" applyNumberFormat="1" applyFont="1" applyBorder="1" applyAlignment="1">
      <alignment horizontal="center"/>
    </xf>
    <xf numFmtId="0" fontId="13" fillId="0" borderId="35" xfId="85" applyFont="1" applyFill="1" applyBorder="1"/>
    <xf numFmtId="2" fontId="30" fillId="0" borderId="32" xfId="85" applyNumberFormat="1" applyFont="1" applyFill="1" applyBorder="1" applyAlignment="1">
      <alignment horizontal="center"/>
    </xf>
    <xf numFmtId="0" fontId="30" fillId="0" borderId="32" xfId="85" applyFont="1" applyFill="1" applyBorder="1" applyAlignment="1">
      <alignment horizontal="center"/>
    </xf>
    <xf numFmtId="2" fontId="30" fillId="0" borderId="32" xfId="85" applyNumberFormat="1" applyFont="1" applyFill="1" applyBorder="1"/>
    <xf numFmtId="0" fontId="30" fillId="0" borderId="32" xfId="85" applyFont="1" applyFill="1" applyBorder="1"/>
    <xf numFmtId="2" fontId="31" fillId="0" borderId="32" xfId="85" applyNumberFormat="1" applyFont="1" applyFill="1" applyBorder="1"/>
    <xf numFmtId="2" fontId="31" fillId="0" borderId="32" xfId="85" applyNumberFormat="1" applyFont="1" applyFill="1" applyBorder="1" applyAlignment="1">
      <alignment horizontal="center"/>
    </xf>
    <xf numFmtId="167" fontId="31" fillId="0" borderId="32" xfId="85" applyNumberFormat="1" applyFont="1" applyFill="1" applyBorder="1" applyAlignment="1">
      <alignment horizontal="center"/>
    </xf>
    <xf numFmtId="167" fontId="20" fillId="0" borderId="32" xfId="85" applyNumberFormat="1" applyFont="1" applyFill="1" applyBorder="1" applyAlignment="1">
      <alignment horizontal="center"/>
    </xf>
    <xf numFmtId="167" fontId="30" fillId="0" borderId="32" xfId="85" applyNumberFormat="1" applyFont="1" applyFill="1" applyBorder="1" applyAlignment="1">
      <alignment horizontal="center"/>
    </xf>
    <xf numFmtId="1" fontId="30" fillId="0" borderId="32" xfId="85" applyNumberFormat="1" applyFont="1" applyFill="1" applyBorder="1" applyAlignment="1">
      <alignment horizontal="center"/>
    </xf>
    <xf numFmtId="0" fontId="17" fillId="0" borderId="72" xfId="85" applyFill="1" applyBorder="1" applyAlignment="1">
      <alignment horizontal="center"/>
    </xf>
    <xf numFmtId="0" fontId="13" fillId="0" borderId="70" xfId="85" applyFont="1" applyFill="1" applyBorder="1" applyAlignment="1">
      <alignment horizontal="left"/>
    </xf>
    <xf numFmtId="2" fontId="30" fillId="0" borderId="10" xfId="85" applyNumberFormat="1" applyFont="1" applyFill="1" applyBorder="1" applyAlignment="1">
      <alignment horizontal="center"/>
    </xf>
    <xf numFmtId="0" fontId="30" fillId="0" borderId="10" xfId="85" applyFont="1" applyFill="1" applyBorder="1"/>
    <xf numFmtId="2" fontId="30" fillId="0" borderId="0" xfId="85" applyNumberFormat="1" applyFont="1" applyFill="1" applyAlignment="1">
      <alignment horizontal="center"/>
    </xf>
    <xf numFmtId="2" fontId="30" fillId="0" borderId="10" xfId="85" applyNumberFormat="1" applyFont="1" applyFill="1" applyBorder="1"/>
    <xf numFmtId="0" fontId="30" fillId="0" borderId="10" xfId="85" applyFont="1" applyFill="1" applyBorder="1" applyAlignment="1">
      <alignment horizontal="center"/>
    </xf>
    <xf numFmtId="2" fontId="31" fillId="0" borderId="10" xfId="85" applyNumberFormat="1" applyFont="1" applyFill="1" applyBorder="1" applyAlignment="1">
      <alignment horizontal="center"/>
    </xf>
    <xf numFmtId="2" fontId="17" fillId="0" borderId="0" xfId="85" applyNumberFormat="1" applyFill="1" applyAlignment="1">
      <alignment horizontal="left" indent="2"/>
    </xf>
    <xf numFmtId="1" fontId="4" fillId="0" borderId="0" xfId="0" applyNumberFormat="1" applyFont="1"/>
    <xf numFmtId="2" fontId="0" fillId="0" borderId="0" xfId="0" applyNumberFormat="1" applyAlignment="1">
      <alignment horizontal="right"/>
    </xf>
    <xf numFmtId="10" fontId="28" fillId="0" borderId="0" xfId="88" applyNumberFormat="1" applyFont="1" applyFill="1"/>
    <xf numFmtId="2" fontId="4" fillId="0" borderId="50" xfId="0" applyNumberFormat="1" applyFont="1" applyBorder="1"/>
    <xf numFmtId="0" fontId="17" fillId="0" borderId="40" xfId="85" applyFill="1" applyBorder="1"/>
    <xf numFmtId="2" fontId="23" fillId="0" borderId="0" xfId="0" applyNumberFormat="1" applyFont="1"/>
    <xf numFmtId="0" fontId="33" fillId="0" borderId="0" xfId="85" applyFont="1" applyFill="1"/>
    <xf numFmtId="10" fontId="17" fillId="0" borderId="0" xfId="88" applyNumberFormat="1" applyFont="1" applyFill="1"/>
    <xf numFmtId="167" fontId="5" fillId="0" borderId="0" xfId="85" applyNumberFormat="1" applyFont="1" applyFill="1"/>
    <xf numFmtId="167" fontId="4" fillId="0" borderId="0" xfId="0" applyNumberFormat="1" applyFont="1"/>
    <xf numFmtId="0" fontId="35" fillId="0" borderId="0" xfId="0" applyFont="1" applyAlignment="1">
      <alignment horizontal="right"/>
    </xf>
    <xf numFmtId="0" fontId="23" fillId="0" borderId="0" xfId="0" applyFont="1"/>
    <xf numFmtId="2" fontId="28" fillId="0" borderId="15" xfId="0" applyNumberFormat="1" applyFont="1" applyBorder="1"/>
    <xf numFmtId="9" fontId="28" fillId="0" borderId="0" xfId="88" applyFont="1" applyFill="1" applyAlignment="1">
      <alignment horizontal="center"/>
    </xf>
    <xf numFmtId="10" fontId="28" fillId="0" borderId="0" xfId="88" applyNumberFormat="1" applyFont="1" applyFill="1" applyAlignment="1">
      <alignment horizontal="center"/>
    </xf>
    <xf numFmtId="0" fontId="0" fillId="0" borderId="74" xfId="0" applyBorder="1"/>
    <xf numFmtId="0" fontId="37" fillId="0" borderId="0" xfId="85" applyFont="1" applyFill="1"/>
    <xf numFmtId="2" fontId="37" fillId="0" borderId="0" xfId="85" applyNumberFormat="1" applyFont="1" applyFill="1"/>
    <xf numFmtId="9" fontId="37" fillId="0" borderId="0" xfId="88" applyFont="1" applyFill="1"/>
    <xf numFmtId="0" fontId="4" fillId="0" borderId="10" xfId="85" applyFont="1" applyFill="1" applyBorder="1" applyAlignment="1">
      <alignment horizontal="center"/>
    </xf>
    <xf numFmtId="0" fontId="28" fillId="0" borderId="0" xfId="0" applyFont="1" applyAlignment="1">
      <alignment horizontal="right"/>
    </xf>
    <xf numFmtId="0" fontId="22" fillId="0" borderId="10" xfId="0" applyFont="1" applyBorder="1" applyAlignment="1">
      <alignment wrapText="1"/>
    </xf>
    <xf numFmtId="2" fontId="22" fillId="0" borderId="10" xfId="0" applyNumberFormat="1" applyFont="1" applyBorder="1" applyAlignment="1">
      <alignment wrapText="1"/>
    </xf>
    <xf numFmtId="169" fontId="22" fillId="0" borderId="10" xfId="0" applyNumberFormat="1" applyFont="1" applyBorder="1" applyAlignment="1">
      <alignment wrapText="1"/>
    </xf>
    <xf numFmtId="10" fontId="17" fillId="0" borderId="0" xfId="85" applyNumberFormat="1" applyFill="1"/>
    <xf numFmtId="10" fontId="17" fillId="0" borderId="0" xfId="88" applyNumberFormat="1" applyFont="1" applyFill="1" applyBorder="1"/>
    <xf numFmtId="2" fontId="30" fillId="0" borderId="0" xfId="85" applyNumberFormat="1" applyFont="1" applyFill="1" applyAlignment="1">
      <alignment horizontal="right"/>
    </xf>
    <xf numFmtId="0" fontId="4" fillId="0" borderId="0" xfId="85" applyFont="1" applyFill="1"/>
    <xf numFmtId="167" fontId="5" fillId="0" borderId="35" xfId="85" applyNumberFormat="1" applyFont="1" applyFill="1" applyBorder="1" applyAlignment="1">
      <alignment horizontal="right"/>
    </xf>
    <xf numFmtId="1" fontId="5" fillId="0" borderId="35" xfId="85" applyNumberFormat="1" applyFont="1" applyFill="1" applyBorder="1"/>
    <xf numFmtId="2" fontId="5" fillId="0" borderId="35" xfId="85" applyNumberFormat="1" applyFont="1" applyFill="1" applyBorder="1" applyAlignment="1">
      <alignment horizontal="right"/>
    </xf>
    <xf numFmtId="0" fontId="5" fillId="0" borderId="32" xfId="85" applyFont="1" applyFill="1" applyBorder="1" applyAlignment="1">
      <alignment horizontal="left"/>
    </xf>
    <xf numFmtId="0" fontId="31" fillId="0" borderId="35" xfId="85" applyFont="1" applyFill="1" applyBorder="1"/>
    <xf numFmtId="0" fontId="30" fillId="0" borderId="0" xfId="85" applyFont="1" applyFill="1"/>
    <xf numFmtId="0" fontId="36" fillId="0" borderId="35" xfId="85" applyFont="1" applyFill="1" applyBorder="1" applyAlignment="1">
      <alignment horizontal="center" vertical="center" wrapText="1" shrinkToFit="1"/>
    </xf>
    <xf numFmtId="1" fontId="30" fillId="0" borderId="35" xfId="85" applyNumberFormat="1" applyFont="1" applyFill="1" applyBorder="1"/>
    <xf numFmtId="1" fontId="30" fillId="0" borderId="32" xfId="85" applyNumberFormat="1" applyFont="1" applyFill="1" applyBorder="1"/>
    <xf numFmtId="1" fontId="17" fillId="0" borderId="0" xfId="85" applyNumberFormat="1" applyFill="1"/>
    <xf numFmtId="0" fontId="30" fillId="0" borderId="3" xfId="85" applyFont="1" applyFill="1" applyBorder="1"/>
    <xf numFmtId="0" fontId="30" fillId="0" borderId="77" xfId="85" applyFont="1" applyFill="1" applyBorder="1"/>
    <xf numFmtId="1" fontId="31" fillId="0" borderId="35" xfId="85" applyNumberFormat="1" applyFont="1" applyFill="1" applyBorder="1"/>
    <xf numFmtId="1" fontId="30" fillId="0" borderId="0" xfId="85" applyNumberFormat="1" applyFont="1" applyFill="1"/>
    <xf numFmtId="1" fontId="31" fillId="0" borderId="32" xfId="85" applyNumberFormat="1" applyFont="1" applyFill="1" applyBorder="1" applyAlignment="1">
      <alignment horizontal="right"/>
    </xf>
    <xf numFmtId="1" fontId="30" fillId="0" borderId="10" xfId="85" applyNumberFormat="1" applyFont="1" applyFill="1" applyBorder="1" applyAlignment="1">
      <alignment horizontal="center"/>
    </xf>
    <xf numFmtId="1" fontId="30" fillId="0" borderId="10" xfId="85" applyNumberFormat="1" applyFont="1" applyFill="1" applyBorder="1"/>
    <xf numFmtId="1" fontId="31" fillId="0" borderId="35" xfId="85" applyNumberFormat="1" applyFont="1" applyFill="1" applyBorder="1" applyAlignment="1">
      <alignment horizontal="center"/>
    </xf>
    <xf numFmtId="2" fontId="31" fillId="0" borderId="32" xfId="85" applyNumberFormat="1" applyFont="1" applyFill="1" applyBorder="1" applyAlignment="1">
      <alignment horizontal="right"/>
    </xf>
    <xf numFmtId="167" fontId="31" fillId="0" borderId="32" xfId="85" applyNumberFormat="1" applyFont="1" applyFill="1" applyBorder="1" applyAlignment="1">
      <alignment horizontal="right"/>
    </xf>
    <xf numFmtId="1" fontId="30" fillId="0" borderId="0" xfId="85" applyNumberFormat="1" applyFont="1" applyFill="1" applyAlignment="1">
      <alignment horizontal="center"/>
    </xf>
    <xf numFmtId="2" fontId="30" fillId="0" borderId="35" xfId="85" applyNumberFormat="1" applyFont="1" applyFill="1" applyBorder="1" applyAlignment="1">
      <alignment horizontal="right"/>
    </xf>
    <xf numFmtId="2" fontId="30" fillId="0" borderId="32" xfId="85" applyNumberFormat="1" applyFont="1" applyFill="1" applyBorder="1" applyAlignment="1">
      <alignment horizontal="right"/>
    </xf>
    <xf numFmtId="2" fontId="17" fillId="0" borderId="0" xfId="85" applyNumberFormat="1" applyFill="1" applyAlignment="1">
      <alignment horizontal="right"/>
    </xf>
    <xf numFmtId="2" fontId="31" fillId="0" borderId="35" xfId="85" applyNumberFormat="1" applyFont="1" applyFill="1" applyBorder="1" applyAlignment="1">
      <alignment horizontal="right"/>
    </xf>
    <xf numFmtId="1" fontId="0" fillId="0" borderId="65" xfId="0" applyNumberFormat="1" applyBorder="1"/>
    <xf numFmtId="1" fontId="4" fillId="0" borderId="65" xfId="0" applyNumberFormat="1" applyFont="1" applyBorder="1"/>
    <xf numFmtId="0" fontId="6" fillId="0" borderId="0" xfId="85" applyFont="1" applyFill="1"/>
    <xf numFmtId="1" fontId="5" fillId="0" borderId="10" xfId="85" applyNumberFormat="1" applyFont="1" applyFill="1" applyBorder="1" applyAlignment="1">
      <alignment horizontal="center"/>
    </xf>
    <xf numFmtId="10" fontId="28" fillId="0" borderId="0" xfId="0" applyNumberFormat="1" applyFont="1"/>
    <xf numFmtId="9" fontId="28" fillId="0" borderId="0" xfId="88" applyFont="1" applyFill="1"/>
    <xf numFmtId="170" fontId="28" fillId="0" borderId="0" xfId="88" applyNumberFormat="1" applyFont="1" applyFill="1"/>
    <xf numFmtId="0" fontId="5" fillId="0" borderId="35" xfId="85" applyFont="1" applyFill="1" applyBorder="1"/>
    <xf numFmtId="0" fontId="21" fillId="0" borderId="0" xfId="85" applyFont="1" applyFill="1" applyAlignment="1">
      <alignment horizontal="center" vertical="center" wrapText="1" shrinkToFit="1"/>
    </xf>
    <xf numFmtId="2" fontId="5" fillId="0" borderId="0" xfId="85" applyNumberFormat="1" applyFont="1" applyFill="1" applyAlignment="1">
      <alignment horizontal="center"/>
    </xf>
    <xf numFmtId="1" fontId="5" fillId="0" borderId="0" xfId="85" applyNumberFormat="1" applyFont="1" applyFill="1"/>
    <xf numFmtId="0" fontId="7" fillId="0" borderId="0" xfId="84" applyFont="1" applyProtection="1">
      <protection locked="0"/>
    </xf>
    <xf numFmtId="0" fontId="7" fillId="0" borderId="0" xfId="84" applyFont="1" applyAlignment="1" applyProtection="1">
      <alignment horizontal="center" vertical="center"/>
      <protection locked="0"/>
    </xf>
    <xf numFmtId="0" fontId="7" fillId="0" borderId="0" xfId="84" applyFont="1" applyAlignment="1" applyProtection="1">
      <alignment wrapText="1"/>
      <protection locked="0"/>
    </xf>
    <xf numFmtId="0" fontId="7" fillId="0" borderId="0" xfId="84" applyFont="1" applyAlignment="1" applyProtection="1">
      <alignment horizontal="left"/>
      <protection locked="0"/>
    </xf>
    <xf numFmtId="0" fontId="4" fillId="0" borderId="10" xfId="84" applyFont="1" applyBorder="1" applyAlignment="1" applyProtection="1">
      <alignment horizontal="center" vertical="center" wrapText="1"/>
      <protection locked="0"/>
    </xf>
    <xf numFmtId="167" fontId="4" fillId="0" borderId="10" xfId="85" applyNumberFormat="1" applyFont="1" applyFill="1" applyBorder="1" applyAlignment="1">
      <alignment horizontal="center"/>
    </xf>
    <xf numFmtId="0" fontId="9" fillId="0" borderId="10" xfId="85" applyFont="1" applyFill="1" applyBorder="1"/>
    <xf numFmtId="0" fontId="18" fillId="0" borderId="10" xfId="85" applyFont="1" applyFill="1" applyBorder="1" applyAlignment="1">
      <alignment horizontal="centerContinuous"/>
    </xf>
    <xf numFmtId="0" fontId="12" fillId="0" borderId="10" xfId="85" applyFont="1" applyFill="1" applyBorder="1" applyAlignment="1">
      <alignment horizontal="centerContinuous"/>
    </xf>
    <xf numFmtId="0" fontId="9" fillId="0" borderId="10" xfId="85" applyFont="1" applyFill="1" applyBorder="1" applyAlignment="1">
      <alignment horizontal="center"/>
    </xf>
    <xf numFmtId="1" fontId="4" fillId="0" borderId="10" xfId="85" applyNumberFormat="1" applyFont="1" applyFill="1" applyBorder="1" applyAlignment="1">
      <alignment horizontal="center"/>
    </xf>
    <xf numFmtId="0" fontId="4" fillId="0" borderId="10" xfId="85" applyFont="1" applyFill="1" applyBorder="1"/>
    <xf numFmtId="0" fontId="5" fillId="0" borderId="10" xfId="85" applyFont="1" applyFill="1" applyBorder="1"/>
    <xf numFmtId="167" fontId="5" fillId="0" borderId="10" xfId="85" applyNumberFormat="1" applyFont="1" applyFill="1" applyBorder="1"/>
    <xf numFmtId="0" fontId="17" fillId="0" borderId="79" xfId="85" applyFill="1" applyBorder="1"/>
    <xf numFmtId="0" fontId="17" fillId="0" borderId="80" xfId="85" applyFill="1" applyBorder="1" applyAlignment="1">
      <alignment horizontal="centerContinuous"/>
    </xf>
    <xf numFmtId="0" fontId="17" fillId="0" borderId="80" xfId="85" applyFill="1" applyBorder="1"/>
    <xf numFmtId="0" fontId="5" fillId="0" borderId="80" xfId="85" applyFont="1" applyFill="1" applyBorder="1" applyAlignment="1">
      <alignment horizontal="right"/>
    </xf>
    <xf numFmtId="0" fontId="18" fillId="0" borderId="41" xfId="85" applyFont="1" applyFill="1" applyBorder="1" applyAlignment="1">
      <alignment horizontal="centerContinuous"/>
    </xf>
    <xf numFmtId="0" fontId="12" fillId="0" borderId="41" xfId="85" applyFont="1" applyFill="1" applyBorder="1" applyAlignment="1">
      <alignment horizontal="centerContinuous"/>
    </xf>
    <xf numFmtId="0" fontId="9" fillId="0" borderId="40" xfId="85" applyFont="1" applyFill="1" applyBorder="1" applyAlignment="1">
      <alignment horizontal="center"/>
    </xf>
    <xf numFmtId="0" fontId="9" fillId="0" borderId="41" xfId="85" applyFont="1" applyFill="1" applyBorder="1" applyAlignment="1">
      <alignment horizontal="center"/>
    </xf>
    <xf numFmtId="168" fontId="0" fillId="0" borderId="0" xfId="0" applyNumberFormat="1"/>
    <xf numFmtId="1" fontId="30" fillId="0" borderId="0" xfId="85" applyNumberFormat="1" applyFont="1" applyFill="1" applyAlignment="1">
      <alignment horizontal="right"/>
    </xf>
    <xf numFmtId="14" fontId="0" fillId="0" borderId="0" xfId="0" applyNumberFormat="1"/>
    <xf numFmtId="1" fontId="0" fillId="0" borderId="65" xfId="0" applyNumberFormat="1" applyBorder="1" applyAlignment="1">
      <alignment horizontal="right"/>
    </xf>
    <xf numFmtId="0" fontId="50" fillId="0" borderId="0" xfId="0" applyFont="1"/>
    <xf numFmtId="15" fontId="0" fillId="0" borderId="0" xfId="0" applyNumberFormat="1"/>
    <xf numFmtId="0" fontId="22" fillId="0" borderId="0" xfId="0" applyFont="1" applyAlignment="1">
      <alignment horizontal="center" wrapText="1" shrinkToFit="1"/>
    </xf>
    <xf numFmtId="1" fontId="0" fillId="0" borderId="0" xfId="0" applyNumberFormat="1" applyAlignment="1">
      <alignment horizontal="right"/>
    </xf>
    <xf numFmtId="1" fontId="53" fillId="0" borderId="0" xfId="0" applyNumberFormat="1" applyFont="1"/>
    <xf numFmtId="17" fontId="0" fillId="0" borderId="0" xfId="0" applyNumberFormat="1"/>
    <xf numFmtId="0" fontId="0" fillId="0" borderId="0" xfId="0" applyAlignment="1">
      <alignment horizontal="left"/>
    </xf>
    <xf numFmtId="16" fontId="0" fillId="0" borderId="0" xfId="0" applyNumberFormat="1" applyAlignment="1">
      <alignment horizontal="right"/>
    </xf>
    <xf numFmtId="10" fontId="4" fillId="0" borderId="0" xfId="88" applyNumberFormat="1" applyFont="1"/>
    <xf numFmtId="0" fontId="21" fillId="0" borderId="15" xfId="0" applyFont="1" applyBorder="1" applyAlignment="1">
      <alignment horizontal="center" vertical="center" wrapText="1" shrinkToFit="1"/>
    </xf>
    <xf numFmtId="2" fontId="3" fillId="0" borderId="0" xfId="0" applyNumberFormat="1" applyFont="1"/>
    <xf numFmtId="9" fontId="30" fillId="0" borderId="35" xfId="88" applyFont="1" applyFill="1" applyBorder="1" applyAlignment="1">
      <alignment horizontal="center"/>
    </xf>
    <xf numFmtId="0" fontId="0" fillId="0" borderId="0" xfId="0" applyAlignment="1">
      <alignment wrapText="1" shrinkToFit="1"/>
    </xf>
    <xf numFmtId="0" fontId="21" fillId="0" borderId="15" xfId="0" applyFont="1" applyBorder="1"/>
    <xf numFmtId="0" fontId="36" fillId="0" borderId="17" xfId="85" applyFont="1" applyFill="1" applyBorder="1" applyAlignment="1">
      <alignment horizontal="center" vertical="center" wrapText="1"/>
    </xf>
    <xf numFmtId="1" fontId="31" fillId="0" borderId="0" xfId="85" applyNumberFormat="1" applyFont="1" applyFill="1"/>
    <xf numFmtId="1" fontId="31" fillId="0" borderId="0" xfId="85" applyNumberFormat="1" applyFont="1" applyFill="1" applyAlignment="1">
      <alignment horizontal="right"/>
    </xf>
    <xf numFmtId="1" fontId="31" fillId="0" borderId="0" xfId="85" applyNumberFormat="1" applyFont="1" applyFill="1" applyAlignment="1">
      <alignment horizontal="center"/>
    </xf>
    <xf numFmtId="2" fontId="31" fillId="0" borderId="0" xfId="85" applyNumberFormat="1" applyFont="1" applyFill="1" applyAlignment="1">
      <alignment horizontal="center"/>
    </xf>
    <xf numFmtId="2" fontId="30" fillId="0" borderId="0" xfId="85" applyNumberFormat="1" applyFont="1" applyFill="1"/>
    <xf numFmtId="0" fontId="21" fillId="0" borderId="15" xfId="0" applyFont="1" applyBorder="1" applyAlignment="1">
      <alignment horizontal="center" wrapText="1" shrinkToFit="1"/>
    </xf>
    <xf numFmtId="10" fontId="0" fillId="0" borderId="10" xfId="0" applyNumberFormat="1" applyBorder="1"/>
    <xf numFmtId="2" fontId="23" fillId="0" borderId="0" xfId="0" applyNumberFormat="1" applyFont="1" applyAlignment="1">
      <alignment horizontal="center"/>
    </xf>
    <xf numFmtId="9" fontId="0" fillId="0" borderId="0" xfId="0" applyNumberFormat="1"/>
    <xf numFmtId="9" fontId="17" fillId="0" borderId="0" xfId="88" applyFont="1" applyFill="1"/>
    <xf numFmtId="189" fontId="0" fillId="0" borderId="0" xfId="0" applyNumberFormat="1"/>
    <xf numFmtId="1" fontId="30" fillId="0" borderId="83" xfId="85" applyNumberFormat="1" applyFont="1" applyFill="1" applyBorder="1" applyAlignment="1">
      <alignment horizontal="center"/>
    </xf>
    <xf numFmtId="2" fontId="30" fillId="0" borderId="83" xfId="85" applyNumberFormat="1" applyFont="1" applyFill="1" applyBorder="1" applyAlignment="1">
      <alignment horizontal="center"/>
    </xf>
    <xf numFmtId="2" fontId="30" fillId="0" borderId="77" xfId="85" applyNumberFormat="1" applyFont="1" applyFill="1" applyBorder="1" applyAlignment="1">
      <alignment horizontal="center"/>
    </xf>
    <xf numFmtId="2" fontId="31" fillId="0" borderId="77" xfId="85" applyNumberFormat="1" applyFont="1" applyFill="1" applyBorder="1" applyAlignment="1">
      <alignment horizontal="center"/>
    </xf>
    <xf numFmtId="2" fontId="30" fillId="0" borderId="56" xfId="85" applyNumberFormat="1" applyFont="1" applyFill="1" applyBorder="1" applyAlignment="1">
      <alignment horizontal="center"/>
    </xf>
    <xf numFmtId="2" fontId="17" fillId="0" borderId="10" xfId="85" applyNumberFormat="1" applyFill="1" applyBorder="1" applyAlignment="1">
      <alignment horizontal="center"/>
    </xf>
    <xf numFmtId="174" fontId="0" fillId="0" borderId="42" xfId="0" applyNumberFormat="1" applyBorder="1"/>
    <xf numFmtId="0" fontId="5" fillId="0" borderId="45" xfId="0" applyFont="1" applyBorder="1" applyAlignment="1">
      <alignment horizontal="center"/>
    </xf>
    <xf numFmtId="2" fontId="54" fillId="0" borderId="32" xfId="85" applyNumberFormat="1" applyFont="1" applyFill="1" applyBorder="1" applyAlignment="1">
      <alignment horizontal="center"/>
    </xf>
    <xf numFmtId="165" fontId="0" fillId="0" borderId="0" xfId="37" applyFont="1"/>
    <xf numFmtId="0" fontId="4" fillId="0" borderId="45" xfId="0" applyFont="1" applyBorder="1" applyAlignment="1">
      <alignment horizontal="left"/>
    </xf>
    <xf numFmtId="0" fontId="38" fillId="28" borderId="86" xfId="0" applyFont="1" applyFill="1" applyBorder="1" applyAlignment="1">
      <alignment vertical="top" wrapText="1"/>
    </xf>
    <xf numFmtId="0" fontId="0" fillId="0" borderId="88" xfId="0" applyBorder="1"/>
    <xf numFmtId="0" fontId="5" fillId="0" borderId="0" xfId="0" applyFont="1" applyAlignment="1">
      <alignment horizontal="center" vertical="center" wrapText="1"/>
    </xf>
    <xf numFmtId="0" fontId="17" fillId="0" borderId="0" xfId="85" applyFill="1" applyAlignment="1">
      <alignment wrapText="1"/>
    </xf>
    <xf numFmtId="10" fontId="5" fillId="0" borderId="10" xfId="88" applyNumberFormat="1" applyFont="1" applyFill="1" applyBorder="1" applyAlignment="1">
      <alignment horizontal="center"/>
    </xf>
    <xf numFmtId="167" fontId="5" fillId="0" borderId="10" xfId="85" applyNumberFormat="1" applyFont="1" applyFill="1" applyBorder="1" applyAlignment="1">
      <alignment horizontal="right"/>
    </xf>
    <xf numFmtId="0" fontId="56" fillId="0" borderId="0" xfId="0" applyFont="1"/>
    <xf numFmtId="175" fontId="0" fillId="0" borderId="0" xfId="0" applyNumberFormat="1"/>
    <xf numFmtId="0" fontId="38" fillId="28" borderId="0" xfId="0" applyFont="1" applyFill="1" applyAlignment="1">
      <alignment vertical="top"/>
    </xf>
    <xf numFmtId="0" fontId="38" fillId="28" borderId="0" xfId="0" applyFont="1" applyFill="1" applyAlignment="1">
      <alignment vertical="top" wrapText="1"/>
    </xf>
    <xf numFmtId="167" fontId="38" fillId="28" borderId="0" xfId="0" applyNumberFormat="1" applyFont="1" applyFill="1" applyAlignment="1">
      <alignment horizontal="center"/>
    </xf>
    <xf numFmtId="167" fontId="38" fillId="28" borderId="0" xfId="0" applyNumberFormat="1" applyFont="1" applyFill="1"/>
    <xf numFmtId="2" fontId="38" fillId="28" borderId="0" xfId="0" applyNumberFormat="1" applyFont="1" applyFill="1" applyAlignment="1">
      <alignment horizontal="center"/>
    </xf>
    <xf numFmtId="2" fontId="38" fillId="28" borderId="0" xfId="0" applyNumberFormat="1" applyFont="1" applyFill="1"/>
    <xf numFmtId="0" fontId="38" fillId="28" borderId="0" xfId="0" applyFont="1" applyFill="1" applyAlignment="1">
      <alignment horizontal="center"/>
    </xf>
    <xf numFmtId="2" fontId="3" fillId="0" borderId="10" xfId="0" applyNumberFormat="1" applyFont="1" applyBorder="1"/>
    <xf numFmtId="0" fontId="4" fillId="0" borderId="10" xfId="84" applyFont="1" applyBorder="1" applyAlignment="1" applyProtection="1">
      <alignment wrapText="1"/>
      <protection locked="0"/>
    </xf>
    <xf numFmtId="0" fontId="38" fillId="28" borderId="87" xfId="0" applyFont="1" applyFill="1" applyBorder="1" applyAlignment="1">
      <alignment horizontal="left" vertical="top" indent="1"/>
    </xf>
    <xf numFmtId="0" fontId="55" fillId="28" borderId="87" xfId="0" applyFont="1" applyFill="1" applyBorder="1" applyAlignment="1">
      <alignment horizontal="left" vertical="top" indent="2"/>
    </xf>
    <xf numFmtId="0" fontId="38" fillId="28" borderId="87" xfId="0" applyFont="1" applyFill="1" applyBorder="1" applyAlignment="1">
      <alignment horizontal="left" vertical="top" indent="2"/>
    </xf>
    <xf numFmtId="0" fontId="77" fillId="28" borderId="86" xfId="0" applyFont="1" applyFill="1" applyBorder="1" applyAlignment="1">
      <alignment vertical="top" wrapText="1"/>
    </xf>
    <xf numFmtId="0" fontId="77" fillId="28" borderId="87" xfId="0" applyFont="1" applyFill="1" applyBorder="1" applyAlignment="1">
      <alignment vertical="top"/>
    </xf>
    <xf numFmtId="0" fontId="77" fillId="0" borderId="87" xfId="0" applyFont="1" applyBorder="1" applyAlignment="1">
      <alignment vertical="top"/>
    </xf>
    <xf numFmtId="0" fontId="77" fillId="0" borderId="86" xfId="0" applyFont="1" applyBorder="1" applyAlignment="1">
      <alignment vertical="top" wrapText="1"/>
    </xf>
    <xf numFmtId="0" fontId="30" fillId="0" borderId="83" xfId="85" applyFont="1" applyFill="1" applyBorder="1"/>
    <xf numFmtId="0" fontId="36" fillId="0" borderId="77" xfId="85" applyFont="1" applyFill="1" applyBorder="1" applyAlignment="1">
      <alignment horizontal="center" vertical="center" wrapText="1" shrinkToFit="1"/>
    </xf>
    <xf numFmtId="2" fontId="31" fillId="0" borderId="56" xfId="85" applyNumberFormat="1" applyFont="1" applyFill="1" applyBorder="1" applyAlignment="1">
      <alignment horizontal="center"/>
    </xf>
    <xf numFmtId="170" fontId="0" fillId="0" borderId="0" xfId="88" applyNumberFormat="1" applyFont="1"/>
    <xf numFmtId="9" fontId="4" fillId="0" borderId="10" xfId="85" applyNumberFormat="1" applyFont="1" applyFill="1" applyBorder="1" applyAlignment="1">
      <alignment horizontal="center"/>
    </xf>
    <xf numFmtId="10" fontId="4" fillId="0" borderId="10" xfId="85" applyNumberFormat="1" applyFont="1" applyFill="1" applyBorder="1" applyAlignment="1">
      <alignment horizontal="center"/>
    </xf>
    <xf numFmtId="10" fontId="5" fillId="0" borderId="10" xfId="85" applyNumberFormat="1" applyFont="1" applyFill="1" applyBorder="1" applyAlignment="1">
      <alignment horizontal="center"/>
    </xf>
    <xf numFmtId="0" fontId="52" fillId="0" borderId="0" xfId="85" applyFont="1" applyFill="1" applyAlignment="1">
      <alignment horizontal="center"/>
    </xf>
    <xf numFmtId="10" fontId="17" fillId="0" borderId="0" xfId="88" applyNumberFormat="1" applyFont="1" applyFill="1" applyAlignment="1">
      <alignment horizontal="center"/>
    </xf>
    <xf numFmtId="0" fontId="17" fillId="0" borderId="0" xfId="85" applyFill="1" applyAlignment="1">
      <alignment horizontal="center" wrapText="1"/>
    </xf>
    <xf numFmtId="0" fontId="5" fillId="0" borderId="42" xfId="0" applyFont="1" applyBorder="1" applyAlignment="1">
      <alignment horizontal="center"/>
    </xf>
    <xf numFmtId="2" fontId="0" fillId="0" borderId="0" xfId="0" applyNumberFormat="1" applyAlignment="1">
      <alignment horizontal="center"/>
    </xf>
    <xf numFmtId="0" fontId="4" fillId="0" borderId="6" xfId="0" applyFont="1" applyBorder="1" applyAlignment="1">
      <alignment horizontal="center" wrapText="1"/>
    </xf>
    <xf numFmtId="0" fontId="4" fillId="0" borderId="0" xfId="0" applyFont="1" applyAlignment="1">
      <alignment horizontal="center" wrapText="1"/>
    </xf>
    <xf numFmtId="10" fontId="0" fillId="0" borderId="0" xfId="0" applyNumberFormat="1" applyAlignment="1">
      <alignment horizontal="center"/>
    </xf>
    <xf numFmtId="167" fontId="17" fillId="0" borderId="10" xfId="85" applyNumberFormat="1" applyFill="1" applyBorder="1" applyAlignment="1">
      <alignment horizontal="center"/>
    </xf>
    <xf numFmtId="0" fontId="5" fillId="0" borderId="56" xfId="85" applyFont="1" applyFill="1" applyBorder="1" applyAlignment="1">
      <alignment horizontal="right"/>
    </xf>
    <xf numFmtId="0" fontId="17" fillId="0" borderId="10" xfId="85" applyFill="1" applyBorder="1" applyAlignment="1">
      <alignment horizontal="left"/>
    </xf>
    <xf numFmtId="2" fontId="30" fillId="0" borderId="83" xfId="85" applyNumberFormat="1" applyFont="1" applyFill="1" applyBorder="1" applyAlignment="1">
      <alignment horizontal="right"/>
    </xf>
    <xf numFmtId="2" fontId="30" fillId="0" borderId="56" xfId="85" applyNumberFormat="1" applyFont="1" applyFill="1" applyBorder="1"/>
    <xf numFmtId="1" fontId="30" fillId="0" borderId="83" xfId="85" applyNumberFormat="1" applyFont="1" applyFill="1" applyBorder="1"/>
    <xf numFmtId="1" fontId="31" fillId="0" borderId="77" xfId="85" applyNumberFormat="1" applyFont="1" applyFill="1" applyBorder="1"/>
    <xf numFmtId="2" fontId="31" fillId="0" borderId="77" xfId="85" applyNumberFormat="1" applyFont="1" applyFill="1" applyBorder="1"/>
    <xf numFmtId="1" fontId="30" fillId="0" borderId="56" xfId="85" applyNumberFormat="1" applyFont="1" applyFill="1" applyBorder="1"/>
    <xf numFmtId="1" fontId="77" fillId="0" borderId="86" xfId="0" applyNumberFormat="1" applyFont="1" applyBorder="1" applyAlignment="1">
      <alignment horizontal="right" vertical="top" wrapText="1"/>
    </xf>
    <xf numFmtId="2" fontId="77" fillId="28" borderId="86" xfId="0" applyNumberFormat="1" applyFont="1" applyFill="1" applyBorder="1" applyAlignment="1">
      <alignment horizontal="right"/>
    </xf>
    <xf numFmtId="165" fontId="38" fillId="28" borderId="86" xfId="37" applyFont="1" applyFill="1" applyBorder="1" applyAlignment="1">
      <alignment horizontal="right"/>
    </xf>
    <xf numFmtId="10" fontId="77" fillId="28" borderId="86" xfId="88" applyNumberFormat="1" applyFont="1" applyFill="1" applyBorder="1" applyAlignment="1">
      <alignment horizontal="right"/>
    </xf>
    <xf numFmtId="1" fontId="77" fillId="28" borderId="86" xfId="0" applyNumberFormat="1" applyFont="1" applyFill="1" applyBorder="1" applyAlignment="1">
      <alignment horizontal="right"/>
    </xf>
    <xf numFmtId="165" fontId="38" fillId="28" borderId="93" xfId="37" applyFont="1" applyFill="1" applyBorder="1" applyAlignment="1">
      <alignment horizontal="right"/>
    </xf>
    <xf numFmtId="0" fontId="0" fillId="0" borderId="41" xfId="0" applyBorder="1"/>
    <xf numFmtId="166" fontId="22" fillId="0" borderId="0" xfId="45" applyFont="1" applyFill="1" applyBorder="1"/>
    <xf numFmtId="165" fontId="38" fillId="28" borderId="10" xfId="37" applyFont="1" applyFill="1" applyBorder="1" applyAlignment="1">
      <alignment horizontal="right"/>
    </xf>
    <xf numFmtId="165" fontId="51" fillId="28" borderId="10" xfId="37" applyFont="1" applyFill="1" applyBorder="1" applyAlignment="1">
      <alignment horizontal="right"/>
    </xf>
    <xf numFmtId="0" fontId="11" fillId="0" borderId="0" xfId="85" applyFont="1" applyFill="1" applyAlignment="1">
      <alignment horizontal="left"/>
    </xf>
    <xf numFmtId="0" fontId="13" fillId="0" borderId="0" xfId="85" applyFont="1" applyFill="1" applyAlignment="1">
      <alignment horizontal="center"/>
    </xf>
    <xf numFmtId="0" fontId="13" fillId="0" borderId="50" xfId="85" applyFont="1" applyFill="1" applyBorder="1" applyAlignment="1">
      <alignment horizontal="center"/>
    </xf>
    <xf numFmtId="0" fontId="17" fillId="0" borderId="10" xfId="85" applyFill="1" applyBorder="1" applyAlignment="1">
      <alignment horizontal="center"/>
    </xf>
    <xf numFmtId="1" fontId="17" fillId="0" borderId="10" xfId="85" applyNumberFormat="1" applyFill="1" applyBorder="1" applyAlignment="1">
      <alignment horizontal="center"/>
    </xf>
    <xf numFmtId="167" fontId="17" fillId="0" borderId="0" xfId="85" applyNumberFormat="1" applyFill="1" applyAlignment="1">
      <alignment horizontal="center"/>
    </xf>
    <xf numFmtId="0" fontId="13" fillId="0" borderId="10" xfId="85" applyFont="1" applyFill="1" applyBorder="1" applyAlignment="1">
      <alignment horizontal="right"/>
    </xf>
    <xf numFmtId="0" fontId="13" fillId="0" borderId="10" xfId="85" applyFont="1" applyFill="1" applyBorder="1" applyAlignment="1">
      <alignment horizontal="center"/>
    </xf>
    <xf numFmtId="1" fontId="17" fillId="0" borderId="0" xfId="85" applyNumberFormat="1" applyFill="1" applyAlignment="1">
      <alignment horizontal="center"/>
    </xf>
    <xf numFmtId="174" fontId="4" fillId="0" borderId="47" xfId="0" applyNumberFormat="1" applyFont="1" applyBorder="1"/>
    <xf numFmtId="174" fontId="4" fillId="0" borderId="48" xfId="0" applyNumberFormat="1" applyFont="1" applyBorder="1"/>
    <xf numFmtId="2" fontId="38" fillId="28" borderId="86" xfId="37" applyNumberFormat="1" applyFont="1" applyFill="1" applyBorder="1" applyAlignment="1">
      <alignment horizontal="right"/>
    </xf>
    <xf numFmtId="1" fontId="17" fillId="0" borderId="35" xfId="85" applyNumberFormat="1" applyFill="1" applyBorder="1" applyAlignment="1">
      <alignment horizontal="center"/>
    </xf>
    <xf numFmtId="0" fontId="5" fillId="0" borderId="0" xfId="85" applyFont="1" applyFill="1" applyAlignment="1">
      <alignment horizontal="center"/>
    </xf>
    <xf numFmtId="0" fontId="17" fillId="0" borderId="10" xfId="85" applyFill="1" applyBorder="1" applyAlignment="1">
      <alignment horizontal="centerContinuous"/>
    </xf>
    <xf numFmtId="0" fontId="5" fillId="0" borderId="10" xfId="85" applyFont="1" applyFill="1" applyBorder="1" applyAlignment="1">
      <alignment horizontal="right"/>
    </xf>
    <xf numFmtId="0" fontId="13" fillId="0" borderId="10" xfId="85" applyFont="1" applyFill="1" applyBorder="1" applyAlignment="1">
      <alignment horizontal="centerContinuous"/>
    </xf>
    <xf numFmtId="10" fontId="5" fillId="0" borderId="10" xfId="88" applyNumberFormat="1" applyFont="1" applyFill="1" applyBorder="1"/>
    <xf numFmtId="10" fontId="5" fillId="0" borderId="10" xfId="88" applyNumberFormat="1" applyFont="1" applyFill="1" applyBorder="1" applyAlignment="1">
      <alignment horizontal="right"/>
    </xf>
    <xf numFmtId="10" fontId="4" fillId="0" borderId="41" xfId="88" applyNumberFormat="1" applyFont="1" applyFill="1" applyBorder="1" applyAlignment="1">
      <alignment horizontal="center"/>
    </xf>
    <xf numFmtId="0" fontId="17" fillId="0" borderId="91" xfId="85" applyFill="1" applyBorder="1"/>
    <xf numFmtId="10" fontId="5" fillId="0" borderId="91" xfId="85" applyNumberFormat="1" applyFont="1" applyFill="1" applyBorder="1" applyAlignment="1">
      <alignment horizontal="right"/>
    </xf>
    <xf numFmtId="0" fontId="17" fillId="0" borderId="10" xfId="85" applyFill="1" applyBorder="1" applyAlignment="1">
      <alignment horizontal="right"/>
    </xf>
    <xf numFmtId="0" fontId="17" fillId="0" borderId="91" xfId="85" applyFill="1" applyBorder="1" applyAlignment="1">
      <alignment horizontal="right"/>
    </xf>
    <xf numFmtId="10" fontId="5" fillId="0" borderId="0" xfId="85" applyNumberFormat="1" applyFont="1" applyFill="1" applyAlignment="1">
      <alignment horizontal="right"/>
    </xf>
    <xf numFmtId="0" fontId="17" fillId="0" borderId="0" xfId="85" applyFill="1" applyAlignment="1">
      <alignment horizontal="right"/>
    </xf>
    <xf numFmtId="2" fontId="5" fillId="0" borderId="83" xfId="85" applyNumberFormat="1" applyFont="1" applyFill="1" applyBorder="1" applyAlignment="1">
      <alignment horizontal="center"/>
    </xf>
    <xf numFmtId="2" fontId="5" fillId="0" borderId="83" xfId="85" applyNumberFormat="1" applyFont="1" applyFill="1" applyBorder="1"/>
    <xf numFmtId="2" fontId="5" fillId="0" borderId="10" xfId="85" applyNumberFormat="1" applyFont="1" applyFill="1" applyBorder="1"/>
    <xf numFmtId="0" fontId="14" fillId="0" borderId="0" xfId="0" applyFont="1" applyAlignment="1">
      <alignment vertical="center"/>
    </xf>
    <xf numFmtId="0" fontId="9" fillId="0" borderId="10" xfId="0" applyFont="1" applyBorder="1" applyAlignment="1">
      <alignment horizontal="left" vertical="center"/>
    </xf>
    <xf numFmtId="167" fontId="17" fillId="0" borderId="10" xfId="85" applyNumberFormat="1" applyFill="1" applyBorder="1" applyAlignment="1">
      <alignment horizontal="right"/>
    </xf>
    <xf numFmtId="1" fontId="5" fillId="0" borderId="10" xfId="85" applyNumberFormat="1" applyFont="1" applyFill="1" applyBorder="1" applyAlignment="1">
      <alignment horizontal="right"/>
    </xf>
    <xf numFmtId="2" fontId="17" fillId="0" borderId="10" xfId="85" applyNumberFormat="1" applyFill="1" applyBorder="1" applyAlignment="1">
      <alignment horizontal="right"/>
    </xf>
    <xf numFmtId="1" fontId="17" fillId="0" borderId="10" xfId="85" applyNumberFormat="1" applyFill="1" applyBorder="1" applyAlignment="1">
      <alignment horizontal="right"/>
    </xf>
    <xf numFmtId="10" fontId="0" fillId="0" borderId="40" xfId="88" applyNumberFormat="1" applyFont="1" applyFill="1" applyBorder="1"/>
    <xf numFmtId="10" fontId="0" fillId="0" borderId="41" xfId="88" applyNumberFormat="1" applyFont="1" applyFill="1" applyBorder="1"/>
    <xf numFmtId="2" fontId="0" fillId="0" borderId="41" xfId="0" applyNumberFormat="1" applyBorder="1"/>
    <xf numFmtId="0" fontId="0" fillId="0" borderId="91" xfId="0" applyBorder="1"/>
    <xf numFmtId="0" fontId="4" fillId="0" borderId="10" xfId="84" applyFont="1" applyBorder="1" applyAlignment="1" applyProtection="1">
      <alignment horizontal="right" wrapText="1"/>
      <protection locked="0"/>
    </xf>
    <xf numFmtId="0" fontId="32" fillId="0" borderId="0" xfId="78" applyFont="1"/>
    <xf numFmtId="0" fontId="32" fillId="0" borderId="10" xfId="78" applyFont="1" applyBorder="1"/>
    <xf numFmtId="0" fontId="32" fillId="0" borderId="10" xfId="78" applyFont="1" applyBorder="1" applyAlignment="1">
      <alignment vertical="top" wrapText="1"/>
    </xf>
    <xf numFmtId="0" fontId="32" fillId="0" borderId="0" xfId="78" applyFont="1" applyAlignment="1">
      <alignment vertical="top" wrapText="1"/>
    </xf>
    <xf numFmtId="0" fontId="49" fillId="0" borderId="10" xfId="78" applyFont="1" applyBorder="1"/>
    <xf numFmtId="2" fontId="32" fillId="0" borderId="10" xfId="78" applyNumberFormat="1" applyFont="1" applyBorder="1"/>
    <xf numFmtId="0" fontId="49" fillId="0" borderId="10" xfId="78" applyFont="1" applyBorder="1" applyAlignment="1">
      <alignment wrapText="1"/>
    </xf>
    <xf numFmtId="0" fontId="42" fillId="0" borderId="10" xfId="78" applyFont="1" applyBorder="1"/>
    <xf numFmtId="0" fontId="83" fillId="0" borderId="10" xfId="78" applyFont="1" applyBorder="1" applyAlignment="1">
      <alignment horizontal="center" vertical="top" wrapText="1"/>
    </xf>
    <xf numFmtId="0" fontId="42" fillId="0" borderId="0" xfId="78" applyFont="1" applyAlignment="1">
      <alignment vertical="top" wrapText="1"/>
    </xf>
    <xf numFmtId="0" fontId="42" fillId="0" borderId="0" xfId="78" applyFont="1"/>
    <xf numFmtId="2" fontId="4" fillId="0" borderId="0" xfId="0" applyNumberFormat="1" applyFont="1" applyAlignment="1">
      <alignment horizontal="center"/>
    </xf>
    <xf numFmtId="173" fontId="17" fillId="0" borderId="0" xfId="85" applyNumberFormat="1" applyFill="1"/>
    <xf numFmtId="2" fontId="4" fillId="0" borderId="47" xfId="0" applyNumberFormat="1" applyFont="1" applyBorder="1"/>
    <xf numFmtId="2" fontId="4" fillId="0" borderId="48" xfId="0" applyNumberFormat="1" applyFont="1" applyBorder="1"/>
    <xf numFmtId="9" fontId="0" fillId="0" borderId="0" xfId="88" applyFont="1" applyFill="1"/>
    <xf numFmtId="10" fontId="4" fillId="0" borderId="10" xfId="85" applyNumberFormat="1" applyFont="1" applyFill="1" applyBorder="1"/>
    <xf numFmtId="1" fontId="0" fillId="0" borderId="0" xfId="37" applyNumberFormat="1" applyFont="1"/>
    <xf numFmtId="0" fontId="17" fillId="0" borderId="0" xfId="0" applyFont="1"/>
    <xf numFmtId="0" fontId="5" fillId="0" borderId="42" xfId="0" applyFont="1" applyBorder="1" applyAlignment="1">
      <alignment horizontal="right"/>
    </xf>
    <xf numFmtId="2" fontId="0" fillId="29" borderId="0" xfId="0" applyNumberFormat="1" applyFill="1"/>
    <xf numFmtId="0" fontId="94" fillId="0" borderId="0" xfId="0" applyFont="1"/>
    <xf numFmtId="0" fontId="94" fillId="0" borderId="10" xfId="0" applyFont="1" applyBorder="1" applyAlignment="1">
      <alignment vertical="top" wrapText="1"/>
    </xf>
    <xf numFmtId="0" fontId="94" fillId="0" borderId="10" xfId="0" applyFont="1" applyBorder="1" applyAlignment="1">
      <alignment horizontal="center" vertical="top" wrapText="1"/>
    </xf>
    <xf numFmtId="9" fontId="0" fillId="0" borderId="10" xfId="88" applyFont="1" applyBorder="1" applyAlignment="1">
      <alignment horizontal="center"/>
    </xf>
    <xf numFmtId="0" fontId="94" fillId="0" borderId="10" xfId="0" applyFont="1" applyBorder="1"/>
    <xf numFmtId="190" fontId="31" fillId="0" borderId="0" xfId="85" applyNumberFormat="1" applyFont="1" applyFill="1" applyAlignment="1">
      <alignment horizontal="center"/>
    </xf>
    <xf numFmtId="195" fontId="0" fillId="0" borderId="0" xfId="0" applyNumberFormat="1" applyAlignment="1">
      <alignment horizontal="center"/>
    </xf>
    <xf numFmtId="2" fontId="94" fillId="0" borderId="10" xfId="0" applyNumberFormat="1" applyFont="1" applyBorder="1"/>
    <xf numFmtId="10" fontId="0" fillId="0" borderId="10" xfId="88" applyNumberFormat="1" applyFont="1" applyBorder="1"/>
    <xf numFmtId="0" fontId="21" fillId="0" borderId="10" xfId="0" applyFont="1" applyBorder="1" applyAlignment="1">
      <alignment wrapText="1"/>
    </xf>
    <xf numFmtId="167" fontId="38" fillId="0" borderId="0" xfId="85" applyNumberFormat="1" applyFont="1" applyFill="1" applyAlignment="1">
      <alignment horizontal="center"/>
    </xf>
    <xf numFmtId="167" fontId="38" fillId="0" borderId="0" xfId="85" applyNumberFormat="1" applyFont="1" applyFill="1"/>
    <xf numFmtId="167" fontId="4" fillId="0" borderId="10" xfId="0" applyNumberFormat="1" applyFont="1" applyBorder="1"/>
    <xf numFmtId="0" fontId="17" fillId="0" borderId="0" xfId="80" applyFill="1"/>
    <xf numFmtId="0" fontId="14" fillId="0" borderId="0" xfId="80" applyFont="1" applyFill="1"/>
    <xf numFmtId="0" fontId="5" fillId="0" borderId="0" xfId="80" applyFont="1" applyFill="1" applyAlignment="1">
      <alignment horizontal="right"/>
    </xf>
    <xf numFmtId="0" fontId="5" fillId="0" borderId="0" xfId="80" applyFont="1" applyFill="1"/>
    <xf numFmtId="2" fontId="32" fillId="0" borderId="0" xfId="78" applyNumberFormat="1" applyFont="1"/>
    <xf numFmtId="168" fontId="4" fillId="0" borderId="0" xfId="0" applyNumberFormat="1" applyFont="1"/>
    <xf numFmtId="2" fontId="4" fillId="0" borderId="46" xfId="0" applyNumberFormat="1" applyFont="1" applyBorder="1"/>
    <xf numFmtId="0" fontId="96" fillId="32" borderId="118" xfId="0" applyFont="1" applyFill="1" applyBorder="1" applyAlignment="1">
      <alignment horizontal="center" vertical="center" wrapText="1" readingOrder="1"/>
    </xf>
    <xf numFmtId="0" fontId="96" fillId="0" borderId="118" xfId="0" applyFont="1" applyBorder="1" applyAlignment="1">
      <alignment horizontal="center" vertical="center" wrapText="1" readingOrder="1"/>
    </xf>
    <xf numFmtId="0" fontId="97" fillId="0" borderId="118" xfId="0" applyFont="1" applyBorder="1" applyAlignment="1">
      <alignment horizontal="left" vertical="center" wrapText="1" readingOrder="1"/>
    </xf>
    <xf numFmtId="0" fontId="98" fillId="0" borderId="118" xfId="0" applyFont="1" applyBorder="1" applyAlignment="1">
      <alignment horizontal="center" vertical="center" wrapText="1" readingOrder="1"/>
    </xf>
    <xf numFmtId="0" fontId="98" fillId="0" borderId="118" xfId="0" applyFont="1" applyBorder="1" applyAlignment="1">
      <alignment horizontal="left" vertical="center" wrapText="1" readingOrder="1"/>
    </xf>
    <xf numFmtId="0" fontId="98" fillId="0" borderId="118" xfId="0" applyFont="1" applyBorder="1" applyAlignment="1">
      <alignment horizontal="right" vertical="center" wrapText="1"/>
    </xf>
    <xf numFmtId="0" fontId="96" fillId="0" borderId="118" xfId="0" applyFont="1" applyBorder="1" applyAlignment="1">
      <alignment horizontal="left" vertical="center" wrapText="1" readingOrder="1"/>
    </xf>
    <xf numFmtId="0" fontId="99" fillId="0" borderId="118" xfId="0" applyFont="1" applyBorder="1" applyAlignment="1">
      <alignment horizontal="left" vertical="center" wrapText="1" readingOrder="1"/>
    </xf>
    <xf numFmtId="0" fontId="100" fillId="0" borderId="118" xfId="0" applyFont="1" applyBorder="1" applyAlignment="1">
      <alignment horizontal="left" vertical="center" wrapText="1" readingOrder="1"/>
    </xf>
    <xf numFmtId="0" fontId="100" fillId="0" borderId="118" xfId="0" applyFont="1" applyBorder="1" applyAlignment="1">
      <alignment horizontal="right" vertical="center" wrapText="1"/>
    </xf>
    <xf numFmtId="0" fontId="101" fillId="0" borderId="118" xfId="0" applyFont="1" applyBorder="1" applyAlignment="1">
      <alignment horizontal="left" vertical="center" wrapText="1" readingOrder="1"/>
    </xf>
    <xf numFmtId="0" fontId="102" fillId="0" borderId="118" xfId="0" applyFont="1" applyBorder="1" applyAlignment="1">
      <alignment horizontal="left" vertical="center" wrapText="1" readingOrder="1"/>
    </xf>
    <xf numFmtId="0" fontId="102" fillId="0" borderId="118" xfId="0" applyFont="1" applyBorder="1" applyAlignment="1">
      <alignment horizontal="right" vertical="center" wrapText="1"/>
    </xf>
    <xf numFmtId="0" fontId="103" fillId="0" borderId="118" xfId="0" applyFont="1" applyBorder="1" applyAlignment="1">
      <alignment horizontal="left" vertical="center" wrapText="1" readingOrder="1"/>
    </xf>
    <xf numFmtId="2" fontId="98" fillId="0" borderId="118" xfId="0" applyNumberFormat="1" applyFont="1" applyBorder="1" applyAlignment="1">
      <alignment horizontal="right" vertical="center" wrapText="1"/>
    </xf>
    <xf numFmtId="2" fontId="96" fillId="0" borderId="118" xfId="0" applyNumberFormat="1" applyFont="1" applyBorder="1" applyAlignment="1">
      <alignment horizontal="right" vertical="center" wrapText="1"/>
    </xf>
    <xf numFmtId="2" fontId="99" fillId="0" borderId="118" xfId="0" applyNumberFormat="1" applyFont="1" applyBorder="1" applyAlignment="1">
      <alignment horizontal="right" vertical="center" wrapText="1"/>
    </xf>
    <xf numFmtId="2" fontId="97" fillId="0" borderId="118" xfId="0" applyNumberFormat="1" applyFont="1" applyBorder="1" applyAlignment="1">
      <alignment horizontal="right" vertical="center" wrapText="1"/>
    </xf>
    <xf numFmtId="2" fontId="101" fillId="0" borderId="118" xfId="0" applyNumberFormat="1" applyFont="1" applyBorder="1" applyAlignment="1">
      <alignment horizontal="right" vertical="center" wrapText="1"/>
    </xf>
    <xf numFmtId="2" fontId="100" fillId="0" borderId="118" xfId="0" applyNumberFormat="1" applyFont="1" applyBorder="1" applyAlignment="1">
      <alignment horizontal="right" vertical="center" wrapText="1"/>
    </xf>
    <xf numFmtId="2" fontId="103" fillId="0" borderId="118" xfId="0" applyNumberFormat="1" applyFont="1" applyBorder="1" applyAlignment="1">
      <alignment horizontal="right" vertical="center" wrapText="1"/>
    </xf>
    <xf numFmtId="2" fontId="102" fillId="0" borderId="118" xfId="0" applyNumberFormat="1" applyFont="1" applyBorder="1" applyAlignment="1">
      <alignment horizontal="right" vertical="center" wrapText="1"/>
    </xf>
    <xf numFmtId="0" fontId="105" fillId="0" borderId="118" xfId="0" applyFont="1" applyBorder="1" applyAlignment="1">
      <alignment horizontal="left" vertical="center" wrapText="1" readingOrder="1"/>
    </xf>
    <xf numFmtId="1" fontId="23" fillId="0" borderId="0" xfId="0" applyNumberFormat="1" applyFont="1"/>
    <xf numFmtId="0" fontId="3" fillId="0" borderId="10" xfId="0" applyFont="1" applyBorder="1"/>
    <xf numFmtId="0" fontId="3" fillId="0" borderId="0" xfId="85" applyFont="1" applyFill="1" applyAlignment="1">
      <alignment horizontal="center"/>
    </xf>
    <xf numFmtId="175" fontId="17" fillId="0" borderId="0" xfId="85" applyNumberFormat="1" applyFill="1" applyAlignment="1">
      <alignment horizontal="center"/>
    </xf>
    <xf numFmtId="0" fontId="3" fillId="0" borderId="0" xfId="85" applyFont="1" applyFill="1"/>
    <xf numFmtId="0" fontId="3" fillId="0" borderId="0" xfId="0" applyFont="1"/>
    <xf numFmtId="2" fontId="26" fillId="33" borderId="0" xfId="0" applyNumberFormat="1" applyFont="1" applyFill="1"/>
    <xf numFmtId="2" fontId="4" fillId="0" borderId="73" xfId="0" applyNumberFormat="1" applyFont="1" applyBorder="1"/>
    <xf numFmtId="0" fontId="3" fillId="0" borderId="10" xfId="0" applyFont="1" applyBorder="1" applyAlignment="1">
      <alignment wrapText="1"/>
    </xf>
    <xf numFmtId="0" fontId="6" fillId="0" borderId="52" xfId="0" applyFont="1" applyBorder="1"/>
    <xf numFmtId="168" fontId="4" fillId="0" borderId="45" xfId="0" applyNumberFormat="1" applyFont="1" applyBorder="1"/>
    <xf numFmtId="10" fontId="0" fillId="29" borderId="0" xfId="0" applyNumberFormat="1" applyFill="1"/>
    <xf numFmtId="0" fontId="17" fillId="0" borderId="0" xfId="115" applyFill="1" applyAlignment="1">
      <alignment horizontal="center" vertical="center"/>
    </xf>
    <xf numFmtId="0" fontId="14" fillId="0" borderId="0" xfId="115" applyFont="1" applyFill="1"/>
    <xf numFmtId="0" fontId="15" fillId="0" borderId="0" xfId="115" applyFont="1" applyFill="1" applyAlignment="1">
      <alignment vertical="center"/>
    </xf>
    <xf numFmtId="0" fontId="5" fillId="0" borderId="0" xfId="115" applyFont="1" applyFill="1" applyAlignment="1">
      <alignment horizontal="right" vertical="center"/>
    </xf>
    <xf numFmtId="0" fontId="5" fillId="0" borderId="0" xfId="115" applyFont="1" applyFill="1" applyAlignment="1">
      <alignment vertical="center"/>
    </xf>
    <xf numFmtId="0" fontId="17" fillId="0" borderId="0" xfId="115" applyFill="1" applyAlignment="1">
      <alignment vertical="center"/>
    </xf>
    <xf numFmtId="0" fontId="14" fillId="0" borderId="0" xfId="115" applyFont="1" applyFill="1" applyAlignment="1">
      <alignment vertical="center"/>
    </xf>
    <xf numFmtId="0" fontId="16" fillId="0" borderId="0" xfId="115" applyFont="1" applyFill="1" applyAlignment="1">
      <alignment vertical="center"/>
    </xf>
    <xf numFmtId="0" fontId="13" fillId="0" borderId="19" xfId="115" applyFont="1" applyFill="1" applyBorder="1" applyAlignment="1">
      <alignment horizontal="center" vertical="center"/>
    </xf>
    <xf numFmtId="0" fontId="14" fillId="0" borderId="0" xfId="115" applyFont="1" applyFill="1" applyAlignment="1">
      <alignment horizontal="center" vertical="center"/>
    </xf>
    <xf numFmtId="0" fontId="17" fillId="0" borderId="19" xfId="115" applyFill="1" applyBorder="1" applyAlignment="1">
      <alignment horizontal="center" vertical="center"/>
    </xf>
    <xf numFmtId="0" fontId="15" fillId="0" borderId="10" xfId="115" applyFont="1" applyFill="1" applyBorder="1" applyAlignment="1">
      <alignment vertical="center"/>
    </xf>
    <xf numFmtId="0" fontId="14" fillId="0" borderId="10" xfId="115" applyFont="1" applyFill="1" applyBorder="1" applyAlignment="1">
      <alignment vertical="center"/>
    </xf>
    <xf numFmtId="0" fontId="17" fillId="0" borderId="0" xfId="115" applyFill="1" applyAlignment="1">
      <alignment horizontal="center" vertical="center" wrapText="1"/>
    </xf>
    <xf numFmtId="0" fontId="15" fillId="0" borderId="10" xfId="115" applyFont="1" applyFill="1" applyBorder="1" applyAlignment="1">
      <alignment horizontal="center" vertical="center"/>
    </xf>
    <xf numFmtId="168" fontId="15" fillId="0" borderId="10" xfId="115" applyNumberFormat="1" applyFont="1" applyFill="1" applyBorder="1" applyAlignment="1">
      <alignment horizontal="center" vertical="center" wrapText="1"/>
    </xf>
    <xf numFmtId="167" fontId="15" fillId="0" borderId="10" xfId="115" applyNumberFormat="1" applyFont="1" applyFill="1" applyBorder="1" applyAlignment="1">
      <alignment vertical="center"/>
    </xf>
    <xf numFmtId="2" fontId="15" fillId="0" borderId="10" xfId="115" applyNumberFormat="1" applyFont="1" applyFill="1" applyBorder="1" applyAlignment="1">
      <alignment vertical="center"/>
    </xf>
    <xf numFmtId="0" fontId="15" fillId="0" borderId="10" xfId="115" applyFont="1" applyFill="1" applyBorder="1" applyAlignment="1">
      <alignment vertical="center" wrapText="1"/>
    </xf>
    <xf numFmtId="0" fontId="15" fillId="0" borderId="0" xfId="115" applyFont="1" applyFill="1" applyAlignment="1">
      <alignment vertical="center" wrapText="1"/>
    </xf>
    <xf numFmtId="0" fontId="13" fillId="0" borderId="0" xfId="115" applyFont="1" applyFill="1" applyAlignment="1">
      <alignment horizontal="center" vertical="center"/>
    </xf>
    <xf numFmtId="0" fontId="14" fillId="0" borderId="10" xfId="115" applyFont="1" applyFill="1" applyBorder="1" applyAlignment="1">
      <alignment vertical="center" wrapText="1"/>
    </xf>
    <xf numFmtId="2" fontId="17" fillId="0" borderId="0" xfId="115" applyNumberFormat="1" applyFill="1" applyAlignment="1">
      <alignment vertical="center"/>
    </xf>
    <xf numFmtId="0" fontId="16" fillId="0" borderId="10" xfId="115" applyFont="1" applyFill="1" applyBorder="1" applyAlignment="1">
      <alignment vertical="center" wrapText="1"/>
    </xf>
    <xf numFmtId="0" fontId="15" fillId="0" borderId="10" xfId="115" applyFont="1" applyFill="1" applyBorder="1" applyAlignment="1">
      <alignment horizontal="right" vertical="center"/>
    </xf>
    <xf numFmtId="0" fontId="13" fillId="0" borderId="10" xfId="115" applyFont="1" applyFill="1" applyBorder="1" applyAlignment="1">
      <alignment vertical="center" wrapText="1"/>
    </xf>
    <xf numFmtId="0" fontId="17" fillId="0" borderId="27" xfId="115" applyFill="1" applyBorder="1" applyAlignment="1">
      <alignment horizontal="center" vertical="center"/>
    </xf>
    <xf numFmtId="0" fontId="17" fillId="0" borderId="0" xfId="115" applyFill="1" applyAlignment="1">
      <alignment vertical="center" wrapText="1"/>
    </xf>
    <xf numFmtId="0" fontId="17" fillId="0" borderId="0" xfId="115" applyFill="1"/>
    <xf numFmtId="0" fontId="5" fillId="0" borderId="0" xfId="115" applyFont="1" applyFill="1"/>
    <xf numFmtId="0" fontId="14" fillId="0" borderId="0" xfId="115" applyFont="1" applyFill="1" applyAlignment="1">
      <alignment horizontal="left" vertical="center"/>
    </xf>
    <xf numFmtId="0" fontId="15" fillId="0" borderId="10" xfId="115" applyFont="1" applyFill="1" applyBorder="1" applyAlignment="1">
      <alignment horizontal="left" vertical="center" wrapText="1"/>
    </xf>
    <xf numFmtId="167" fontId="17" fillId="0" borderId="0" xfId="115" applyNumberFormat="1" applyFill="1" applyAlignment="1">
      <alignment vertical="center"/>
    </xf>
    <xf numFmtId="0" fontId="15" fillId="0" borderId="0" xfId="115" applyFont="1" applyFill="1"/>
    <xf numFmtId="0" fontId="5" fillId="0" borderId="0" xfId="115" applyFont="1" applyFill="1" applyAlignment="1">
      <alignment horizontal="right"/>
    </xf>
    <xf numFmtId="0" fontId="14" fillId="0" borderId="0" xfId="115" applyFont="1" applyFill="1" applyAlignment="1">
      <alignment horizontal="left"/>
    </xf>
    <xf numFmtId="0" fontId="17" fillId="0" borderId="10" xfId="115" applyFill="1" applyBorder="1"/>
    <xf numFmtId="0" fontId="15" fillId="0" borderId="10" xfId="115" applyFont="1" applyFill="1" applyBorder="1" applyAlignment="1">
      <alignment horizontal="center"/>
    </xf>
    <xf numFmtId="0" fontId="15" fillId="0" borderId="10" xfId="115" applyFont="1" applyFill="1" applyBorder="1"/>
    <xf numFmtId="0" fontId="15" fillId="0" borderId="22" xfId="115" applyFont="1" applyFill="1" applyBorder="1"/>
    <xf numFmtId="168" fontId="15" fillId="0" borderId="10" xfId="115" applyNumberFormat="1" applyFont="1" applyFill="1" applyBorder="1" applyAlignment="1">
      <alignment horizontal="center"/>
    </xf>
    <xf numFmtId="167" fontId="15" fillId="0" borderId="10" xfId="115" applyNumberFormat="1" applyFont="1" applyFill="1" applyBorder="1"/>
    <xf numFmtId="0" fontId="13" fillId="0" borderId="10" xfId="115" applyFont="1" applyFill="1" applyBorder="1" applyAlignment="1">
      <alignment horizontal="center" vertical="center" wrapText="1"/>
    </xf>
    <xf numFmtId="0" fontId="15" fillId="0" borderId="0" xfId="115" applyFont="1" applyFill="1" applyAlignment="1">
      <alignment horizontal="center"/>
    </xf>
    <xf numFmtId="167" fontId="17" fillId="0" borderId="0" xfId="115" applyNumberFormat="1" applyFill="1"/>
    <xf numFmtId="0" fontId="13" fillId="0" borderId="0" xfId="115" applyFont="1" applyFill="1"/>
    <xf numFmtId="2" fontId="33" fillId="0" borderId="0" xfId="85" applyNumberFormat="1" applyFont="1" applyFill="1"/>
    <xf numFmtId="0" fontId="3" fillId="0" borderId="52" xfId="85" applyFont="1" applyFill="1" applyBorder="1"/>
    <xf numFmtId="0" fontId="3" fillId="0" borderId="0" xfId="0" applyFont="1" applyAlignment="1">
      <alignment horizontal="left"/>
    </xf>
    <xf numFmtId="0" fontId="0" fillId="33" borderId="0" xfId="0" applyFill="1"/>
    <xf numFmtId="0" fontId="3" fillId="0" borderId="10" xfId="84" applyBorder="1" applyAlignment="1" applyProtection="1">
      <alignment wrapText="1"/>
      <protection locked="0"/>
    </xf>
    <xf numFmtId="1" fontId="3" fillId="0" borderId="0" xfId="0" applyNumberFormat="1" applyFont="1"/>
    <xf numFmtId="167" fontId="3" fillId="0" borderId="0" xfId="85" applyNumberFormat="1" applyFont="1" applyFill="1"/>
    <xf numFmtId="190" fontId="3" fillId="0" borderId="0" xfId="85" applyNumberFormat="1" applyFont="1" applyFill="1"/>
    <xf numFmtId="2" fontId="3" fillId="0" borderId="0" xfId="85" applyNumberFormat="1" applyFont="1" applyFill="1"/>
    <xf numFmtId="9" fontId="5" fillId="0" borderId="41" xfId="85" applyNumberFormat="1" applyFont="1" applyFill="1" applyBorder="1"/>
    <xf numFmtId="168" fontId="17" fillId="0" borderId="0" xfId="115" applyNumberFormat="1" applyFill="1" applyAlignment="1">
      <alignment vertical="center"/>
    </xf>
    <xf numFmtId="0" fontId="3" fillId="29" borderId="0" xfId="0" applyFont="1" applyFill="1"/>
    <xf numFmtId="0" fontId="0" fillId="29" borderId="0" xfId="0" applyFill="1"/>
    <xf numFmtId="1" fontId="3" fillId="0" borderId="10" xfId="85" applyNumberFormat="1" applyFont="1" applyFill="1" applyBorder="1" applyAlignment="1">
      <alignment horizontal="center"/>
    </xf>
    <xf numFmtId="0" fontId="3" fillId="0" borderId="10" xfId="85" applyFont="1" applyFill="1" applyBorder="1"/>
    <xf numFmtId="0" fontId="17" fillId="0" borderId="10" xfId="115" applyFill="1" applyBorder="1" applyAlignment="1">
      <alignment horizontal="center" vertical="center"/>
    </xf>
    <xf numFmtId="0" fontId="15" fillId="0" borderId="10" xfId="115" applyFont="1" applyFill="1" applyBorder="1" applyAlignment="1">
      <alignment horizontal="center" vertical="center" wrapText="1"/>
    </xf>
    <xf numFmtId="0" fontId="14" fillId="0" borderId="10" xfId="115" applyFont="1" applyFill="1" applyBorder="1" applyAlignment="1">
      <alignment horizontal="center" vertical="center" wrapText="1"/>
    </xf>
    <xf numFmtId="2" fontId="15" fillId="0" borderId="0" xfId="115" applyNumberFormat="1" applyFont="1" applyFill="1" applyAlignment="1">
      <alignment vertical="center"/>
    </xf>
    <xf numFmtId="167" fontId="15" fillId="0" borderId="0" xfId="115" applyNumberFormat="1" applyFont="1" applyFill="1" applyAlignment="1">
      <alignment vertical="center"/>
    </xf>
    <xf numFmtId="0" fontId="19" fillId="0" borderId="10" xfId="85" applyFont="1" applyFill="1" applyBorder="1" applyAlignment="1">
      <alignment horizontal="center"/>
    </xf>
    <xf numFmtId="0" fontId="26" fillId="0" borderId="10" xfId="0" applyFont="1" applyBorder="1"/>
    <xf numFmtId="1" fontId="26" fillId="0" borderId="10" xfId="0" applyNumberFormat="1" applyFont="1" applyBorder="1"/>
    <xf numFmtId="167" fontId="26" fillId="0" borderId="10" xfId="0" applyNumberFormat="1" applyFont="1" applyBorder="1"/>
    <xf numFmtId="1" fontId="6" fillId="0" borderId="10" xfId="0" applyNumberFormat="1" applyFont="1" applyBorder="1"/>
    <xf numFmtId="10" fontId="26" fillId="0" borderId="10" xfId="88" applyNumberFormat="1" applyFont="1" applyBorder="1"/>
    <xf numFmtId="2" fontId="26" fillId="0" borderId="10" xfId="0" applyNumberFormat="1" applyFont="1" applyBorder="1"/>
    <xf numFmtId="10" fontId="26" fillId="0" borderId="10" xfId="0" applyNumberFormat="1" applyFont="1" applyBorder="1"/>
    <xf numFmtId="0" fontId="26" fillId="0" borderId="38" xfId="0" applyFont="1" applyBorder="1"/>
    <xf numFmtId="1" fontId="26" fillId="0" borderId="38" xfId="0" applyNumberFormat="1" applyFont="1" applyBorder="1"/>
    <xf numFmtId="0" fontId="5" fillId="0" borderId="53" xfId="0" applyFont="1" applyBorder="1"/>
    <xf numFmtId="0" fontId="5" fillId="0" borderId="53" xfId="0" applyFont="1" applyBorder="1" applyAlignment="1">
      <alignment horizontal="center"/>
    </xf>
    <xf numFmtId="0" fontId="5" fillId="0" borderId="53" xfId="0" applyFont="1" applyBorder="1" applyAlignment="1">
      <alignment horizontal="center" wrapText="1"/>
    </xf>
    <xf numFmtId="0" fontId="3" fillId="0" borderId="0" xfId="118"/>
    <xf numFmtId="0" fontId="11" fillId="0" borderId="81" xfId="85" applyFont="1" applyFill="1" applyBorder="1" applyAlignment="1">
      <alignment horizontal="left"/>
    </xf>
    <xf numFmtId="0" fontId="3" fillId="0" borderId="19" xfId="85" applyFont="1" applyFill="1" applyBorder="1"/>
    <xf numFmtId="0" fontId="3" fillId="0" borderId="27" xfId="85" applyFont="1" applyFill="1" applyBorder="1"/>
    <xf numFmtId="0" fontId="3" fillId="0" borderId="40" xfId="85" applyFont="1" applyFill="1" applyBorder="1"/>
    <xf numFmtId="0" fontId="3" fillId="0" borderId="10" xfId="85" applyFont="1" applyFill="1" applyBorder="1" applyAlignment="1">
      <alignment horizontal="center"/>
    </xf>
    <xf numFmtId="0" fontId="3" fillId="0" borderId="33" xfId="85" applyFont="1" applyFill="1" applyBorder="1"/>
    <xf numFmtId="0" fontId="3" fillId="0" borderId="40" xfId="85" applyFont="1" applyFill="1" applyBorder="1" applyAlignment="1">
      <alignment horizontal="center"/>
    </xf>
    <xf numFmtId="167" fontId="3" fillId="0" borderId="10" xfId="85" applyNumberFormat="1" applyFont="1" applyFill="1" applyBorder="1" applyAlignment="1">
      <alignment horizontal="center"/>
    </xf>
    <xf numFmtId="167" fontId="3" fillId="0" borderId="41" xfId="85" applyNumberFormat="1" applyFont="1" applyFill="1" applyBorder="1" applyAlignment="1">
      <alignment horizontal="center"/>
    </xf>
    <xf numFmtId="1" fontId="3" fillId="0" borderId="0" xfId="85" applyNumberFormat="1" applyFont="1" applyFill="1" applyAlignment="1">
      <alignment horizontal="center"/>
    </xf>
    <xf numFmtId="0" fontId="3" fillId="0" borderId="10" xfId="85" applyFont="1" applyFill="1" applyBorder="1" applyAlignment="1">
      <alignment horizontal="left"/>
    </xf>
    <xf numFmtId="1" fontId="3" fillId="0" borderId="0" xfId="85" applyNumberFormat="1" applyFont="1" applyFill="1"/>
    <xf numFmtId="0" fontId="3" fillId="0" borderId="35" xfId="85" applyFont="1" applyFill="1" applyBorder="1"/>
    <xf numFmtId="0" fontId="3" fillId="0" borderId="32" xfId="85" applyFont="1" applyFill="1" applyBorder="1"/>
    <xf numFmtId="0" fontId="3" fillId="0" borderId="34" xfId="85" applyFont="1" applyFill="1" applyBorder="1"/>
    <xf numFmtId="1" fontId="3" fillId="0" borderId="10" xfId="85" applyNumberFormat="1" applyFont="1" applyFill="1" applyBorder="1"/>
    <xf numFmtId="167" fontId="3" fillId="0" borderId="10" xfId="85" applyNumberFormat="1" applyFont="1" applyFill="1" applyBorder="1"/>
    <xf numFmtId="10" fontId="3" fillId="0" borderId="10" xfId="85" applyNumberFormat="1" applyFont="1" applyFill="1" applyBorder="1"/>
    <xf numFmtId="167" fontId="17" fillId="0" borderId="10" xfId="85" applyNumberFormat="1" applyFill="1" applyBorder="1"/>
    <xf numFmtId="0" fontId="3" fillId="0" borderId="10" xfId="85" applyFont="1" applyFill="1" applyBorder="1" applyAlignment="1">
      <alignment horizontal="right"/>
    </xf>
    <xf numFmtId="2" fontId="17" fillId="0" borderId="35" xfId="85" applyNumberFormat="1" applyFill="1" applyBorder="1"/>
    <xf numFmtId="167" fontId="17" fillId="0" borderId="35" xfId="85" applyNumberFormat="1" applyFill="1" applyBorder="1"/>
    <xf numFmtId="2" fontId="17" fillId="0" borderId="83" xfId="85" applyNumberFormat="1" applyFill="1" applyBorder="1"/>
    <xf numFmtId="2" fontId="17" fillId="0" borderId="10" xfId="85" applyNumberFormat="1" applyFill="1" applyBorder="1"/>
    <xf numFmtId="167" fontId="17" fillId="0" borderId="35" xfId="85" applyNumberFormat="1" applyFill="1" applyBorder="1" applyAlignment="1">
      <alignment horizontal="right"/>
    </xf>
    <xf numFmtId="1" fontId="17" fillId="0" borderId="35" xfId="85" applyNumberFormat="1" applyFill="1" applyBorder="1" applyAlignment="1">
      <alignment horizontal="right"/>
    </xf>
    <xf numFmtId="1" fontId="17" fillId="0" borderId="35" xfId="85" applyNumberFormat="1" applyFill="1" applyBorder="1"/>
    <xf numFmtId="0" fontId="17" fillId="0" borderId="17" xfId="85" applyFill="1" applyBorder="1" applyAlignment="1">
      <alignment horizontal="left"/>
    </xf>
    <xf numFmtId="0" fontId="17" fillId="0" borderId="35" xfId="85" applyFill="1" applyBorder="1" applyAlignment="1">
      <alignment horizontal="left"/>
    </xf>
    <xf numFmtId="2" fontId="17" fillId="0" borderId="35" xfId="85" applyNumberFormat="1" applyFill="1" applyBorder="1" applyAlignment="1">
      <alignment horizontal="right"/>
    </xf>
    <xf numFmtId="0" fontId="9" fillId="0" borderId="70" xfId="85" applyFont="1" applyFill="1" applyBorder="1" applyAlignment="1">
      <alignment horizontal="center"/>
    </xf>
    <xf numFmtId="0" fontId="9" fillId="0" borderId="76" xfId="85" applyFont="1" applyFill="1" applyBorder="1" applyAlignment="1">
      <alignment horizontal="center"/>
    </xf>
    <xf numFmtId="0" fontId="9" fillId="0" borderId="77" xfId="85" applyFont="1" applyFill="1" applyBorder="1" applyAlignment="1">
      <alignment horizontal="center"/>
    </xf>
    <xf numFmtId="0" fontId="9" fillId="0" borderId="17" xfId="85" applyFont="1" applyFill="1" applyBorder="1" applyAlignment="1">
      <alignment horizontal="center"/>
    </xf>
    <xf numFmtId="2" fontId="17" fillId="0" borderId="56" xfId="85" applyNumberFormat="1" applyFill="1" applyBorder="1"/>
    <xf numFmtId="0" fontId="17" fillId="0" borderId="77" xfId="85" applyFill="1" applyBorder="1"/>
    <xf numFmtId="167" fontId="13" fillId="0" borderId="35" xfId="85" applyNumberFormat="1" applyFont="1" applyFill="1" applyBorder="1" applyAlignment="1">
      <alignment horizontal="center"/>
    </xf>
    <xf numFmtId="1" fontId="13" fillId="0" borderId="35" xfId="85" applyNumberFormat="1" applyFont="1" applyFill="1" applyBorder="1" applyAlignment="1">
      <alignment horizontal="center"/>
    </xf>
    <xf numFmtId="1" fontId="17" fillId="0" borderId="56" xfId="85" applyNumberFormat="1" applyFill="1" applyBorder="1"/>
    <xf numFmtId="167" fontId="13" fillId="0" borderId="32" xfId="85" applyNumberFormat="1" applyFont="1" applyFill="1" applyBorder="1" applyAlignment="1">
      <alignment horizontal="center"/>
    </xf>
    <xf numFmtId="1" fontId="13" fillId="0" borderId="32" xfId="85" applyNumberFormat="1" applyFont="1" applyFill="1" applyBorder="1" applyAlignment="1">
      <alignment horizontal="center"/>
    </xf>
    <xf numFmtId="2" fontId="13" fillId="0" borderId="32" xfId="85" applyNumberFormat="1" applyFont="1" applyFill="1" applyBorder="1" applyAlignment="1">
      <alignment horizontal="center"/>
    </xf>
    <xf numFmtId="2" fontId="13" fillId="0" borderId="32" xfId="85" applyNumberFormat="1" applyFont="1" applyFill="1" applyBorder="1" applyAlignment="1">
      <alignment horizontal="right"/>
    </xf>
    <xf numFmtId="167" fontId="13" fillId="0" borderId="32" xfId="85" applyNumberFormat="1" applyFont="1" applyFill="1" applyBorder="1" applyAlignment="1">
      <alignment horizontal="right"/>
    </xf>
    <xf numFmtId="167" fontId="13" fillId="0" borderId="0" xfId="85" applyNumberFormat="1" applyFont="1" applyFill="1" applyAlignment="1">
      <alignment horizontal="center"/>
    </xf>
    <xf numFmtId="1" fontId="13" fillId="0" borderId="0" xfId="85" applyNumberFormat="1" applyFont="1" applyFill="1" applyAlignment="1">
      <alignment horizontal="center"/>
    </xf>
    <xf numFmtId="2" fontId="13" fillId="0" borderId="0" xfId="85" applyNumberFormat="1" applyFont="1" applyFill="1" applyAlignment="1">
      <alignment horizontal="right"/>
    </xf>
    <xf numFmtId="167" fontId="13" fillId="0" borderId="0" xfId="85" applyNumberFormat="1" applyFont="1" applyFill="1" applyAlignment="1">
      <alignment horizontal="right"/>
    </xf>
    <xf numFmtId="2" fontId="13" fillId="0" borderId="0" xfId="85" applyNumberFormat="1" applyFont="1" applyFill="1" applyAlignment="1">
      <alignment horizontal="center"/>
    </xf>
    <xf numFmtId="173" fontId="13" fillId="0" borderId="0" xfId="85" applyNumberFormat="1" applyFont="1" applyFill="1" applyAlignment="1">
      <alignment horizontal="right"/>
    </xf>
    <xf numFmtId="0" fontId="3" fillId="0" borderId="0" xfId="0" applyFont="1" applyAlignment="1">
      <alignment horizontal="right"/>
    </xf>
    <xf numFmtId="10" fontId="23" fillId="0" borderId="10" xfId="88" applyNumberFormat="1" applyFont="1" applyFill="1" applyBorder="1"/>
    <xf numFmtId="0" fontId="3" fillId="0" borderId="41" xfId="0" applyFont="1" applyBorder="1"/>
    <xf numFmtId="1" fontId="3" fillId="0" borderId="10" xfId="0" applyNumberFormat="1" applyFont="1" applyBorder="1"/>
    <xf numFmtId="1" fontId="3" fillId="0" borderId="41" xfId="0" applyNumberFormat="1" applyFont="1" applyBorder="1"/>
    <xf numFmtId="0" fontId="3" fillId="0" borderId="0" xfId="84" applyAlignment="1" applyProtection="1">
      <alignment wrapText="1"/>
      <protection locked="0"/>
    </xf>
    <xf numFmtId="0" fontId="3" fillId="0" borderId="0" xfId="84" applyAlignment="1" applyProtection="1">
      <alignment horizontal="centerContinuous" wrapText="1"/>
      <protection locked="0"/>
    </xf>
    <xf numFmtId="2" fontId="3" fillId="0" borderId="10" xfId="0" applyNumberFormat="1" applyFont="1" applyBorder="1" applyAlignment="1">
      <alignment horizontal="right"/>
    </xf>
    <xf numFmtId="2" fontId="3" fillId="0" borderId="50" xfId="0" applyNumberFormat="1" applyFont="1" applyBorder="1"/>
    <xf numFmtId="0" fontId="3" fillId="0" borderId="0" xfId="0" applyFont="1" applyAlignment="1">
      <alignment horizontal="centerContinuous"/>
    </xf>
    <xf numFmtId="0" fontId="3" fillId="0" borderId="10" xfId="0" applyFont="1" applyBorder="1" applyAlignment="1">
      <alignment horizontal="center" vertical="top" wrapText="1"/>
    </xf>
    <xf numFmtId="0" fontId="3" fillId="0" borderId="45" xfId="0" applyFont="1" applyBorder="1"/>
    <xf numFmtId="191" fontId="3" fillId="0" borderId="0" xfId="0" applyNumberFormat="1" applyFont="1" applyAlignment="1">
      <alignment horizontal="center"/>
    </xf>
    <xf numFmtId="15" fontId="3" fillId="0" borderId="0" xfId="0" applyNumberFormat="1" applyFont="1"/>
    <xf numFmtId="10" fontId="4" fillId="0" borderId="0" xfId="88" applyNumberFormat="1" applyFont="1" applyFill="1"/>
    <xf numFmtId="10" fontId="4" fillId="0" borderId="0" xfId="88" applyNumberFormat="1" applyFont="1" applyFill="1" applyAlignment="1">
      <alignment horizontal="center"/>
    </xf>
    <xf numFmtId="0" fontId="3" fillId="0" borderId="15" xfId="0" applyFont="1" applyBorder="1"/>
    <xf numFmtId="0" fontId="51" fillId="0" borderId="0" xfId="0" applyFont="1" applyAlignment="1">
      <alignment vertical="top" wrapText="1"/>
    </xf>
    <xf numFmtId="2" fontId="51" fillId="28" borderId="0" xfId="0" applyNumberFormat="1" applyFont="1" applyFill="1" applyAlignment="1">
      <alignment horizontal="center"/>
    </xf>
    <xf numFmtId="2" fontId="51" fillId="28" borderId="0" xfId="0" applyNumberFormat="1" applyFont="1" applyFill="1"/>
    <xf numFmtId="0" fontId="51" fillId="28" borderId="0" xfId="0" applyFont="1" applyFill="1" applyAlignment="1">
      <alignment vertical="top"/>
    </xf>
    <xf numFmtId="0" fontId="51" fillId="28" borderId="0" xfId="0" applyFont="1" applyFill="1" applyAlignment="1">
      <alignment vertical="top" wrapText="1"/>
    </xf>
    <xf numFmtId="168" fontId="51" fillId="28" borderId="0" xfId="0" applyNumberFormat="1" applyFont="1" applyFill="1" applyAlignment="1">
      <alignment horizontal="center"/>
    </xf>
    <xf numFmtId="0" fontId="51" fillId="27" borderId="85" xfId="0" applyFont="1" applyFill="1" applyBorder="1" applyAlignment="1">
      <alignment vertical="top" wrapText="1"/>
    </xf>
    <xf numFmtId="0" fontId="51" fillId="27" borderId="86" xfId="0" applyFont="1" applyFill="1" applyBorder="1" applyAlignment="1">
      <alignment vertical="top" wrapText="1"/>
    </xf>
    <xf numFmtId="0" fontId="51" fillId="28" borderId="87" xfId="0" applyFont="1" applyFill="1" applyBorder="1" applyAlignment="1">
      <alignment horizontal="left" vertical="top" indent="2"/>
    </xf>
    <xf numFmtId="0" fontId="51" fillId="28" borderId="86" xfId="0" applyFont="1" applyFill="1" applyBorder="1" applyAlignment="1">
      <alignment vertical="top" wrapText="1"/>
    </xf>
    <xf numFmtId="2" fontId="51" fillId="28" borderId="86" xfId="37" applyNumberFormat="1" applyFont="1" applyFill="1" applyBorder="1" applyAlignment="1">
      <alignment horizontal="right"/>
    </xf>
    <xf numFmtId="165" fontId="51" fillId="28" borderId="86" xfId="37" applyFont="1" applyFill="1" applyBorder="1" applyAlignment="1">
      <alignment horizontal="right"/>
    </xf>
    <xf numFmtId="0" fontId="51" fillId="28" borderId="87" xfId="0" applyFont="1" applyFill="1" applyBorder="1" applyAlignment="1">
      <alignment vertical="top"/>
    </xf>
    <xf numFmtId="165" fontId="51" fillId="28" borderId="87" xfId="37" applyFont="1" applyFill="1" applyBorder="1" applyAlignment="1">
      <alignment horizontal="right" vertical="top" indent="2"/>
    </xf>
    <xf numFmtId="165" fontId="51" fillId="28" borderId="58" xfId="37" applyFont="1" applyFill="1" applyBorder="1" applyAlignment="1">
      <alignment horizontal="right" vertical="top" indent="2"/>
    </xf>
    <xf numFmtId="0" fontId="51" fillId="28" borderId="0" xfId="0" applyFont="1" applyFill="1" applyAlignment="1">
      <alignment horizontal="left" vertical="top" indent="2"/>
    </xf>
    <xf numFmtId="0" fontId="58" fillId="0" borderId="10" xfId="0" applyFont="1" applyBorder="1" applyAlignment="1">
      <alignment horizontal="center"/>
    </xf>
    <xf numFmtId="0" fontId="73" fillId="0" borderId="10" xfId="0" applyFont="1" applyBorder="1" applyAlignment="1">
      <alignment horizontal="center" wrapText="1"/>
    </xf>
    <xf numFmtId="0" fontId="58" fillId="0" borderId="10" xfId="0" applyFont="1" applyBorder="1"/>
    <xf numFmtId="0" fontId="73" fillId="0" borderId="10" xfId="0" applyFont="1" applyBorder="1" applyAlignment="1">
      <alignment horizontal="center"/>
    </xf>
    <xf numFmtId="0" fontId="73" fillId="0" borderId="10" xfId="0" applyFont="1" applyBorder="1"/>
    <xf numFmtId="0" fontId="3" fillId="0" borderId="40" xfId="0" applyFont="1" applyBorder="1"/>
    <xf numFmtId="0" fontId="1" fillId="0" borderId="10" xfId="0" applyFont="1" applyBorder="1" applyAlignment="1">
      <alignment horizontal="center" vertical="top" wrapText="1"/>
    </xf>
    <xf numFmtId="2" fontId="4" fillId="34" borderId="0" xfId="0" applyNumberFormat="1" applyFont="1" applyFill="1"/>
    <xf numFmtId="2" fontId="4" fillId="36" borderId="0" xfId="0" applyNumberFormat="1" applyFont="1" applyFill="1"/>
    <xf numFmtId="0" fontId="0" fillId="29" borderId="45" xfId="0" applyFill="1" applyBorder="1"/>
    <xf numFmtId="0" fontId="110" fillId="0" borderId="89" xfId="0" applyFont="1" applyBorder="1"/>
    <xf numFmtId="2" fontId="15" fillId="0" borderId="0" xfId="115" applyNumberFormat="1" applyFont="1" applyFill="1"/>
    <xf numFmtId="0" fontId="111" fillId="0" borderId="0" xfId="115" applyFont="1" applyFill="1" applyAlignment="1">
      <alignment vertical="center"/>
    </xf>
    <xf numFmtId="2" fontId="111" fillId="0" borderId="0" xfId="115" applyNumberFormat="1" applyFont="1" applyFill="1" applyAlignment="1">
      <alignment vertical="center"/>
    </xf>
    <xf numFmtId="2" fontId="93" fillId="0" borderId="0" xfId="0" applyNumberFormat="1" applyFont="1"/>
    <xf numFmtId="0" fontId="93" fillId="0" borderId="0" xfId="0" applyFont="1"/>
    <xf numFmtId="170" fontId="17" fillId="0" borderId="0" xfId="88" applyNumberFormat="1" applyFont="1" applyFill="1" applyAlignment="1">
      <alignment horizontal="center"/>
    </xf>
    <xf numFmtId="0" fontId="94" fillId="37" borderId="10" xfId="0" applyFont="1" applyFill="1" applyBorder="1" applyAlignment="1">
      <alignment horizontal="center" vertical="center"/>
    </xf>
    <xf numFmtId="0" fontId="0" fillId="33" borderId="10" xfId="0" applyFill="1" applyBorder="1"/>
    <xf numFmtId="0" fontId="94" fillId="38" borderId="10" xfId="0" applyFont="1" applyFill="1" applyBorder="1" applyAlignment="1">
      <alignment horizontal="center" vertical="center" wrapText="1"/>
    </xf>
    <xf numFmtId="0" fontId="0" fillId="0" borderId="10" xfId="0" applyBorder="1" applyAlignment="1">
      <alignment horizontal="center" vertical="center"/>
    </xf>
    <xf numFmtId="0" fontId="0" fillId="0" borderId="10" xfId="0" applyBorder="1" applyAlignment="1">
      <alignment horizontal="left" vertical="center"/>
    </xf>
    <xf numFmtId="0" fontId="0" fillId="0" borderId="88" xfId="0" applyBorder="1" applyAlignment="1">
      <alignment horizontal="left" vertical="center"/>
    </xf>
    <xf numFmtId="17" fontId="3" fillId="0" borderId="0" xfId="85" applyNumberFormat="1" applyFont="1" applyFill="1" applyAlignment="1">
      <alignment horizontal="center"/>
    </xf>
    <xf numFmtId="17" fontId="17" fillId="0" borderId="0" xfId="85" applyNumberFormat="1" applyFill="1" applyAlignment="1">
      <alignment horizontal="center"/>
    </xf>
    <xf numFmtId="9" fontId="17" fillId="0" borderId="0" xfId="85" applyNumberFormat="1" applyFill="1"/>
    <xf numFmtId="0" fontId="3" fillId="0" borderId="0" xfId="0" applyFont="1" applyAlignment="1">
      <alignment wrapText="1"/>
    </xf>
    <xf numFmtId="0" fontId="0" fillId="0" borderId="0" xfId="0" applyAlignment="1">
      <alignment horizontal="center" vertical="center"/>
    </xf>
    <xf numFmtId="189" fontId="5" fillId="0" borderId="10" xfId="37" applyNumberFormat="1" applyFont="1" applyFill="1" applyBorder="1" applyAlignment="1">
      <alignment horizontal="center" vertical="center"/>
    </xf>
    <xf numFmtId="193" fontId="51" fillId="0" borderId="10" xfId="37" applyNumberFormat="1" applyFont="1" applyFill="1" applyBorder="1" applyAlignment="1">
      <alignment horizontal="center" vertical="center"/>
    </xf>
    <xf numFmtId="3" fontId="0" fillId="0" borderId="0" xfId="0" applyNumberFormat="1"/>
    <xf numFmtId="2" fontId="113" fillId="0" borderId="125" xfId="0" applyNumberFormat="1" applyFont="1" applyBorder="1" applyAlignment="1">
      <alignment wrapText="1"/>
    </xf>
    <xf numFmtId="2" fontId="113" fillId="0" borderId="126" xfId="0" applyNumberFormat="1" applyFont="1" applyBorder="1" applyAlignment="1">
      <alignment wrapText="1"/>
    </xf>
    <xf numFmtId="2" fontId="113" fillId="0" borderId="127" xfId="0" applyNumberFormat="1" applyFont="1" applyBorder="1" applyAlignment="1">
      <alignment wrapText="1"/>
    </xf>
    <xf numFmtId="2" fontId="113" fillId="0" borderId="120" xfId="0" applyNumberFormat="1" applyFont="1" applyBorder="1" applyAlignment="1">
      <alignment wrapText="1"/>
    </xf>
    <xf numFmtId="0" fontId="117" fillId="0" borderId="40" xfId="0" applyFont="1" applyBorder="1" applyAlignment="1">
      <alignment horizontal="left" vertical="center" wrapText="1"/>
    </xf>
    <xf numFmtId="0" fontId="118" fillId="0" borderId="41" xfId="0" applyFont="1" applyBorder="1" applyAlignment="1">
      <alignment horizontal="center" vertical="center" wrapText="1"/>
    </xf>
    <xf numFmtId="0" fontId="116" fillId="0" borderId="40" xfId="0" applyFont="1" applyBorder="1" applyAlignment="1">
      <alignment horizontal="left" vertical="center" wrapText="1"/>
    </xf>
    <xf numFmtId="2" fontId="116" fillId="0" borderId="41" xfId="0" applyNumberFormat="1" applyFont="1" applyBorder="1" applyAlignment="1">
      <alignment horizontal="center" vertical="center" wrapText="1"/>
    </xf>
    <xf numFmtId="2" fontId="115" fillId="0" borderId="41" xfId="0" applyNumberFormat="1" applyFont="1" applyBorder="1" applyAlignment="1">
      <alignment horizontal="center" vertical="center" wrapText="1"/>
    </xf>
    <xf numFmtId="0" fontId="116" fillId="0" borderId="90" xfId="0" applyFont="1" applyBorder="1" applyAlignment="1">
      <alignment horizontal="left" vertical="center" wrapText="1"/>
    </xf>
    <xf numFmtId="2" fontId="115" fillId="0" borderId="92" xfId="0" applyNumberFormat="1" applyFont="1" applyBorder="1" applyAlignment="1">
      <alignment horizontal="center" vertical="center" wrapText="1"/>
    </xf>
    <xf numFmtId="170" fontId="118" fillId="0" borderId="41" xfId="88" applyNumberFormat="1" applyFont="1" applyFill="1" applyBorder="1" applyAlignment="1">
      <alignment horizontal="center" vertical="center" wrapText="1"/>
    </xf>
    <xf numFmtId="1" fontId="118" fillId="0" borderId="41" xfId="0" applyNumberFormat="1" applyFont="1" applyBorder="1" applyAlignment="1">
      <alignment horizontal="center" vertical="center" wrapText="1"/>
    </xf>
    <xf numFmtId="2" fontId="118" fillId="0" borderId="41" xfId="0" applyNumberFormat="1" applyFont="1" applyBorder="1" applyAlignment="1">
      <alignment horizontal="center" vertical="center" wrapText="1"/>
    </xf>
    <xf numFmtId="0" fontId="117" fillId="0" borderId="90" xfId="0" applyFont="1" applyBorder="1" applyAlignment="1">
      <alignment horizontal="left" vertical="center" wrapText="1"/>
    </xf>
    <xf numFmtId="2" fontId="118" fillId="0" borderId="92" xfId="0" applyNumberFormat="1" applyFont="1" applyBorder="1" applyAlignment="1">
      <alignment horizontal="center" vertical="center" wrapText="1"/>
    </xf>
    <xf numFmtId="0" fontId="117" fillId="0" borderId="128" xfId="0" applyFont="1" applyBorder="1" applyAlignment="1">
      <alignment horizontal="left" vertical="center" wrapText="1"/>
    </xf>
    <xf numFmtId="0" fontId="118" fillId="0" borderId="129" xfId="0" applyFont="1" applyBorder="1" applyAlignment="1">
      <alignment horizontal="center" vertical="center" wrapText="1"/>
    </xf>
    <xf numFmtId="0" fontId="114" fillId="0" borderId="45" xfId="0" applyFont="1" applyBorder="1"/>
    <xf numFmtId="0" fontId="33" fillId="0" borderId="0" xfId="85" applyFont="1" applyFill="1" applyAlignment="1">
      <alignment horizontal="right"/>
    </xf>
    <xf numFmtId="10" fontId="4" fillId="0" borderId="0" xfId="88" applyNumberFormat="1" applyFont="1" applyBorder="1"/>
    <xf numFmtId="170" fontId="4" fillId="0" borderId="0" xfId="88" applyNumberFormat="1" applyFont="1" applyBorder="1"/>
    <xf numFmtId="10" fontId="4" fillId="0" borderId="0" xfId="0" applyNumberFormat="1" applyFont="1"/>
    <xf numFmtId="0" fontId="3" fillId="0" borderId="10" xfId="0" applyFont="1" applyBorder="1" applyAlignment="1">
      <alignment horizontal="center"/>
    </xf>
    <xf numFmtId="188" fontId="38" fillId="0" borderId="10" xfId="37" applyNumberFormat="1" applyFont="1" applyFill="1" applyBorder="1" applyAlignment="1">
      <alignment horizontal="center" vertical="center"/>
    </xf>
    <xf numFmtId="188" fontId="3" fillId="0" borderId="10" xfId="0" applyNumberFormat="1" applyFont="1" applyBorder="1"/>
    <xf numFmtId="1" fontId="108" fillId="0" borderId="10" xfId="0" applyNumberFormat="1" applyFont="1" applyBorder="1" applyAlignment="1">
      <alignment horizontal="center" vertical="center" wrapText="1"/>
    </xf>
    <xf numFmtId="0" fontId="4" fillId="0" borderId="40" xfId="0" applyFont="1" applyBorder="1" applyAlignment="1">
      <alignment horizontal="center"/>
    </xf>
    <xf numFmtId="0" fontId="4" fillId="0" borderId="41" xfId="0" applyFont="1" applyBorder="1" applyAlignment="1">
      <alignment horizontal="center" vertical="center" wrapText="1"/>
    </xf>
    <xf numFmtId="167" fontId="4" fillId="0" borderId="41" xfId="0" applyNumberFormat="1" applyFont="1" applyBorder="1"/>
    <xf numFmtId="2" fontId="4" fillId="0" borderId="41" xfId="0" applyNumberFormat="1" applyFont="1" applyBorder="1"/>
    <xf numFmtId="2" fontId="3" fillId="0" borderId="41" xfId="0" applyNumberFormat="1" applyFont="1" applyBorder="1"/>
    <xf numFmtId="0" fontId="3" fillId="0" borderId="90" xfId="0" applyFont="1" applyBorder="1" applyAlignment="1">
      <alignment horizontal="left" vertical="center" wrapText="1"/>
    </xf>
    <xf numFmtId="0" fontId="0" fillId="0" borderId="92" xfId="0" applyBorder="1"/>
    <xf numFmtId="0" fontId="4" fillId="0" borderId="10" xfId="0" applyFont="1" applyBorder="1" applyAlignment="1">
      <alignment horizontal="left"/>
    </xf>
    <xf numFmtId="14" fontId="4" fillId="0" borderId="79" xfId="0" applyNumberFormat="1" applyFont="1" applyBorder="1"/>
    <xf numFmtId="0" fontId="4" fillId="0" borderId="81" xfId="0" applyFont="1" applyBorder="1"/>
    <xf numFmtId="0" fontId="21" fillId="0" borderId="40" xfId="0" applyFont="1" applyBorder="1" applyAlignment="1">
      <alignment horizontal="center"/>
    </xf>
    <xf numFmtId="0" fontId="5" fillId="0" borderId="40" xfId="0" applyFont="1" applyBorder="1"/>
    <xf numFmtId="0" fontId="3" fillId="0" borderId="90" xfId="0" applyFont="1" applyBorder="1" applyAlignment="1">
      <alignment horizontal="right"/>
    </xf>
    <xf numFmtId="0" fontId="4" fillId="0" borderId="80" xfId="0" applyFont="1" applyBorder="1"/>
    <xf numFmtId="0" fontId="3" fillId="0" borderId="130" xfId="0" applyFont="1" applyBorder="1"/>
    <xf numFmtId="0" fontId="3" fillId="0" borderId="79" xfId="0" applyFont="1" applyBorder="1"/>
    <xf numFmtId="1" fontId="3" fillId="0" borderId="50" xfId="0" applyNumberFormat="1" applyFont="1" applyBorder="1"/>
    <xf numFmtId="1" fontId="3" fillId="0" borderId="131" xfId="0" applyNumberFormat="1" applyFont="1" applyBorder="1"/>
    <xf numFmtId="1" fontId="3" fillId="0" borderId="80" xfId="0" applyNumberFormat="1" applyFont="1" applyBorder="1"/>
    <xf numFmtId="1" fontId="3" fillId="0" borderId="81" xfId="0" applyNumberFormat="1" applyFont="1" applyBorder="1"/>
    <xf numFmtId="1" fontId="3" fillId="0" borderId="91" xfId="0" applyNumberFormat="1" applyFont="1" applyBorder="1"/>
    <xf numFmtId="0" fontId="21" fillId="0" borderId="10" xfId="0" applyFont="1" applyBorder="1" applyAlignment="1">
      <alignment horizontal="center" vertical="top" wrapText="1"/>
    </xf>
    <xf numFmtId="0" fontId="21" fillId="0" borderId="41" xfId="0" applyFont="1" applyBorder="1" applyAlignment="1">
      <alignment horizontal="center" vertical="top" wrapText="1"/>
    </xf>
    <xf numFmtId="0" fontId="3" fillId="0" borderId="10" xfId="0" applyFont="1" applyBorder="1" applyAlignment="1">
      <alignment horizontal="left"/>
    </xf>
    <xf numFmtId="167" fontId="0" fillId="0" borderId="10" xfId="0" applyNumberFormat="1" applyBorder="1" applyAlignment="1">
      <alignment horizontal="right"/>
    </xf>
    <xf numFmtId="167" fontId="4" fillId="0" borderId="10" xfId="0" applyNumberFormat="1" applyFont="1" applyBorder="1" applyAlignment="1">
      <alignment horizontal="right"/>
    </xf>
    <xf numFmtId="0" fontId="0" fillId="39" borderId="10" xfId="0" applyFill="1" applyBorder="1" applyAlignment="1">
      <alignment horizontal="left"/>
    </xf>
    <xf numFmtId="167" fontId="4" fillId="39" borderId="10" xfId="0" applyNumberFormat="1" applyFont="1" applyFill="1" applyBorder="1" applyAlignment="1">
      <alignment horizontal="right"/>
    </xf>
    <xf numFmtId="167" fontId="0" fillId="39" borderId="10" xfId="0" applyNumberFormat="1" applyFill="1" applyBorder="1" applyAlignment="1">
      <alignment horizontal="right"/>
    </xf>
    <xf numFmtId="0" fontId="3" fillId="39" borderId="10" xfId="0" applyFont="1" applyFill="1" applyBorder="1" applyAlignment="1">
      <alignment horizontal="left"/>
    </xf>
    <xf numFmtId="10" fontId="0" fillId="39" borderId="10" xfId="88" applyNumberFormat="1" applyFont="1" applyFill="1" applyBorder="1" applyAlignment="1">
      <alignment horizontal="right"/>
    </xf>
    <xf numFmtId="0" fontId="4" fillId="39" borderId="10" xfId="0" applyFont="1" applyFill="1" applyBorder="1" applyAlignment="1">
      <alignment horizontal="left"/>
    </xf>
    <xf numFmtId="10" fontId="4" fillId="39" borderId="10" xfId="88" applyNumberFormat="1" applyFont="1" applyFill="1" applyBorder="1" applyAlignment="1">
      <alignment horizontal="right"/>
    </xf>
    <xf numFmtId="10" fontId="0" fillId="39" borderId="10" xfId="0" applyNumberFormat="1" applyFill="1" applyBorder="1" applyAlignment="1">
      <alignment horizontal="right"/>
    </xf>
    <xf numFmtId="10" fontId="3" fillId="39" borderId="10" xfId="0" applyNumberFormat="1" applyFont="1" applyFill="1" applyBorder="1" applyAlignment="1">
      <alignment horizontal="right"/>
    </xf>
    <xf numFmtId="0" fontId="4" fillId="39" borderId="10" xfId="0" applyFont="1" applyFill="1" applyBorder="1" applyAlignment="1">
      <alignment horizontal="center" vertical="center" wrapText="1"/>
    </xf>
    <xf numFmtId="0" fontId="4" fillId="0" borderId="79" xfId="0" applyFont="1" applyBorder="1"/>
    <xf numFmtId="0" fontId="4" fillId="0" borderId="132" xfId="0" applyFont="1" applyBorder="1" applyAlignment="1">
      <alignment horizontal="center"/>
    </xf>
    <xf numFmtId="0" fontId="4" fillId="39" borderId="40" xfId="0" applyFont="1" applyFill="1" applyBorder="1" applyAlignment="1">
      <alignment horizontal="center" vertical="center" wrapText="1"/>
    </xf>
    <xf numFmtId="0" fontId="0" fillId="39" borderId="90" xfId="0" applyFill="1" applyBorder="1"/>
    <xf numFmtId="0" fontId="0" fillId="40" borderId="10" xfId="0" applyFill="1" applyBorder="1" applyAlignment="1">
      <alignment horizontal="center"/>
    </xf>
    <xf numFmtId="1" fontId="0" fillId="40" borderId="10" xfId="0" applyNumberFormat="1" applyFill="1" applyBorder="1" applyAlignment="1">
      <alignment horizontal="center"/>
    </xf>
    <xf numFmtId="0" fontId="26" fillId="39" borderId="38" xfId="0" applyFont="1" applyFill="1" applyBorder="1" applyAlignment="1">
      <alignment horizontal="center"/>
    </xf>
    <xf numFmtId="1" fontId="26" fillId="39" borderId="38" xfId="0" applyNumberFormat="1" applyFont="1" applyFill="1" applyBorder="1" applyAlignment="1">
      <alignment horizontal="center"/>
    </xf>
    <xf numFmtId="1" fontId="26" fillId="39" borderId="52" xfId="0" applyNumberFormat="1" applyFont="1" applyFill="1" applyBorder="1" applyAlignment="1">
      <alignment horizontal="center"/>
    </xf>
    <xf numFmtId="1" fontId="26" fillId="39" borderId="89" xfId="0" applyNumberFormat="1" applyFont="1" applyFill="1" applyBorder="1" applyAlignment="1">
      <alignment horizontal="center"/>
    </xf>
    <xf numFmtId="0" fontId="4" fillId="0" borderId="0" xfId="0" applyFont="1" applyAlignment="1">
      <alignment wrapText="1"/>
    </xf>
    <xf numFmtId="0" fontId="9" fillId="0" borderId="0" xfId="0" applyFont="1" applyAlignment="1">
      <alignment wrapText="1"/>
    </xf>
    <xf numFmtId="0" fontId="110" fillId="0" borderId="0" xfId="0" applyFont="1"/>
    <xf numFmtId="0" fontId="0" fillId="0" borderId="10" xfId="0" applyBorder="1" applyAlignment="1">
      <alignment horizontal="center" vertical="center" wrapText="1"/>
    </xf>
    <xf numFmtId="0" fontId="49" fillId="0" borderId="10" xfId="78" applyFont="1" applyBorder="1" applyAlignment="1">
      <alignment horizontal="center"/>
    </xf>
    <xf numFmtId="0" fontId="49" fillId="0" borderId="10" xfId="78" applyFont="1" applyBorder="1" applyAlignment="1">
      <alignment horizontal="center" wrapText="1"/>
    </xf>
    <xf numFmtId="49" fontId="4" fillId="0" borderId="10" xfId="0" applyNumberFormat="1" applyFont="1" applyBorder="1" applyAlignment="1">
      <alignment horizontal="center"/>
    </xf>
    <xf numFmtId="0" fontId="4" fillId="29" borderId="0" xfId="0" applyFont="1" applyFill="1"/>
    <xf numFmtId="9" fontId="0" fillId="29" borderId="0" xfId="88" applyFont="1" applyFill="1"/>
    <xf numFmtId="10" fontId="0" fillId="29" borderId="0" xfId="88" applyNumberFormat="1" applyFont="1" applyFill="1"/>
    <xf numFmtId="0" fontId="121" fillId="0" borderId="128" xfId="0" applyFont="1" applyBorder="1" applyAlignment="1">
      <alignment wrapText="1"/>
    </xf>
    <xf numFmtId="0" fontId="121" fillId="0" borderId="89" xfId="0" applyFont="1" applyBorder="1" applyAlignment="1">
      <alignment wrapText="1"/>
    </xf>
    <xf numFmtId="0" fontId="110" fillId="0" borderId="128" xfId="0" applyFont="1" applyBorder="1" applyAlignment="1">
      <alignment wrapText="1"/>
    </xf>
    <xf numFmtId="0" fontId="110" fillId="0" borderId="89" xfId="0" applyFont="1" applyBorder="1" applyAlignment="1">
      <alignment wrapText="1"/>
    </xf>
    <xf numFmtId="0" fontId="121" fillId="0" borderId="134" xfId="0" applyFont="1" applyBorder="1" applyAlignment="1">
      <alignment wrapText="1"/>
    </xf>
    <xf numFmtId="0" fontId="121" fillId="0" borderId="135" xfId="0" applyFont="1" applyBorder="1" applyAlignment="1">
      <alignment wrapText="1"/>
    </xf>
    <xf numFmtId="0" fontId="120" fillId="0" borderId="0" xfId="0" applyFont="1" applyAlignment="1">
      <alignment wrapText="1"/>
    </xf>
    <xf numFmtId="0" fontId="121" fillId="0" borderId="136" xfId="0" applyFont="1" applyBorder="1" applyAlignment="1">
      <alignment wrapText="1"/>
    </xf>
    <xf numFmtId="0" fontId="121" fillId="0" borderId="22" xfId="0" applyFont="1" applyBorder="1" applyAlignment="1">
      <alignment wrapText="1"/>
    </xf>
    <xf numFmtId="0" fontId="110" fillId="41" borderId="89" xfId="0" applyFont="1" applyFill="1" applyBorder="1"/>
    <xf numFmtId="0" fontId="121" fillId="0" borderId="89" xfId="0" applyFont="1" applyBorder="1"/>
    <xf numFmtId="0" fontId="121" fillId="0" borderId="135" xfId="0" applyFont="1" applyBorder="1"/>
    <xf numFmtId="0" fontId="123" fillId="42" borderId="137" xfId="0" applyFont="1" applyFill="1" applyBorder="1" applyAlignment="1">
      <alignment horizontal="right" wrapText="1" readingOrder="1"/>
    </xf>
    <xf numFmtId="0" fontId="122" fillId="43" borderId="137" xfId="0" applyFont="1" applyFill="1" applyBorder="1" applyAlignment="1">
      <alignment horizontal="right" wrapText="1"/>
    </xf>
    <xf numFmtId="0" fontId="124" fillId="43" borderId="137" xfId="0" applyFont="1" applyFill="1" applyBorder="1" applyAlignment="1">
      <alignment horizontal="right" wrapText="1" readingOrder="1"/>
    </xf>
    <xf numFmtId="0" fontId="5" fillId="0" borderId="0" xfId="0" applyFont="1" applyAlignment="1">
      <alignment horizontal="centerContinuous"/>
    </xf>
    <xf numFmtId="0" fontId="0" fillId="0" borderId="52" xfId="0" applyBorder="1"/>
    <xf numFmtId="2" fontId="78" fillId="0" borderId="10" xfId="0" applyNumberFormat="1" applyFont="1" applyBorder="1" applyAlignment="1">
      <alignment vertical="top"/>
    </xf>
    <xf numFmtId="2" fontId="4" fillId="0" borderId="10" xfId="0" applyNumberFormat="1" applyFont="1" applyBorder="1" applyAlignment="1">
      <alignment horizontal="right"/>
    </xf>
    <xf numFmtId="2" fontId="23" fillId="0" borderId="10" xfId="0" applyNumberFormat="1" applyFont="1" applyBorder="1" applyAlignment="1">
      <alignment horizontal="right"/>
    </xf>
    <xf numFmtId="0" fontId="4" fillId="0" borderId="74" xfId="0" applyFont="1" applyBorder="1"/>
    <xf numFmtId="0" fontId="3" fillId="0" borderId="0" xfId="84" applyProtection="1">
      <protection locked="0"/>
    </xf>
    <xf numFmtId="0" fontId="36" fillId="0" borderId="77" xfId="85" applyFont="1" applyFill="1" applyBorder="1" applyAlignment="1">
      <alignment horizontal="center" vertical="center" wrapText="1"/>
    </xf>
    <xf numFmtId="0" fontId="21" fillId="0" borderId="10" xfId="0" applyFont="1" applyBorder="1" applyAlignment="1">
      <alignment horizontal="center" vertical="center" wrapText="1"/>
    </xf>
    <xf numFmtId="0" fontId="17" fillId="0" borderId="10" xfId="0" applyFont="1" applyBorder="1"/>
    <xf numFmtId="2" fontId="17" fillId="0" borderId="0" xfId="0" applyNumberFormat="1" applyFont="1" applyAlignment="1">
      <alignment horizontal="center"/>
    </xf>
    <xf numFmtId="1" fontId="17" fillId="0" borderId="10" xfId="0" applyNumberFormat="1" applyFont="1" applyBorder="1" applyAlignment="1">
      <alignment horizontal="center"/>
    </xf>
    <xf numFmtId="2" fontId="17" fillId="0" borderId="10" xfId="0" applyNumberFormat="1" applyFont="1" applyBorder="1" applyAlignment="1">
      <alignment horizontal="center"/>
    </xf>
    <xf numFmtId="167" fontId="17" fillId="0" borderId="10" xfId="0" applyNumberFormat="1" applyFont="1" applyBorder="1"/>
    <xf numFmtId="0" fontId="17" fillId="0" borderId="10" xfId="0" applyFont="1" applyBorder="1" applyAlignment="1">
      <alignment horizontal="center"/>
    </xf>
    <xf numFmtId="1" fontId="17" fillId="0" borderId="10" xfId="0" applyNumberFormat="1" applyFont="1" applyBorder="1"/>
    <xf numFmtId="1" fontId="5" fillId="0" borderId="10" xfId="0" applyNumberFormat="1" applyFont="1" applyBorder="1" applyAlignment="1">
      <alignment horizontal="right"/>
    </xf>
    <xf numFmtId="2" fontId="5" fillId="0" borderId="10" xfId="0" applyNumberFormat="1" applyFont="1" applyBorder="1" applyAlignment="1">
      <alignment horizontal="center"/>
    </xf>
    <xf numFmtId="2" fontId="5" fillId="0" borderId="10" xfId="0" applyNumberFormat="1" applyFont="1" applyBorder="1" applyAlignment="1">
      <alignment horizontal="right"/>
    </xf>
    <xf numFmtId="17" fontId="17" fillId="0" borderId="10" xfId="0" applyNumberFormat="1" applyFont="1" applyBorder="1"/>
    <xf numFmtId="2" fontId="17" fillId="0" borderId="10" xfId="0" applyNumberFormat="1" applyFont="1" applyBorder="1" applyAlignment="1">
      <alignment horizontal="right"/>
    </xf>
    <xf numFmtId="171" fontId="17" fillId="0" borderId="10" xfId="0" applyNumberFormat="1" applyFont="1" applyBorder="1" applyAlignment="1">
      <alignment horizontal="right"/>
    </xf>
    <xf numFmtId="0" fontId="5" fillId="0" borderId="10" xfId="0" applyFont="1" applyBorder="1" applyAlignment="1">
      <alignment horizontal="right"/>
    </xf>
    <xf numFmtId="171" fontId="5" fillId="0" borderId="10" xfId="0" applyNumberFormat="1" applyFont="1" applyBorder="1"/>
    <xf numFmtId="172" fontId="17" fillId="0" borderId="10" xfId="0" applyNumberFormat="1" applyFont="1" applyBorder="1"/>
    <xf numFmtId="0" fontId="21" fillId="0" borderId="82" xfId="0" applyFont="1" applyBorder="1" applyAlignment="1">
      <alignment horizontal="center" vertical="center" wrapText="1" shrinkToFit="1"/>
    </xf>
    <xf numFmtId="171" fontId="17" fillId="0" borderId="10" xfId="0" applyNumberFormat="1" applyFont="1" applyBorder="1" applyAlignment="1">
      <alignment horizontal="center"/>
    </xf>
    <xf numFmtId="0" fontId="38" fillId="0" borderId="10" xfId="0" applyFont="1" applyBorder="1"/>
    <xf numFmtId="0" fontId="5" fillId="0" borderId="0" xfId="0" applyFont="1" applyAlignment="1">
      <alignment horizontal="center"/>
    </xf>
    <xf numFmtId="0" fontId="39" fillId="0" borderId="0" xfId="0" applyFont="1"/>
    <xf numFmtId="10" fontId="39" fillId="0" borderId="0" xfId="88" applyNumberFormat="1" applyFont="1" applyFill="1"/>
    <xf numFmtId="10" fontId="17" fillId="0" borderId="0" xfId="0" applyNumberFormat="1" applyFont="1"/>
    <xf numFmtId="0" fontId="58" fillId="0" borderId="0" xfId="83"/>
    <xf numFmtId="0" fontId="86" fillId="0" borderId="10" xfId="83" applyFont="1" applyBorder="1" applyAlignment="1">
      <alignment horizontal="center" vertical="center" wrapText="1"/>
    </xf>
    <xf numFmtId="0" fontId="87" fillId="0" borderId="0" xfId="83" applyFont="1"/>
    <xf numFmtId="0" fontId="73" fillId="0" borderId="10" xfId="83" applyFont="1" applyBorder="1"/>
    <xf numFmtId="167" fontId="73" fillId="0" borderId="10" xfId="83" applyNumberFormat="1" applyFont="1" applyBorder="1"/>
    <xf numFmtId="1" fontId="73" fillId="0" borderId="10" xfId="83" applyNumberFormat="1" applyFont="1" applyBorder="1"/>
    <xf numFmtId="0" fontId="73" fillId="0" borderId="0" xfId="83" applyFont="1"/>
    <xf numFmtId="0" fontId="58" fillId="0" borderId="10" xfId="83" applyBorder="1"/>
    <xf numFmtId="167" fontId="58" fillId="0" borderId="10" xfId="83" applyNumberFormat="1" applyBorder="1"/>
    <xf numFmtId="1" fontId="58" fillId="0" borderId="10" xfId="83" applyNumberFormat="1" applyBorder="1"/>
    <xf numFmtId="167" fontId="89" fillId="0" borderId="10" xfId="83" applyNumberFormat="1" applyFont="1" applyBorder="1"/>
    <xf numFmtId="0" fontId="88" fillId="0" borderId="0" xfId="83" applyFont="1"/>
    <xf numFmtId="2" fontId="58" fillId="0" borderId="10" xfId="83" applyNumberFormat="1" applyBorder="1"/>
    <xf numFmtId="2" fontId="73" fillId="0" borderId="10" xfId="83" applyNumberFormat="1" applyFont="1" applyBorder="1"/>
    <xf numFmtId="1" fontId="58" fillId="0" borderId="0" xfId="83" applyNumberFormat="1"/>
    <xf numFmtId="173" fontId="3" fillId="0" borderId="0" xfId="0" applyNumberFormat="1" applyFont="1"/>
    <xf numFmtId="0" fontId="10" fillId="0" borderId="0" xfId="0" applyFont="1" applyAlignment="1">
      <alignment horizontal="left"/>
    </xf>
    <xf numFmtId="0" fontId="13" fillId="0" borderId="0" xfId="0" applyFont="1" applyAlignment="1">
      <alignment horizontal="centerContinuous"/>
    </xf>
    <xf numFmtId="0" fontId="4" fillId="0" borderId="16" xfId="0" applyFont="1" applyBorder="1" applyAlignment="1">
      <alignment horizontal="center"/>
    </xf>
    <xf numFmtId="0" fontId="4" fillId="0" borderId="17" xfId="0" applyFont="1" applyBorder="1" applyAlignment="1">
      <alignment horizontal="center"/>
    </xf>
    <xf numFmtId="17" fontId="4" fillId="0" borderId="17" xfId="0" applyNumberFormat="1" applyFont="1" applyBorder="1" applyAlignment="1">
      <alignment horizontal="center"/>
    </xf>
    <xf numFmtId="2" fontId="4" fillId="0" borderId="17" xfId="0" applyNumberFormat="1" applyFont="1" applyBorder="1" applyAlignment="1">
      <alignment horizontal="center"/>
    </xf>
    <xf numFmtId="0" fontId="4" fillId="0" borderId="20" xfId="0" applyFont="1" applyBorder="1" applyAlignment="1">
      <alignment horizontal="center"/>
    </xf>
    <xf numFmtId="0" fontId="4" fillId="0" borderId="19" xfId="0" applyFont="1" applyBorder="1" applyAlignment="1">
      <alignment horizontal="center"/>
    </xf>
    <xf numFmtId="2" fontId="4" fillId="0" borderId="19" xfId="0" applyNumberFormat="1" applyFont="1" applyBorder="1" applyAlignment="1">
      <alignment horizontal="center"/>
    </xf>
    <xf numFmtId="2" fontId="4" fillId="0" borderId="27" xfId="0" applyNumberFormat="1" applyFont="1" applyBorder="1" applyAlignment="1">
      <alignment horizontal="center"/>
    </xf>
    <xf numFmtId="2" fontId="4" fillId="0" borderId="21" xfId="0" applyNumberFormat="1" applyFont="1" applyBorder="1" applyAlignment="1">
      <alignment horizontal="center"/>
    </xf>
    <xf numFmtId="2" fontId="0" fillId="0" borderId="84" xfId="0" applyNumberFormat="1" applyBorder="1"/>
    <xf numFmtId="0" fontId="48" fillId="0" borderId="0" xfId="77" applyFont="1"/>
    <xf numFmtId="0" fontId="82" fillId="0" borderId="0" xfId="77" applyFont="1" applyAlignment="1">
      <alignment vertical="center" wrapText="1"/>
    </xf>
    <xf numFmtId="0" fontId="49" fillId="0" borderId="75" xfId="77" applyFont="1" applyBorder="1"/>
    <xf numFmtId="0" fontId="49" fillId="0" borderId="6" xfId="77" applyFont="1" applyBorder="1"/>
    <xf numFmtId="0" fontId="49" fillId="0" borderId="22" xfId="77" applyFont="1" applyBorder="1"/>
    <xf numFmtId="0" fontId="48" fillId="0" borderId="10" xfId="77" applyFont="1" applyBorder="1"/>
    <xf numFmtId="0" fontId="76" fillId="0" borderId="10" xfId="77" applyFont="1" applyBorder="1" applyAlignment="1">
      <alignment horizontal="center" vertical="top" wrapText="1"/>
    </xf>
    <xf numFmtId="0" fontId="48" fillId="0" borderId="10" xfId="77" applyFont="1" applyBorder="1" applyAlignment="1">
      <alignment vertical="top"/>
    </xf>
    <xf numFmtId="0" fontId="32" fillId="0" borderId="10" xfId="77" applyFont="1" applyBorder="1" applyAlignment="1">
      <alignment vertical="center" wrapText="1"/>
    </xf>
    <xf numFmtId="2" fontId="48" fillId="0" borderId="0" xfId="77" applyNumberFormat="1" applyFont="1"/>
    <xf numFmtId="0" fontId="4" fillId="0" borderId="0" xfId="112" applyFont="1"/>
    <xf numFmtId="0" fontId="3" fillId="0" borderId="0" xfId="112"/>
    <xf numFmtId="0" fontId="3" fillId="0" borderId="10" xfId="112" applyBorder="1"/>
    <xf numFmtId="9" fontId="58" fillId="0" borderId="10" xfId="97" applyFont="1" applyFill="1" applyBorder="1"/>
    <xf numFmtId="9" fontId="73" fillId="0" borderId="10" xfId="97" applyFont="1" applyFill="1" applyBorder="1"/>
    <xf numFmtId="170" fontId="58" fillId="0" borderId="10" xfId="97" applyNumberFormat="1" applyFont="1" applyFill="1" applyBorder="1"/>
    <xf numFmtId="167" fontId="3" fillId="0" borderId="0" xfId="112" applyNumberFormat="1"/>
    <xf numFmtId="9" fontId="3" fillId="0" borderId="0" xfId="88" applyFill="1"/>
    <xf numFmtId="0" fontId="4" fillId="0" borderId="10" xfId="0" applyFont="1" applyBorder="1" applyAlignment="1">
      <alignment horizontal="center" vertical="center" wrapText="1"/>
    </xf>
    <xf numFmtId="165" fontId="0" fillId="0" borderId="92" xfId="37" applyFont="1" applyFill="1" applyBorder="1"/>
    <xf numFmtId="10" fontId="17" fillId="0" borderId="10" xfId="88" applyNumberFormat="1" applyFont="1" applyFill="1" applyBorder="1" applyAlignment="1">
      <alignment horizontal="center"/>
    </xf>
    <xf numFmtId="2" fontId="4" fillId="29" borderId="10" xfId="0" applyNumberFormat="1" applyFont="1" applyFill="1" applyBorder="1"/>
    <xf numFmtId="0" fontId="25" fillId="0" borderId="0" xfId="0" applyFont="1"/>
    <xf numFmtId="165" fontId="4" fillId="0" borderId="0" xfId="37" applyFont="1"/>
    <xf numFmtId="198" fontId="4" fillId="0" borderId="0" xfId="37" applyNumberFormat="1" applyFont="1"/>
    <xf numFmtId="49" fontId="4" fillId="0" borderId="15" xfId="0" applyNumberFormat="1" applyFont="1" applyBorder="1" applyAlignment="1">
      <alignment horizontal="center" vertical="center"/>
    </xf>
    <xf numFmtId="199" fontId="0" fillId="0" borderId="0" xfId="37" applyNumberFormat="1" applyFont="1"/>
    <xf numFmtId="0" fontId="17" fillId="0" borderId="10" xfId="85" applyFill="1" applyBorder="1" applyAlignment="1">
      <alignment horizontal="center" vertical="center"/>
    </xf>
    <xf numFmtId="165" fontId="3" fillId="0" borderId="0" xfId="37" applyFont="1" applyFill="1"/>
    <xf numFmtId="167" fontId="4" fillId="29" borderId="10" xfId="0" applyNumberFormat="1" applyFont="1" applyFill="1" applyBorder="1"/>
    <xf numFmtId="167" fontId="0" fillId="29" borderId="10" xfId="0" applyNumberFormat="1" applyFill="1" applyBorder="1"/>
    <xf numFmtId="0" fontId="3" fillId="35" borderId="10" xfId="0" applyFont="1" applyFill="1" applyBorder="1"/>
    <xf numFmtId="2" fontId="3" fillId="35" borderId="10" xfId="0" applyNumberFormat="1" applyFont="1" applyFill="1" applyBorder="1"/>
    <xf numFmtId="2" fontId="108" fillId="35" borderId="10" xfId="0" applyNumberFormat="1" applyFont="1" applyFill="1" applyBorder="1" applyAlignment="1">
      <alignment horizontal="center" vertical="center" wrapText="1"/>
    </xf>
    <xf numFmtId="167" fontId="4" fillId="35" borderId="10" xfId="0" applyNumberFormat="1" applyFont="1" applyFill="1" applyBorder="1"/>
    <xf numFmtId="2" fontId="0" fillId="35" borderId="10" xfId="0" applyNumberFormat="1" applyFill="1" applyBorder="1"/>
    <xf numFmtId="1" fontId="108" fillId="35" borderId="10" xfId="0" applyNumberFormat="1" applyFont="1" applyFill="1" applyBorder="1" applyAlignment="1">
      <alignment horizontal="center" vertical="center" wrapText="1"/>
    </xf>
    <xf numFmtId="2" fontId="3" fillId="29" borderId="10" xfId="0" applyNumberFormat="1" applyFont="1" applyFill="1" applyBorder="1"/>
    <xf numFmtId="2" fontId="3" fillId="29" borderId="41" xfId="0" applyNumberFormat="1" applyFont="1" applyFill="1" applyBorder="1"/>
    <xf numFmtId="1" fontId="108" fillId="29" borderId="10" xfId="0" applyNumberFormat="1" applyFont="1" applyFill="1" applyBorder="1" applyAlignment="1">
      <alignment horizontal="center" vertical="center" wrapText="1"/>
    </xf>
    <xf numFmtId="165" fontId="0" fillId="0" borderId="0" xfId="37" applyFont="1" applyFill="1" applyBorder="1"/>
    <xf numFmtId="0" fontId="3" fillId="35" borderId="10" xfId="0" applyFont="1" applyFill="1" applyBorder="1" applyAlignment="1">
      <alignment horizontal="right" vertical="center"/>
    </xf>
    <xf numFmtId="167" fontId="4" fillId="35" borderId="10" xfId="0" applyNumberFormat="1" applyFont="1" applyFill="1" applyBorder="1" applyAlignment="1">
      <alignment horizontal="right" vertical="center"/>
    </xf>
    <xf numFmtId="17" fontId="4" fillId="0" borderId="10" xfId="0" applyNumberFormat="1" applyFont="1" applyBorder="1" applyAlignment="1">
      <alignment horizontal="center"/>
    </xf>
    <xf numFmtId="167" fontId="3" fillId="0" borderId="10" xfId="0" applyNumberFormat="1" applyFont="1" applyBorder="1"/>
    <xf numFmtId="2" fontId="0" fillId="35" borderId="0" xfId="0" applyNumberFormat="1" applyFill="1"/>
    <xf numFmtId="2" fontId="3" fillId="35" borderId="0" xfId="0" applyNumberFormat="1" applyFont="1" applyFill="1"/>
    <xf numFmtId="0" fontId="3" fillId="35" borderId="59" xfId="0" applyFont="1" applyFill="1" applyBorder="1"/>
    <xf numFmtId="2" fontId="3" fillId="35" borderId="45" xfId="0" applyNumberFormat="1" applyFont="1" applyFill="1" applyBorder="1"/>
    <xf numFmtId="2" fontId="4" fillId="35" borderId="0" xfId="0" applyNumberFormat="1" applyFont="1" applyFill="1"/>
    <xf numFmtId="2" fontId="3" fillId="35" borderId="59" xfId="0" applyNumberFormat="1" applyFont="1" applyFill="1" applyBorder="1"/>
    <xf numFmtId="0" fontId="4" fillId="35" borderId="0" xfId="0" applyFont="1" applyFill="1" applyAlignment="1">
      <alignment horizontal="right"/>
    </xf>
    <xf numFmtId="0" fontId="0" fillId="35" borderId="0" xfId="0" applyFill="1"/>
    <xf numFmtId="1" fontId="0" fillId="35" borderId="0" xfId="0" applyNumberFormat="1" applyFill="1"/>
    <xf numFmtId="2" fontId="23" fillId="35" borderId="0" xfId="0" applyNumberFormat="1" applyFont="1" applyFill="1"/>
    <xf numFmtId="2" fontId="28" fillId="35" borderId="0" xfId="0" applyNumberFormat="1" applyFont="1" applyFill="1"/>
    <xf numFmtId="49" fontId="4" fillId="35" borderId="15" xfId="0" applyNumberFormat="1" applyFont="1" applyFill="1" applyBorder="1" applyAlignment="1">
      <alignment horizontal="center" vertical="center"/>
    </xf>
    <xf numFmtId="0" fontId="21" fillId="35" borderId="15" xfId="0" applyFont="1" applyFill="1" applyBorder="1" applyAlignment="1">
      <alignment horizontal="center" vertical="center" wrapText="1" shrinkToFit="1"/>
    </xf>
    <xf numFmtId="167" fontId="0" fillId="35" borderId="0" xfId="0" applyNumberFormat="1" applyFill="1"/>
    <xf numFmtId="10" fontId="3" fillId="0" borderId="0" xfId="85" applyNumberFormat="1" applyFont="1" applyFill="1"/>
    <xf numFmtId="201" fontId="17" fillId="0" borderId="0" xfId="85" applyNumberFormat="1" applyFill="1"/>
    <xf numFmtId="169" fontId="17" fillId="0" borderId="0" xfId="85" applyNumberFormat="1" applyFill="1"/>
    <xf numFmtId="167" fontId="3" fillId="0" borderId="0" xfId="0" applyNumberFormat="1" applyFont="1"/>
    <xf numFmtId="165" fontId="17" fillId="0" borderId="0" xfId="37" applyFont="1" applyFill="1"/>
    <xf numFmtId="202" fontId="3" fillId="0" borderId="0" xfId="37" applyNumberFormat="1" applyFont="1" applyFill="1"/>
    <xf numFmtId="197" fontId="3" fillId="0" borderId="0" xfId="37" applyNumberFormat="1" applyFont="1" applyFill="1"/>
    <xf numFmtId="203" fontId="3" fillId="0" borderId="0" xfId="37" applyNumberFormat="1" applyFont="1" applyFill="1"/>
    <xf numFmtId="167" fontId="5" fillId="0" borderId="10" xfId="85" applyNumberFormat="1" applyFont="1" applyFill="1" applyBorder="1" applyAlignment="1">
      <alignment vertical="center"/>
    </xf>
    <xf numFmtId="167" fontId="0" fillId="35" borderId="10" xfId="0" applyNumberFormat="1" applyFill="1" applyBorder="1"/>
    <xf numFmtId="0" fontId="126" fillId="0" borderId="0" xfId="80" applyFont="1" applyFill="1"/>
    <xf numFmtId="167" fontId="73" fillId="0" borderId="10" xfId="83" applyNumberFormat="1" applyFont="1" applyBorder="1" applyAlignment="1">
      <alignment horizontal="center"/>
    </xf>
    <xf numFmtId="1" fontId="73" fillId="0" borderId="10" xfId="83" applyNumberFormat="1" applyFont="1" applyBorder="1" applyAlignment="1">
      <alignment horizontal="center"/>
    </xf>
    <xf numFmtId="17" fontId="86" fillId="0" borderId="10" xfId="83" applyNumberFormat="1" applyFont="1" applyBorder="1" applyAlignment="1">
      <alignment horizontal="center" vertical="center"/>
    </xf>
    <xf numFmtId="0" fontId="86" fillId="0" borderId="10" xfId="83" applyFont="1" applyBorder="1" applyAlignment="1">
      <alignment horizontal="center" vertical="center"/>
    </xf>
    <xf numFmtId="0" fontId="17" fillId="0" borderId="0" xfId="80" applyFill="1" applyAlignment="1">
      <alignment horizontal="center" vertical="center"/>
    </xf>
    <xf numFmtId="0" fontId="73" fillId="0" borderId="10" xfId="83" applyFont="1" applyBorder="1" applyAlignment="1">
      <alignment horizontal="center" vertical="center"/>
    </xf>
    <xf numFmtId="0" fontId="58" fillId="0" borderId="10" xfId="83" applyBorder="1" applyAlignment="1">
      <alignment horizontal="center" vertical="center"/>
    </xf>
    <xf numFmtId="0" fontId="58" fillId="0" borderId="0" xfId="83" applyAlignment="1">
      <alignment horizontal="center" vertical="center"/>
    </xf>
    <xf numFmtId="0" fontId="125" fillId="0" borderId="0" xfId="80" applyFont="1" applyFill="1" applyAlignment="1">
      <alignment horizontal="center" vertical="center"/>
    </xf>
    <xf numFmtId="165" fontId="58" fillId="0" borderId="0" xfId="37" applyFont="1"/>
    <xf numFmtId="0" fontId="4" fillId="0" borderId="10" xfId="0" applyFont="1" applyBorder="1" applyAlignment="1">
      <alignment horizontal="center" vertical="center"/>
    </xf>
    <xf numFmtId="0" fontId="110" fillId="35" borderId="89" xfId="0" applyFont="1" applyFill="1" applyBorder="1" applyAlignment="1">
      <alignment wrapText="1"/>
    </xf>
    <xf numFmtId="0" fontId="121" fillId="35" borderId="89" xfId="0" applyFont="1" applyFill="1" applyBorder="1" applyAlignment="1">
      <alignment wrapText="1"/>
    </xf>
    <xf numFmtId="0" fontId="121" fillId="35" borderId="135" xfId="0" applyFont="1" applyFill="1" applyBorder="1" applyAlignment="1">
      <alignment wrapText="1"/>
    </xf>
    <xf numFmtId="2" fontId="110" fillId="35" borderId="89" xfId="0" applyNumberFormat="1" applyFont="1" applyFill="1" applyBorder="1" applyAlignment="1">
      <alignment wrapText="1"/>
    </xf>
    <xf numFmtId="2" fontId="121" fillId="35" borderId="89" xfId="0" applyNumberFormat="1" applyFont="1" applyFill="1" applyBorder="1" applyAlignment="1">
      <alignment wrapText="1"/>
    </xf>
    <xf numFmtId="2" fontId="121" fillId="35" borderId="135" xfId="0" applyNumberFormat="1" applyFont="1" applyFill="1" applyBorder="1" applyAlignment="1">
      <alignment wrapText="1"/>
    </xf>
    <xf numFmtId="0" fontId="110" fillId="35" borderId="136" xfId="0" applyFont="1" applyFill="1" applyBorder="1"/>
    <xf numFmtId="0" fontId="121" fillId="35" borderId="136" xfId="0" applyFont="1" applyFill="1" applyBorder="1" applyAlignment="1">
      <alignment wrapText="1"/>
    </xf>
    <xf numFmtId="2" fontId="110" fillId="35" borderId="136" xfId="0" applyNumberFormat="1" applyFont="1" applyFill="1" applyBorder="1"/>
    <xf numFmtId="2" fontId="121" fillId="35" borderId="136" xfId="0" applyNumberFormat="1" applyFont="1" applyFill="1" applyBorder="1" applyAlignment="1">
      <alignment wrapText="1"/>
    </xf>
    <xf numFmtId="2" fontId="121" fillId="35" borderId="48" xfId="0" applyNumberFormat="1" applyFont="1" applyFill="1" applyBorder="1" applyAlignment="1">
      <alignment wrapText="1"/>
    </xf>
    <xf numFmtId="2" fontId="0" fillId="0" borderId="0" xfId="0" applyNumberFormat="1" applyAlignment="1">
      <alignment horizontal="center" vertical="center"/>
    </xf>
    <xf numFmtId="3" fontId="127" fillId="0" borderId="45" xfId="44" applyNumberFormat="1" applyFont="1" applyFill="1" applyBorder="1"/>
    <xf numFmtId="3" fontId="127" fillId="0" borderId="141" xfId="44" applyNumberFormat="1" applyFont="1" applyFill="1" applyBorder="1"/>
    <xf numFmtId="167" fontId="14" fillId="0" borderId="10" xfId="115" applyNumberFormat="1" applyFont="1" applyFill="1" applyBorder="1" applyAlignment="1">
      <alignment vertical="center"/>
    </xf>
    <xf numFmtId="2" fontId="14" fillId="0" borderId="10" xfId="115" applyNumberFormat="1" applyFont="1" applyFill="1" applyBorder="1" applyAlignment="1">
      <alignment vertical="center"/>
    </xf>
    <xf numFmtId="1" fontId="14" fillId="0" borderId="10" xfId="115" applyNumberFormat="1" applyFont="1" applyFill="1" applyBorder="1" applyAlignment="1">
      <alignment vertical="center"/>
    </xf>
    <xf numFmtId="0" fontId="5" fillId="0" borderId="10" xfId="115" applyFont="1" applyFill="1" applyBorder="1" applyAlignment="1">
      <alignment horizontal="center" vertical="center"/>
    </xf>
    <xf numFmtId="0" fontId="4" fillId="0" borderId="10" xfId="112" applyFont="1" applyBorder="1" applyAlignment="1">
      <alignment vertical="center" wrapText="1"/>
    </xf>
    <xf numFmtId="165" fontId="15" fillId="0" borderId="0" xfId="37" applyFont="1" applyFill="1" applyAlignment="1">
      <alignment vertical="center"/>
    </xf>
    <xf numFmtId="165" fontId="15" fillId="0" borderId="10" xfId="37" applyFont="1" applyFill="1" applyBorder="1" applyAlignment="1">
      <alignment vertical="center"/>
    </xf>
    <xf numFmtId="0" fontId="26" fillId="0" borderId="10" xfId="115" applyFont="1" applyFill="1" applyBorder="1" applyAlignment="1">
      <alignment vertical="center"/>
    </xf>
    <xf numFmtId="167" fontId="26" fillId="0" borderId="10" xfId="115" applyNumberFormat="1" applyFont="1" applyFill="1" applyBorder="1" applyAlignment="1">
      <alignment vertical="center"/>
    </xf>
    <xf numFmtId="0" fontId="128" fillId="0" borderId="0" xfId="115" applyFont="1" applyFill="1" applyAlignment="1">
      <alignment horizontal="right" vertical="center"/>
    </xf>
    <xf numFmtId="2" fontId="128" fillId="0" borderId="0" xfId="115" applyNumberFormat="1" applyFont="1" applyFill="1" applyAlignment="1">
      <alignment horizontal="right" vertical="center"/>
    </xf>
    <xf numFmtId="167" fontId="128" fillId="0" borderId="0" xfId="115" applyNumberFormat="1" applyFont="1" applyFill="1" applyAlignment="1">
      <alignment horizontal="right" vertical="center"/>
    </xf>
    <xf numFmtId="165" fontId="17" fillId="0" borderId="0" xfId="37" applyFont="1" applyFill="1" applyAlignment="1">
      <alignment vertical="center"/>
    </xf>
    <xf numFmtId="183" fontId="17" fillId="0" borderId="0" xfId="37" applyNumberFormat="1" applyFont="1" applyFill="1" applyAlignment="1">
      <alignment vertical="center"/>
    </xf>
    <xf numFmtId="1" fontId="17" fillId="0" borderId="0" xfId="37" applyNumberFormat="1" applyFont="1" applyFill="1" applyAlignment="1">
      <alignment vertical="center"/>
    </xf>
    <xf numFmtId="1" fontId="17" fillId="0" borderId="0" xfId="115" applyNumberFormat="1" applyFill="1" applyAlignment="1">
      <alignment vertical="center"/>
    </xf>
    <xf numFmtId="167" fontId="93" fillId="0" borderId="0" xfId="85" applyNumberFormat="1" applyFont="1" applyFill="1"/>
    <xf numFmtId="183" fontId="15" fillId="0" borderId="0" xfId="37" applyNumberFormat="1" applyFont="1" applyFill="1" applyAlignment="1">
      <alignment vertical="center"/>
    </xf>
    <xf numFmtId="1" fontId="15" fillId="0" borderId="3" xfId="115" applyNumberFormat="1" applyFont="1" applyFill="1" applyBorder="1" applyAlignment="1">
      <alignment vertical="center"/>
    </xf>
    <xf numFmtId="167" fontId="5" fillId="0" borderId="0" xfId="115" applyNumberFormat="1" applyFont="1" applyFill="1" applyAlignment="1">
      <alignment vertical="center"/>
    </xf>
    <xf numFmtId="190" fontId="17" fillId="0" borderId="0" xfId="115" applyNumberFormat="1" applyFill="1" applyAlignment="1">
      <alignment vertical="center"/>
    </xf>
    <xf numFmtId="1" fontId="5" fillId="0" borderId="0" xfId="115" applyNumberFormat="1" applyFont="1" applyFill="1" applyAlignment="1">
      <alignment vertical="center"/>
    </xf>
    <xf numFmtId="1" fontId="15" fillId="0" borderId="10" xfId="115" applyNumberFormat="1" applyFont="1" applyFill="1" applyBorder="1" applyAlignment="1">
      <alignment vertical="center"/>
    </xf>
    <xf numFmtId="2" fontId="15" fillId="0" borderId="10" xfId="37" applyNumberFormat="1" applyFont="1" applyFill="1" applyBorder="1" applyAlignment="1">
      <alignment vertical="center"/>
    </xf>
    <xf numFmtId="167" fontId="15" fillId="0" borderId="10" xfId="37" applyNumberFormat="1" applyFont="1" applyFill="1" applyBorder="1" applyAlignment="1">
      <alignment vertical="center"/>
    </xf>
    <xf numFmtId="190" fontId="5" fillId="0" borderId="0" xfId="115" applyNumberFormat="1" applyFont="1" applyFill="1" applyAlignment="1">
      <alignment vertical="center"/>
    </xf>
    <xf numFmtId="9" fontId="17" fillId="0" borderId="0" xfId="88" applyFont="1" applyFill="1" applyAlignment="1">
      <alignment vertical="center"/>
    </xf>
    <xf numFmtId="10" fontId="17" fillId="0" borderId="0" xfId="88" applyNumberFormat="1" applyFont="1" applyFill="1" applyAlignment="1">
      <alignment vertical="center"/>
    </xf>
    <xf numFmtId="167" fontId="109" fillId="0" borderId="10" xfId="85" applyNumberFormat="1" applyFont="1" applyFill="1" applyBorder="1" applyAlignment="1">
      <alignment horizontal="right"/>
    </xf>
    <xf numFmtId="2" fontId="109" fillId="0" borderId="10" xfId="85" applyNumberFormat="1" applyFont="1" applyFill="1" applyBorder="1" applyAlignment="1">
      <alignment horizontal="right"/>
    </xf>
    <xf numFmtId="167" fontId="5" fillId="0" borderId="10" xfId="85" applyNumberFormat="1" applyFont="1" applyFill="1" applyBorder="1" applyAlignment="1">
      <alignment horizontal="center" vertical="center"/>
    </xf>
    <xf numFmtId="167" fontId="17" fillId="0" borderId="10" xfId="85" applyNumberFormat="1" applyFill="1" applyBorder="1" applyAlignment="1">
      <alignment horizontal="center" vertical="center"/>
    </xf>
    <xf numFmtId="167" fontId="21" fillId="0" borderId="10" xfId="85" applyNumberFormat="1" applyFont="1" applyFill="1" applyBorder="1" applyAlignment="1">
      <alignment horizontal="center" vertical="center" wrapText="1"/>
    </xf>
    <xf numFmtId="167" fontId="13" fillId="0" borderId="50" xfId="85" applyNumberFormat="1" applyFont="1" applyFill="1" applyBorder="1" applyAlignment="1">
      <alignment horizontal="center"/>
    </xf>
    <xf numFmtId="167" fontId="5" fillId="0" borderId="50" xfId="85" applyNumberFormat="1" applyFont="1" applyFill="1" applyBorder="1"/>
    <xf numFmtId="167" fontId="5" fillId="0" borderId="50" xfId="85" applyNumberFormat="1" applyFont="1" applyFill="1" applyBorder="1" applyAlignment="1">
      <alignment horizontal="center"/>
    </xf>
    <xf numFmtId="1" fontId="17" fillId="0" borderId="10" xfId="85" applyNumberFormat="1" applyFill="1" applyBorder="1" applyAlignment="1">
      <alignment horizontal="center" vertical="center"/>
    </xf>
    <xf numFmtId="0" fontId="58" fillId="0" borderId="10" xfId="83" applyBorder="1" applyAlignment="1">
      <alignment horizontal="right"/>
    </xf>
    <xf numFmtId="167" fontId="126" fillId="0" borderId="10" xfId="80" applyNumberFormat="1" applyFont="1" applyFill="1" applyBorder="1" applyAlignment="1">
      <alignment horizontal="center" vertical="center"/>
    </xf>
    <xf numFmtId="167" fontId="58" fillId="0" borderId="10" xfId="83" applyNumberFormat="1" applyBorder="1" applyAlignment="1">
      <alignment horizontal="center"/>
    </xf>
    <xf numFmtId="167" fontId="126" fillId="0" borderId="10" xfId="80" applyNumberFormat="1" applyFont="1" applyFill="1" applyBorder="1" applyAlignment="1">
      <alignment horizontal="center"/>
    </xf>
    <xf numFmtId="0" fontId="58" fillId="0" borderId="10" xfId="83" applyBorder="1" applyAlignment="1">
      <alignment horizontal="center"/>
    </xf>
    <xf numFmtId="0" fontId="58" fillId="0" borderId="10" xfId="83" applyBorder="1" applyAlignment="1">
      <alignment wrapText="1"/>
    </xf>
    <xf numFmtId="167" fontId="126" fillId="0" borderId="0" xfId="80" applyNumberFormat="1" applyFont="1" applyFill="1" applyAlignment="1">
      <alignment horizontal="center"/>
    </xf>
    <xf numFmtId="0" fontId="88" fillId="0" borderId="10" xfId="83" applyFont="1" applyBorder="1"/>
    <xf numFmtId="0" fontId="89" fillId="0" borderId="10" xfId="83" applyFont="1" applyBorder="1"/>
    <xf numFmtId="0" fontId="89" fillId="0" borderId="10" xfId="83" applyFont="1" applyBorder="1" applyAlignment="1">
      <alignment horizontal="center" vertical="center"/>
    </xf>
    <xf numFmtId="165" fontId="73" fillId="0" borderId="10" xfId="37" applyFont="1" applyFill="1" applyBorder="1"/>
    <xf numFmtId="165" fontId="86" fillId="0" borderId="10" xfId="37" applyFont="1" applyFill="1" applyBorder="1" applyAlignment="1">
      <alignment horizontal="center"/>
    </xf>
    <xf numFmtId="167" fontId="86" fillId="0" borderId="10" xfId="83" applyNumberFormat="1" applyFont="1" applyBorder="1" applyAlignment="1">
      <alignment horizontal="center"/>
    </xf>
    <xf numFmtId="173" fontId="126" fillId="0" borderId="10" xfId="80" applyNumberFormat="1" applyFont="1" applyFill="1" applyBorder="1" applyAlignment="1">
      <alignment horizontal="center"/>
    </xf>
    <xf numFmtId="1" fontId="3" fillId="0" borderId="10" xfId="37" applyNumberFormat="1" applyFont="1" applyFill="1" applyBorder="1"/>
    <xf numFmtId="183" fontId="73" fillId="0" borderId="10" xfId="37" applyNumberFormat="1" applyFont="1" applyFill="1" applyBorder="1"/>
    <xf numFmtId="9" fontId="58" fillId="0" borderId="0" xfId="88" applyFont="1"/>
    <xf numFmtId="0" fontId="58" fillId="0" borderId="50" xfId="83" applyBorder="1"/>
    <xf numFmtId="0" fontId="58" fillId="0" borderId="50" xfId="83" applyBorder="1" applyAlignment="1">
      <alignment horizontal="center" vertical="center"/>
    </xf>
    <xf numFmtId="0" fontId="58" fillId="0" borderId="50" xfId="83" applyBorder="1" applyAlignment="1">
      <alignment horizontal="center"/>
    </xf>
    <xf numFmtId="167" fontId="58" fillId="0" borderId="50" xfId="83" applyNumberFormat="1" applyBorder="1"/>
    <xf numFmtId="1" fontId="19" fillId="0" borderId="10" xfId="85" applyNumberFormat="1" applyFont="1" applyFill="1" applyBorder="1" applyAlignment="1">
      <alignment horizontal="center"/>
    </xf>
    <xf numFmtId="167" fontId="93" fillId="0" borderId="10" xfId="85" applyNumberFormat="1" applyFont="1" applyFill="1" applyBorder="1"/>
    <xf numFmtId="0" fontId="93" fillId="0" borderId="10" xfId="85" applyFont="1" applyFill="1" applyBorder="1"/>
    <xf numFmtId="10" fontId="129" fillId="0" borderId="10" xfId="85" applyNumberFormat="1" applyFont="1" applyFill="1" applyBorder="1" applyAlignment="1">
      <alignment horizontal="center"/>
    </xf>
    <xf numFmtId="0" fontId="4" fillId="0" borderId="10" xfId="85" applyFont="1" applyFill="1" applyBorder="1" applyAlignment="1">
      <alignment horizontal="center" vertical="center"/>
    </xf>
    <xf numFmtId="0" fontId="3" fillId="0" borderId="10" xfId="85" applyFont="1" applyFill="1" applyBorder="1" applyAlignment="1">
      <alignment horizontal="center" vertical="center"/>
    </xf>
    <xf numFmtId="1" fontId="3" fillId="0" borderId="10" xfId="85" applyNumberFormat="1" applyFont="1" applyFill="1" applyBorder="1" applyAlignment="1">
      <alignment horizontal="center" vertical="center"/>
    </xf>
    <xf numFmtId="2" fontId="3" fillId="0" borderId="0" xfId="85" applyNumberFormat="1" applyFont="1" applyFill="1" applyAlignment="1">
      <alignment horizontal="center"/>
    </xf>
    <xf numFmtId="0" fontId="9" fillId="0" borderId="10" xfId="0" applyFont="1" applyBorder="1" applyAlignment="1">
      <alignment horizontal="left" vertical="center" wrapText="1"/>
    </xf>
    <xf numFmtId="0" fontId="3" fillId="0" borderId="10" xfId="85" applyFont="1" applyFill="1" applyBorder="1" applyAlignment="1">
      <alignment wrapText="1"/>
    </xf>
    <xf numFmtId="1" fontId="15" fillId="0" borderId="10" xfId="115" applyNumberFormat="1" applyFont="1" applyFill="1" applyBorder="1"/>
    <xf numFmtId="0" fontId="14" fillId="0" borderId="10" xfId="115" applyFont="1" applyFill="1" applyBorder="1"/>
    <xf numFmtId="1" fontId="14" fillId="0" borderId="10" xfId="115" applyNumberFormat="1" applyFont="1" applyFill="1" applyBorder="1"/>
    <xf numFmtId="167" fontId="14" fillId="0" borderId="10" xfId="115" applyNumberFormat="1" applyFont="1" applyFill="1" applyBorder="1"/>
    <xf numFmtId="167" fontId="17" fillId="0" borderId="0" xfId="115" applyNumberFormat="1" applyFill="1" applyAlignment="1">
      <alignment horizontal="center"/>
    </xf>
    <xf numFmtId="167" fontId="17" fillId="0" borderId="0" xfId="115" applyNumberFormat="1" applyFill="1" applyAlignment="1">
      <alignment horizontal="center" vertical="center"/>
    </xf>
    <xf numFmtId="0" fontId="5" fillId="0" borderId="10" xfId="115" applyFont="1" applyFill="1" applyBorder="1"/>
    <xf numFmtId="0" fontId="14" fillId="0" borderId="50" xfId="115" applyFont="1" applyFill="1" applyBorder="1" applyAlignment="1">
      <alignment horizontal="center" vertical="center" wrapText="1"/>
    </xf>
    <xf numFmtId="1" fontId="17" fillId="0" borderId="0" xfId="115" applyNumberFormat="1" applyFill="1"/>
    <xf numFmtId="167" fontId="15" fillId="0" borderId="0" xfId="115" applyNumberFormat="1" applyFont="1" applyFill="1"/>
    <xf numFmtId="170" fontId="15" fillId="0" borderId="0" xfId="88" applyNumberFormat="1" applyFont="1" applyFill="1"/>
    <xf numFmtId="167" fontId="15" fillId="0" borderId="10" xfId="115" applyNumberFormat="1" applyFont="1" applyFill="1" applyBorder="1" applyAlignment="1">
      <alignment horizontal="center"/>
    </xf>
    <xf numFmtId="167" fontId="3" fillId="0" borderId="10" xfId="85" applyNumberFormat="1" applyFont="1" applyFill="1" applyBorder="1" applyAlignment="1">
      <alignment horizontal="right"/>
    </xf>
    <xf numFmtId="2" fontId="5" fillId="0" borderId="0" xfId="85" applyNumberFormat="1" applyFont="1" applyFill="1"/>
    <xf numFmtId="167" fontId="5" fillId="0" borderId="0" xfId="115" applyNumberFormat="1" applyFont="1" applyFill="1" applyAlignment="1">
      <alignment horizontal="center"/>
    </xf>
    <xf numFmtId="0" fontId="4" fillId="39" borderId="88" xfId="0" applyFont="1" applyFill="1" applyBorder="1"/>
    <xf numFmtId="0" fontId="4" fillId="39" borderId="0" xfId="0" applyFont="1" applyFill="1" applyAlignment="1">
      <alignment horizontal="center" vertical="center" wrapText="1"/>
    </xf>
    <xf numFmtId="0" fontId="4" fillId="39" borderId="74" xfId="0" applyFont="1" applyFill="1" applyBorder="1" applyAlignment="1">
      <alignment horizontal="center" vertical="center" wrapText="1"/>
    </xf>
    <xf numFmtId="0" fontId="4" fillId="39" borderId="104" xfId="0" applyFont="1" applyFill="1" applyBorder="1" applyAlignment="1">
      <alignment wrapText="1"/>
    </xf>
    <xf numFmtId="10" fontId="0" fillId="39" borderId="10" xfId="0" applyNumberFormat="1" applyFill="1" applyBorder="1"/>
    <xf numFmtId="0" fontId="21" fillId="0" borderId="10" xfId="85" applyFont="1" applyFill="1" applyBorder="1" applyAlignment="1">
      <alignment horizontal="center" vertical="center" wrapText="1"/>
    </xf>
    <xf numFmtId="2" fontId="0" fillId="0" borderId="10" xfId="0" applyNumberFormat="1" applyBorder="1" applyAlignment="1">
      <alignment horizontal="right" vertical="center"/>
    </xf>
    <xf numFmtId="167" fontId="14" fillId="0" borderId="10" xfId="115" applyNumberFormat="1" applyFont="1" applyFill="1" applyBorder="1" applyAlignment="1">
      <alignment horizontal="center"/>
    </xf>
    <xf numFmtId="1" fontId="5" fillId="0" borderId="0" xfId="115" applyNumberFormat="1" applyFont="1" applyFill="1"/>
    <xf numFmtId="167" fontId="5" fillId="0" borderId="0" xfId="115" applyNumberFormat="1" applyFont="1" applyFill="1"/>
    <xf numFmtId="1" fontId="93" fillId="0" borderId="10" xfId="37" applyNumberFormat="1" applyFont="1" applyFill="1" applyBorder="1"/>
    <xf numFmtId="10" fontId="3" fillId="0" borderId="10" xfId="85" applyNumberFormat="1" applyFont="1" applyFill="1" applyBorder="1" applyAlignment="1">
      <alignment horizontal="center"/>
    </xf>
    <xf numFmtId="167" fontId="19" fillId="0" borderId="10" xfId="85" applyNumberFormat="1" applyFont="1" applyFill="1" applyBorder="1" applyAlignment="1">
      <alignment horizontal="center"/>
    </xf>
    <xf numFmtId="10" fontId="3" fillId="0" borderId="41" xfId="85" applyNumberFormat="1" applyFont="1" applyFill="1" applyBorder="1" applyAlignment="1">
      <alignment horizontal="center"/>
    </xf>
    <xf numFmtId="10" fontId="3" fillId="0" borderId="41" xfId="85" applyNumberFormat="1" applyFont="1" applyFill="1" applyBorder="1"/>
    <xf numFmtId="10" fontId="5" fillId="0" borderId="41" xfId="88" applyNumberFormat="1" applyFont="1" applyFill="1" applyBorder="1" applyAlignment="1">
      <alignment horizontal="center"/>
    </xf>
    <xf numFmtId="2" fontId="17" fillId="0" borderId="35" xfId="85" applyNumberFormat="1" applyFill="1" applyBorder="1" applyAlignment="1">
      <alignment horizontal="center" vertical="center"/>
    </xf>
    <xf numFmtId="2" fontId="5" fillId="0" borderId="35" xfId="85" applyNumberFormat="1" applyFont="1" applyFill="1" applyBorder="1" applyAlignment="1">
      <alignment horizontal="center" vertical="center"/>
    </xf>
    <xf numFmtId="2" fontId="4" fillId="0" borderId="10" xfId="0" applyNumberFormat="1" applyFont="1" applyBorder="1" applyAlignment="1">
      <alignment horizontal="center" vertical="center"/>
    </xf>
    <xf numFmtId="2" fontId="0" fillId="0" borderId="0" xfId="88" applyNumberFormat="1" applyFont="1" applyFill="1" applyBorder="1"/>
    <xf numFmtId="2" fontId="3" fillId="0" borderId="10" xfId="37" applyNumberFormat="1" applyFont="1" applyFill="1" applyBorder="1"/>
    <xf numFmtId="167" fontId="3" fillId="0" borderId="41" xfId="0" applyNumberFormat="1" applyFont="1" applyBorder="1"/>
    <xf numFmtId="1" fontId="4" fillId="0" borderId="10" xfId="0" applyNumberFormat="1" applyFont="1" applyBorder="1" applyAlignment="1">
      <alignment horizontal="center"/>
    </xf>
    <xf numFmtId="1" fontId="3" fillId="0" borderId="10" xfId="0" applyNumberFormat="1" applyFont="1" applyBorder="1" applyAlignment="1">
      <alignment horizontal="center"/>
    </xf>
    <xf numFmtId="1" fontId="3" fillId="0" borderId="10" xfId="0" applyNumberFormat="1" applyFont="1" applyBorder="1" applyAlignment="1">
      <alignment horizontal="center" vertical="center"/>
    </xf>
    <xf numFmtId="0" fontId="4" fillId="45" borderId="144" xfId="0" applyFont="1" applyFill="1" applyBorder="1"/>
    <xf numFmtId="0" fontId="3" fillId="45" borderId="61" xfId="0" applyFont="1" applyFill="1" applyBorder="1"/>
    <xf numFmtId="0" fontId="3" fillId="45" borderId="66" xfId="0" applyFont="1" applyFill="1" applyBorder="1"/>
    <xf numFmtId="10" fontId="0" fillId="45" borderId="40" xfId="88" applyNumberFormat="1" applyFont="1" applyFill="1" applyBorder="1"/>
    <xf numFmtId="167" fontId="0" fillId="45" borderId="10" xfId="0" applyNumberFormat="1" applyFill="1" applyBorder="1"/>
    <xf numFmtId="10" fontId="0" fillId="45" borderId="22" xfId="88" applyNumberFormat="1" applyFont="1" applyFill="1" applyBorder="1"/>
    <xf numFmtId="10" fontId="0" fillId="45" borderId="145" xfId="88" applyNumberFormat="1" applyFont="1" applyFill="1" applyBorder="1"/>
    <xf numFmtId="0" fontId="0" fillId="45" borderId="10" xfId="0" applyFill="1" applyBorder="1"/>
    <xf numFmtId="9" fontId="0" fillId="45" borderId="10" xfId="88" applyFont="1" applyFill="1" applyBorder="1"/>
    <xf numFmtId="10" fontId="0" fillId="45" borderId="90" xfId="88" applyNumberFormat="1" applyFont="1" applyFill="1" applyBorder="1"/>
    <xf numFmtId="0" fontId="0" fillId="45" borderId="91" xfId="0" applyFill="1" applyBorder="1"/>
    <xf numFmtId="10" fontId="0" fillId="45" borderId="143" xfId="88" applyNumberFormat="1" applyFont="1" applyFill="1" applyBorder="1"/>
    <xf numFmtId="10" fontId="0" fillId="45" borderId="146" xfId="88" applyNumberFormat="1" applyFont="1" applyFill="1" applyBorder="1"/>
    <xf numFmtId="0" fontId="3" fillId="46" borderId="40" xfId="0" applyFont="1" applyFill="1" applyBorder="1"/>
    <xf numFmtId="10" fontId="0" fillId="46" borderId="10" xfId="88" applyNumberFormat="1" applyFont="1" applyFill="1" applyBorder="1"/>
    <xf numFmtId="10" fontId="3" fillId="46" borderId="10" xfId="88" applyNumberFormat="1" applyFont="1" applyFill="1" applyBorder="1"/>
    <xf numFmtId="10" fontId="3" fillId="46" borderId="41" xfId="88" applyNumberFormat="1" applyFont="1" applyFill="1" applyBorder="1"/>
    <xf numFmtId="9" fontId="0" fillId="46" borderId="10" xfId="0" applyNumberFormat="1" applyFill="1" applyBorder="1"/>
    <xf numFmtId="9" fontId="4" fillId="46" borderId="41" xfId="88" applyFont="1" applyFill="1" applyBorder="1"/>
    <xf numFmtId="10" fontId="0" fillId="46" borderId="10" xfId="0" applyNumberFormat="1" applyFill="1" applyBorder="1"/>
    <xf numFmtId="10" fontId="3" fillId="46" borderId="10" xfId="0" applyNumberFormat="1" applyFont="1" applyFill="1" applyBorder="1"/>
    <xf numFmtId="10" fontId="3" fillId="46" borderId="41" xfId="0" applyNumberFormat="1" applyFont="1" applyFill="1" applyBorder="1"/>
    <xf numFmtId="0" fontId="4" fillId="46" borderId="40" xfId="0" applyFont="1" applyFill="1" applyBorder="1"/>
    <xf numFmtId="0" fontId="0" fillId="47" borderId="10" xfId="0" applyFill="1" applyBorder="1"/>
    <xf numFmtId="0" fontId="0" fillId="47" borderId="41" xfId="0" applyFill="1" applyBorder="1"/>
    <xf numFmtId="10" fontId="4" fillId="0" borderId="10" xfId="88" applyNumberFormat="1" applyFont="1" applyBorder="1"/>
    <xf numFmtId="175" fontId="3" fillId="0" borderId="10" xfId="0" applyNumberFormat="1" applyFont="1" applyBorder="1"/>
    <xf numFmtId="0" fontId="4" fillId="0" borderId="0" xfId="0" applyFont="1" applyAlignment="1">
      <alignment horizontal="center" vertical="center"/>
    </xf>
    <xf numFmtId="2" fontId="4" fillId="0" borderId="10" xfId="0" applyNumberFormat="1" applyFont="1" applyBorder="1" applyAlignment="1">
      <alignment horizontal="right" vertical="center"/>
    </xf>
    <xf numFmtId="165" fontId="0" fillId="0" borderId="91" xfId="37" applyFont="1" applyFill="1" applyBorder="1"/>
    <xf numFmtId="165" fontId="0" fillId="0" borderId="90" xfId="37" applyFont="1" applyFill="1" applyBorder="1"/>
    <xf numFmtId="0" fontId="14" fillId="0" borderId="80" xfId="115" applyFont="1" applyFill="1" applyBorder="1" applyAlignment="1">
      <alignment vertical="center"/>
    </xf>
    <xf numFmtId="0" fontId="14" fillId="0" borderId="81" xfId="115" applyFont="1" applyFill="1" applyBorder="1" applyAlignment="1">
      <alignment vertical="center"/>
    </xf>
    <xf numFmtId="0" fontId="17" fillId="0" borderId="40" xfId="115" applyFill="1" applyBorder="1" applyAlignment="1">
      <alignment horizontal="center" vertical="center"/>
    </xf>
    <xf numFmtId="2" fontId="15" fillId="0" borderId="41" xfId="115" applyNumberFormat="1" applyFont="1" applyFill="1" applyBorder="1" applyAlignment="1">
      <alignment vertical="center"/>
    </xf>
    <xf numFmtId="2" fontId="14" fillId="0" borderId="41" xfId="115" applyNumberFormat="1" applyFont="1" applyFill="1" applyBorder="1" applyAlignment="1">
      <alignment vertical="center"/>
    </xf>
    <xf numFmtId="0" fontId="17" fillId="0" borderId="90" xfId="115" applyFill="1" applyBorder="1" applyAlignment="1">
      <alignment horizontal="center" vertical="center"/>
    </xf>
    <xf numFmtId="0" fontId="14" fillId="0" borderId="91" xfId="115" applyFont="1" applyFill="1" applyBorder="1" applyAlignment="1">
      <alignment vertical="center" wrapText="1"/>
    </xf>
    <xf numFmtId="0" fontId="14" fillId="0" borderId="91" xfId="115" applyFont="1" applyFill="1" applyBorder="1" applyAlignment="1">
      <alignment vertical="center"/>
    </xf>
    <xf numFmtId="167" fontId="14" fillId="0" borderId="91" xfId="115" applyNumberFormat="1" applyFont="1" applyFill="1" applyBorder="1" applyAlignment="1">
      <alignment vertical="center"/>
    </xf>
    <xf numFmtId="2" fontId="14" fillId="0" borderId="91" xfId="115" applyNumberFormat="1" applyFont="1" applyFill="1" applyBorder="1" applyAlignment="1">
      <alignment vertical="center"/>
    </xf>
    <xf numFmtId="2" fontId="14" fillId="0" borderId="92" xfId="115" applyNumberFormat="1" applyFont="1" applyFill="1" applyBorder="1" applyAlignment="1">
      <alignment vertical="center"/>
    </xf>
    <xf numFmtId="0" fontId="17" fillId="0" borderId="128" xfId="115" applyFill="1" applyBorder="1" applyAlignment="1">
      <alignment horizontal="center" vertical="center"/>
    </xf>
    <xf numFmtId="0" fontId="15" fillId="0" borderId="38" xfId="115" applyFont="1" applyFill="1" applyBorder="1" applyAlignment="1">
      <alignment horizontal="center" vertical="center" wrapText="1"/>
    </xf>
    <xf numFmtId="0" fontId="15" fillId="0" borderId="38" xfId="115" applyFont="1" applyFill="1" applyBorder="1" applyAlignment="1">
      <alignment vertical="center"/>
    </xf>
    <xf numFmtId="0" fontId="15" fillId="0" borderId="38" xfId="115" applyFont="1" applyFill="1" applyBorder="1" applyAlignment="1">
      <alignment horizontal="center" vertical="center"/>
    </xf>
    <xf numFmtId="0" fontId="15" fillId="0" borderId="129" xfId="115" applyFont="1" applyFill="1" applyBorder="1" applyAlignment="1">
      <alignment horizontal="center" vertical="center"/>
    </xf>
    <xf numFmtId="0" fontId="14" fillId="0" borderId="91" xfId="115" applyFont="1" applyFill="1" applyBorder="1" applyAlignment="1">
      <alignment horizontal="center" vertical="center" wrapText="1"/>
    </xf>
    <xf numFmtId="0" fontId="14" fillId="0" borderId="92" xfId="115" applyFont="1" applyFill="1" applyBorder="1" applyAlignment="1">
      <alignment horizontal="center" vertical="center" wrapText="1"/>
    </xf>
    <xf numFmtId="0" fontId="15" fillId="0" borderId="94" xfId="115" applyFont="1" applyFill="1" applyBorder="1" applyAlignment="1">
      <alignment vertical="center"/>
    </xf>
    <xf numFmtId="1" fontId="15" fillId="0" borderId="75" xfId="115" applyNumberFormat="1" applyFont="1" applyFill="1" applyBorder="1" applyAlignment="1">
      <alignment vertical="center"/>
    </xf>
    <xf numFmtId="1" fontId="14" fillId="0" borderId="75" xfId="115" applyNumberFormat="1" applyFont="1" applyFill="1" applyBorder="1" applyAlignment="1">
      <alignment vertical="center"/>
    </xf>
    <xf numFmtId="1" fontId="15" fillId="0" borderId="75" xfId="115" applyNumberFormat="1" applyFont="1" applyFill="1" applyBorder="1" applyAlignment="1">
      <alignment vertical="center" wrapText="1"/>
    </xf>
    <xf numFmtId="1" fontId="14" fillId="0" borderId="140" xfId="115" applyNumberFormat="1" applyFont="1" applyFill="1" applyBorder="1" applyAlignment="1">
      <alignment vertical="center"/>
    </xf>
    <xf numFmtId="0" fontId="14" fillId="0" borderId="142" xfId="115" applyFont="1" applyFill="1" applyBorder="1" applyAlignment="1">
      <alignment vertical="center"/>
    </xf>
    <xf numFmtId="0" fontId="14" fillId="0" borderId="143" xfId="115" applyFont="1" applyFill="1" applyBorder="1" applyAlignment="1">
      <alignment horizontal="center" vertical="center" wrapText="1"/>
    </xf>
    <xf numFmtId="0" fontId="15" fillId="0" borderId="89" xfId="115" applyFont="1" applyFill="1" applyBorder="1" applyAlignment="1">
      <alignment vertical="center"/>
    </xf>
    <xf numFmtId="167" fontId="15" fillId="0" borderId="22" xfId="115" applyNumberFormat="1" applyFont="1" applyFill="1" applyBorder="1" applyAlignment="1">
      <alignment vertical="center"/>
    </xf>
    <xf numFmtId="167" fontId="14" fillId="0" borderId="22" xfId="115" applyNumberFormat="1" applyFont="1" applyFill="1" applyBorder="1" applyAlignment="1">
      <alignment vertical="center"/>
    </xf>
    <xf numFmtId="167" fontId="14" fillId="0" borderId="143" xfId="115" applyNumberFormat="1" applyFont="1" applyFill="1" applyBorder="1" applyAlignment="1">
      <alignment vertical="center"/>
    </xf>
    <xf numFmtId="0" fontId="14" fillId="0" borderId="79" xfId="115" applyFont="1" applyFill="1" applyBorder="1" applyAlignment="1">
      <alignment vertical="center"/>
    </xf>
    <xf numFmtId="0" fontId="14" fillId="0" borderId="90" xfId="115" applyFont="1" applyFill="1" applyBorder="1" applyAlignment="1">
      <alignment horizontal="center" vertical="center" wrapText="1"/>
    </xf>
    <xf numFmtId="0" fontId="15" fillId="0" borderId="128" xfId="115" applyFont="1" applyFill="1" applyBorder="1" applyAlignment="1">
      <alignment vertical="center"/>
    </xf>
    <xf numFmtId="0" fontId="15" fillId="0" borderId="129" xfId="115" applyFont="1" applyFill="1" applyBorder="1" applyAlignment="1">
      <alignment vertical="center"/>
    </xf>
    <xf numFmtId="0" fontId="15" fillId="0" borderId="40" xfId="115" applyFont="1" applyFill="1" applyBorder="1" applyAlignment="1">
      <alignment vertical="center"/>
    </xf>
    <xf numFmtId="167" fontId="15" fillId="0" borderId="41" xfId="115" applyNumberFormat="1" applyFont="1" applyFill="1" applyBorder="1" applyAlignment="1">
      <alignment vertical="center"/>
    </xf>
    <xf numFmtId="0" fontId="14" fillId="0" borderId="40" xfId="115" applyFont="1" applyFill="1" applyBorder="1" applyAlignment="1">
      <alignment vertical="center"/>
    </xf>
    <xf numFmtId="167" fontId="14" fillId="0" borderId="41" xfId="115" applyNumberFormat="1" applyFont="1" applyFill="1" applyBorder="1" applyAlignment="1">
      <alignment vertical="center"/>
    </xf>
    <xf numFmtId="0" fontId="14" fillId="0" borderId="90" xfId="115" applyFont="1" applyFill="1" applyBorder="1" applyAlignment="1">
      <alignment vertical="center"/>
    </xf>
    <xf numFmtId="167" fontId="14" fillId="0" borderId="92" xfId="115" applyNumberFormat="1" applyFont="1" applyFill="1" applyBorder="1" applyAlignment="1">
      <alignment vertical="center"/>
    </xf>
    <xf numFmtId="2" fontId="15" fillId="0" borderId="41" xfId="37" applyNumberFormat="1" applyFont="1" applyFill="1" applyBorder="1" applyAlignment="1">
      <alignment vertical="center"/>
    </xf>
    <xf numFmtId="1" fontId="15" fillId="0" borderId="75" xfId="37" applyNumberFormat="1" applyFont="1" applyFill="1" applyBorder="1" applyAlignment="1">
      <alignment vertical="center"/>
    </xf>
    <xf numFmtId="167" fontId="15" fillId="0" borderId="22" xfId="37" applyNumberFormat="1" applyFont="1" applyFill="1" applyBorder="1" applyAlignment="1">
      <alignment vertical="center"/>
    </xf>
    <xf numFmtId="167" fontId="14" fillId="0" borderId="40" xfId="115" applyNumberFormat="1" applyFont="1" applyFill="1" applyBorder="1" applyAlignment="1">
      <alignment vertical="center"/>
    </xf>
    <xf numFmtId="165" fontId="15" fillId="0" borderId="40" xfId="37" applyFont="1" applyFill="1" applyBorder="1" applyAlignment="1">
      <alignment vertical="center"/>
    </xf>
    <xf numFmtId="167" fontId="15" fillId="0" borderId="41" xfId="37" applyNumberFormat="1" applyFont="1" applyFill="1" applyBorder="1" applyAlignment="1">
      <alignment vertical="center"/>
    </xf>
    <xf numFmtId="167" fontId="14" fillId="0" borderId="90" xfId="115" applyNumberFormat="1" applyFont="1" applyFill="1" applyBorder="1" applyAlignment="1">
      <alignment vertical="center"/>
    </xf>
    <xf numFmtId="0" fontId="17" fillId="0" borderId="79" xfId="115" applyFill="1" applyBorder="1" applyAlignment="1">
      <alignment horizontal="center" vertical="center"/>
    </xf>
    <xf numFmtId="0" fontId="5" fillId="0" borderId="90" xfId="115" applyFont="1" applyFill="1" applyBorder="1" applyAlignment="1">
      <alignment horizontal="center" vertical="center"/>
    </xf>
    <xf numFmtId="0" fontId="16" fillId="0" borderId="139" xfId="115" applyFont="1" applyFill="1" applyBorder="1" applyAlignment="1">
      <alignment vertical="center" wrapText="1"/>
    </xf>
    <xf numFmtId="0" fontId="16" fillId="0" borderId="75" xfId="115" applyFont="1" applyFill="1" applyBorder="1" applyAlignment="1">
      <alignment vertical="center" wrapText="1"/>
    </xf>
    <xf numFmtId="0" fontId="15" fillId="0" borderId="75" xfId="115" applyFont="1" applyFill="1" applyBorder="1" applyAlignment="1">
      <alignment vertical="center" wrapText="1"/>
    </xf>
    <xf numFmtId="0" fontId="15" fillId="0" borderId="75" xfId="115" applyFont="1" applyFill="1" applyBorder="1" applyAlignment="1">
      <alignment horizontal="center" vertical="center" wrapText="1"/>
    </xf>
    <xf numFmtId="168" fontId="15" fillId="0" borderId="75" xfId="115" applyNumberFormat="1" applyFont="1" applyFill="1" applyBorder="1" applyAlignment="1">
      <alignment horizontal="center" vertical="center" wrapText="1"/>
    </xf>
    <xf numFmtId="0" fontId="13" fillId="0" borderId="140" xfId="115" applyFont="1" applyFill="1" applyBorder="1" applyAlignment="1">
      <alignment vertical="center" wrapText="1"/>
    </xf>
    <xf numFmtId="0" fontId="15" fillId="0" borderId="22" xfId="115" applyFont="1" applyFill="1" applyBorder="1" applyAlignment="1">
      <alignment vertical="center"/>
    </xf>
    <xf numFmtId="0" fontId="14" fillId="0" borderId="143" xfId="115" applyFont="1" applyFill="1" applyBorder="1" applyAlignment="1">
      <alignment vertical="center"/>
    </xf>
    <xf numFmtId="0" fontId="15" fillId="0" borderId="41" xfId="115" applyFont="1" applyFill="1" applyBorder="1" applyAlignment="1">
      <alignment vertical="center"/>
    </xf>
    <xf numFmtId="0" fontId="14" fillId="0" borderId="92" xfId="115" applyFont="1" applyFill="1" applyBorder="1" applyAlignment="1">
      <alignment vertical="center"/>
    </xf>
    <xf numFmtId="0" fontId="15" fillId="0" borderId="94" xfId="115" applyFont="1" applyFill="1" applyBorder="1" applyAlignment="1">
      <alignment horizontal="center" vertical="center" wrapText="1"/>
    </xf>
    <xf numFmtId="167" fontId="15" fillId="0" borderId="38" xfId="115" applyNumberFormat="1" applyFont="1" applyFill="1" applyBorder="1" applyAlignment="1">
      <alignment vertical="center"/>
    </xf>
    <xf numFmtId="167" fontId="15" fillId="0" borderId="129" xfId="115" applyNumberFormat="1" applyFont="1" applyFill="1" applyBorder="1" applyAlignment="1">
      <alignment vertical="center"/>
    </xf>
    <xf numFmtId="0" fontId="15" fillId="0" borderId="140" xfId="115" applyFont="1" applyFill="1" applyBorder="1" applyAlignment="1">
      <alignment vertical="center" wrapText="1"/>
    </xf>
    <xf numFmtId="0" fontId="5" fillId="0" borderId="40" xfId="115" applyFont="1" applyFill="1" applyBorder="1" applyAlignment="1">
      <alignment horizontal="center" vertical="center"/>
    </xf>
    <xf numFmtId="0" fontId="15" fillId="0" borderId="75" xfId="115" applyFont="1" applyFill="1" applyBorder="1" applyAlignment="1">
      <alignment vertical="center"/>
    </xf>
    <xf numFmtId="0" fontId="14" fillId="0" borderId="75" xfId="115" applyFont="1" applyFill="1" applyBorder="1" applyAlignment="1">
      <alignment vertical="center"/>
    </xf>
    <xf numFmtId="0" fontId="14" fillId="0" borderId="140" xfId="115" applyFont="1" applyFill="1" applyBorder="1" applyAlignment="1">
      <alignment horizontal="center" vertical="center" wrapText="1"/>
    </xf>
    <xf numFmtId="0" fontId="14" fillId="0" borderId="140" xfId="115" applyFont="1" applyFill="1" applyBorder="1" applyAlignment="1">
      <alignment vertical="center"/>
    </xf>
    <xf numFmtId="2" fontId="15" fillId="0" borderId="75" xfId="115" applyNumberFormat="1" applyFont="1" applyFill="1" applyBorder="1" applyAlignment="1">
      <alignment vertical="center"/>
    </xf>
    <xf numFmtId="0" fontId="15" fillId="0" borderId="89" xfId="115" applyFont="1" applyFill="1" applyBorder="1" applyAlignment="1">
      <alignment horizontal="center" vertical="center"/>
    </xf>
    <xf numFmtId="2" fontId="15" fillId="0" borderId="22" xfId="115" applyNumberFormat="1" applyFont="1" applyFill="1" applyBorder="1" applyAlignment="1">
      <alignment vertical="center"/>
    </xf>
    <xf numFmtId="2" fontId="14" fillId="0" borderId="22" xfId="115" applyNumberFormat="1" applyFont="1" applyFill="1" applyBorder="1" applyAlignment="1">
      <alignment vertical="center"/>
    </xf>
    <xf numFmtId="2" fontId="14" fillId="0" borderId="143" xfId="115" applyNumberFormat="1" applyFont="1" applyFill="1" applyBorder="1" applyAlignment="1">
      <alignment vertical="center"/>
    </xf>
    <xf numFmtId="167" fontId="15" fillId="0" borderId="40" xfId="115" applyNumberFormat="1" applyFont="1" applyFill="1" applyBorder="1" applyAlignment="1">
      <alignment vertical="center"/>
    </xf>
    <xf numFmtId="0" fontId="14" fillId="0" borderId="41" xfId="115" applyFont="1" applyFill="1" applyBorder="1" applyAlignment="1">
      <alignment vertical="center"/>
    </xf>
    <xf numFmtId="167" fontId="15" fillId="0" borderId="41" xfId="115" applyNumberFormat="1" applyFont="1" applyFill="1" applyBorder="1" applyAlignment="1">
      <alignment horizontal="right" vertical="center"/>
    </xf>
    <xf numFmtId="0" fontId="15" fillId="0" borderId="75" xfId="115" applyFont="1" applyFill="1" applyBorder="1" applyAlignment="1">
      <alignment horizontal="center" vertical="center"/>
    </xf>
    <xf numFmtId="0" fontId="26" fillId="0" borderId="40" xfId="115" applyFont="1" applyFill="1" applyBorder="1" applyAlignment="1">
      <alignment vertical="center"/>
    </xf>
    <xf numFmtId="167" fontId="26" fillId="0" borderId="41" xfId="115" applyNumberFormat="1" applyFont="1" applyFill="1" applyBorder="1" applyAlignment="1">
      <alignment vertical="center"/>
    </xf>
    <xf numFmtId="168" fontId="15" fillId="0" borderId="94" xfId="115" applyNumberFormat="1" applyFont="1" applyFill="1" applyBorder="1" applyAlignment="1">
      <alignment horizontal="center" vertical="center" wrapText="1"/>
    </xf>
    <xf numFmtId="0" fontId="26" fillId="0" borderId="128" xfId="115" applyFont="1" applyFill="1" applyBorder="1" applyAlignment="1">
      <alignment vertical="center"/>
    </xf>
    <xf numFmtId="167" fontId="26" fillId="0" borderId="38" xfId="115" applyNumberFormat="1" applyFont="1" applyFill="1" applyBorder="1" applyAlignment="1">
      <alignment vertical="center"/>
    </xf>
    <xf numFmtId="0" fontId="26" fillId="0" borderId="38" xfId="115" applyFont="1" applyFill="1" applyBorder="1" applyAlignment="1">
      <alignment vertical="center"/>
    </xf>
    <xf numFmtId="167" fontId="26" fillId="0" borderId="129" xfId="115" applyNumberFormat="1" applyFont="1" applyFill="1" applyBorder="1" applyAlignment="1">
      <alignment vertical="center"/>
    </xf>
    <xf numFmtId="0" fontId="15" fillId="0" borderId="38" xfId="115" applyFont="1" applyFill="1" applyBorder="1" applyAlignment="1">
      <alignment horizontal="right" vertical="center"/>
    </xf>
    <xf numFmtId="167" fontId="15" fillId="0" borderId="129" xfId="115" applyNumberFormat="1" applyFont="1" applyFill="1" applyBorder="1" applyAlignment="1">
      <alignment horizontal="right" vertical="center"/>
    </xf>
    <xf numFmtId="0" fontId="15" fillId="0" borderId="140" xfId="115" applyFont="1" applyFill="1" applyBorder="1" applyAlignment="1">
      <alignment horizontal="center" vertical="center" wrapText="1"/>
    </xf>
    <xf numFmtId="0" fontId="5" fillId="0" borderId="38" xfId="115" applyFont="1" applyFill="1" applyBorder="1" applyAlignment="1">
      <alignment horizontal="center" vertical="center"/>
    </xf>
    <xf numFmtId="0" fontId="14" fillId="0" borderId="38" xfId="115" applyFont="1" applyFill="1" applyBorder="1" applyAlignment="1">
      <alignment vertical="center" wrapText="1"/>
    </xf>
    <xf numFmtId="0" fontId="14" fillId="0" borderId="38" xfId="115" applyFont="1" applyFill="1" applyBorder="1" applyAlignment="1">
      <alignment vertical="center"/>
    </xf>
    <xf numFmtId="2" fontId="14" fillId="0" borderId="38" xfId="115" applyNumberFormat="1" applyFont="1" applyFill="1" applyBorder="1" applyAlignment="1">
      <alignment vertical="center"/>
    </xf>
    <xf numFmtId="1" fontId="14" fillId="0" borderId="94" xfId="115" applyNumberFormat="1" applyFont="1" applyFill="1" applyBorder="1" applyAlignment="1">
      <alignment vertical="center"/>
    </xf>
    <xf numFmtId="2" fontId="14" fillId="0" borderId="89" xfId="115" applyNumberFormat="1" applyFont="1" applyFill="1" applyBorder="1" applyAlignment="1">
      <alignment vertical="center"/>
    </xf>
    <xf numFmtId="167" fontId="14" fillId="0" borderId="134" xfId="115" applyNumberFormat="1" applyFont="1" applyFill="1" applyBorder="1" applyAlignment="1">
      <alignment vertical="center"/>
    </xf>
    <xf numFmtId="167" fontId="14" fillId="0" borderId="149" xfId="115" applyNumberFormat="1" applyFont="1" applyFill="1" applyBorder="1" applyAlignment="1">
      <alignment vertical="center"/>
    </xf>
    <xf numFmtId="167" fontId="14" fillId="0" borderId="105" xfId="115" applyNumberFormat="1" applyFont="1" applyFill="1" applyBorder="1" applyAlignment="1">
      <alignment vertical="center"/>
    </xf>
    <xf numFmtId="167" fontId="5" fillId="0" borderId="38" xfId="85" applyNumberFormat="1" applyFont="1" applyFill="1" applyBorder="1" applyAlignment="1">
      <alignment horizontal="center"/>
    </xf>
    <xf numFmtId="167" fontId="5" fillId="0" borderId="38" xfId="85" applyNumberFormat="1" applyFont="1" applyFill="1" applyBorder="1" applyAlignment="1">
      <alignment horizontal="center" vertical="center"/>
    </xf>
    <xf numFmtId="0" fontId="5" fillId="0" borderId="79" xfId="85" applyFont="1" applyFill="1" applyBorder="1"/>
    <xf numFmtId="0" fontId="5" fillId="0" borderId="80" xfId="85" applyFont="1" applyFill="1" applyBorder="1"/>
    <xf numFmtId="0" fontId="21" fillId="0" borderId="90" xfId="85" applyFont="1" applyFill="1" applyBorder="1" applyAlignment="1">
      <alignment vertical="center" wrapText="1"/>
    </xf>
    <xf numFmtId="0" fontId="21" fillId="0" borderId="91" xfId="85" applyFont="1" applyFill="1" applyBorder="1" applyAlignment="1">
      <alignment vertical="center" wrapText="1"/>
    </xf>
    <xf numFmtId="0" fontId="21" fillId="0" borderId="91" xfId="85" applyFont="1" applyFill="1" applyBorder="1" applyAlignment="1">
      <alignment horizontal="center" vertical="center" wrapText="1"/>
    </xf>
    <xf numFmtId="0" fontId="21" fillId="0" borderId="128" xfId="85" applyFont="1" applyFill="1" applyBorder="1" applyAlignment="1">
      <alignment horizontal="center" vertical="center" wrapText="1"/>
    </xf>
    <xf numFmtId="167" fontId="5" fillId="0" borderId="129" xfId="85" applyNumberFormat="1" applyFont="1" applyFill="1" applyBorder="1" applyAlignment="1">
      <alignment horizontal="center"/>
    </xf>
    <xf numFmtId="0" fontId="21" fillId="0" borderId="40" xfId="85" applyFont="1" applyFill="1" applyBorder="1" applyAlignment="1">
      <alignment horizontal="center" vertical="center" wrapText="1"/>
    </xf>
    <xf numFmtId="0" fontId="5" fillId="0" borderId="130" xfId="85" applyFont="1" applyFill="1" applyBorder="1" applyAlignment="1">
      <alignment horizontal="center"/>
    </xf>
    <xf numFmtId="0" fontId="13" fillId="0" borderId="131" xfId="85" applyFont="1" applyFill="1" applyBorder="1" applyAlignment="1">
      <alignment horizontal="center"/>
    </xf>
    <xf numFmtId="0" fontId="17" fillId="0" borderId="40" xfId="85" applyFill="1" applyBorder="1" applyAlignment="1">
      <alignment horizontal="center"/>
    </xf>
    <xf numFmtId="0" fontId="17" fillId="0" borderId="41" xfId="85" applyFill="1" applyBorder="1" applyAlignment="1">
      <alignment horizontal="center"/>
    </xf>
    <xf numFmtId="167" fontId="17" fillId="0" borderId="41" xfId="85" applyNumberFormat="1" applyFill="1" applyBorder="1" applyAlignment="1">
      <alignment horizontal="center"/>
    </xf>
    <xf numFmtId="167" fontId="5" fillId="0" borderId="41" xfId="85" applyNumberFormat="1" applyFont="1" applyFill="1" applyBorder="1" applyAlignment="1">
      <alignment horizontal="center"/>
    </xf>
    <xf numFmtId="1" fontId="17" fillId="0" borderId="41" xfId="85" applyNumberFormat="1" applyFill="1" applyBorder="1" applyAlignment="1">
      <alignment horizontal="center"/>
    </xf>
    <xf numFmtId="0" fontId="17" fillId="0" borderId="90" xfId="85" applyFill="1" applyBorder="1" applyAlignment="1">
      <alignment horizontal="center"/>
    </xf>
    <xf numFmtId="0" fontId="13" fillId="0" borderId="91" xfId="85" applyFont="1" applyFill="1" applyBorder="1" applyAlignment="1">
      <alignment horizontal="center"/>
    </xf>
    <xf numFmtId="167" fontId="5" fillId="0" borderId="91" xfId="85" applyNumberFormat="1" applyFont="1" applyFill="1" applyBorder="1" applyAlignment="1">
      <alignment horizontal="center"/>
    </xf>
    <xf numFmtId="167" fontId="5" fillId="0" borderId="92" xfId="85" applyNumberFormat="1" applyFont="1" applyFill="1" applyBorder="1" applyAlignment="1">
      <alignment horizontal="center"/>
    </xf>
    <xf numFmtId="0" fontId="17" fillId="0" borderId="43" xfId="85" applyFill="1" applyBorder="1" applyAlignment="1">
      <alignment horizontal="center"/>
    </xf>
    <xf numFmtId="0" fontId="9" fillId="0" borderId="91" xfId="0" applyFont="1" applyBorder="1" applyAlignment="1">
      <alignment horizontal="left" vertical="center"/>
    </xf>
    <xf numFmtId="167" fontId="5" fillId="0" borderId="47" xfId="85" applyNumberFormat="1" applyFont="1" applyFill="1" applyBorder="1" applyAlignment="1">
      <alignment vertical="center"/>
    </xf>
    <xf numFmtId="193" fontId="51" fillId="0" borderId="91" xfId="37" applyNumberFormat="1" applyFont="1" applyFill="1" applyBorder="1" applyAlignment="1">
      <alignment horizontal="center" vertical="center"/>
    </xf>
    <xf numFmtId="167" fontId="5" fillId="0" borderId="94" xfId="85" applyNumberFormat="1" applyFont="1" applyFill="1" applyBorder="1" applyAlignment="1">
      <alignment horizontal="center"/>
    </xf>
    <xf numFmtId="167" fontId="21" fillId="0" borderId="75" xfId="85" applyNumberFormat="1" applyFont="1" applyFill="1" applyBorder="1" applyAlignment="1">
      <alignment horizontal="center" vertical="center" wrapText="1"/>
    </xf>
    <xf numFmtId="167" fontId="13" fillId="0" borderId="113" xfId="85" applyNumberFormat="1" applyFont="1" applyFill="1" applyBorder="1" applyAlignment="1">
      <alignment horizontal="center"/>
    </xf>
    <xf numFmtId="167" fontId="17" fillId="0" borderId="75" xfId="85" applyNumberFormat="1" applyFill="1" applyBorder="1" applyAlignment="1">
      <alignment horizontal="center"/>
    </xf>
    <xf numFmtId="167" fontId="5" fillId="0" borderId="75" xfId="85" applyNumberFormat="1" applyFont="1" applyFill="1" applyBorder="1" applyAlignment="1">
      <alignment horizontal="center"/>
    </xf>
    <xf numFmtId="1" fontId="17" fillId="0" borderId="75" xfId="85" applyNumberFormat="1" applyFill="1" applyBorder="1" applyAlignment="1">
      <alignment horizontal="center"/>
    </xf>
    <xf numFmtId="167" fontId="13" fillId="0" borderId="75" xfId="85" applyNumberFormat="1" applyFont="1" applyFill="1" applyBorder="1" applyAlignment="1">
      <alignment horizontal="center"/>
    </xf>
    <xf numFmtId="0" fontId="13" fillId="0" borderId="140" xfId="85" applyFont="1" applyFill="1" applyBorder="1" applyAlignment="1">
      <alignment horizontal="center"/>
    </xf>
    <xf numFmtId="167" fontId="5" fillId="0" borderId="136" xfId="85" applyNumberFormat="1" applyFont="1" applyFill="1" applyBorder="1" applyAlignment="1">
      <alignment horizontal="center"/>
    </xf>
    <xf numFmtId="0" fontId="21" fillId="0" borderId="42" xfId="85" applyFont="1" applyFill="1" applyBorder="1" applyAlignment="1">
      <alignment horizontal="center" vertical="center" wrapText="1"/>
    </xf>
    <xf numFmtId="0" fontId="13" fillId="0" borderId="112" xfId="85" applyFont="1" applyFill="1" applyBorder="1" applyAlignment="1">
      <alignment horizontal="center"/>
    </xf>
    <xf numFmtId="0" fontId="17" fillId="0" borderId="145" xfId="85" applyFill="1" applyBorder="1" applyAlignment="1">
      <alignment horizontal="center"/>
    </xf>
    <xf numFmtId="167" fontId="17" fillId="0" borderId="145" xfId="85" applyNumberFormat="1" applyFill="1" applyBorder="1" applyAlignment="1">
      <alignment horizontal="center"/>
    </xf>
    <xf numFmtId="167" fontId="5" fillId="0" borderId="145" xfId="85" applyNumberFormat="1" applyFont="1" applyFill="1" applyBorder="1" applyAlignment="1">
      <alignment horizontal="center"/>
    </xf>
    <xf numFmtId="1" fontId="17" fillId="0" borderId="145" xfId="85" applyNumberFormat="1" applyFill="1" applyBorder="1" applyAlignment="1">
      <alignment horizontal="center"/>
    </xf>
    <xf numFmtId="167" fontId="5" fillId="0" borderId="146" xfId="85" applyNumberFormat="1" applyFont="1" applyFill="1" applyBorder="1" applyAlignment="1">
      <alignment horizontal="center"/>
    </xf>
    <xf numFmtId="0" fontId="21" fillId="0" borderId="90" xfId="85" applyFont="1" applyFill="1" applyBorder="1" applyAlignment="1">
      <alignment horizontal="center" vertical="center" wrapText="1"/>
    </xf>
    <xf numFmtId="167" fontId="5" fillId="0" borderId="128" xfId="85" applyNumberFormat="1" applyFont="1" applyFill="1" applyBorder="1" applyAlignment="1">
      <alignment horizontal="center" vertical="center"/>
    </xf>
    <xf numFmtId="167" fontId="21" fillId="0" borderId="40" xfId="85" applyNumberFormat="1" applyFont="1" applyFill="1" applyBorder="1" applyAlignment="1">
      <alignment horizontal="center" vertical="center" wrapText="1"/>
    </xf>
    <xf numFmtId="0" fontId="21" fillId="0" borderId="41" xfId="85" applyFont="1" applyFill="1" applyBorder="1" applyAlignment="1">
      <alignment horizontal="center" vertical="center" wrapText="1"/>
    </xf>
    <xf numFmtId="167" fontId="5" fillId="0" borderId="130" xfId="85" applyNumberFormat="1" applyFont="1" applyFill="1" applyBorder="1"/>
    <xf numFmtId="167" fontId="17" fillId="0" borderId="40" xfId="85" applyNumberFormat="1" applyFill="1" applyBorder="1" applyAlignment="1">
      <alignment horizontal="center"/>
    </xf>
    <xf numFmtId="167" fontId="17" fillId="0" borderId="40" xfId="85" applyNumberFormat="1" applyFill="1" applyBorder="1" applyAlignment="1">
      <alignment horizontal="center" vertical="center"/>
    </xf>
    <xf numFmtId="167" fontId="5" fillId="0" borderId="40" xfId="85" applyNumberFormat="1" applyFont="1" applyFill="1" applyBorder="1" applyAlignment="1">
      <alignment horizontal="center"/>
    </xf>
    <xf numFmtId="167" fontId="5" fillId="0" borderId="40" xfId="85" applyNumberFormat="1" applyFont="1" applyFill="1" applyBorder="1" applyAlignment="1">
      <alignment horizontal="center" vertical="center"/>
    </xf>
    <xf numFmtId="1" fontId="17" fillId="0" borderId="40" xfId="85" applyNumberFormat="1" applyFill="1" applyBorder="1" applyAlignment="1">
      <alignment horizontal="center" vertical="center"/>
    </xf>
    <xf numFmtId="1" fontId="17" fillId="0" borderId="40" xfId="85" applyNumberFormat="1" applyFill="1" applyBorder="1" applyAlignment="1">
      <alignment horizontal="center"/>
    </xf>
    <xf numFmtId="167" fontId="5" fillId="0" borderId="90" xfId="85" applyNumberFormat="1" applyFont="1" applyFill="1" applyBorder="1" applyAlignment="1">
      <alignment horizontal="center"/>
    </xf>
    <xf numFmtId="193" fontId="51" fillId="0" borderId="75" xfId="37" applyNumberFormat="1" applyFont="1" applyFill="1" applyBorder="1" applyAlignment="1">
      <alignment horizontal="center" vertical="center"/>
    </xf>
    <xf numFmtId="193" fontId="51" fillId="0" borderId="140" xfId="37" applyNumberFormat="1" applyFont="1" applyFill="1" applyBorder="1" applyAlignment="1">
      <alignment horizontal="center" vertical="center"/>
    </xf>
    <xf numFmtId="174" fontId="51" fillId="0" borderId="145" xfId="37" applyNumberFormat="1" applyFont="1" applyFill="1" applyBorder="1" applyAlignment="1">
      <alignment vertical="center"/>
    </xf>
    <xf numFmtId="189" fontId="5" fillId="0" borderId="40" xfId="37" applyNumberFormat="1" applyFont="1" applyFill="1" applyBorder="1" applyAlignment="1">
      <alignment horizontal="center" vertical="center"/>
    </xf>
    <xf numFmtId="193" fontId="51" fillId="0" borderId="40" xfId="37" applyNumberFormat="1" applyFont="1" applyFill="1" applyBorder="1" applyAlignment="1">
      <alignment horizontal="center" vertical="center"/>
    </xf>
    <xf numFmtId="193" fontId="51" fillId="0" borderId="41" xfId="37" applyNumberFormat="1" applyFont="1" applyFill="1" applyBorder="1" applyAlignment="1">
      <alignment horizontal="center" vertical="center"/>
    </xf>
    <xf numFmtId="193" fontId="51" fillId="0" borderId="90" xfId="37" applyNumberFormat="1" applyFont="1" applyFill="1" applyBorder="1" applyAlignment="1">
      <alignment horizontal="center" vertical="center"/>
    </xf>
    <xf numFmtId="0" fontId="110" fillId="0" borderId="114" xfId="0" applyFont="1" applyBorder="1"/>
    <xf numFmtId="0" fontId="110" fillId="0" borderId="10" xfId="0" applyFont="1" applyBorder="1"/>
    <xf numFmtId="2" fontId="58" fillId="0" borderId="50" xfId="83" applyNumberFormat="1" applyBorder="1"/>
    <xf numFmtId="0" fontId="5" fillId="0" borderId="40" xfId="85" applyFont="1" applyFill="1" applyBorder="1" applyAlignment="1">
      <alignment horizontal="center"/>
    </xf>
    <xf numFmtId="2" fontId="17" fillId="0" borderId="41" xfId="85" applyNumberFormat="1" applyFill="1" applyBorder="1" applyAlignment="1">
      <alignment horizontal="right"/>
    </xf>
    <xf numFmtId="1" fontId="5" fillId="0" borderId="41" xfId="85" applyNumberFormat="1" applyFont="1" applyFill="1" applyBorder="1" applyAlignment="1">
      <alignment horizontal="right"/>
    </xf>
    <xf numFmtId="0" fontId="5" fillId="0" borderId="90" xfId="85" applyFont="1" applyFill="1" applyBorder="1" applyAlignment="1">
      <alignment horizontal="center"/>
    </xf>
    <xf numFmtId="2" fontId="5" fillId="0" borderId="91" xfId="85" applyNumberFormat="1" applyFont="1" applyFill="1" applyBorder="1" applyAlignment="1">
      <alignment horizontal="center"/>
    </xf>
    <xf numFmtId="0" fontId="5" fillId="0" borderId="128" xfId="85" applyFont="1" applyFill="1" applyBorder="1" applyAlignment="1">
      <alignment horizontal="center"/>
    </xf>
    <xf numFmtId="0" fontId="13" fillId="0" borderId="38" xfId="85" applyFont="1" applyFill="1" applyBorder="1" applyAlignment="1">
      <alignment horizontal="center"/>
    </xf>
    <xf numFmtId="0" fontId="5" fillId="0" borderId="38" xfId="85" applyFont="1" applyFill="1" applyBorder="1"/>
    <xf numFmtId="0" fontId="5" fillId="0" borderId="38" xfId="85" applyFont="1" applyFill="1" applyBorder="1" applyAlignment="1">
      <alignment horizontal="center"/>
    </xf>
    <xf numFmtId="0" fontId="13" fillId="0" borderId="129" xfId="85" applyFont="1" applyFill="1" applyBorder="1" applyAlignment="1">
      <alignment horizontal="center"/>
    </xf>
    <xf numFmtId="0" fontId="5" fillId="0" borderId="91" xfId="85" applyFont="1" applyFill="1" applyBorder="1"/>
    <xf numFmtId="0" fontId="5" fillId="0" borderId="92" xfId="85" applyFont="1" applyFill="1" applyBorder="1"/>
    <xf numFmtId="0" fontId="51" fillId="0" borderId="80" xfId="85" applyFont="1" applyFill="1" applyBorder="1" applyAlignment="1">
      <alignment vertical="center" wrapText="1"/>
    </xf>
    <xf numFmtId="0" fontId="5" fillId="0" borderId="79" xfId="85" applyFont="1" applyFill="1" applyBorder="1" applyAlignment="1">
      <alignment vertical="center" wrapText="1"/>
    </xf>
    <xf numFmtId="0" fontId="94" fillId="0" borderId="10" xfId="0" applyFont="1" applyBorder="1" applyAlignment="1">
      <alignment horizontal="center" vertical="center"/>
    </xf>
    <xf numFmtId="0" fontId="94" fillId="0" borderId="10" xfId="0" applyFont="1" applyBorder="1" applyAlignment="1">
      <alignment horizontal="left" vertical="center"/>
    </xf>
    <xf numFmtId="0" fontId="0" fillId="0" borderId="10" xfId="0" applyBorder="1" applyAlignment="1">
      <alignment horizontal="left" vertical="center" wrapText="1"/>
    </xf>
    <xf numFmtId="0" fontId="3" fillId="0" borderId="10" xfId="0" applyFont="1" applyBorder="1" applyAlignment="1">
      <alignment horizontal="left" vertical="center"/>
    </xf>
    <xf numFmtId="0" fontId="94" fillId="0" borderId="50" xfId="0" applyFont="1" applyBorder="1" applyAlignment="1">
      <alignment horizontal="center" vertical="center"/>
    </xf>
    <xf numFmtId="0" fontId="94" fillId="0" borderId="50" xfId="0" applyFont="1" applyBorder="1" applyAlignment="1">
      <alignment horizontal="left" vertical="center"/>
    </xf>
    <xf numFmtId="0" fontId="0" fillId="0" borderId="10" xfId="0" applyBorder="1" applyAlignment="1">
      <alignment vertical="center"/>
    </xf>
    <xf numFmtId="2" fontId="0" fillId="0" borderId="10" xfId="0" applyNumberFormat="1" applyBorder="1" applyAlignment="1">
      <alignment vertical="center"/>
    </xf>
    <xf numFmtId="2" fontId="4" fillId="0" borderId="10" xfId="0" applyNumberFormat="1" applyFont="1" applyBorder="1" applyAlignment="1">
      <alignment vertical="center"/>
    </xf>
    <xf numFmtId="10" fontId="0" fillId="0" borderId="10" xfId="0" applyNumberFormat="1" applyBorder="1" applyAlignment="1">
      <alignment vertical="center"/>
    </xf>
    <xf numFmtId="2" fontId="0" fillId="29" borderId="10" xfId="0" applyNumberFormat="1" applyFill="1" applyBorder="1" applyAlignment="1">
      <alignment vertical="center"/>
    </xf>
    <xf numFmtId="0" fontId="4" fillId="46" borderId="0" xfId="0" applyFont="1" applyFill="1" applyAlignment="1">
      <alignment horizontal="center"/>
    </xf>
    <xf numFmtId="10" fontId="129" fillId="46" borderId="0" xfId="0" applyNumberFormat="1" applyFont="1" applyFill="1" applyAlignment="1">
      <alignment horizontal="center"/>
    </xf>
    <xf numFmtId="2" fontId="0" fillId="46" borderId="0" xfId="0" applyNumberFormat="1" applyFill="1" applyAlignment="1">
      <alignment horizontal="center"/>
    </xf>
    <xf numFmtId="0" fontId="0" fillId="46" borderId="0" xfId="0" applyFill="1" applyAlignment="1">
      <alignment horizontal="center"/>
    </xf>
    <xf numFmtId="2" fontId="4" fillId="46" borderId="0" xfId="0" applyNumberFormat="1" applyFont="1" applyFill="1" applyAlignment="1">
      <alignment horizontal="center"/>
    </xf>
    <xf numFmtId="9" fontId="0" fillId="0" borderId="10" xfId="0" applyNumberFormat="1" applyBorder="1"/>
    <xf numFmtId="1" fontId="4" fillId="0" borderId="10" xfId="0" applyNumberFormat="1" applyFont="1" applyBorder="1"/>
    <xf numFmtId="0" fontId="117" fillId="0" borderId="0" xfId="0" applyFont="1" applyAlignment="1">
      <alignment horizontal="left" vertical="center" wrapText="1"/>
    </xf>
    <xf numFmtId="2" fontId="118" fillId="0" borderId="0" xfId="0" applyNumberFormat="1" applyFont="1" applyAlignment="1">
      <alignment horizontal="center" vertical="center" wrapText="1"/>
    </xf>
    <xf numFmtId="10" fontId="118" fillId="0" borderId="41" xfId="88" applyNumberFormat="1" applyFont="1" applyFill="1" applyBorder="1" applyAlignment="1">
      <alignment horizontal="center" vertical="center" wrapText="1"/>
    </xf>
    <xf numFmtId="4" fontId="0" fillId="0" borderId="10" xfId="0" applyNumberFormat="1" applyBorder="1" applyAlignment="1">
      <alignment horizontal="right" vertical="center"/>
    </xf>
    <xf numFmtId="1" fontId="9" fillId="0" borderId="10" xfId="85" applyNumberFormat="1" applyFont="1" applyFill="1" applyBorder="1" applyAlignment="1">
      <alignment horizontal="center"/>
    </xf>
    <xf numFmtId="0" fontId="4" fillId="0" borderId="0" xfId="0" applyFont="1" applyAlignment="1">
      <alignment vertical="center" wrapText="1"/>
    </xf>
    <xf numFmtId="0" fontId="0" fillId="40" borderId="10" xfId="0" applyFill="1" applyBorder="1"/>
    <xf numFmtId="0" fontId="0" fillId="48" borderId="10" xfId="0" applyFill="1" applyBorder="1"/>
    <xf numFmtId="0" fontId="0" fillId="48" borderId="10" xfId="0" applyFill="1" applyBorder="1" applyAlignment="1">
      <alignment horizontal="center"/>
    </xf>
    <xf numFmtId="0" fontId="3" fillId="0" borderId="0" xfId="0" applyFont="1" applyAlignment="1">
      <alignment horizontal="center"/>
    </xf>
    <xf numFmtId="0" fontId="0" fillId="0" borderId="0" xfId="0" applyAlignment="1">
      <alignment horizontal="left" vertical="center"/>
    </xf>
    <xf numFmtId="0" fontId="12" fillId="0" borderId="0" xfId="0" applyFont="1" applyAlignment="1">
      <alignment horizontal="left" vertical="center"/>
    </xf>
    <xf numFmtId="0" fontId="13" fillId="0" borderId="0" xfId="0" applyFont="1" applyAlignment="1">
      <alignment horizontal="left" vertical="center"/>
    </xf>
    <xf numFmtId="0" fontId="12" fillId="0" borderId="0" xfId="0" applyFont="1" applyAlignment="1">
      <alignment horizontal="center" vertical="center"/>
    </xf>
    <xf numFmtId="0" fontId="9" fillId="0" borderId="0" xfId="0" applyFont="1" applyAlignment="1">
      <alignment horizontal="left" vertical="center"/>
    </xf>
    <xf numFmtId="0" fontId="4" fillId="0" borderId="0" xfId="0" applyFont="1" applyAlignment="1">
      <alignment horizontal="left" vertical="center"/>
    </xf>
    <xf numFmtId="0" fontId="4" fillId="0" borderId="10" xfId="0" applyFont="1" applyBorder="1" applyAlignment="1">
      <alignment horizontal="left" vertical="center"/>
    </xf>
    <xf numFmtId="0" fontId="3" fillId="0" borderId="10" xfId="0" applyFont="1" applyBorder="1" applyAlignment="1">
      <alignment horizontal="center" vertical="center"/>
    </xf>
    <xf numFmtId="0" fontId="19" fillId="0" borderId="10" xfId="0" applyFont="1" applyBorder="1" applyAlignment="1">
      <alignment horizontal="left" vertical="center"/>
    </xf>
    <xf numFmtId="0" fontId="19" fillId="0" borderId="10" xfId="0" applyFont="1" applyBorder="1" applyAlignment="1">
      <alignment horizontal="center" vertical="center"/>
    </xf>
    <xf numFmtId="2" fontId="3" fillId="0" borderId="10" xfId="0" applyNumberFormat="1" applyFont="1" applyBorder="1" applyAlignment="1">
      <alignment horizontal="center" vertical="center"/>
    </xf>
    <xf numFmtId="0" fontId="17" fillId="0" borderId="10" xfId="85" applyFill="1" applyBorder="1" applyAlignment="1">
      <alignment wrapText="1"/>
    </xf>
    <xf numFmtId="0" fontId="13" fillId="0" borderId="10" xfId="85" applyFont="1" applyFill="1" applyBorder="1"/>
    <xf numFmtId="0" fontId="5" fillId="0" borderId="10" xfId="85" applyFont="1" applyFill="1" applyBorder="1" applyAlignment="1">
      <alignment vertical="center" wrapText="1"/>
    </xf>
    <xf numFmtId="0" fontId="51" fillId="0" borderId="10" xfId="85" applyFont="1" applyFill="1" applyBorder="1" applyAlignment="1">
      <alignment vertical="center" wrapText="1"/>
    </xf>
    <xf numFmtId="0" fontId="5" fillId="0" borderId="10" xfId="85" applyFont="1" applyFill="1" applyBorder="1" applyAlignment="1">
      <alignment horizontal="center"/>
    </xf>
    <xf numFmtId="10" fontId="17" fillId="0" borderId="10" xfId="88" applyNumberFormat="1" applyFont="1" applyFill="1" applyBorder="1" applyAlignment="1">
      <alignment horizontal="right"/>
    </xf>
    <xf numFmtId="10" fontId="0" fillId="0" borderId="0" xfId="88" applyNumberFormat="1" applyFont="1" applyFill="1" applyBorder="1"/>
    <xf numFmtId="4" fontId="4" fillId="0" borderId="10" xfId="0" applyNumberFormat="1" applyFont="1" applyBorder="1" applyAlignment="1">
      <alignment horizontal="right" vertical="center"/>
    </xf>
    <xf numFmtId="0" fontId="4" fillId="0" borderId="10" xfId="0" applyFont="1" applyBorder="1" applyAlignment="1">
      <alignment horizontal="left" wrapText="1"/>
    </xf>
    <xf numFmtId="0" fontId="3" fillId="0" borderId="10" xfId="0" applyFont="1" applyBorder="1" applyAlignment="1">
      <alignment horizontal="left" wrapText="1"/>
    </xf>
    <xf numFmtId="0" fontId="3" fillId="0" borderId="10" xfId="0" applyFont="1" applyBorder="1" applyAlignment="1">
      <alignment horizontal="center" vertical="center" wrapText="1"/>
    </xf>
    <xf numFmtId="2" fontId="3" fillId="0" borderId="10" xfId="0" applyNumberFormat="1" applyFont="1" applyBorder="1" applyAlignment="1">
      <alignment horizontal="right" vertical="center"/>
    </xf>
    <xf numFmtId="4" fontId="3" fillId="0" borderId="10" xfId="0" applyNumberFormat="1" applyFont="1" applyBorder="1" applyAlignment="1">
      <alignment horizontal="right" vertical="center"/>
    </xf>
    <xf numFmtId="0" fontId="4" fillId="0" borderId="50" xfId="0" applyFont="1" applyBorder="1" applyAlignment="1">
      <alignment horizontal="center" vertical="center" wrapText="1"/>
    </xf>
    <xf numFmtId="0" fontId="4" fillId="0" borderId="50" xfId="0" applyFont="1" applyBorder="1" applyAlignment="1">
      <alignment wrapText="1"/>
    </xf>
    <xf numFmtId="2" fontId="4" fillId="0" borderId="50" xfId="0" applyNumberFormat="1" applyFont="1" applyBorder="1" applyAlignment="1">
      <alignment horizontal="right" vertical="center"/>
    </xf>
    <xf numFmtId="4" fontId="4" fillId="0" borderId="50" xfId="0" applyNumberFormat="1" applyFont="1" applyBorder="1" applyAlignment="1">
      <alignment horizontal="right" vertical="center"/>
    </xf>
    <xf numFmtId="0" fontId="0" fillId="0" borderId="0" xfId="0" applyAlignment="1">
      <alignment horizontal="center" vertical="center" wrapText="1"/>
    </xf>
    <xf numFmtId="0" fontId="4" fillId="0" borderId="0" xfId="0" applyFont="1" applyAlignment="1">
      <alignment horizontal="right" wrapText="1"/>
    </xf>
    <xf numFmtId="2" fontId="4" fillId="0" borderId="0" xfId="0" applyNumberFormat="1" applyFont="1" applyAlignment="1">
      <alignment horizontal="right" vertical="center"/>
    </xf>
    <xf numFmtId="4" fontId="4" fillId="0" borderId="0" xfId="0" applyNumberFormat="1" applyFont="1" applyAlignment="1">
      <alignment horizontal="right" vertical="center"/>
    </xf>
    <xf numFmtId="2" fontId="0" fillId="0" borderId="0" xfId="0" applyNumberFormat="1" applyAlignment="1">
      <alignment horizontal="right" vertical="center"/>
    </xf>
    <xf numFmtId="4" fontId="0" fillId="0" borderId="0" xfId="0" applyNumberFormat="1" applyAlignment="1">
      <alignment horizontal="right" vertical="center"/>
    </xf>
    <xf numFmtId="2" fontId="0" fillId="0" borderId="0" xfId="88" applyNumberFormat="1" applyFont="1" applyFill="1" applyBorder="1" applyAlignment="1">
      <alignment horizontal="right" vertical="center"/>
    </xf>
    <xf numFmtId="204" fontId="0" fillId="0" borderId="0" xfId="0" applyNumberFormat="1" applyAlignment="1">
      <alignment horizontal="right" vertical="center"/>
    </xf>
    <xf numFmtId="9" fontId="4" fillId="0" borderId="0" xfId="88" applyFont="1" applyBorder="1"/>
    <xf numFmtId="0" fontId="22" fillId="0" borderId="0" xfId="0" applyFont="1" applyAlignment="1">
      <alignment horizontal="center" vertical="center"/>
    </xf>
    <xf numFmtId="0" fontId="22" fillId="0" borderId="0" xfId="0" applyFont="1" applyAlignment="1">
      <alignment wrapText="1"/>
    </xf>
    <xf numFmtId="0" fontId="3" fillId="35" borderId="0" xfId="0" applyFont="1" applyFill="1" applyAlignment="1">
      <alignment horizontal="center" vertical="center"/>
    </xf>
    <xf numFmtId="1" fontId="3" fillId="35" borderId="0" xfId="0" applyNumberFormat="1" applyFont="1" applyFill="1" applyAlignment="1">
      <alignment horizontal="center" vertical="center"/>
    </xf>
    <xf numFmtId="0" fontId="21" fillId="0" borderId="0" xfId="0" applyFont="1" applyAlignment="1">
      <alignment horizontal="center" vertical="center"/>
    </xf>
    <xf numFmtId="0" fontId="21" fillId="0" borderId="0" xfId="0" applyFont="1" applyAlignment="1">
      <alignment wrapText="1"/>
    </xf>
    <xf numFmtId="0" fontId="4" fillId="35" borderId="0" xfId="0" applyFont="1" applyFill="1" applyAlignment="1">
      <alignment horizontal="center" vertical="center"/>
    </xf>
    <xf numFmtId="1" fontId="4" fillId="35" borderId="0" xfId="0" applyNumberFormat="1" applyFont="1" applyFill="1" applyAlignment="1">
      <alignment horizontal="center" vertical="center"/>
    </xf>
    <xf numFmtId="165" fontId="0" fillId="0" borderId="0" xfId="37" applyFont="1" applyBorder="1"/>
    <xf numFmtId="9" fontId="0" fillId="0" borderId="0" xfId="88" applyFont="1" applyBorder="1"/>
    <xf numFmtId="0" fontId="3" fillId="0" borderId="0" xfId="0" applyFont="1" applyAlignment="1">
      <alignment horizontal="center" vertical="center" wrapText="1"/>
    </xf>
    <xf numFmtId="2" fontId="3" fillId="0" borderId="0" xfId="0" applyNumberFormat="1" applyFont="1" applyAlignment="1">
      <alignment horizontal="right" vertical="center"/>
    </xf>
    <xf numFmtId="4" fontId="3" fillId="0" borderId="0" xfId="0" applyNumberFormat="1" applyFont="1" applyAlignment="1">
      <alignment horizontal="right" vertical="center"/>
    </xf>
    <xf numFmtId="0" fontId="3" fillId="0" borderId="0" xfId="0" applyFont="1" applyAlignment="1">
      <alignment horizontal="left" wrapText="1"/>
    </xf>
    <xf numFmtId="2" fontId="4" fillId="0" borderId="10" xfId="0" applyNumberFormat="1" applyFont="1" applyBorder="1" applyAlignment="1">
      <alignment horizontal="center" vertical="center" wrapText="1"/>
    </xf>
    <xf numFmtId="2" fontId="0" fillId="0" borderId="10" xfId="0" applyNumberFormat="1" applyBorder="1" applyAlignment="1">
      <alignment horizontal="center" vertical="center"/>
    </xf>
    <xf numFmtId="165" fontId="0" fillId="0" borderId="0" xfId="37" applyFont="1" applyFill="1" applyBorder="1" applyAlignment="1">
      <alignment horizontal="right" vertical="center"/>
    </xf>
    <xf numFmtId="165" fontId="4" fillId="0" borderId="0" xfId="37" applyFont="1" applyBorder="1" applyAlignment="1">
      <alignment horizontal="right" vertical="center"/>
    </xf>
    <xf numFmtId="2" fontId="4" fillId="0" borderId="0" xfId="0" applyNumberFormat="1" applyFont="1" applyAlignment="1">
      <alignment horizontal="center" vertical="center" wrapText="1"/>
    </xf>
    <xf numFmtId="1" fontId="3" fillId="0" borderId="0" xfId="0" applyNumberFormat="1" applyFont="1" applyAlignment="1">
      <alignment horizontal="right" vertical="center"/>
    </xf>
    <xf numFmtId="0" fontId="3" fillId="0" borderId="10" xfId="0" applyFont="1" applyBorder="1" applyAlignment="1">
      <alignment horizontal="left" vertical="center" wrapText="1"/>
    </xf>
    <xf numFmtId="0" fontId="5" fillId="0" borderId="0" xfId="0" applyFont="1" applyAlignment="1">
      <alignment vertical="center"/>
    </xf>
    <xf numFmtId="167" fontId="3" fillId="0" borderId="10" xfId="0" applyNumberFormat="1" applyFont="1" applyBorder="1" applyAlignment="1">
      <alignment horizontal="center"/>
    </xf>
    <xf numFmtId="43" fontId="0" fillId="0" borderId="0" xfId="0" applyNumberFormat="1"/>
    <xf numFmtId="0" fontId="5" fillId="0" borderId="10" xfId="0" applyFont="1" applyBorder="1" applyAlignment="1">
      <alignment horizontal="center"/>
    </xf>
    <xf numFmtId="0" fontId="0" fillId="0" borderId="40" xfId="0" applyBorder="1" applyAlignment="1">
      <alignment horizontal="center" vertical="center" wrapText="1"/>
    </xf>
    <xf numFmtId="0" fontId="21" fillId="0" borderId="92" xfId="85" applyFont="1" applyFill="1" applyBorder="1" applyAlignment="1">
      <alignment horizontal="center" vertical="center" wrapText="1"/>
    </xf>
    <xf numFmtId="165" fontId="5" fillId="0" borderId="38" xfId="37" applyFont="1" applyFill="1" applyBorder="1" applyAlignment="1">
      <alignment horizontal="left" vertical="center" wrapText="1"/>
    </xf>
    <xf numFmtId="165" fontId="5" fillId="0" borderId="10" xfId="37" applyFont="1" applyFill="1" applyBorder="1" applyAlignment="1">
      <alignment vertical="center"/>
    </xf>
    <xf numFmtId="0" fontId="81" fillId="0" borderId="0" xfId="0" applyFont="1"/>
    <xf numFmtId="1" fontId="34" fillId="0" borderId="0" xfId="0" applyNumberFormat="1" applyFont="1"/>
    <xf numFmtId="0" fontId="9" fillId="0" borderId="10" xfId="0" applyFont="1" applyBorder="1" applyAlignment="1">
      <alignment horizontal="center" vertical="center"/>
    </xf>
    <xf numFmtId="0" fontId="9" fillId="0" borderId="91" xfId="0" applyFont="1" applyBorder="1" applyAlignment="1">
      <alignment horizontal="center" vertical="center"/>
    </xf>
    <xf numFmtId="0" fontId="14" fillId="0" borderId="49" xfId="0" applyFont="1" applyBorder="1" applyAlignment="1">
      <alignment vertical="center"/>
    </xf>
    <xf numFmtId="0" fontId="0" fillId="0" borderId="49" xfId="0" applyBorder="1" applyAlignment="1">
      <alignment horizontal="center" vertical="center"/>
    </xf>
    <xf numFmtId="0" fontId="0" fillId="0" borderId="49" xfId="0" applyBorder="1" applyAlignment="1">
      <alignment vertical="center"/>
    </xf>
    <xf numFmtId="0" fontId="0" fillId="0" borderId="44" xfId="0" applyBorder="1" applyAlignment="1">
      <alignment vertical="center"/>
    </xf>
    <xf numFmtId="0" fontId="9" fillId="0" borderId="90" xfId="0" applyFont="1" applyBorder="1" applyAlignment="1">
      <alignment horizontal="left" vertical="center"/>
    </xf>
    <xf numFmtId="167" fontId="34" fillId="0" borderId="0" xfId="0" applyNumberFormat="1" applyFont="1"/>
    <xf numFmtId="2" fontId="53" fillId="0" borderId="0" xfId="0" applyNumberFormat="1" applyFont="1"/>
    <xf numFmtId="168" fontId="17" fillId="0" borderId="10" xfId="0" applyNumberFormat="1" applyFont="1" applyBorder="1"/>
    <xf numFmtId="167" fontId="110" fillId="0" borderId="10" xfId="0" applyNumberFormat="1" applyFont="1" applyBorder="1"/>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5" fillId="0" borderId="75" xfId="0" applyFont="1" applyBorder="1" applyAlignment="1">
      <alignment horizontal="center" vertical="center" wrapText="1"/>
    </xf>
    <xf numFmtId="0" fontId="5" fillId="0" borderId="22" xfId="0" applyFont="1" applyBorder="1" applyAlignment="1">
      <alignment horizontal="center" vertical="center" wrapText="1"/>
    </xf>
    <xf numFmtId="0" fontId="21" fillId="0" borderId="10" xfId="0" applyFont="1" applyBorder="1" applyAlignment="1">
      <alignment horizontal="center" vertical="center"/>
    </xf>
    <xf numFmtId="0" fontId="22" fillId="0" borderId="0" xfId="0" applyFont="1"/>
    <xf numFmtId="2" fontId="17" fillId="0" borderId="10" xfId="0" applyNumberFormat="1" applyFont="1" applyBorder="1"/>
    <xf numFmtId="0" fontId="17" fillId="0" borderId="22" xfId="0" applyFont="1" applyBorder="1"/>
    <xf numFmtId="2" fontId="17" fillId="0" borderId="10" xfId="0" applyNumberFormat="1" applyFont="1" applyBorder="1" applyAlignment="1">
      <alignment horizontal="center" vertical="center"/>
    </xf>
    <xf numFmtId="2" fontId="17" fillId="0" borderId="22" xfId="0" applyNumberFormat="1" applyFont="1" applyBorder="1" applyAlignment="1">
      <alignment horizontal="center"/>
    </xf>
    <xf numFmtId="1" fontId="17" fillId="0" borderId="10" xfId="0" applyNumberFormat="1" applyFont="1" applyBorder="1" applyAlignment="1">
      <alignment horizontal="right"/>
    </xf>
    <xf numFmtId="0" fontId="17" fillId="0" borderId="10" xfId="0" applyFont="1" applyBorder="1" applyAlignment="1">
      <alignment vertical="top" wrapText="1"/>
    </xf>
    <xf numFmtId="167" fontId="5" fillId="0" borderId="10" xfId="0" applyNumberFormat="1" applyFont="1" applyBorder="1" applyAlignment="1">
      <alignment horizontal="right"/>
    </xf>
    <xf numFmtId="1" fontId="5" fillId="0" borderId="10" xfId="0" applyNumberFormat="1" applyFont="1" applyBorder="1" applyAlignment="1">
      <alignment horizontal="center"/>
    </xf>
    <xf numFmtId="2" fontId="5" fillId="0" borderId="10" xfId="0" applyNumberFormat="1" applyFont="1" applyBorder="1" applyAlignment="1">
      <alignment horizontal="center" vertical="center"/>
    </xf>
    <xf numFmtId="2" fontId="5" fillId="0" borderId="75" xfId="0" applyNumberFormat="1" applyFont="1" applyBorder="1" applyAlignment="1">
      <alignment horizontal="right"/>
    </xf>
    <xf numFmtId="17" fontId="5" fillId="0" borderId="10" xfId="0" applyNumberFormat="1" applyFont="1" applyBorder="1"/>
    <xf numFmtId="167" fontId="17" fillId="0" borderId="10" xfId="0" applyNumberFormat="1" applyFont="1" applyBorder="1" applyAlignment="1">
      <alignment horizontal="right"/>
    </xf>
    <xf numFmtId="2" fontId="17" fillId="0" borderId="75" xfId="0" applyNumberFormat="1" applyFont="1" applyBorder="1"/>
    <xf numFmtId="167" fontId="17" fillId="0" borderId="10" xfId="0" applyNumberFormat="1" applyFont="1" applyBorder="1" applyAlignment="1">
      <alignment horizontal="center"/>
    </xf>
    <xf numFmtId="2" fontId="17" fillId="0" borderId="10" xfId="0" applyNumberFormat="1" applyFont="1" applyBorder="1" applyAlignment="1">
      <alignment vertical="top" wrapText="1"/>
    </xf>
    <xf numFmtId="167" fontId="5" fillId="0" borderId="10" xfId="0" applyNumberFormat="1" applyFont="1" applyBorder="1"/>
    <xf numFmtId="2" fontId="5" fillId="0" borderId="75" xfId="0" applyNumberFormat="1" applyFont="1" applyBorder="1"/>
    <xf numFmtId="2" fontId="5" fillId="0" borderId="10" xfId="0" applyNumberFormat="1" applyFont="1" applyBorder="1"/>
    <xf numFmtId="0" fontId="17" fillId="0" borderId="0" xfId="0" applyFont="1" applyAlignment="1">
      <alignment horizontal="center"/>
    </xf>
    <xf numFmtId="167" fontId="17" fillId="0" borderId="0" xfId="0" applyNumberFormat="1" applyFont="1"/>
    <xf numFmtId="0" fontId="17" fillId="0" borderId="10" xfId="0" applyFont="1" applyBorder="1" applyAlignment="1">
      <alignment horizontal="center" vertical="center"/>
    </xf>
    <xf numFmtId="167" fontId="5" fillId="0" borderId="10" xfId="0" applyNumberFormat="1" applyFont="1" applyBorder="1" applyAlignment="1">
      <alignment horizontal="center"/>
    </xf>
    <xf numFmtId="2" fontId="5" fillId="0" borderId="75" xfId="0" applyNumberFormat="1" applyFont="1" applyBorder="1" applyAlignment="1">
      <alignment horizontal="center"/>
    </xf>
    <xf numFmtId="171" fontId="17" fillId="0" borderId="10" xfId="0" applyNumberFormat="1" applyFont="1" applyBorder="1" applyAlignment="1">
      <alignment horizontal="center" vertical="center"/>
    </xf>
    <xf numFmtId="171" fontId="5" fillId="0" borderId="10" xfId="0" applyNumberFormat="1" applyFont="1" applyBorder="1" applyAlignment="1">
      <alignment horizontal="center" vertical="center"/>
    </xf>
    <xf numFmtId="172" fontId="17" fillId="0" borderId="10" xfId="0" applyNumberFormat="1" applyFont="1" applyBorder="1" applyAlignment="1">
      <alignment horizontal="center" vertical="center"/>
    </xf>
    <xf numFmtId="0" fontId="13" fillId="0" borderId="151" xfId="0" applyFont="1" applyBorder="1" applyAlignment="1">
      <alignment horizontal="left" vertical="center" wrapText="1"/>
    </xf>
    <xf numFmtId="0" fontId="13" fillId="0" borderId="152" xfId="0" applyFont="1" applyBorder="1" applyAlignment="1">
      <alignment horizontal="left" vertical="center" wrapText="1"/>
    </xf>
    <xf numFmtId="0" fontId="13" fillId="0" borderId="152" xfId="0" applyFont="1" applyBorder="1" applyAlignment="1">
      <alignment horizontal="center" vertical="center" wrapText="1"/>
    </xf>
    <xf numFmtId="0" fontId="13" fillId="0" borderId="153" xfId="0" applyFont="1" applyBorder="1" applyAlignment="1">
      <alignment horizontal="center" vertical="center" wrapText="1"/>
    </xf>
    <xf numFmtId="0" fontId="0" fillId="0" borderId="107" xfId="0" applyBorder="1"/>
    <xf numFmtId="0" fontId="0" fillId="0" borderId="19" xfId="0" applyBorder="1"/>
    <xf numFmtId="0" fontId="13" fillId="0" borderId="19" xfId="0" applyFont="1" applyBorder="1" applyAlignment="1">
      <alignment horizontal="center"/>
    </xf>
    <xf numFmtId="0" fontId="13" fillId="0" borderId="154" xfId="0" applyFont="1" applyBorder="1" applyAlignment="1">
      <alignment horizontal="center"/>
    </xf>
    <xf numFmtId="0" fontId="0" fillId="0" borderId="155" xfId="0" applyBorder="1"/>
    <xf numFmtId="0" fontId="0" fillId="0" borderId="156" xfId="0" applyBorder="1"/>
    <xf numFmtId="0" fontId="13" fillId="0" borderId="40" xfId="0" applyFont="1" applyBorder="1" applyAlignment="1">
      <alignment horizontal="right"/>
    </xf>
    <xf numFmtId="0" fontId="13" fillId="0" borderId="10" xfId="0" applyFont="1" applyBorder="1"/>
    <xf numFmtId="0" fontId="13" fillId="0" borderId="10" xfId="0" applyFont="1" applyBorder="1" applyAlignment="1">
      <alignment horizontal="center"/>
    </xf>
    <xf numFmtId="0" fontId="0" fillId="0" borderId="40" xfId="0" applyBorder="1" applyAlignment="1">
      <alignment horizontal="right"/>
    </xf>
    <xf numFmtId="0" fontId="13" fillId="0" borderId="45" xfId="0" applyFont="1" applyBorder="1"/>
    <xf numFmtId="0" fontId="0" fillId="0" borderId="47" xfId="0" applyBorder="1"/>
    <xf numFmtId="0" fontId="0" fillId="0" borderId="48" xfId="0" applyBorder="1"/>
    <xf numFmtId="0" fontId="9" fillId="0" borderId="0" xfId="0" applyFont="1" applyAlignment="1">
      <alignment horizontal="left"/>
    </xf>
    <xf numFmtId="0" fontId="14" fillId="0" borderId="0" xfId="0" applyFont="1" applyAlignment="1">
      <alignment horizontal="centerContinuous"/>
    </xf>
    <xf numFmtId="0" fontId="15" fillId="0" borderId="0" xfId="0" applyFont="1" applyAlignment="1">
      <alignment horizontal="centerContinuous"/>
    </xf>
    <xf numFmtId="0" fontId="13" fillId="0" borderId="0" xfId="0" applyFont="1" applyAlignment="1">
      <alignment horizontal="right"/>
    </xf>
    <xf numFmtId="1" fontId="3" fillId="0" borderId="10" xfId="0" applyNumberFormat="1" applyFont="1" applyBorder="1" applyAlignment="1">
      <alignment horizontal="left"/>
    </xf>
    <xf numFmtId="1" fontId="0" fillId="0" borderId="10" xfId="0" applyNumberFormat="1" applyBorder="1" applyAlignment="1">
      <alignment horizontal="left"/>
    </xf>
    <xf numFmtId="1" fontId="3" fillId="0" borderId="10" xfId="0" applyNumberFormat="1" applyFont="1" applyBorder="1" applyAlignment="1">
      <alignment horizontal="right"/>
    </xf>
    <xf numFmtId="0" fontId="14" fillId="0" borderId="10" xfId="0" applyFont="1" applyBorder="1"/>
    <xf numFmtId="10" fontId="0" fillId="0" borderId="10" xfId="0" applyNumberFormat="1" applyBorder="1" applyAlignment="1">
      <alignment horizontal="right"/>
    </xf>
    <xf numFmtId="168" fontId="28" fillId="0" borderId="0" xfId="0" applyNumberFormat="1" applyFont="1"/>
    <xf numFmtId="0" fontId="0" fillId="0" borderId="0" xfId="0" applyAlignment="1">
      <alignment horizontal="centerContinuous" vertical="top" wrapText="1"/>
    </xf>
    <xf numFmtId="0" fontId="0" fillId="0" borderId="43" xfId="0" applyBorder="1"/>
    <xf numFmtId="0" fontId="0" fillId="0" borderId="49" xfId="0" applyBorder="1"/>
    <xf numFmtId="0" fontId="0" fillId="0" borderId="44" xfId="0" applyBorder="1"/>
    <xf numFmtId="0" fontId="4" fillId="0" borderId="90" xfId="0" applyFont="1" applyBorder="1"/>
    <xf numFmtId="0" fontId="4" fillId="0" borderId="91" xfId="0" applyFont="1" applyBorder="1"/>
    <xf numFmtId="0" fontId="13" fillId="0" borderId="90" xfId="0" applyFont="1" applyBorder="1" applyAlignment="1">
      <alignment horizontal="center"/>
    </xf>
    <xf numFmtId="0" fontId="13" fillId="0" borderId="91" xfId="0" applyFont="1" applyBorder="1" applyAlignment="1">
      <alignment horizontal="center"/>
    </xf>
    <xf numFmtId="0" fontId="13" fillId="0" borderId="92" xfId="0" applyFont="1" applyBorder="1" applyAlignment="1">
      <alignment horizontal="center"/>
    </xf>
    <xf numFmtId="0" fontId="0" fillId="0" borderId="128" xfId="0" applyBorder="1"/>
    <xf numFmtId="0" fontId="4" fillId="0" borderId="38" xfId="0" applyFont="1" applyBorder="1"/>
    <xf numFmtId="0" fontId="0" fillId="0" borderId="129" xfId="0" applyBorder="1"/>
    <xf numFmtId="0" fontId="13" fillId="0" borderId="128" xfId="0" applyFont="1" applyBorder="1" applyAlignment="1">
      <alignment horizontal="center"/>
    </xf>
    <xf numFmtId="0" fontId="13" fillId="0" borderId="38" xfId="0" applyFont="1" applyBorder="1" applyAlignment="1">
      <alignment horizontal="center"/>
    </xf>
    <xf numFmtId="0" fontId="13" fillId="0" borderId="129" xfId="0" applyFont="1" applyBorder="1" applyAlignment="1">
      <alignment horizontal="center"/>
    </xf>
    <xf numFmtId="167" fontId="0" fillId="0" borderId="40" xfId="0" applyNumberFormat="1" applyBorder="1"/>
    <xf numFmtId="167" fontId="0" fillId="0" borderId="41" xfId="0" applyNumberFormat="1" applyBorder="1"/>
    <xf numFmtId="2" fontId="0" fillId="0" borderId="40" xfId="0" applyNumberFormat="1" applyBorder="1"/>
    <xf numFmtId="0" fontId="13" fillId="0" borderId="41" xfId="0" applyFont="1" applyBorder="1"/>
    <xf numFmtId="0" fontId="13" fillId="0" borderId="40" xfId="0" applyFont="1" applyBorder="1"/>
    <xf numFmtId="1" fontId="3" fillId="0" borderId="40" xfId="0" applyNumberFormat="1" applyFont="1" applyBorder="1"/>
    <xf numFmtId="1" fontId="0" fillId="0" borderId="40" xfId="0" applyNumberFormat="1" applyBorder="1"/>
    <xf numFmtId="1" fontId="0" fillId="0" borderId="41" xfId="0" applyNumberFormat="1" applyBorder="1"/>
    <xf numFmtId="0" fontId="0" fillId="0" borderId="90" xfId="0" applyBorder="1" applyAlignment="1">
      <alignment horizontal="right"/>
    </xf>
    <xf numFmtId="0" fontId="3" fillId="0" borderId="92" xfId="0" applyFont="1" applyBorder="1"/>
    <xf numFmtId="1" fontId="0" fillId="0" borderId="90" xfId="0" applyNumberFormat="1" applyBorder="1"/>
    <xf numFmtId="1" fontId="0" fillId="0" borderId="91" xfId="0" applyNumberFormat="1" applyBorder="1"/>
    <xf numFmtId="1" fontId="0" fillId="0" borderId="92" xfId="0" applyNumberFormat="1" applyBorder="1"/>
    <xf numFmtId="167" fontId="28" fillId="0" borderId="0" xfId="0" applyNumberFormat="1" applyFont="1"/>
    <xf numFmtId="0" fontId="3" fillId="0" borderId="0" xfId="84" applyAlignment="1" applyProtection="1">
      <alignment horizontal="center" vertical="center"/>
      <protection locked="0"/>
    </xf>
    <xf numFmtId="0" fontId="3" fillId="0" borderId="0" xfId="84" applyAlignment="1" applyProtection="1">
      <alignment horizontal="left"/>
      <protection locked="0"/>
    </xf>
    <xf numFmtId="0" fontId="21" fillId="0" borderId="0" xfId="84" applyFont="1" applyAlignment="1" applyProtection="1">
      <alignment horizontal="center" vertical="center"/>
      <protection locked="0"/>
    </xf>
    <xf numFmtId="0" fontId="21" fillId="0" borderId="10" xfId="84" applyFont="1" applyBorder="1" applyAlignment="1" applyProtection="1">
      <alignment horizontal="center" vertical="center"/>
      <protection locked="0"/>
    </xf>
    <xf numFmtId="0" fontId="21" fillId="0" borderId="10" xfId="84" applyFont="1" applyBorder="1" applyAlignment="1" applyProtection="1">
      <alignment horizontal="center" vertical="center" wrapText="1"/>
      <protection locked="0"/>
    </xf>
    <xf numFmtId="0" fontId="21" fillId="0" borderId="22" xfId="84" applyFont="1" applyBorder="1" applyAlignment="1" applyProtection="1">
      <alignment horizontal="center" vertical="center" wrapText="1"/>
      <protection locked="0"/>
    </xf>
    <xf numFmtId="0" fontId="21" fillId="0" borderId="6" xfId="84" applyFont="1" applyBorder="1" applyAlignment="1" applyProtection="1">
      <alignment horizontal="center" vertical="center" wrapText="1"/>
      <protection locked="0"/>
    </xf>
    <xf numFmtId="0" fontId="21" fillId="0" borderId="22" xfId="84" applyFont="1" applyBorder="1" applyAlignment="1" applyProtection="1">
      <alignment vertical="center" wrapText="1"/>
      <protection locked="0"/>
    </xf>
    <xf numFmtId="0" fontId="4" fillId="0" borderId="0" xfId="84" applyFont="1" applyAlignment="1" applyProtection="1">
      <alignment horizontal="center" vertical="center"/>
      <protection locked="0"/>
    </xf>
    <xf numFmtId="0" fontId="4" fillId="0" borderId="10" xfId="84" applyFont="1" applyBorder="1" applyAlignment="1" applyProtection="1">
      <alignment horizontal="center" vertical="center"/>
      <protection locked="0"/>
    </xf>
    <xf numFmtId="0" fontId="3" fillId="0" borderId="10" xfId="84" applyBorder="1" applyAlignment="1" applyProtection="1">
      <alignment horizontal="center" vertical="center"/>
      <protection locked="0"/>
    </xf>
    <xf numFmtId="2" fontId="3" fillId="0" borderId="10" xfId="84" applyNumberFormat="1" applyBorder="1" applyAlignment="1" applyProtection="1">
      <alignment wrapText="1"/>
      <protection locked="0"/>
    </xf>
    <xf numFmtId="2" fontId="3" fillId="0" borderId="0" xfId="84" applyNumberFormat="1" applyProtection="1">
      <protection locked="0"/>
    </xf>
    <xf numFmtId="2" fontId="4" fillId="0" borderId="10" xfId="84" applyNumberFormat="1" applyFont="1" applyBorder="1" applyAlignment="1" applyProtection="1">
      <alignment wrapText="1"/>
      <protection locked="0"/>
    </xf>
    <xf numFmtId="165" fontId="3" fillId="0" borderId="0" xfId="37" applyFill="1" applyProtection="1">
      <protection locked="0"/>
    </xf>
    <xf numFmtId="0" fontId="123" fillId="0" borderId="137" xfId="0" applyFont="1" applyBorder="1" applyAlignment="1">
      <alignment horizontal="right" wrapText="1" readingOrder="1"/>
    </xf>
    <xf numFmtId="0" fontId="122" fillId="0" borderId="137" xfId="0" applyFont="1" applyBorder="1" applyAlignment="1">
      <alignment horizontal="right" wrapText="1"/>
    </xf>
    <xf numFmtId="0" fontId="124" fillId="0" borderId="137" xfId="0" applyFont="1" applyBorder="1" applyAlignment="1">
      <alignment horizontal="right" wrapText="1" readingOrder="1"/>
    </xf>
    <xf numFmtId="0" fontId="3" fillId="0" borderId="10" xfId="84" applyBorder="1" applyProtection="1">
      <protection locked="0"/>
    </xf>
    <xf numFmtId="0" fontId="124" fillId="0" borderId="138" xfId="0" applyFont="1" applyBorder="1" applyAlignment="1">
      <alignment horizontal="right" wrapText="1" readingOrder="1"/>
    </xf>
    <xf numFmtId="0" fontId="124" fillId="0" borderId="0" xfId="0" applyFont="1" applyAlignment="1">
      <alignment horizontal="right" wrapText="1" readingOrder="1"/>
    </xf>
    <xf numFmtId="2" fontId="4" fillId="0" borderId="10" xfId="84" applyNumberFormat="1" applyFont="1" applyBorder="1" applyAlignment="1" applyProtection="1">
      <alignment horizontal="right" wrapText="1"/>
      <protection locked="0"/>
    </xf>
    <xf numFmtId="0" fontId="124" fillId="0" borderId="10" xfId="0" applyFont="1" applyBorder="1" applyAlignment="1">
      <alignment horizontal="right" wrapText="1" readingOrder="1"/>
    </xf>
    <xf numFmtId="1" fontId="3" fillId="0" borderId="0" xfId="84" applyNumberFormat="1" applyProtection="1">
      <protection locked="0"/>
    </xf>
    <xf numFmtId="2" fontId="23" fillId="0" borderId="0" xfId="84" applyNumberFormat="1" applyFont="1" applyAlignment="1" applyProtection="1">
      <alignment wrapText="1"/>
      <protection locked="0"/>
    </xf>
    <xf numFmtId="2" fontId="3" fillId="0" borderId="0" xfId="84" applyNumberFormat="1" applyAlignment="1" applyProtection="1">
      <alignment wrapText="1"/>
      <protection locked="0"/>
    </xf>
    <xf numFmtId="0" fontId="3" fillId="0" borderId="0" xfId="84" applyAlignment="1" applyProtection="1">
      <alignment horizontal="right" wrapText="1"/>
      <protection locked="0"/>
    </xf>
    <xf numFmtId="173" fontId="39" fillId="0" borderId="0" xfId="84" applyNumberFormat="1" applyFont="1" applyAlignment="1" applyProtection="1">
      <alignment wrapText="1"/>
      <protection locked="0"/>
    </xf>
    <xf numFmtId="2" fontId="39" fillId="0" borderId="0" xfId="84" applyNumberFormat="1" applyFont="1" applyAlignment="1" applyProtection="1">
      <alignment wrapText="1"/>
      <protection locked="0"/>
    </xf>
    <xf numFmtId="0" fontId="4" fillId="0" borderId="0" xfId="84" applyFont="1" applyProtection="1">
      <protection locked="0"/>
    </xf>
    <xf numFmtId="0" fontId="4" fillId="0" borderId="52" xfId="0" applyFont="1" applyBorder="1"/>
    <xf numFmtId="167" fontId="3" fillId="0" borderId="0" xfId="84" applyNumberFormat="1" applyAlignment="1" applyProtection="1">
      <alignment wrapText="1"/>
      <protection locked="0"/>
    </xf>
    <xf numFmtId="167" fontId="3" fillId="0" borderId="0" xfId="84" applyNumberFormat="1" applyProtection="1">
      <protection locked="0"/>
    </xf>
    <xf numFmtId="168" fontId="3" fillId="0" borderId="0" xfId="84" applyNumberFormat="1" applyProtection="1">
      <protection locked="0"/>
    </xf>
    <xf numFmtId="168" fontId="4" fillId="0" borderId="0" xfId="84" applyNumberFormat="1" applyFont="1" applyProtection="1">
      <protection locked="0"/>
    </xf>
    <xf numFmtId="0" fontId="13" fillId="0" borderId="10" xfId="0" applyFont="1" applyBorder="1" applyAlignment="1">
      <alignment horizontal="right"/>
    </xf>
    <xf numFmtId="1" fontId="0" fillId="0" borderId="10" xfId="0" applyNumberFormat="1" applyBorder="1" applyAlignment="1">
      <alignment horizontal="center"/>
    </xf>
    <xf numFmtId="0" fontId="13" fillId="0" borderId="10" xfId="0" applyFont="1" applyBorder="1" applyAlignment="1">
      <alignment horizontal="center" vertical="top"/>
    </xf>
    <xf numFmtId="0" fontId="0" fillId="0" borderId="10" xfId="0" applyBorder="1" applyAlignment="1">
      <alignment horizontal="left" vertical="top" wrapText="1"/>
    </xf>
    <xf numFmtId="0" fontId="12" fillId="0" borderId="10" xfId="0" applyFont="1" applyBorder="1" applyAlignment="1">
      <alignment horizontal="center"/>
    </xf>
    <xf numFmtId="0" fontId="0" fillId="0" borderId="10" xfId="0" applyBorder="1" applyAlignment="1">
      <alignment horizontal="center" wrapText="1"/>
    </xf>
    <xf numFmtId="9" fontId="110" fillId="0" borderId="22" xfId="88" applyFont="1" applyFill="1" applyBorder="1"/>
    <xf numFmtId="10" fontId="0" fillId="0" borderId="0" xfId="88" applyNumberFormat="1" applyFont="1" applyFill="1"/>
    <xf numFmtId="0" fontId="0" fillId="0" borderId="15" xfId="0" applyBorder="1" applyAlignment="1">
      <alignment wrapText="1" shrinkToFit="1"/>
    </xf>
    <xf numFmtId="0" fontId="3" fillId="0" borderId="15" xfId="0" applyFont="1" applyBorder="1" applyAlignment="1">
      <alignment horizontal="right"/>
    </xf>
    <xf numFmtId="0" fontId="3" fillId="0" borderId="15" xfId="0" applyFont="1" applyBorder="1" applyAlignment="1">
      <alignment horizontal="center"/>
    </xf>
    <xf numFmtId="0" fontId="50" fillId="0" borderId="10" xfId="0" applyFont="1" applyBorder="1" applyAlignment="1">
      <alignment horizontal="center"/>
    </xf>
    <xf numFmtId="0" fontId="50" fillId="0" borderId="10" xfId="0" applyFont="1" applyBorder="1" applyAlignment="1">
      <alignment horizontal="center" vertical="center"/>
    </xf>
    <xf numFmtId="0" fontId="4" fillId="0" borderId="90" xfId="0" applyFont="1" applyBorder="1" applyAlignment="1">
      <alignment vertical="center" wrapText="1"/>
    </xf>
    <xf numFmtId="0" fontId="4" fillId="0" borderId="91" xfId="0" applyFont="1" applyBorder="1" applyAlignment="1">
      <alignment vertical="center" wrapText="1"/>
    </xf>
    <xf numFmtId="0" fontId="4" fillId="0" borderId="91" xfId="0" applyFont="1" applyBorder="1" applyAlignment="1">
      <alignment horizontal="left" vertical="center" wrapText="1"/>
    </xf>
    <xf numFmtId="0" fontId="4" fillId="0" borderId="90" xfId="0" applyFont="1" applyBorder="1" applyAlignment="1">
      <alignment horizontal="left" vertical="center" wrapText="1"/>
    </xf>
    <xf numFmtId="0" fontId="0" fillId="0" borderId="128" xfId="0" applyBorder="1" applyAlignment="1">
      <alignment horizontal="center" vertical="center" wrapText="1"/>
    </xf>
    <xf numFmtId="0" fontId="3" fillId="0" borderId="94" xfId="0" applyFont="1" applyBorder="1" applyAlignment="1">
      <alignment wrapText="1"/>
    </xf>
    <xf numFmtId="0" fontId="3" fillId="0" borderId="75" xfId="0" applyFont="1" applyBorder="1" applyAlignment="1">
      <alignment wrapText="1"/>
    </xf>
    <xf numFmtId="2" fontId="0" fillId="0" borderId="40" xfId="0" applyNumberFormat="1" applyBorder="1" applyAlignment="1">
      <alignment horizontal="right" vertical="center"/>
    </xf>
    <xf numFmtId="2" fontId="4" fillId="0" borderId="41" xfId="0" applyNumberFormat="1" applyFont="1" applyBorder="1" applyAlignment="1">
      <alignment horizontal="right" vertical="center"/>
    </xf>
    <xf numFmtId="4" fontId="0" fillId="0" borderId="40" xfId="0" applyNumberFormat="1" applyBorder="1" applyAlignment="1">
      <alignment horizontal="right" vertical="center"/>
    </xf>
    <xf numFmtId="2" fontId="0" fillId="0" borderId="41" xfId="0" applyNumberFormat="1" applyBorder="1" applyAlignment="1">
      <alignment horizontal="right" vertical="center"/>
    </xf>
    <xf numFmtId="0" fontId="0" fillId="0" borderId="75" xfId="0" applyBorder="1" applyAlignment="1">
      <alignment wrapText="1"/>
    </xf>
    <xf numFmtId="0" fontId="4" fillId="0" borderId="75" xfId="0" applyFont="1" applyBorder="1" applyAlignment="1">
      <alignment wrapText="1"/>
    </xf>
    <xf numFmtId="0" fontId="52" fillId="0" borderId="0" xfId="0" applyFont="1"/>
    <xf numFmtId="0" fontId="4" fillId="0" borderId="75" xfId="0" applyFont="1" applyBorder="1" applyAlignment="1">
      <alignment horizontal="right" wrapText="1"/>
    </xf>
    <xf numFmtId="2" fontId="4" fillId="0" borderId="40" xfId="0" applyNumberFormat="1" applyFont="1" applyBorder="1" applyAlignment="1">
      <alignment horizontal="right" vertical="center"/>
    </xf>
    <xf numFmtId="4" fontId="4" fillId="0" borderId="40" xfId="0" applyNumberFormat="1" applyFont="1" applyBorder="1" applyAlignment="1">
      <alignment horizontal="right" vertical="center"/>
    </xf>
    <xf numFmtId="205" fontId="4" fillId="0" borderId="40" xfId="0" applyNumberFormat="1" applyFont="1" applyBorder="1" applyAlignment="1">
      <alignment horizontal="right" vertical="center"/>
    </xf>
    <xf numFmtId="0" fontId="52" fillId="0" borderId="0" xfId="0" applyFont="1" applyAlignment="1">
      <alignment horizontal="center"/>
    </xf>
    <xf numFmtId="2" fontId="0" fillId="0" borderId="10" xfId="88" applyNumberFormat="1" applyFont="1" applyFill="1" applyBorder="1" applyAlignment="1">
      <alignment horizontal="right" vertical="center"/>
    </xf>
    <xf numFmtId="204" fontId="0" fillId="0" borderId="40" xfId="0" applyNumberFormat="1" applyBorder="1" applyAlignment="1">
      <alignment horizontal="right" vertical="center"/>
    </xf>
    <xf numFmtId="204" fontId="0" fillId="0" borderId="10" xfId="0" applyNumberFormat="1" applyBorder="1" applyAlignment="1">
      <alignment horizontal="right" vertical="center"/>
    </xf>
    <xf numFmtId="16" fontId="4" fillId="0" borderId="0" xfId="0" applyNumberFormat="1" applyFont="1" applyAlignment="1">
      <alignment horizontal="center"/>
    </xf>
    <xf numFmtId="2" fontId="114" fillId="0" borderId="10" xfId="0" applyNumberFormat="1" applyFont="1" applyBorder="1" applyAlignment="1">
      <alignment horizontal="right" vertical="center"/>
    </xf>
    <xf numFmtId="0" fontId="0" fillId="0" borderId="90" xfId="0" applyBorder="1" applyAlignment="1">
      <alignment horizontal="center" vertical="center" wrapText="1"/>
    </xf>
    <xf numFmtId="0" fontId="4" fillId="0" borderId="140" xfId="0" applyFont="1" applyBorder="1" applyAlignment="1">
      <alignment wrapText="1"/>
    </xf>
    <xf numFmtId="2" fontId="4" fillId="0" borderId="90" xfId="0" applyNumberFormat="1" applyFont="1" applyBorder="1" applyAlignment="1">
      <alignment horizontal="right" vertical="center"/>
    </xf>
    <xf numFmtId="2" fontId="4" fillId="0" borderId="91" xfId="0" applyNumberFormat="1" applyFont="1" applyBorder="1" applyAlignment="1">
      <alignment horizontal="right" vertical="center"/>
    </xf>
    <xf numFmtId="2" fontId="4" fillId="0" borderId="92" xfId="0" applyNumberFormat="1" applyFont="1" applyBorder="1" applyAlignment="1">
      <alignment horizontal="right" vertical="center"/>
    </xf>
    <xf numFmtId="9" fontId="4" fillId="0" borderId="42" xfId="88" applyFont="1" applyFill="1" applyBorder="1"/>
    <xf numFmtId="0" fontId="0" fillId="0" borderId="79" xfId="0" applyBorder="1" applyAlignment="1">
      <alignment horizontal="center" vertical="center"/>
    </xf>
    <xf numFmtId="0" fontId="4" fillId="0" borderId="139" xfId="0" applyFont="1" applyBorder="1" applyAlignment="1">
      <alignment wrapText="1"/>
    </xf>
    <xf numFmtId="0" fontId="0" fillId="0" borderId="79" xfId="0" applyBorder="1"/>
    <xf numFmtId="0" fontId="0" fillId="0" borderId="80" xfId="0" applyBorder="1"/>
    <xf numFmtId="2" fontId="0" fillId="0" borderId="81" xfId="0" applyNumberFormat="1" applyBorder="1"/>
    <xf numFmtId="2" fontId="0" fillId="0" borderId="79" xfId="0" applyNumberFormat="1" applyBorder="1"/>
    <xf numFmtId="2" fontId="0" fillId="0" borderId="80" xfId="0" applyNumberFormat="1" applyBorder="1"/>
    <xf numFmtId="0" fontId="0" fillId="0" borderId="81" xfId="0" applyBorder="1"/>
    <xf numFmtId="0" fontId="23" fillId="0" borderId="81" xfId="0" applyFont="1" applyBorder="1"/>
    <xf numFmtId="0" fontId="22" fillId="0" borderId="40" xfId="0" applyFont="1" applyBorder="1" applyAlignment="1">
      <alignment horizontal="center" vertical="center"/>
    </xf>
    <xf numFmtId="0" fontId="22" fillId="0" borderId="75" xfId="0" applyFont="1" applyBorder="1" applyAlignment="1">
      <alignment wrapText="1"/>
    </xf>
    <xf numFmtId="0" fontId="3" fillId="0" borderId="40" xfId="0" applyFont="1" applyBorder="1" applyAlignment="1">
      <alignment horizontal="center" vertical="center"/>
    </xf>
    <xf numFmtId="1" fontId="3" fillId="0" borderId="41" xfId="0" applyNumberFormat="1" applyFont="1" applyBorder="1" applyAlignment="1">
      <alignment horizontal="center" vertical="center"/>
    </xf>
    <xf numFmtId="1" fontId="3" fillId="0" borderId="40" xfId="0" applyNumberFormat="1" applyFont="1" applyBorder="1" applyAlignment="1">
      <alignment horizontal="center" vertical="center"/>
    </xf>
    <xf numFmtId="0" fontId="3" fillId="0" borderId="41" xfId="0" applyFont="1" applyBorder="1" applyAlignment="1">
      <alignment horizontal="center" vertical="center"/>
    </xf>
    <xf numFmtId="0" fontId="21" fillId="0" borderId="0" xfId="0" applyFont="1" applyAlignment="1">
      <alignment horizontal="center" vertical="center" wrapText="1"/>
    </xf>
    <xf numFmtId="0" fontId="21" fillId="0" borderId="40" xfId="0" applyFont="1" applyBorder="1" applyAlignment="1">
      <alignment horizontal="center" vertical="center"/>
    </xf>
    <xf numFmtId="0" fontId="21" fillId="0" borderId="75" xfId="0" applyFont="1" applyBorder="1" applyAlignment="1">
      <alignment wrapText="1"/>
    </xf>
    <xf numFmtId="0" fontId="4" fillId="0" borderId="40" xfId="0" applyFont="1" applyBorder="1" applyAlignment="1">
      <alignment horizontal="center" vertical="center"/>
    </xf>
    <xf numFmtId="1" fontId="4" fillId="0" borderId="41" xfId="0" applyNumberFormat="1" applyFont="1" applyBorder="1" applyAlignment="1">
      <alignment horizontal="center" vertical="center"/>
    </xf>
    <xf numFmtId="1" fontId="4" fillId="0" borderId="40" xfId="0" applyNumberFormat="1" applyFont="1" applyBorder="1" applyAlignment="1">
      <alignment horizontal="center" vertical="center"/>
    </xf>
    <xf numFmtId="1" fontId="4" fillId="0" borderId="10" xfId="0" applyNumberFormat="1" applyFont="1" applyBorder="1" applyAlignment="1">
      <alignment horizontal="center" vertical="center"/>
    </xf>
    <xf numFmtId="0" fontId="4" fillId="0" borderId="41" xfId="0" applyFont="1" applyBorder="1" applyAlignment="1">
      <alignment horizontal="center" vertical="center"/>
    </xf>
    <xf numFmtId="165" fontId="0" fillId="0" borderId="10" xfId="37" applyFont="1" applyFill="1" applyBorder="1"/>
    <xf numFmtId="2" fontId="23" fillId="0" borderId="41" xfId="0" applyNumberFormat="1" applyFont="1" applyBorder="1"/>
    <xf numFmtId="0" fontId="21" fillId="0" borderId="0" xfId="0" applyFont="1" applyAlignment="1">
      <alignment horizontal="center"/>
    </xf>
    <xf numFmtId="0" fontId="21" fillId="0" borderId="0" xfId="0" applyFont="1" applyAlignment="1">
      <alignment vertical="center" wrapText="1"/>
    </xf>
    <xf numFmtId="165" fontId="0" fillId="0" borderId="41" xfId="37" applyFont="1" applyFill="1" applyBorder="1"/>
    <xf numFmtId="165" fontId="0" fillId="0" borderId="40" xfId="37" applyFont="1" applyFill="1" applyBorder="1"/>
    <xf numFmtId="9" fontId="0" fillId="0" borderId="40" xfId="88" applyFont="1" applyFill="1" applyBorder="1"/>
    <xf numFmtId="9" fontId="0" fillId="0" borderId="10" xfId="88" applyFont="1" applyFill="1" applyBorder="1"/>
    <xf numFmtId="0" fontId="22" fillId="0" borderId="0" xfId="0" applyFont="1" applyAlignment="1">
      <alignment horizontal="center"/>
    </xf>
    <xf numFmtId="0" fontId="22" fillId="0" borderId="0" xfId="0" applyFont="1" applyAlignment="1">
      <alignment horizontal="center" wrapText="1"/>
    </xf>
    <xf numFmtId="0" fontId="22" fillId="0" borderId="90" xfId="0" applyFont="1" applyBorder="1" applyAlignment="1">
      <alignment horizontal="center" vertical="center"/>
    </xf>
    <xf numFmtId="0" fontId="22" fillId="0" borderId="140" xfId="0" applyFont="1" applyBorder="1" applyAlignment="1">
      <alignment wrapText="1"/>
    </xf>
    <xf numFmtId="0" fontId="0" fillId="0" borderId="90" xfId="0" applyBorder="1"/>
    <xf numFmtId="2" fontId="22" fillId="0" borderId="0" xfId="0" applyNumberFormat="1" applyFont="1"/>
    <xf numFmtId="165" fontId="22" fillId="0" borderId="0" xfId="0" applyNumberFormat="1" applyFont="1"/>
    <xf numFmtId="0" fontId="4" fillId="0" borderId="42" xfId="0" applyFont="1" applyBorder="1" applyAlignment="1">
      <alignment wrapText="1"/>
    </xf>
    <xf numFmtId="165" fontId="0" fillId="0" borderId="0" xfId="37" applyFont="1" applyFill="1"/>
    <xf numFmtId="0" fontId="4" fillId="0" borderId="79" xfId="0" applyFont="1" applyBorder="1" applyAlignment="1">
      <alignment horizontal="center"/>
    </xf>
    <xf numFmtId="0" fontId="4" fillId="0" borderId="80" xfId="0" applyFont="1" applyBorder="1" applyAlignment="1">
      <alignment horizontal="left" vertical="top" wrapText="1"/>
    </xf>
    <xf numFmtId="2" fontId="21" fillId="0" borderId="0" xfId="0" applyNumberFormat="1" applyFont="1"/>
    <xf numFmtId="166" fontId="21" fillId="0" borderId="0" xfId="45" applyFont="1" applyFill="1" applyBorder="1"/>
    <xf numFmtId="0" fontId="0" fillId="0" borderId="15" xfId="0" applyBorder="1" applyAlignment="1">
      <alignment horizontal="center"/>
    </xf>
    <xf numFmtId="0" fontId="4" fillId="0" borderId="40" xfId="0" applyFont="1" applyBorder="1" applyAlignment="1">
      <alignment horizontal="right" vertical="top"/>
    </xf>
    <xf numFmtId="0" fontId="3" fillId="0" borderId="10" xfId="0" applyFont="1" applyBorder="1" applyAlignment="1">
      <alignment horizontal="left" vertical="top" wrapText="1"/>
    </xf>
    <xf numFmtId="174" fontId="0" fillId="0" borderId="41" xfId="37" applyNumberFormat="1" applyFont="1" applyFill="1" applyBorder="1"/>
    <xf numFmtId="167" fontId="0" fillId="0" borderId="47" xfId="0" applyNumberFormat="1" applyBorder="1"/>
    <xf numFmtId="2" fontId="0" fillId="0" borderId="47" xfId="0" applyNumberFormat="1" applyBorder="1"/>
    <xf numFmtId="174" fontId="22" fillId="0" borderId="0" xfId="0" applyNumberFormat="1" applyFont="1"/>
    <xf numFmtId="165" fontId="21" fillId="0" borderId="0" xfId="0" applyNumberFormat="1" applyFont="1"/>
    <xf numFmtId="166" fontId="0" fillId="0" borderId="41" xfId="0" applyNumberFormat="1" applyBorder="1"/>
    <xf numFmtId="165" fontId="0" fillId="0" borderId="0" xfId="0" applyNumberFormat="1"/>
    <xf numFmtId="165" fontId="4" fillId="0" borderId="41" xfId="0" applyNumberFormat="1" applyFont="1" applyBorder="1"/>
    <xf numFmtId="0" fontId="4" fillId="0" borderId="10" xfId="0" applyFont="1" applyBorder="1" applyAlignment="1">
      <alignment horizontal="left" vertical="top" wrapText="1"/>
    </xf>
    <xf numFmtId="165" fontId="0" fillId="0" borderId="41" xfId="0" applyNumberFormat="1" applyBorder="1"/>
    <xf numFmtId="0" fontId="4" fillId="0" borderId="91" xfId="0" applyFont="1" applyBorder="1" applyAlignment="1">
      <alignment horizontal="left" vertical="top" wrapText="1"/>
    </xf>
    <xf numFmtId="166" fontId="4" fillId="0" borderId="92" xfId="0" applyNumberFormat="1" applyFont="1" applyBorder="1"/>
    <xf numFmtId="0" fontId="132" fillId="0" borderId="0" xfId="0" applyFont="1"/>
    <xf numFmtId="0" fontId="133" fillId="0" borderId="0" xfId="0" applyFont="1"/>
    <xf numFmtId="0" fontId="39" fillId="0" borderId="0" xfId="0" applyFont="1" applyAlignment="1">
      <alignment horizontal="center" vertical="center"/>
    </xf>
    <xf numFmtId="168" fontId="39" fillId="0" borderId="0" xfId="0" applyNumberFormat="1" applyFont="1" applyAlignment="1">
      <alignment horizontal="center" vertical="center"/>
    </xf>
    <xf numFmtId="2" fontId="39" fillId="0" borderId="0" xfId="0" applyNumberFormat="1" applyFont="1" applyAlignment="1">
      <alignment horizontal="center" vertical="center"/>
    </xf>
    <xf numFmtId="168" fontId="4" fillId="0" borderId="0" xfId="0" applyNumberFormat="1" applyFont="1" applyAlignment="1">
      <alignment horizontal="center"/>
    </xf>
    <xf numFmtId="168" fontId="19" fillId="0" borderId="0" xfId="0" applyNumberFormat="1" applyFont="1" applyAlignment="1">
      <alignment horizontal="center"/>
    </xf>
    <xf numFmtId="168" fontId="0" fillId="0" borderId="0" xfId="0" applyNumberFormat="1" applyAlignment="1">
      <alignment horizontal="center"/>
    </xf>
    <xf numFmtId="0" fontId="4" fillId="0" borderId="53" xfId="0" applyFont="1" applyBorder="1"/>
    <xf numFmtId="0" fontId="4" fillId="0" borderId="53" xfId="0" applyFont="1" applyBorder="1" applyAlignment="1">
      <alignment horizontal="center" vertical="center" wrapText="1"/>
    </xf>
    <xf numFmtId="2" fontId="0" fillId="0" borderId="0" xfId="88" applyNumberFormat="1" applyFont="1" applyFill="1"/>
    <xf numFmtId="0" fontId="0" fillId="0" borderId="50" xfId="0" applyBorder="1"/>
    <xf numFmtId="0" fontId="3" fillId="0" borderId="50" xfId="0" applyFont="1" applyBorder="1" applyAlignment="1">
      <alignment vertical="justify" wrapText="1"/>
    </xf>
    <xf numFmtId="0" fontId="4" fillId="0" borderId="53" xfId="0" applyFont="1" applyBorder="1" applyAlignment="1">
      <alignment horizontal="right"/>
    </xf>
    <xf numFmtId="197" fontId="0" fillId="0" borderId="0" xfId="37" applyNumberFormat="1" applyFont="1" applyFill="1"/>
    <xf numFmtId="0" fontId="4" fillId="0" borderId="75" xfId="0" applyFont="1" applyBorder="1" applyAlignment="1">
      <alignment horizontal="left" wrapText="1"/>
    </xf>
    <xf numFmtId="0" fontId="21" fillId="0" borderId="75" xfId="0" applyFont="1" applyBorder="1" applyAlignment="1">
      <alignment horizontal="center" wrapText="1"/>
    </xf>
    <xf numFmtId="0" fontId="21" fillId="0" borderId="75" xfId="0" applyFont="1" applyBorder="1" applyAlignment="1">
      <alignment horizontal="center" vertical="center" wrapText="1"/>
    </xf>
    <xf numFmtId="0" fontId="21" fillId="0" borderId="10" xfId="0" applyFont="1" applyBorder="1" applyAlignment="1">
      <alignment horizontal="center"/>
    </xf>
    <xf numFmtId="49" fontId="21" fillId="0" borderId="10" xfId="0" applyNumberFormat="1" applyFont="1" applyBorder="1" applyAlignment="1">
      <alignment horizontal="center"/>
    </xf>
    <xf numFmtId="0" fontId="4" fillId="0" borderId="75" xfId="0" applyFont="1" applyBorder="1" applyAlignment="1">
      <alignment horizontal="center"/>
    </xf>
    <xf numFmtId="2" fontId="0" fillId="0" borderId="75" xfId="0" applyNumberFormat="1" applyBorder="1"/>
    <xf numFmtId="2" fontId="4" fillId="0" borderId="75" xfId="0" applyNumberFormat="1" applyFont="1" applyBorder="1"/>
    <xf numFmtId="2" fontId="3" fillId="0" borderId="75" xfId="0" applyNumberFormat="1" applyFont="1" applyBorder="1"/>
    <xf numFmtId="2" fontId="3" fillId="0" borderId="0" xfId="0" applyNumberFormat="1" applyFont="1" applyAlignment="1">
      <alignment horizontal="right"/>
    </xf>
    <xf numFmtId="0" fontId="28" fillId="0" borderId="0" xfId="0" applyFont="1" applyAlignment="1">
      <alignment horizontal="center"/>
    </xf>
    <xf numFmtId="2" fontId="23" fillId="0" borderId="75" xfId="0" applyNumberFormat="1" applyFont="1" applyBorder="1"/>
    <xf numFmtId="0" fontId="0" fillId="0" borderId="10" xfId="0" applyBorder="1" applyAlignment="1">
      <alignment vertical="center" wrapText="1"/>
    </xf>
    <xf numFmtId="0" fontId="130" fillId="0" borderId="10" xfId="0" applyFont="1" applyBorder="1" applyAlignment="1">
      <alignment vertical="center"/>
    </xf>
    <xf numFmtId="0" fontId="28" fillId="0" borderId="10" xfId="0" applyFont="1" applyBorder="1" applyAlignment="1">
      <alignment horizontal="center" vertical="center"/>
    </xf>
    <xf numFmtId="0" fontId="28" fillId="0" borderId="0" xfId="0" applyFont="1" applyAlignment="1">
      <alignment horizontal="left"/>
    </xf>
    <xf numFmtId="0" fontId="131" fillId="0" borderId="10" xfId="0" applyFont="1" applyBorder="1" applyAlignment="1">
      <alignment horizontal="center" vertical="center"/>
    </xf>
    <xf numFmtId="0" fontId="131" fillId="0" borderId="10" xfId="0" applyFont="1" applyBorder="1" applyAlignment="1">
      <alignment vertical="center"/>
    </xf>
    <xf numFmtId="0" fontId="112" fillId="0" borderId="0" xfId="0" applyFont="1"/>
    <xf numFmtId="174" fontId="23" fillId="0" borderId="0" xfId="0" applyNumberFormat="1" applyFont="1" applyAlignment="1">
      <alignment horizontal="right"/>
    </xf>
    <xf numFmtId="1" fontId="0" fillId="0" borderId="10" xfId="0" applyNumberFormat="1" applyBorder="1" applyAlignment="1">
      <alignment horizontal="center" vertical="center"/>
    </xf>
    <xf numFmtId="2" fontId="3" fillId="0" borderId="49" xfId="0" applyNumberFormat="1" applyFont="1" applyBorder="1"/>
    <xf numFmtId="2" fontId="0" fillId="0" borderId="49" xfId="0" applyNumberFormat="1" applyBorder="1"/>
    <xf numFmtId="2" fontId="0" fillId="0" borderId="44" xfId="0" applyNumberFormat="1" applyBorder="1"/>
    <xf numFmtId="2" fontId="0" fillId="0" borderId="15" xfId="0" applyNumberFormat="1" applyBorder="1" applyAlignment="1">
      <alignment horizontal="center"/>
    </xf>
    <xf numFmtId="2" fontId="0" fillId="0" borderId="54" xfId="0" applyNumberFormat="1" applyBorder="1" applyAlignment="1">
      <alignment horizontal="center"/>
    </xf>
    <xf numFmtId="0" fontId="134" fillId="0" borderId="10" xfId="0" applyFont="1" applyBorder="1" applyAlignment="1">
      <alignment vertical="center"/>
    </xf>
    <xf numFmtId="1" fontId="135" fillId="0" borderId="10" xfId="0" applyNumberFormat="1" applyFont="1" applyBorder="1" applyAlignment="1">
      <alignment horizontal="center" vertical="center"/>
    </xf>
    <xf numFmtId="0" fontId="0" fillId="0" borderId="45" xfId="0" applyBorder="1" applyAlignment="1">
      <alignment horizontal="right"/>
    </xf>
    <xf numFmtId="167" fontId="0" fillId="0" borderId="51" xfId="0" applyNumberFormat="1" applyBorder="1"/>
    <xf numFmtId="0" fontId="136" fillId="0" borderId="10" xfId="0" applyFont="1" applyBorder="1" applyAlignment="1">
      <alignment vertical="center"/>
    </xf>
    <xf numFmtId="10" fontId="0" fillId="0" borderId="15" xfId="88" applyNumberFormat="1" applyFont="1" applyFill="1" applyBorder="1"/>
    <xf numFmtId="10" fontId="0" fillId="0" borderId="54" xfId="88" applyNumberFormat="1" applyFont="1" applyFill="1" applyBorder="1"/>
    <xf numFmtId="0" fontId="137" fillId="0" borderId="10" xfId="0" applyFont="1" applyBorder="1" applyAlignment="1">
      <alignment vertical="center"/>
    </xf>
    <xf numFmtId="0" fontId="94" fillId="0" borderId="0" xfId="0" applyFont="1" applyAlignment="1">
      <alignment horizontal="right"/>
    </xf>
    <xf numFmtId="0" fontId="94" fillId="0" borderId="0" xfId="0" applyFont="1" applyAlignment="1">
      <alignment horizontal="center" vertical="center"/>
    </xf>
    <xf numFmtId="175" fontId="4" fillId="0" borderId="0" xfId="0" applyNumberFormat="1" applyFont="1" applyAlignment="1">
      <alignment horizontal="center" vertical="center"/>
    </xf>
    <xf numFmtId="2" fontId="4" fillId="0" borderId="0" xfId="0" applyNumberFormat="1" applyFont="1" applyAlignment="1">
      <alignment horizontal="center" vertical="center"/>
    </xf>
    <xf numFmtId="175" fontId="0" fillId="0" borderId="0" xfId="0" applyNumberFormat="1" applyAlignment="1">
      <alignment horizontal="center" vertical="center"/>
    </xf>
    <xf numFmtId="174" fontId="0" fillId="0" borderId="10" xfId="0" applyNumberFormat="1" applyBorder="1"/>
    <xf numFmtId="0" fontId="4" fillId="0" borderId="10" xfId="0" applyFont="1" applyBorder="1" applyAlignment="1">
      <alignment horizontal="right" wrapText="1"/>
    </xf>
    <xf numFmtId="174" fontId="3" fillId="0" borderId="10" xfId="0" applyNumberFormat="1" applyFont="1" applyBorder="1"/>
    <xf numFmtId="194" fontId="0" fillId="0" borderId="0" xfId="0" applyNumberFormat="1"/>
    <xf numFmtId="1" fontId="4" fillId="0" borderId="0" xfId="0" applyNumberFormat="1" applyFont="1" applyAlignment="1">
      <alignment horizontal="right"/>
    </xf>
    <xf numFmtId="0" fontId="4" fillId="0" borderId="10" xfId="0" applyFont="1" applyBorder="1" applyAlignment="1">
      <alignment horizontal="center" wrapText="1"/>
    </xf>
    <xf numFmtId="188" fontId="0" fillId="0" borderId="0" xfId="0" applyNumberFormat="1"/>
    <xf numFmtId="2" fontId="56" fillId="0" borderId="10" xfId="0" applyNumberFormat="1" applyFont="1" applyBorder="1"/>
    <xf numFmtId="200" fontId="0" fillId="0" borderId="0" xfId="37" applyNumberFormat="1" applyFont="1" applyFill="1"/>
    <xf numFmtId="196" fontId="0" fillId="0" borderId="0" xfId="0" applyNumberFormat="1"/>
    <xf numFmtId="0" fontId="26" fillId="0" borderId="0" xfId="0" applyFont="1"/>
    <xf numFmtId="0" fontId="3" fillId="0" borderId="10" xfId="0" applyFont="1" applyBorder="1" applyAlignment="1">
      <alignment vertical="top" wrapText="1"/>
    </xf>
    <xf numFmtId="2" fontId="3" fillId="0" borderId="10" xfId="116" applyNumberFormat="1" applyBorder="1"/>
    <xf numFmtId="0" fontId="3" fillId="0" borderId="10" xfId="0" applyFont="1" applyBorder="1" applyAlignment="1">
      <alignment horizontal="right"/>
    </xf>
    <xf numFmtId="0" fontId="3" fillId="0" borderId="88" xfId="0" applyFont="1" applyBorder="1"/>
    <xf numFmtId="0" fontId="4" fillId="0" borderId="10" xfId="112" applyFont="1" applyBorder="1" applyAlignment="1">
      <alignment vertical="center"/>
    </xf>
    <xf numFmtId="17" fontId="4" fillId="0" borderId="10" xfId="112" applyNumberFormat="1" applyFont="1" applyBorder="1" applyAlignment="1">
      <alignment vertical="center"/>
    </xf>
    <xf numFmtId="17" fontId="4" fillId="0" borderId="10" xfId="112" applyNumberFormat="1" applyFont="1" applyBorder="1" applyAlignment="1">
      <alignment horizontal="center" vertical="center"/>
    </xf>
    <xf numFmtId="0" fontId="4" fillId="0" borderId="10" xfId="112" applyFont="1" applyBorder="1" applyAlignment="1">
      <alignment horizontal="left"/>
    </xf>
    <xf numFmtId="0" fontId="4" fillId="0" borderId="10" xfId="112" applyFont="1" applyBorder="1" applyAlignment="1">
      <alignment vertical="top" wrapText="1"/>
    </xf>
    <xf numFmtId="167" fontId="3" fillId="0" borderId="10" xfId="112" applyNumberFormat="1" applyBorder="1"/>
    <xf numFmtId="167" fontId="4" fillId="0" borderId="10" xfId="112" applyNumberFormat="1" applyFont="1" applyBorder="1"/>
    <xf numFmtId="0" fontId="4" fillId="0" borderId="10" xfId="112" applyFont="1" applyBorder="1" applyAlignment="1">
      <alignment horizontal="center"/>
    </xf>
    <xf numFmtId="0" fontId="4" fillId="0" borderId="10" xfId="112" quotePrefix="1" applyFont="1" applyBorder="1" applyAlignment="1">
      <alignment horizontal="center"/>
    </xf>
    <xf numFmtId="0" fontId="4" fillId="0" borderId="10" xfId="112" applyFont="1" applyBorder="1" applyAlignment="1">
      <alignment horizontal="right"/>
    </xf>
    <xf numFmtId="0" fontId="3" fillId="0" borderId="10" xfId="112" applyBorder="1" applyAlignment="1">
      <alignment horizontal="center"/>
    </xf>
    <xf numFmtId="0" fontId="4" fillId="0" borderId="10" xfId="112" applyFont="1" applyBorder="1"/>
    <xf numFmtId="0" fontId="3" fillId="0" borderId="57" xfId="0" applyFont="1" applyBorder="1"/>
    <xf numFmtId="0" fontId="3" fillId="29" borderId="58" xfId="0" applyFont="1" applyFill="1" applyBorder="1"/>
    <xf numFmtId="0" fontId="3" fillId="0" borderId="43" xfId="0" applyFont="1" applyBorder="1"/>
    <xf numFmtId="0" fontId="3" fillId="0" borderId="46" xfId="0" applyFont="1" applyBorder="1"/>
    <xf numFmtId="0" fontId="3" fillId="0" borderId="59" xfId="0" applyFont="1" applyBorder="1"/>
    <xf numFmtId="0" fontId="3" fillId="0" borderId="49" xfId="0" applyFont="1" applyBorder="1"/>
    <xf numFmtId="2" fontId="3" fillId="0" borderId="44" xfId="0" applyNumberFormat="1" applyFont="1" applyBorder="1"/>
    <xf numFmtId="0" fontId="3" fillId="0" borderId="42" xfId="0" applyFont="1" applyBorder="1"/>
    <xf numFmtId="2" fontId="3" fillId="35" borderId="42" xfId="0" applyNumberFormat="1" applyFont="1" applyFill="1" applyBorder="1"/>
    <xf numFmtId="2" fontId="3" fillId="0" borderId="45" xfId="0" applyNumberFormat="1" applyFont="1" applyBorder="1"/>
    <xf numFmtId="2" fontId="3" fillId="0" borderId="42" xfId="0" applyNumberFormat="1" applyFont="1" applyBorder="1"/>
    <xf numFmtId="1" fontId="3" fillId="0" borderId="42" xfId="0" applyNumberFormat="1" applyFont="1" applyBorder="1"/>
    <xf numFmtId="168" fontId="3" fillId="0" borderId="0" xfId="0" applyNumberFormat="1" applyFont="1"/>
    <xf numFmtId="1" fontId="3" fillId="0" borderId="45" xfId="0" applyNumberFormat="1" applyFont="1" applyBorder="1"/>
    <xf numFmtId="0" fontId="3" fillId="29" borderId="45" xfId="0" applyFont="1" applyFill="1" applyBorder="1"/>
    <xf numFmtId="2" fontId="3" fillId="29" borderId="0" xfId="0" applyNumberFormat="1" applyFont="1" applyFill="1"/>
    <xf numFmtId="0" fontId="3" fillId="0" borderId="45" xfId="0" applyFont="1" applyBorder="1" applyAlignment="1">
      <alignment horizontal="right"/>
    </xf>
    <xf numFmtId="2" fontId="3" fillId="29" borderId="42" xfId="0" applyNumberFormat="1" applyFont="1" applyFill="1" applyBorder="1"/>
    <xf numFmtId="0" fontId="3" fillId="29" borderId="42" xfId="0" applyFont="1" applyFill="1" applyBorder="1"/>
    <xf numFmtId="0" fontId="17" fillId="0" borderId="0" xfId="0" applyFont="1" applyAlignment="1">
      <alignment horizontal="left"/>
    </xf>
    <xf numFmtId="0" fontId="4" fillId="0" borderId="10" xfId="118" applyFont="1" applyBorder="1" applyAlignment="1">
      <alignment horizontal="center" vertical="center" wrapText="1"/>
    </xf>
    <xf numFmtId="0" fontId="3" fillId="0" borderId="10" xfId="118" applyBorder="1" applyAlignment="1">
      <alignment horizontal="center"/>
    </xf>
    <xf numFmtId="0" fontId="4" fillId="0" borderId="10" xfId="118" applyFont="1" applyBorder="1" applyAlignment="1">
      <alignment wrapText="1"/>
    </xf>
    <xf numFmtId="0" fontId="3" fillId="0" borderId="10" xfId="118" applyBorder="1" applyAlignment="1">
      <alignment wrapText="1"/>
    </xf>
    <xf numFmtId="0" fontId="4" fillId="0" borderId="10" xfId="118" applyFont="1" applyBorder="1" applyAlignment="1">
      <alignment horizontal="center"/>
    </xf>
    <xf numFmtId="0" fontId="4" fillId="0" borderId="10" xfId="118" applyFont="1" applyBorder="1"/>
    <xf numFmtId="0" fontId="4" fillId="0" borderId="10" xfId="118" applyFont="1" applyBorder="1" applyAlignment="1">
      <alignment vertical="center" wrapText="1"/>
    </xf>
    <xf numFmtId="0" fontId="4" fillId="0" borderId="10" xfId="118" applyFont="1" applyBorder="1" applyAlignment="1">
      <alignment horizontal="center" wrapText="1"/>
    </xf>
    <xf numFmtId="0" fontId="19" fillId="0" borderId="10" xfId="118" applyFont="1" applyBorder="1" applyAlignment="1">
      <alignment horizontal="center"/>
    </xf>
    <xf numFmtId="0" fontId="3" fillId="0" borderId="10" xfId="118" applyBorder="1" applyAlignment="1">
      <alignment horizontal="center" vertical="center" wrapText="1"/>
    </xf>
    <xf numFmtId="0" fontId="9" fillId="0" borderId="10" xfId="118" applyFont="1" applyBorder="1" applyAlignment="1">
      <alignment vertical="center" wrapText="1"/>
    </xf>
    <xf numFmtId="0" fontId="9" fillId="0" borderId="10" xfId="118" applyFont="1" applyBorder="1" applyAlignment="1">
      <alignment wrapText="1"/>
    </xf>
    <xf numFmtId="0" fontId="9" fillId="0" borderId="10" xfId="118" applyFont="1" applyBorder="1" applyAlignment="1">
      <alignment horizontal="center" wrapText="1"/>
    </xf>
    <xf numFmtId="0" fontId="3" fillId="0" borderId="10" xfId="118" applyBorder="1" applyAlignment="1">
      <alignment horizontal="center" vertical="top"/>
    </xf>
    <xf numFmtId="0" fontId="3" fillId="0" borderId="10" xfId="118" applyBorder="1"/>
    <xf numFmtId="0" fontId="3" fillId="0" borderId="10" xfId="118" applyBorder="1" applyAlignment="1">
      <alignment horizontal="justify" vertical="top" wrapText="1"/>
    </xf>
    <xf numFmtId="0" fontId="4" fillId="0" borderId="10" xfId="118" applyFont="1" applyBorder="1" applyAlignment="1">
      <alignment horizontal="center" vertical="top" wrapText="1"/>
    </xf>
    <xf numFmtId="0" fontId="3" fillId="0" borderId="10" xfId="118" applyBorder="1" applyAlignment="1">
      <alignment horizontal="center" vertical="top" wrapText="1"/>
    </xf>
    <xf numFmtId="0" fontId="3" fillId="0" borderId="75" xfId="118" applyBorder="1"/>
    <xf numFmtId="0" fontId="3" fillId="0" borderId="6" xfId="118" applyBorder="1"/>
    <xf numFmtId="0" fontId="3" fillId="0" borderId="6" xfId="118" applyBorder="1" applyAlignment="1">
      <alignment horizontal="center" vertical="top" wrapText="1"/>
    </xf>
    <xf numFmtId="0" fontId="3" fillId="0" borderId="22" xfId="118" applyBorder="1"/>
    <xf numFmtId="0" fontId="3" fillId="0" borderId="10" xfId="118" applyBorder="1" applyAlignment="1">
      <alignment horizontal="center" vertical="center"/>
    </xf>
    <xf numFmtId="49" fontId="4" fillId="29" borderId="15" xfId="0" applyNumberFormat="1" applyFont="1" applyFill="1" applyBorder="1" applyAlignment="1">
      <alignment horizontal="center" vertical="center"/>
    </xf>
    <xf numFmtId="2" fontId="4" fillId="29" borderId="0" xfId="0" applyNumberFormat="1" applyFont="1" applyFill="1"/>
    <xf numFmtId="0" fontId="23" fillId="29" borderId="0" xfId="0" applyFont="1" applyFill="1"/>
    <xf numFmtId="2" fontId="23" fillId="29" borderId="0" xfId="0" applyNumberFormat="1" applyFont="1" applyFill="1"/>
    <xf numFmtId="2" fontId="28" fillId="29" borderId="0" xfId="0" applyNumberFormat="1" applyFont="1" applyFill="1"/>
    <xf numFmtId="0" fontId="4" fillId="0" borderId="0" xfId="84" applyFont="1" applyAlignment="1" applyProtection="1">
      <alignment horizontal="left" wrapText="1"/>
      <protection locked="0"/>
    </xf>
    <xf numFmtId="17" fontId="3" fillId="0" borderId="10" xfId="0" applyNumberFormat="1" applyFont="1" applyBorder="1" applyAlignment="1">
      <alignment horizontal="left" vertical="center" wrapText="1"/>
    </xf>
    <xf numFmtId="2" fontId="4" fillId="0" borderId="10" xfId="0" applyNumberFormat="1" applyFont="1" applyBorder="1" applyAlignment="1">
      <alignment horizontal="center" wrapText="1"/>
    </xf>
    <xf numFmtId="2" fontId="4" fillId="0" borderId="88" xfId="0" applyNumberFormat="1" applyFont="1" applyBorder="1" applyAlignment="1">
      <alignment vertical="center"/>
    </xf>
    <xf numFmtId="0" fontId="115" fillId="0" borderId="0" xfId="0" applyFont="1" applyAlignment="1">
      <alignment horizontal="center" vertical="center" wrapText="1"/>
    </xf>
    <xf numFmtId="0" fontId="118" fillId="0" borderId="0" xfId="0" applyFont="1" applyAlignment="1">
      <alignment horizontal="center" vertical="center" wrapText="1"/>
    </xf>
    <xf numFmtId="2" fontId="116" fillId="0" borderId="0" xfId="0" applyNumberFormat="1" applyFont="1" applyAlignment="1">
      <alignment horizontal="center" vertical="center" wrapText="1"/>
    </xf>
    <xf numFmtId="2" fontId="115" fillId="0" borderId="0" xfId="0" applyNumberFormat="1" applyFont="1" applyAlignment="1">
      <alignment horizontal="center" vertical="center" wrapText="1"/>
    </xf>
    <xf numFmtId="183" fontId="5" fillId="0" borderId="0" xfId="37" applyNumberFormat="1" applyFont="1" applyFill="1" applyBorder="1" applyAlignment="1">
      <alignment horizontal="center"/>
    </xf>
    <xf numFmtId="0" fontId="21" fillId="0" borderId="0" xfId="84" applyFont="1" applyAlignment="1" applyProtection="1">
      <alignment vertical="center" wrapText="1"/>
      <protection locked="0"/>
    </xf>
    <xf numFmtId="0" fontId="4" fillId="0" borderId="0" xfId="84" applyFont="1" applyAlignment="1" applyProtection="1">
      <alignment horizontal="center" vertical="center" wrapText="1"/>
      <protection locked="0"/>
    </xf>
    <xf numFmtId="2" fontId="4" fillId="0" borderId="0" xfId="84" applyNumberFormat="1" applyFont="1" applyAlignment="1" applyProtection="1">
      <alignment wrapText="1"/>
      <protection locked="0"/>
    </xf>
    <xf numFmtId="10" fontId="0" fillId="0" borderId="10" xfId="88" applyNumberFormat="1" applyFont="1" applyFill="1" applyBorder="1" applyAlignment="1">
      <alignment horizontal="center" vertical="center"/>
    </xf>
    <xf numFmtId="170" fontId="5" fillId="0" borderId="92" xfId="88" applyNumberFormat="1" applyFont="1" applyFill="1" applyBorder="1"/>
    <xf numFmtId="1" fontId="3" fillId="0" borderId="10" xfId="0" applyNumberFormat="1" applyFont="1" applyBorder="1" applyAlignment="1">
      <alignment horizontal="right" vertical="center"/>
    </xf>
    <xf numFmtId="1" fontId="4" fillId="0" borderId="10" xfId="0" applyNumberFormat="1" applyFont="1" applyBorder="1" applyAlignment="1">
      <alignment horizontal="right" vertical="center"/>
    </xf>
    <xf numFmtId="0" fontId="13" fillId="0" borderId="10" xfId="85" applyFont="1" applyFill="1" applyBorder="1" applyAlignment="1">
      <alignment horizontal="center"/>
    </xf>
    <xf numFmtId="0" fontId="9" fillId="0" borderId="10" xfId="85" applyFont="1" applyFill="1" applyBorder="1" applyAlignment="1">
      <alignment horizontal="center" vertical="center" wrapText="1"/>
    </xf>
    <xf numFmtId="0" fontId="0" fillId="0" borderId="10" xfId="0" applyBorder="1" applyAlignment="1">
      <alignment horizontal="center" vertical="center" wrapText="1"/>
    </xf>
    <xf numFmtId="0" fontId="5" fillId="0" borderId="10" xfId="0" applyFont="1" applyBorder="1" applyAlignment="1">
      <alignment horizontal="center"/>
    </xf>
    <xf numFmtId="0" fontId="13" fillId="0" borderId="41" xfId="85" applyFont="1" applyFill="1" applyBorder="1" applyAlignment="1">
      <alignment horizontal="center"/>
    </xf>
    <xf numFmtId="0" fontId="9" fillId="0" borderId="41" xfId="85" applyFont="1" applyFill="1" applyBorder="1" applyAlignment="1">
      <alignment horizontal="center" vertical="center" wrapText="1"/>
    </xf>
    <xf numFmtId="0" fontId="0" fillId="0" borderId="41" xfId="0" applyBorder="1" applyAlignment="1">
      <alignment horizontal="center" vertical="center" wrapText="1"/>
    </xf>
    <xf numFmtId="0" fontId="9" fillId="0" borderId="40" xfId="85" applyFont="1" applyFill="1" applyBorder="1" applyAlignment="1">
      <alignment horizontal="center" vertical="center" wrapText="1"/>
    </xf>
    <xf numFmtId="0" fontId="0" fillId="0" borderId="40" xfId="0" applyBorder="1" applyAlignment="1">
      <alignment horizontal="center" vertical="center" wrapText="1"/>
    </xf>
    <xf numFmtId="0" fontId="14" fillId="0" borderId="79" xfId="115" applyFont="1" applyFill="1" applyBorder="1" applyAlignment="1">
      <alignment horizontal="center" vertical="center" wrapText="1"/>
    </xf>
    <xf numFmtId="0" fontId="14" fillId="0" borderId="80" xfId="115" applyFont="1" applyFill="1" applyBorder="1" applyAlignment="1">
      <alignment horizontal="center" vertical="center" wrapText="1"/>
    </xf>
    <xf numFmtId="0" fontId="14" fillId="0" borderId="81" xfId="115" applyFont="1" applyFill="1" applyBorder="1" applyAlignment="1">
      <alignment horizontal="center" vertical="center" wrapText="1"/>
    </xf>
    <xf numFmtId="0" fontId="14" fillId="0" borderId="40" xfId="115" applyFont="1" applyFill="1" applyBorder="1" applyAlignment="1">
      <alignment horizontal="center" vertical="center"/>
    </xf>
    <xf numFmtId="0" fontId="14" fillId="0" borderId="10" xfId="115" applyFont="1" applyFill="1" applyBorder="1" applyAlignment="1">
      <alignment horizontal="center" vertical="center"/>
    </xf>
    <xf numFmtId="0" fontId="14" fillId="0" borderId="41" xfId="115" applyFont="1" applyFill="1" applyBorder="1" applyAlignment="1">
      <alignment horizontal="center" vertical="center"/>
    </xf>
    <xf numFmtId="0" fontId="5" fillId="0" borderId="79" xfId="115" applyFont="1" applyFill="1" applyBorder="1" applyAlignment="1">
      <alignment horizontal="center" vertical="center"/>
    </xf>
    <xf numFmtId="0" fontId="5" fillId="0" borderId="90" xfId="115" applyFont="1" applyFill="1" applyBorder="1" applyAlignment="1">
      <alignment horizontal="center" vertical="center"/>
    </xf>
    <xf numFmtId="0" fontId="14" fillId="0" borderId="91" xfId="115" applyFont="1" applyFill="1" applyBorder="1" applyAlignment="1">
      <alignment horizontal="center" vertical="center" wrapText="1"/>
    </xf>
    <xf numFmtId="0" fontId="14" fillId="0" borderId="139" xfId="115" applyFont="1" applyFill="1" applyBorder="1" applyAlignment="1">
      <alignment horizontal="center" vertical="center" wrapText="1"/>
    </xf>
    <xf numFmtId="0" fontId="14" fillId="0" borderId="140" xfId="115" applyFont="1" applyFill="1" applyBorder="1" applyAlignment="1">
      <alignment horizontal="center" vertical="center" wrapText="1"/>
    </xf>
    <xf numFmtId="0" fontId="17" fillId="0" borderId="79" xfId="115" applyFill="1" applyBorder="1" applyAlignment="1">
      <alignment horizontal="center" vertical="center"/>
    </xf>
    <xf numFmtId="0" fontId="17" fillId="0" borderId="90" xfId="115" applyFill="1" applyBorder="1" applyAlignment="1">
      <alignment horizontal="center" vertical="center"/>
    </xf>
    <xf numFmtId="0" fontId="14" fillId="0" borderId="100" xfId="115" applyFont="1" applyFill="1" applyBorder="1" applyAlignment="1">
      <alignment horizontal="center" vertical="center" wrapText="1"/>
    </xf>
    <xf numFmtId="0" fontId="14" fillId="0" borderId="101" xfId="115" applyFont="1" applyFill="1" applyBorder="1" applyAlignment="1">
      <alignment horizontal="center" vertical="center" wrapText="1"/>
    </xf>
    <xf numFmtId="0" fontId="14" fillId="0" borderId="102" xfId="115" applyFont="1" applyFill="1" applyBorder="1" applyAlignment="1">
      <alignment horizontal="center" vertical="center" wrapText="1"/>
    </xf>
    <xf numFmtId="0" fontId="14" fillId="0" borderId="124" xfId="115" applyFont="1" applyFill="1" applyBorder="1" applyAlignment="1">
      <alignment horizontal="center" vertical="center"/>
    </xf>
    <xf numFmtId="0" fontId="14" fillId="0" borderId="22" xfId="115" applyFont="1" applyFill="1" applyBorder="1" applyAlignment="1">
      <alignment horizontal="center" vertical="center"/>
    </xf>
    <xf numFmtId="0" fontId="14" fillId="0" borderId="75" xfId="115" applyFont="1" applyFill="1" applyBorder="1" applyAlignment="1">
      <alignment horizontal="center" vertical="center"/>
    </xf>
    <xf numFmtId="0" fontId="14" fillId="0" borderId="145" xfId="115" applyFont="1" applyFill="1" applyBorder="1" applyAlignment="1">
      <alignment horizontal="center" vertical="center"/>
    </xf>
    <xf numFmtId="0" fontId="14" fillId="0" borderId="6" xfId="115" applyFont="1" applyFill="1" applyBorder="1" applyAlignment="1">
      <alignment horizontal="center" vertical="center"/>
    </xf>
    <xf numFmtId="0" fontId="5" fillId="0" borderId="0" xfId="115" applyFont="1" applyFill="1" applyAlignment="1">
      <alignment horizontal="center"/>
    </xf>
    <xf numFmtId="0" fontId="14" fillId="0" borderId="142" xfId="115" applyFont="1" applyFill="1" applyBorder="1" applyAlignment="1">
      <alignment horizontal="center" vertical="center" wrapText="1"/>
    </xf>
    <xf numFmtId="0" fontId="14" fillId="0" borderId="0" xfId="115" applyFont="1" applyFill="1" applyAlignment="1">
      <alignment horizontal="center" vertical="center"/>
    </xf>
    <xf numFmtId="0" fontId="14" fillId="0" borderId="75" xfId="115" applyFont="1" applyFill="1" applyBorder="1" applyAlignment="1">
      <alignment horizontal="center" vertical="center" wrapText="1"/>
    </xf>
    <xf numFmtId="0" fontId="14" fillId="0" borderId="6" xfId="115" applyFont="1" applyFill="1" applyBorder="1" applyAlignment="1">
      <alignment horizontal="center" vertical="center" wrapText="1"/>
    </xf>
    <xf numFmtId="0" fontId="14" fillId="0" borderId="22" xfId="115" applyFont="1" applyFill="1" applyBorder="1" applyAlignment="1">
      <alignment horizontal="center" vertical="center" wrapText="1"/>
    </xf>
    <xf numFmtId="0" fontId="14" fillId="0" borderId="10" xfId="115" applyFont="1" applyFill="1" applyBorder="1" applyAlignment="1">
      <alignment horizontal="center" vertical="center" wrapText="1"/>
    </xf>
    <xf numFmtId="0" fontId="21" fillId="0" borderId="139" xfId="85" applyFont="1" applyFill="1" applyBorder="1" applyAlignment="1">
      <alignment horizontal="center" vertical="center" wrapText="1"/>
    </xf>
    <xf numFmtId="0" fontId="21" fillId="0" borderId="140" xfId="85" applyFont="1" applyFill="1" applyBorder="1" applyAlignment="1">
      <alignment horizontal="center" vertical="center" wrapText="1"/>
    </xf>
    <xf numFmtId="0" fontId="6" fillId="0" borderId="79" xfId="0" applyFont="1" applyBorder="1" applyAlignment="1">
      <alignment horizontal="center" vertical="center"/>
    </xf>
    <xf numFmtId="0" fontId="6" fillId="0" borderId="80" xfId="0" applyFont="1" applyBorder="1" applyAlignment="1">
      <alignment horizontal="center" vertical="center"/>
    </xf>
    <xf numFmtId="0" fontId="6" fillId="0" borderId="81" xfId="0" applyFont="1" applyBorder="1" applyAlignment="1">
      <alignment horizontal="center" vertical="center"/>
    </xf>
    <xf numFmtId="0" fontId="21" fillId="0" borderId="102" xfId="85" applyFont="1" applyFill="1" applyBorder="1" applyAlignment="1">
      <alignment horizontal="center" vertical="center" wrapText="1"/>
    </xf>
    <xf numFmtId="0" fontId="21" fillId="0" borderId="146" xfId="85" applyFont="1" applyFill="1" applyBorder="1" applyAlignment="1">
      <alignment horizontal="center" vertical="center" wrapText="1"/>
    </xf>
    <xf numFmtId="0" fontId="5" fillId="0" borderId="10" xfId="0" applyFont="1" applyBorder="1" applyAlignment="1">
      <alignment horizontal="center" vertical="center"/>
    </xf>
    <xf numFmtId="192" fontId="21" fillId="0" borderId="10" xfId="37" applyNumberFormat="1" applyFont="1" applyFill="1" applyBorder="1" applyAlignment="1">
      <alignment horizontal="center" vertical="center" wrapText="1"/>
    </xf>
    <xf numFmtId="192" fontId="21" fillId="0" borderId="75" xfId="37" applyNumberFormat="1" applyFont="1" applyFill="1" applyBorder="1" applyAlignment="1">
      <alignment horizontal="center" vertical="center" wrapText="1"/>
    </xf>
    <xf numFmtId="165" fontId="21" fillId="0" borderId="145" xfId="37" applyFont="1" applyFill="1" applyBorder="1" applyAlignment="1">
      <alignment horizontal="center" vertical="center" wrapText="1"/>
    </xf>
    <xf numFmtId="0" fontId="14" fillId="0" borderId="52" xfId="115" applyFont="1" applyFill="1" applyBorder="1" applyAlignment="1">
      <alignment horizontal="center"/>
    </xf>
    <xf numFmtId="0" fontId="5" fillId="0" borderId="52" xfId="115" applyFont="1" applyFill="1" applyBorder="1" applyAlignment="1">
      <alignment horizontal="center"/>
    </xf>
    <xf numFmtId="0" fontId="21" fillId="0" borderId="50" xfId="85" applyFont="1" applyFill="1" applyBorder="1" applyAlignment="1">
      <alignment horizontal="center" vertical="center" wrapText="1"/>
    </xf>
    <xf numFmtId="0" fontId="21" fillId="0" borderId="88" xfId="85" applyFont="1" applyFill="1" applyBorder="1" applyAlignment="1">
      <alignment horizontal="center" vertical="center" wrapText="1"/>
    </xf>
    <xf numFmtId="0" fontId="21" fillId="0" borderId="38" xfId="85" applyFont="1" applyFill="1" applyBorder="1" applyAlignment="1">
      <alignment horizontal="center" vertical="center" wrapText="1"/>
    </xf>
    <xf numFmtId="0" fontId="5" fillId="0" borderId="0" xfId="85" applyFont="1" applyFill="1" applyAlignment="1">
      <alignment horizontal="center"/>
    </xf>
    <xf numFmtId="0" fontId="21" fillId="0" borderId="75" xfId="0" applyFont="1" applyBorder="1" applyAlignment="1">
      <alignment horizontal="center" vertical="center" wrapText="1"/>
    </xf>
    <xf numFmtId="0" fontId="21" fillId="0" borderId="22" xfId="0" applyFont="1" applyBorder="1" applyAlignment="1">
      <alignment horizontal="center" vertical="center" wrapText="1"/>
    </xf>
    <xf numFmtId="0" fontId="36" fillId="0" borderId="34" xfId="85" applyFont="1" applyFill="1" applyBorder="1" applyAlignment="1">
      <alignment horizontal="center" vertical="center" wrapText="1" shrinkToFit="1"/>
    </xf>
    <xf numFmtId="0" fontId="21" fillId="0" borderId="35" xfId="0" applyFont="1" applyBorder="1" applyAlignment="1">
      <alignment horizontal="center" vertical="center" wrapText="1" shrinkToFit="1"/>
    </xf>
    <xf numFmtId="0" fontId="36" fillId="0" borderId="95" xfId="85" applyFont="1" applyFill="1" applyBorder="1" applyAlignment="1">
      <alignment horizontal="center" vertical="center" wrapText="1"/>
    </xf>
    <xf numFmtId="0" fontId="36" fillId="0" borderId="77" xfId="85" applyFont="1" applyFill="1" applyBorder="1" applyAlignment="1">
      <alignment horizontal="center" vertical="center" wrapText="1"/>
    </xf>
    <xf numFmtId="0" fontId="21" fillId="0" borderId="96" xfId="0" applyFont="1" applyBorder="1" applyAlignment="1">
      <alignment horizontal="center" vertical="center" wrapText="1" shrinkToFit="1"/>
    </xf>
    <xf numFmtId="0" fontId="21" fillId="0" borderId="97" xfId="0" applyFont="1" applyBorder="1" applyAlignment="1">
      <alignment horizontal="center" vertical="center" wrapText="1" shrinkToFit="1"/>
    </xf>
    <xf numFmtId="0" fontId="36" fillId="0" borderId="34" xfId="85" applyFont="1" applyFill="1" applyBorder="1" applyAlignment="1">
      <alignment horizontal="center"/>
    </xf>
    <xf numFmtId="0" fontId="36" fillId="0" borderId="35" xfId="85" applyFont="1" applyFill="1" applyBorder="1" applyAlignment="1">
      <alignment horizontal="center"/>
    </xf>
    <xf numFmtId="0" fontId="73" fillId="0" borderId="10" xfId="83" applyFont="1" applyBorder="1" applyAlignment="1">
      <alignment horizontal="center" vertical="top" wrapText="1"/>
    </xf>
    <xf numFmtId="0" fontId="106" fillId="0" borderId="75" xfId="83" applyFont="1" applyBorder="1" applyAlignment="1">
      <alignment horizontal="left" vertical="center" wrapText="1"/>
    </xf>
    <xf numFmtId="0" fontId="106" fillId="0" borderId="6" xfId="83" applyFont="1" applyBorder="1" applyAlignment="1">
      <alignment horizontal="left" vertical="center" wrapText="1"/>
    </xf>
    <xf numFmtId="0" fontId="106" fillId="0" borderId="22" xfId="83" applyFont="1" applyBorder="1" applyAlignment="1">
      <alignment horizontal="left" vertical="center" wrapText="1"/>
    </xf>
    <xf numFmtId="0" fontId="73" fillId="0" borderId="10" xfId="83" applyFont="1" applyBorder="1" applyAlignment="1">
      <alignment horizontal="center" vertical="center" wrapText="1"/>
    </xf>
    <xf numFmtId="0" fontId="86" fillId="0" borderId="10" xfId="83" applyFont="1" applyBorder="1" applyAlignment="1">
      <alignment horizontal="center" vertical="center" wrapText="1"/>
    </xf>
    <xf numFmtId="0" fontId="13" fillId="0" borderId="10" xfId="0" applyFont="1" applyBorder="1" applyAlignment="1">
      <alignment horizontal="center"/>
    </xf>
    <xf numFmtId="0" fontId="5" fillId="0" borderId="80" xfId="0" applyFont="1" applyBorder="1" applyAlignment="1">
      <alignment horizontal="center" vertical="center" wrapText="1"/>
    </xf>
    <xf numFmtId="0" fontId="5" fillId="0" borderId="81" xfId="0" applyFont="1" applyBorder="1" applyAlignment="1">
      <alignment horizontal="center" vertical="center" wrapText="1"/>
    </xf>
    <xf numFmtId="0" fontId="4" fillId="0" borderId="99" xfId="0" applyFont="1" applyBorder="1" applyAlignment="1">
      <alignment vertical="center" wrapText="1"/>
    </xf>
    <xf numFmtId="0" fontId="4" fillId="0" borderId="0" xfId="0" applyFont="1" applyAlignment="1">
      <alignment vertical="center" wrapText="1"/>
    </xf>
    <xf numFmtId="0" fontId="4" fillId="0" borderId="100" xfId="0" applyFont="1" applyBorder="1" applyAlignment="1">
      <alignment horizontal="center"/>
    </xf>
    <xf numFmtId="0" fontId="4" fillId="0" borderId="101" xfId="0" applyFont="1" applyBorder="1" applyAlignment="1">
      <alignment horizontal="center"/>
    </xf>
    <xf numFmtId="0" fontId="4" fillId="0" borderId="102" xfId="0" applyFont="1" applyBorder="1" applyAlignment="1">
      <alignment horizontal="center"/>
    </xf>
    <xf numFmtId="0" fontId="4" fillId="0" borderId="0" xfId="84" applyFont="1" applyAlignment="1" applyProtection="1">
      <alignment horizontal="center"/>
      <protection locked="0"/>
    </xf>
    <xf numFmtId="0" fontId="21" fillId="0" borderId="75" xfId="84" applyFont="1" applyBorder="1" applyAlignment="1" applyProtection="1">
      <alignment horizontal="center" vertical="center" wrapText="1"/>
      <protection locked="0"/>
    </xf>
    <xf numFmtId="0" fontId="21" fillId="0" borderId="6" xfId="84" applyFont="1" applyBorder="1" applyAlignment="1" applyProtection="1">
      <alignment horizontal="center" vertical="center" wrapText="1"/>
      <protection locked="0"/>
    </xf>
    <xf numFmtId="0" fontId="21" fillId="0" borderId="22" xfId="84" applyFont="1" applyBorder="1" applyAlignment="1" applyProtection="1">
      <alignment horizontal="center" vertical="center" wrapText="1"/>
      <protection locked="0"/>
    </xf>
    <xf numFmtId="183" fontId="5" fillId="0" borderId="52" xfId="37" applyNumberFormat="1" applyFont="1" applyFill="1" applyBorder="1" applyAlignment="1">
      <alignment horizontal="center"/>
    </xf>
    <xf numFmtId="0" fontId="4" fillId="0" borderId="0" xfId="84" applyFont="1" applyAlignment="1" applyProtection="1">
      <alignment horizontal="left" wrapText="1"/>
      <protection locked="0"/>
    </xf>
    <xf numFmtId="0" fontId="21" fillId="0" borderId="103" xfId="0" applyFont="1" applyBorder="1" applyAlignment="1">
      <alignment horizontal="center" vertical="center" wrapText="1"/>
    </xf>
    <xf numFmtId="0" fontId="21" fillId="0" borderId="104" xfId="0" applyFont="1" applyBorder="1" applyAlignment="1">
      <alignment horizontal="center" vertical="center" wrapText="1"/>
    </xf>
    <xf numFmtId="0" fontId="21" fillId="0" borderId="105" xfId="0" applyFont="1" applyBorder="1" applyAlignment="1">
      <alignment horizontal="center" vertical="center" wrapText="1"/>
    </xf>
    <xf numFmtId="0" fontId="21" fillId="0" borderId="106" xfId="0" applyFont="1" applyBorder="1" applyAlignment="1">
      <alignment horizontal="center" vertical="center" wrapText="1"/>
    </xf>
    <xf numFmtId="0" fontId="21" fillId="0" borderId="107" xfId="0" applyFont="1" applyBorder="1" applyAlignment="1">
      <alignment horizontal="center" vertical="center" wrapText="1"/>
    </xf>
    <xf numFmtId="0" fontId="21" fillId="0" borderId="108" xfId="0" applyFont="1" applyBorder="1" applyAlignment="1">
      <alignment horizontal="center" vertical="center" wrapText="1"/>
    </xf>
    <xf numFmtId="0" fontId="13" fillId="0" borderId="57" xfId="0" applyFont="1" applyBorder="1" applyAlignment="1">
      <alignment horizontal="center"/>
    </xf>
    <xf numFmtId="0" fontId="13" fillId="0" borderId="5" xfId="0" applyFont="1" applyBorder="1" applyAlignment="1">
      <alignment horizontal="center"/>
    </xf>
    <xf numFmtId="0" fontId="13" fillId="0" borderId="98" xfId="0" applyFont="1" applyBorder="1" applyAlignment="1">
      <alignment horizontal="center"/>
    </xf>
    <xf numFmtId="0" fontId="21" fillId="0" borderId="109" xfId="0" applyFont="1" applyBorder="1" applyAlignment="1">
      <alignment horizontal="center" vertical="center" wrapText="1"/>
    </xf>
    <xf numFmtId="0" fontId="21" fillId="0" borderId="18" xfId="0" applyFont="1" applyBorder="1" applyAlignment="1">
      <alignment horizontal="center" vertical="center" wrapText="1"/>
    </xf>
    <xf numFmtId="0" fontId="21" fillId="0" borderId="110" xfId="0" applyFont="1" applyBorder="1" applyAlignment="1">
      <alignment horizontal="center" vertical="center" wrapText="1"/>
    </xf>
    <xf numFmtId="0" fontId="13" fillId="0" borderId="0" xfId="0" applyFont="1" applyAlignment="1">
      <alignment horizontal="center" vertical="center" wrapText="1"/>
    </xf>
    <xf numFmtId="0" fontId="4" fillId="0" borderId="82" xfId="0" applyFont="1" applyBorder="1" applyAlignment="1">
      <alignment horizontal="center" vertical="center" wrapText="1"/>
    </xf>
    <xf numFmtId="0" fontId="4" fillId="0" borderId="111" xfId="0" applyFont="1" applyBorder="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center"/>
    </xf>
    <xf numFmtId="0" fontId="92" fillId="0" borderId="123" xfId="0" applyFont="1" applyBorder="1" applyAlignment="1">
      <alignment horizontal="center" vertical="center" wrapText="1"/>
    </xf>
    <xf numFmtId="0" fontId="92" fillId="0" borderId="148" xfId="0" applyFont="1" applyBorder="1" applyAlignment="1">
      <alignment horizontal="center" vertical="center" wrapText="1"/>
    </xf>
    <xf numFmtId="0" fontId="92" fillId="0" borderId="134" xfId="0" applyFont="1" applyBorder="1" applyAlignment="1">
      <alignment horizontal="center" vertical="center" wrapText="1"/>
    </xf>
    <xf numFmtId="0" fontId="4" fillId="0" borderId="150" xfId="0" applyFont="1" applyBorder="1" applyAlignment="1">
      <alignment horizontal="center" vertical="center" wrapText="1"/>
    </xf>
    <xf numFmtId="0" fontId="4" fillId="0" borderId="84" xfId="0" applyFont="1" applyBorder="1" applyAlignment="1">
      <alignment horizontal="center" vertical="center" wrapText="1"/>
    </xf>
    <xf numFmtId="0" fontId="4" fillId="0" borderId="147" xfId="0" applyFont="1" applyBorder="1" applyAlignment="1">
      <alignment horizontal="center" vertical="center" wrapText="1"/>
    </xf>
    <xf numFmtId="0" fontId="4" fillId="0" borderId="0" xfId="0" applyFont="1" applyAlignment="1">
      <alignment horizontal="center" wrapText="1"/>
    </xf>
    <xf numFmtId="2" fontId="0" fillId="0" borderId="129" xfId="0" applyNumberFormat="1" applyBorder="1" applyAlignment="1">
      <alignment horizontal="right" vertical="center"/>
    </xf>
    <xf numFmtId="2" fontId="0" fillId="0" borderId="41" xfId="0" applyNumberFormat="1" applyBorder="1" applyAlignment="1">
      <alignment horizontal="right" vertical="center"/>
    </xf>
    <xf numFmtId="2" fontId="0" fillId="0" borderId="38" xfId="0" applyNumberFormat="1" applyBorder="1" applyAlignment="1">
      <alignment horizontal="right" vertical="center"/>
    </xf>
    <xf numFmtId="2" fontId="0" fillId="0" borderId="10" xfId="0" applyNumberFormat="1" applyBorder="1" applyAlignment="1">
      <alignment horizontal="right" vertical="center"/>
    </xf>
    <xf numFmtId="2" fontId="0" fillId="0" borderId="128" xfId="0" applyNumberFormat="1" applyBorder="1" applyAlignment="1">
      <alignment horizontal="right" vertical="center"/>
    </xf>
    <xf numFmtId="2" fontId="0" fillId="0" borderId="40" xfId="0" applyNumberFormat="1" applyBorder="1" applyAlignment="1">
      <alignment horizontal="right" vertical="center"/>
    </xf>
    <xf numFmtId="0" fontId="4" fillId="0" borderId="40" xfId="0" applyFont="1" applyBorder="1" applyAlignment="1">
      <alignment horizontal="center" vertical="center"/>
    </xf>
    <xf numFmtId="0" fontId="4" fillId="0" borderId="10" xfId="0" applyFont="1" applyBorder="1" applyAlignment="1">
      <alignment horizontal="center" vertical="center"/>
    </xf>
    <xf numFmtId="49" fontId="4" fillId="0" borderId="79" xfId="0" applyNumberFormat="1" applyFont="1" applyBorder="1" applyAlignment="1">
      <alignment horizontal="center" vertical="center"/>
    </xf>
    <xf numFmtId="49" fontId="4" fillId="0" borderId="80" xfId="0" applyNumberFormat="1" applyFont="1" applyBorder="1" applyAlignment="1">
      <alignment horizontal="center" vertical="center"/>
    </xf>
    <xf numFmtId="49" fontId="4" fillId="0" borderId="81" xfId="0" applyNumberFormat="1" applyFont="1" applyBorder="1" applyAlignment="1">
      <alignment horizontal="center" vertical="center"/>
    </xf>
    <xf numFmtId="49" fontId="4" fillId="0" borderId="80" xfId="0" applyNumberFormat="1" applyFont="1" applyBorder="1" applyAlignment="1">
      <alignment horizontal="center"/>
    </xf>
    <xf numFmtId="49" fontId="4" fillId="0" borderId="81" xfId="0" applyNumberFormat="1" applyFont="1" applyBorder="1" applyAlignment="1">
      <alignment horizontal="center"/>
    </xf>
    <xf numFmtId="49" fontId="4" fillId="0" borderId="79" xfId="0" applyNumberFormat="1" applyFont="1" applyBorder="1" applyAlignment="1">
      <alignment horizontal="center"/>
    </xf>
    <xf numFmtId="0" fontId="4" fillId="0" borderId="41" xfId="0" applyFont="1" applyBorder="1" applyAlignment="1">
      <alignment horizontal="center" vertical="center"/>
    </xf>
    <xf numFmtId="0" fontId="4" fillId="0" borderId="92" xfId="0" applyFont="1" applyBorder="1" applyAlignment="1">
      <alignment horizontal="center" vertical="center"/>
    </xf>
    <xf numFmtId="49" fontId="4" fillId="0" borderId="10" xfId="0" applyNumberFormat="1" applyFont="1" applyBorder="1" applyAlignment="1">
      <alignment horizontal="center" vertical="center" wrapText="1"/>
    </xf>
    <xf numFmtId="49" fontId="4" fillId="0" borderId="91" xfId="0" applyNumberFormat="1" applyFont="1" applyBorder="1" applyAlignment="1">
      <alignment horizontal="center" vertical="center" wrapText="1"/>
    </xf>
    <xf numFmtId="49" fontId="4" fillId="0" borderId="41" xfId="0" applyNumberFormat="1" applyFont="1" applyBorder="1" applyAlignment="1">
      <alignment horizontal="center" vertical="center" wrapText="1"/>
    </xf>
    <xf numFmtId="49" fontId="4" fillId="0" borderId="92" xfId="0" applyNumberFormat="1" applyFont="1" applyBorder="1" applyAlignment="1">
      <alignment horizontal="center" vertical="center" wrapText="1"/>
    </xf>
    <xf numFmtId="2" fontId="4" fillId="0" borderId="129" xfId="0" applyNumberFormat="1" applyFont="1" applyBorder="1" applyAlignment="1">
      <alignment horizontal="right" vertical="center"/>
    </xf>
    <xf numFmtId="2" fontId="4" fillId="0" borderId="41" xfId="0" applyNumberFormat="1" applyFont="1" applyBorder="1" applyAlignment="1">
      <alignment horizontal="right" vertical="center"/>
    </xf>
    <xf numFmtId="4" fontId="0" fillId="0" borderId="38" xfId="0" applyNumberFormat="1" applyBorder="1" applyAlignment="1">
      <alignment horizontal="right" vertical="center"/>
    </xf>
    <xf numFmtId="4" fontId="0" fillId="0" borderId="10" xfId="0" applyNumberFormat="1" applyBorder="1" applyAlignment="1">
      <alignment horizontal="right" vertical="center"/>
    </xf>
    <xf numFmtId="0" fontId="4" fillId="0" borderId="52" xfId="0" applyFont="1" applyBorder="1" applyAlignment="1">
      <alignment horizontal="center"/>
    </xf>
    <xf numFmtId="0" fontId="21" fillId="0" borderId="0" xfId="0" applyFont="1" applyAlignment="1">
      <alignment horizontal="center" vertical="center" wrapText="1"/>
    </xf>
    <xf numFmtId="4" fontId="0" fillId="0" borderId="128" xfId="0" applyNumberFormat="1" applyBorder="1" applyAlignment="1">
      <alignment horizontal="right" vertical="center"/>
    </xf>
    <xf numFmtId="4" fontId="0" fillId="0" borderId="40" xfId="0" applyNumberFormat="1" applyBorder="1" applyAlignment="1">
      <alignment horizontal="right" vertical="center"/>
    </xf>
    <xf numFmtId="0" fontId="4" fillId="0" borderId="50" xfId="0" applyFont="1" applyBorder="1" applyAlignment="1">
      <alignment horizontal="left" vertical="center"/>
    </xf>
    <xf numFmtId="0" fontId="4" fillId="0" borderId="38" xfId="0" applyFont="1" applyBorder="1" applyAlignment="1">
      <alignment horizontal="left" vertical="center"/>
    </xf>
    <xf numFmtId="0" fontId="0" fillId="0" borderId="0" xfId="0" applyAlignment="1">
      <alignment horizontal="center"/>
    </xf>
    <xf numFmtId="0" fontId="3" fillId="0" borderId="0" xfId="0" applyFont="1" applyAlignment="1">
      <alignment horizontal="center"/>
    </xf>
    <xf numFmtId="0" fontId="4" fillId="0" borderId="47" xfId="0" applyFont="1" applyBorder="1" applyAlignment="1">
      <alignment horizontal="center"/>
    </xf>
    <xf numFmtId="2" fontId="0" fillId="0" borderId="0" xfId="0" applyNumberFormat="1" applyAlignment="1">
      <alignment horizontal="right"/>
    </xf>
    <xf numFmtId="0" fontId="3" fillId="0" borderId="0" xfId="0" applyFont="1" applyAlignment="1">
      <alignment horizontal="left" vertical="top" wrapText="1"/>
    </xf>
    <xf numFmtId="0" fontId="0" fillId="0" borderId="0" xfId="0" applyAlignment="1">
      <alignment horizontal="left" vertical="top" wrapText="1"/>
    </xf>
    <xf numFmtId="2" fontId="0" fillId="0" borderId="0" xfId="0" applyNumberFormat="1" applyAlignment="1">
      <alignment horizontal="center"/>
    </xf>
    <xf numFmtId="0" fontId="130" fillId="0" borderId="10" xfId="0" applyFont="1" applyBorder="1" applyAlignment="1">
      <alignment horizontal="center" vertical="center"/>
    </xf>
    <xf numFmtId="0" fontId="94" fillId="0" borderId="10" xfId="0" applyFont="1" applyBorder="1" applyAlignment="1">
      <alignment horizontal="center" vertical="center"/>
    </xf>
    <xf numFmtId="0" fontId="94" fillId="0" borderId="52" xfId="0" applyFont="1" applyBorder="1" applyAlignment="1">
      <alignment horizontal="center"/>
    </xf>
    <xf numFmtId="0" fontId="94" fillId="0" borderId="10" xfId="0" applyFont="1" applyBorder="1" applyAlignment="1">
      <alignment horizontal="center"/>
    </xf>
    <xf numFmtId="0" fontId="0" fillId="0" borderId="10" xfId="0" applyBorder="1" applyAlignment="1">
      <alignment horizontal="center"/>
    </xf>
    <xf numFmtId="0" fontId="4" fillId="0" borderId="10" xfId="0" applyFont="1" applyBorder="1" applyAlignment="1">
      <alignment vertical="center" wrapText="1"/>
    </xf>
    <xf numFmtId="0" fontId="4" fillId="0" borderId="10" xfId="0" applyFont="1" applyBorder="1" applyAlignment="1">
      <alignment horizontal="center" wrapText="1"/>
    </xf>
    <xf numFmtId="0" fontId="4" fillId="0" borderId="75" xfId="0" applyFont="1" applyBorder="1" applyAlignment="1">
      <alignment horizontal="center"/>
    </xf>
    <xf numFmtId="0" fontId="4" fillId="0" borderId="22" xfId="0" applyFont="1" applyBorder="1" applyAlignment="1">
      <alignment horizontal="center"/>
    </xf>
    <xf numFmtId="0" fontId="24" fillId="0" borderId="113" xfId="0" applyFont="1" applyBorder="1" applyAlignment="1">
      <alignment horizontal="center" vertical="center" textRotation="19" wrapText="1"/>
    </xf>
    <xf numFmtId="0" fontId="24" fillId="0" borderId="99" xfId="0" applyFont="1" applyBorder="1" applyAlignment="1">
      <alignment horizontal="center" vertical="center" textRotation="19" wrapText="1"/>
    </xf>
    <xf numFmtId="0" fontId="24" fillId="0" borderId="114" xfId="0" applyFont="1" applyBorder="1" applyAlignment="1">
      <alignment horizontal="center" vertical="center" textRotation="19" wrapText="1"/>
    </xf>
    <xf numFmtId="0" fontId="24" fillId="0" borderId="84" xfId="0" applyFont="1" applyBorder="1" applyAlignment="1">
      <alignment horizontal="center" vertical="center" textRotation="19" wrapText="1"/>
    </xf>
    <xf numFmtId="0" fontId="24" fillId="0" borderId="0" xfId="0" applyFont="1" applyAlignment="1">
      <alignment horizontal="center" vertical="center" textRotation="19" wrapText="1"/>
    </xf>
    <xf numFmtId="0" fontId="24" fillId="0" borderId="74" xfId="0" applyFont="1" applyBorder="1" applyAlignment="1">
      <alignment horizontal="center" vertical="center" textRotation="19" wrapText="1"/>
    </xf>
    <xf numFmtId="0" fontId="24" fillId="0" borderId="94" xfId="0" applyFont="1" applyBorder="1" applyAlignment="1">
      <alignment horizontal="center" vertical="center" textRotation="19" wrapText="1"/>
    </xf>
    <xf numFmtId="0" fontId="24" fillId="0" borderId="52" xfId="0" applyFont="1" applyBorder="1" applyAlignment="1">
      <alignment horizontal="center" vertical="center" textRotation="19" wrapText="1"/>
    </xf>
    <xf numFmtId="0" fontId="24" fillId="0" borderId="89" xfId="0" applyFont="1" applyBorder="1" applyAlignment="1">
      <alignment horizontal="center" vertical="center" textRotation="19" wrapText="1"/>
    </xf>
    <xf numFmtId="0" fontId="4" fillId="0" borderId="78"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15" xfId="0" applyFont="1" applyBorder="1" applyAlignment="1">
      <alignment horizontal="center" vertical="center" wrapText="1"/>
    </xf>
    <xf numFmtId="0" fontId="21" fillId="0" borderId="50" xfId="0" applyFont="1" applyBorder="1" applyAlignment="1">
      <alignment horizontal="center" vertical="center" wrapText="1"/>
    </xf>
    <xf numFmtId="0" fontId="21" fillId="0" borderId="38" xfId="0" applyFont="1" applyBorder="1" applyAlignment="1">
      <alignment horizontal="center" vertical="center" wrapText="1"/>
    </xf>
    <xf numFmtId="0" fontId="82" fillId="0" borderId="10" xfId="78" applyFont="1" applyBorder="1" applyAlignment="1">
      <alignment horizontal="center" vertical="center" wrapText="1"/>
    </xf>
    <xf numFmtId="0" fontId="32" fillId="0" borderId="10" xfId="78" applyFont="1" applyBorder="1" applyAlignment="1">
      <alignment horizontal="center"/>
    </xf>
    <xf numFmtId="2" fontId="32" fillId="0" borderId="75" xfId="78" applyNumberFormat="1" applyFont="1" applyBorder="1" applyAlignment="1">
      <alignment horizontal="center"/>
    </xf>
    <xf numFmtId="2" fontId="32" fillId="0" borderId="22" xfId="78" applyNumberFormat="1" applyFont="1" applyBorder="1" applyAlignment="1">
      <alignment horizontal="center"/>
    </xf>
    <xf numFmtId="2" fontId="3" fillId="0" borderId="50" xfId="0" applyNumberFormat="1" applyFont="1" applyBorder="1" applyAlignment="1">
      <alignment horizontal="right"/>
    </xf>
    <xf numFmtId="2" fontId="3" fillId="0" borderId="88" xfId="0" applyNumberFormat="1" applyFont="1" applyBorder="1" applyAlignment="1">
      <alignment horizontal="right"/>
    </xf>
    <xf numFmtId="2" fontId="3" fillId="0" borderId="38" xfId="0" applyNumberFormat="1" applyFont="1" applyBorder="1" applyAlignment="1">
      <alignment horizontal="right"/>
    </xf>
    <xf numFmtId="2" fontId="3" fillId="0" borderId="50" xfId="0" applyNumberFormat="1" applyFont="1" applyBorder="1" applyAlignment="1">
      <alignment horizontal="right" vertical="center"/>
    </xf>
    <xf numFmtId="2" fontId="3" fillId="0" borderId="38" xfId="0" applyNumberFormat="1" applyFont="1" applyBorder="1" applyAlignment="1">
      <alignment horizontal="right" vertical="center"/>
    </xf>
    <xf numFmtId="2" fontId="3" fillId="0" borderId="50" xfId="0" applyNumberFormat="1" applyFont="1" applyBorder="1" applyAlignment="1">
      <alignment horizontal="center"/>
    </xf>
    <xf numFmtId="2" fontId="3" fillId="0" borderId="88" xfId="0" applyNumberFormat="1" applyFont="1" applyBorder="1" applyAlignment="1">
      <alignment horizontal="center"/>
    </xf>
    <xf numFmtId="2" fontId="3" fillId="0" borderId="38" xfId="0" applyNumberFormat="1" applyFont="1" applyBorder="1" applyAlignment="1">
      <alignment horizontal="center"/>
    </xf>
    <xf numFmtId="0" fontId="82" fillId="0" borderId="75" xfId="77" applyFont="1" applyBorder="1" applyAlignment="1">
      <alignment horizontal="center" vertical="center" wrapText="1"/>
    </xf>
    <xf numFmtId="0" fontId="82" fillId="0" borderId="6" xfId="77" applyFont="1" applyBorder="1" applyAlignment="1">
      <alignment horizontal="center" vertical="center" wrapText="1"/>
    </xf>
    <xf numFmtId="0" fontId="82" fillId="0" borderId="22" xfId="77" applyFont="1" applyBorder="1" applyAlignment="1">
      <alignment horizontal="center" vertical="center" wrapText="1"/>
    </xf>
    <xf numFmtId="2" fontId="48" fillId="0" borderId="113" xfId="77" applyNumberFormat="1" applyFont="1" applyBorder="1" applyAlignment="1">
      <alignment horizontal="center" vertical="center" wrapText="1"/>
    </xf>
    <xf numFmtId="2" fontId="48" fillId="0" borderId="99" xfId="77" applyNumberFormat="1" applyFont="1" applyBorder="1" applyAlignment="1">
      <alignment horizontal="center" vertical="center" wrapText="1"/>
    </xf>
    <xf numFmtId="2" fontId="48" fillId="0" borderId="114" xfId="77" applyNumberFormat="1" applyFont="1" applyBorder="1" applyAlignment="1">
      <alignment horizontal="center" vertical="center" wrapText="1"/>
    </xf>
    <xf numFmtId="2" fontId="48" fillId="0" borderId="84" xfId="77" applyNumberFormat="1" applyFont="1" applyBorder="1" applyAlignment="1">
      <alignment horizontal="center" vertical="center" wrapText="1"/>
    </xf>
    <xf numFmtId="2" fontId="48" fillId="0" borderId="0" xfId="77" applyNumberFormat="1" applyFont="1" applyAlignment="1">
      <alignment horizontal="center" vertical="center" wrapText="1"/>
    </xf>
    <xf numFmtId="2" fontId="48" fillId="0" borderId="74" xfId="77" applyNumberFormat="1" applyFont="1" applyBorder="1" applyAlignment="1">
      <alignment horizontal="center" vertical="center" wrapText="1"/>
    </xf>
    <xf numFmtId="2" fontId="48" fillId="0" borderId="94" xfId="77" applyNumberFormat="1" applyFont="1" applyBorder="1" applyAlignment="1">
      <alignment horizontal="center" vertical="center" wrapText="1"/>
    </xf>
    <xf numFmtId="2" fontId="48" fillId="0" borderId="52" xfId="77" applyNumberFormat="1" applyFont="1" applyBorder="1" applyAlignment="1">
      <alignment horizontal="center" vertical="center" wrapText="1"/>
    </xf>
    <xf numFmtId="2" fontId="48" fillId="0" borderId="89" xfId="77" applyNumberFormat="1" applyFont="1" applyBorder="1" applyAlignment="1">
      <alignment horizontal="center" vertical="center" wrapText="1"/>
    </xf>
    <xf numFmtId="0" fontId="4" fillId="0" borderId="75" xfId="112" applyFont="1" applyBorder="1" applyAlignment="1">
      <alignment horizontal="center"/>
    </xf>
    <xf numFmtId="0" fontId="4" fillId="0" borderId="6" xfId="112" applyFont="1" applyBorder="1" applyAlignment="1">
      <alignment horizontal="center"/>
    </xf>
    <xf numFmtId="0" fontId="4" fillId="0" borderId="22" xfId="112" applyFont="1" applyBorder="1" applyAlignment="1">
      <alignment horizontal="center"/>
    </xf>
    <xf numFmtId="0" fontId="5" fillId="0" borderId="75" xfId="112" applyFont="1" applyBorder="1" applyAlignment="1">
      <alignment horizontal="center"/>
    </xf>
    <xf numFmtId="0" fontId="5" fillId="0" borderId="6" xfId="112" applyFont="1" applyBorder="1" applyAlignment="1">
      <alignment horizontal="center"/>
    </xf>
    <xf numFmtId="0" fontId="5" fillId="0" borderId="22" xfId="112" applyFont="1" applyBorder="1" applyAlignment="1">
      <alignment horizontal="center"/>
    </xf>
    <xf numFmtId="0" fontId="9" fillId="0" borderId="10" xfId="0" applyFont="1" applyBorder="1" applyAlignment="1">
      <alignment horizontal="center" vertical="center" wrapText="1"/>
    </xf>
    <xf numFmtId="0" fontId="5" fillId="0" borderId="10" xfId="0" applyFont="1" applyBorder="1" applyAlignment="1">
      <alignment horizontal="center" vertical="center" wrapText="1"/>
    </xf>
    <xf numFmtId="17" fontId="4"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xf>
    <xf numFmtId="0" fontId="92" fillId="0" borderId="10" xfId="0" applyFont="1" applyBorder="1" applyAlignment="1">
      <alignment horizontal="center" vertical="center" wrapText="1"/>
    </xf>
    <xf numFmtId="49" fontId="4" fillId="0" borderId="10" xfId="0" applyNumberFormat="1" applyFont="1" applyBorder="1" applyAlignment="1">
      <alignment horizontal="center" vertical="center"/>
    </xf>
    <xf numFmtId="49" fontId="4" fillId="0" borderId="10" xfId="0" applyNumberFormat="1" applyFont="1" applyBorder="1" applyAlignment="1">
      <alignment horizontal="center"/>
    </xf>
    <xf numFmtId="2" fontId="0" fillId="0" borderId="75" xfId="0" applyNumberFormat="1" applyBorder="1" applyAlignment="1">
      <alignment horizontal="center" vertical="center"/>
    </xf>
    <xf numFmtId="2" fontId="0" fillId="0" borderId="22" xfId="0" applyNumberFormat="1" applyBorder="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left"/>
    </xf>
    <xf numFmtId="0" fontId="4" fillId="0" borderId="10" xfId="0" applyFont="1" applyBorder="1" applyAlignment="1">
      <alignment horizontal="left" vertical="center"/>
    </xf>
    <xf numFmtId="0" fontId="4" fillId="0" borderId="80" xfId="0" applyFont="1" applyBorder="1" applyAlignment="1">
      <alignment horizontal="center"/>
    </xf>
    <xf numFmtId="0" fontId="38" fillId="0" borderId="0" xfId="0" applyFont="1" applyAlignment="1">
      <alignment vertical="top"/>
    </xf>
    <xf numFmtId="0" fontId="51" fillId="0" borderId="0" xfId="0" applyFont="1" applyAlignment="1">
      <alignment vertical="top" wrapText="1"/>
    </xf>
    <xf numFmtId="0" fontId="4" fillId="0" borderId="10" xfId="0" applyFont="1" applyBorder="1" applyAlignment="1">
      <alignment horizontal="center"/>
    </xf>
    <xf numFmtId="0" fontId="38" fillId="27" borderId="117" xfId="0" applyFont="1" applyFill="1" applyBorder="1" applyAlignment="1">
      <alignment vertical="top"/>
    </xf>
    <xf numFmtId="0" fontId="38" fillId="27" borderId="87" xfId="0" applyFont="1" applyFill="1" applyBorder="1" applyAlignment="1">
      <alignment vertical="top"/>
    </xf>
    <xf numFmtId="0" fontId="51" fillId="27" borderId="117" xfId="0" applyFont="1" applyFill="1" applyBorder="1" applyAlignment="1">
      <alignment vertical="top" wrapText="1"/>
    </xf>
    <xf numFmtId="0" fontId="51" fillId="27" borderId="87" xfId="0" applyFont="1" applyFill="1" applyBorder="1" applyAlignment="1">
      <alignment vertical="top" wrapText="1"/>
    </xf>
    <xf numFmtId="0" fontId="6" fillId="0" borderId="43" xfId="0" applyFont="1" applyBorder="1" applyAlignment="1">
      <alignment horizontal="center"/>
    </xf>
    <xf numFmtId="0" fontId="6" fillId="0" borderId="49" xfId="0" applyFont="1" applyBorder="1" applyAlignment="1">
      <alignment horizontal="center"/>
    </xf>
    <xf numFmtId="0" fontId="6" fillId="0" borderId="44" xfId="0" applyFont="1" applyBorder="1" applyAlignment="1">
      <alignment horizontal="center"/>
    </xf>
    <xf numFmtId="0" fontId="119" fillId="0" borderId="57" xfId="0" applyFont="1" applyBorder="1" applyAlignment="1">
      <alignment wrapText="1"/>
    </xf>
    <xf numFmtId="0" fontId="119" fillId="0" borderId="5" xfId="0" applyFont="1" applyBorder="1" applyAlignment="1">
      <alignment wrapText="1"/>
    </xf>
    <xf numFmtId="0" fontId="119" fillId="0" borderId="133" xfId="0" applyFont="1" applyBorder="1" applyAlignment="1">
      <alignment wrapText="1"/>
    </xf>
    <xf numFmtId="0" fontId="120" fillId="0" borderId="57" xfId="0" applyFont="1" applyBorder="1" applyAlignment="1">
      <alignment wrapText="1"/>
    </xf>
    <xf numFmtId="0" fontId="120" fillId="0" borderId="5" xfId="0" applyFont="1" applyBorder="1" applyAlignment="1">
      <alignment wrapText="1"/>
    </xf>
    <xf numFmtId="0" fontId="120" fillId="0" borderId="133" xfId="0" applyFont="1" applyBorder="1" applyAlignment="1">
      <alignment wrapText="1"/>
    </xf>
    <xf numFmtId="183" fontId="5" fillId="0" borderId="0" xfId="37" applyNumberFormat="1" applyFont="1" applyAlignment="1">
      <alignment horizontal="center"/>
    </xf>
    <xf numFmtId="0" fontId="4" fillId="0" borderId="79" xfId="0" applyFont="1" applyBorder="1" applyAlignment="1">
      <alignment horizontal="center"/>
    </xf>
    <xf numFmtId="0" fontId="4" fillId="0" borderId="81" xfId="0" applyFont="1" applyBorder="1" applyAlignment="1">
      <alignment horizontal="center"/>
    </xf>
    <xf numFmtId="201" fontId="0" fillId="44" borderId="100" xfId="0" applyNumberFormat="1" applyFill="1" applyBorder="1" applyAlignment="1">
      <alignment horizontal="center"/>
    </xf>
    <xf numFmtId="201" fontId="0" fillId="44" borderId="101" xfId="0" applyNumberFormat="1" applyFill="1" applyBorder="1" applyAlignment="1">
      <alignment horizontal="center"/>
    </xf>
    <xf numFmtId="201" fontId="0" fillId="44" borderId="102" xfId="0" applyNumberFormat="1" applyFill="1" applyBorder="1" applyAlignment="1">
      <alignment horizontal="center"/>
    </xf>
    <xf numFmtId="0" fontId="0" fillId="0" borderId="52" xfId="0" applyBorder="1" applyAlignment="1">
      <alignment horizontal="center" wrapText="1"/>
    </xf>
    <xf numFmtId="49" fontId="4" fillId="0" borderId="57" xfId="0" applyNumberFormat="1" applyFont="1" applyBorder="1" applyAlignment="1">
      <alignment horizontal="center"/>
    </xf>
    <xf numFmtId="49" fontId="4" fillId="0" borderId="5" xfId="0" applyNumberFormat="1" applyFont="1" applyBorder="1" applyAlignment="1">
      <alignment horizontal="center"/>
    </xf>
    <xf numFmtId="49" fontId="4" fillId="0" borderId="98" xfId="0" applyNumberFormat="1" applyFont="1" applyBorder="1" applyAlignment="1">
      <alignment horizontal="center"/>
    </xf>
    <xf numFmtId="0" fontId="4" fillId="0" borderId="43"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116"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73" xfId="0" applyFont="1" applyBorder="1" applyAlignment="1">
      <alignment horizontal="center" vertical="center" wrapText="1"/>
    </xf>
    <xf numFmtId="49" fontId="4" fillId="35" borderId="57" xfId="0" applyNumberFormat="1" applyFont="1" applyFill="1" applyBorder="1" applyAlignment="1">
      <alignment horizontal="center"/>
    </xf>
    <xf numFmtId="49" fontId="4" fillId="35" borderId="5" xfId="0" applyNumberFormat="1" applyFont="1" applyFill="1" applyBorder="1" applyAlignment="1">
      <alignment horizontal="center"/>
    </xf>
    <xf numFmtId="49" fontId="4" fillId="35" borderId="98" xfId="0" applyNumberFormat="1" applyFont="1" applyFill="1" applyBorder="1" applyAlignment="1">
      <alignment horizontal="center"/>
    </xf>
    <xf numFmtId="0" fontId="5" fillId="0" borderId="75" xfId="0" applyFont="1" applyBorder="1" applyAlignment="1">
      <alignment horizontal="center"/>
    </xf>
    <xf numFmtId="0" fontId="5" fillId="0" borderId="6" xfId="0" applyFont="1" applyBorder="1" applyAlignment="1">
      <alignment horizontal="center"/>
    </xf>
    <xf numFmtId="0" fontId="5" fillId="0" borderId="22" xfId="0" applyFont="1" applyBorder="1" applyAlignment="1">
      <alignment horizontal="center"/>
    </xf>
    <xf numFmtId="0" fontId="102" fillId="0" borderId="119" xfId="0" applyFont="1" applyBorder="1" applyAlignment="1">
      <alignment horizontal="center" vertical="center" wrapText="1" readingOrder="1"/>
    </xf>
    <xf numFmtId="0" fontId="102" fillId="0" borderId="120" xfId="0" applyFont="1" applyBorder="1" applyAlignment="1">
      <alignment horizontal="center" vertical="center" wrapText="1" readingOrder="1"/>
    </xf>
    <xf numFmtId="0" fontId="104" fillId="30" borderId="121" xfId="0" applyFont="1" applyFill="1" applyBorder="1" applyAlignment="1">
      <alignment horizontal="center" vertical="center" wrapText="1" readingOrder="1"/>
    </xf>
    <xf numFmtId="0" fontId="104" fillId="30" borderId="122" xfId="0" applyFont="1" applyFill="1" applyBorder="1" applyAlignment="1">
      <alignment horizontal="center" vertical="center" wrapText="1" readingOrder="1"/>
    </xf>
    <xf numFmtId="0" fontId="104" fillId="31" borderId="121" xfId="0" applyFont="1" applyFill="1" applyBorder="1" applyAlignment="1">
      <alignment horizontal="center" vertical="center" wrapText="1" readingOrder="1"/>
    </xf>
    <xf numFmtId="0" fontId="104" fillId="31" borderId="122" xfId="0" applyFont="1" applyFill="1" applyBorder="1" applyAlignment="1">
      <alignment horizontal="center" vertical="center" wrapText="1" readingOrder="1"/>
    </xf>
    <xf numFmtId="0" fontId="104" fillId="29" borderId="121" xfId="0" applyFont="1" applyFill="1" applyBorder="1" applyAlignment="1">
      <alignment horizontal="center" vertical="center" wrapText="1" readingOrder="1"/>
    </xf>
    <xf numFmtId="0" fontId="104" fillId="29" borderId="122" xfId="0" applyFont="1" applyFill="1" applyBorder="1" applyAlignment="1">
      <alignment horizontal="center" vertical="center" wrapText="1" readingOrder="1"/>
    </xf>
    <xf numFmtId="0" fontId="96" fillId="0" borderId="119" xfId="0" applyFont="1" applyBorder="1" applyAlignment="1">
      <alignment horizontal="center" vertical="center" wrapText="1" readingOrder="1"/>
    </xf>
    <xf numFmtId="0" fontId="96" fillId="0" borderId="120" xfId="0" applyFont="1" applyBorder="1" applyAlignment="1">
      <alignment horizontal="center" vertical="center" wrapText="1" readingOrder="1"/>
    </xf>
    <xf numFmtId="0" fontId="96" fillId="30" borderId="121" xfId="0" applyFont="1" applyFill="1" applyBorder="1" applyAlignment="1">
      <alignment horizontal="center" vertical="center" wrapText="1" readingOrder="1"/>
    </xf>
    <xf numFmtId="0" fontId="96" fillId="30" borderId="122" xfId="0" applyFont="1" applyFill="1" applyBorder="1" applyAlignment="1">
      <alignment horizontal="center" vertical="center" wrapText="1" readingOrder="1"/>
    </xf>
    <xf numFmtId="0" fontId="96" fillId="31" borderId="121" xfId="0" applyFont="1" applyFill="1" applyBorder="1" applyAlignment="1">
      <alignment horizontal="center" vertical="center" wrapText="1" readingOrder="1"/>
    </xf>
    <xf numFmtId="0" fontId="96" fillId="31" borderId="122" xfId="0" applyFont="1" applyFill="1" applyBorder="1" applyAlignment="1">
      <alignment horizontal="center" vertical="center" wrapText="1" readingOrder="1"/>
    </xf>
    <xf numFmtId="0" fontId="96" fillId="29" borderId="121" xfId="0" applyFont="1" applyFill="1" applyBorder="1" applyAlignment="1">
      <alignment horizontal="center" vertical="center" wrapText="1" readingOrder="1"/>
    </xf>
    <xf numFmtId="0" fontId="96" fillId="29" borderId="122" xfId="0" applyFont="1" applyFill="1" applyBorder="1" applyAlignment="1">
      <alignment horizontal="center" vertical="center" wrapText="1" readingOrder="1"/>
    </xf>
    <xf numFmtId="0" fontId="115" fillId="0" borderId="36" xfId="0" applyFont="1" applyBorder="1" applyAlignment="1">
      <alignment horizontal="center" vertical="center" wrapText="1"/>
    </xf>
    <xf numFmtId="0" fontId="115" fillId="0" borderId="37" xfId="0" applyFont="1" applyBorder="1" applyAlignment="1">
      <alignment horizontal="center" vertical="center" wrapText="1"/>
    </xf>
    <xf numFmtId="0" fontId="115" fillId="0" borderId="79" xfId="0" applyFont="1" applyBorder="1" applyAlignment="1">
      <alignment horizontal="center" vertical="center" wrapText="1"/>
    </xf>
    <xf numFmtId="0" fontId="115" fillId="0" borderId="81" xfId="0" applyFont="1" applyBorder="1" applyAlignment="1">
      <alignment horizontal="center" vertical="center" wrapText="1"/>
    </xf>
    <xf numFmtId="0" fontId="138" fillId="0" borderId="0" xfId="0" applyFont="1" applyAlignment="1">
      <alignment horizontal="center"/>
    </xf>
    <xf numFmtId="0" fontId="3" fillId="0" borderId="10" xfId="118" applyBorder="1" applyAlignment="1">
      <alignment horizontal="left" vertical="center" wrapText="1"/>
    </xf>
    <xf numFmtId="0" fontId="3" fillId="0" borderId="10" xfId="118" applyBorder="1" applyAlignment="1">
      <alignment horizontal="left" vertical="center"/>
    </xf>
    <xf numFmtId="0" fontId="6" fillId="0" borderId="43" xfId="118" applyFont="1" applyBorder="1" applyAlignment="1">
      <alignment horizontal="center"/>
    </xf>
    <xf numFmtId="0" fontId="6" fillId="0" borderId="49" xfId="118" applyFont="1" applyBorder="1" applyAlignment="1">
      <alignment horizontal="center"/>
    </xf>
    <xf numFmtId="0" fontId="6" fillId="0" borderId="44" xfId="118" applyFont="1" applyBorder="1" applyAlignment="1">
      <alignment horizontal="center"/>
    </xf>
    <xf numFmtId="0" fontId="3" fillId="0" borderId="10" xfId="118" applyBorder="1" applyAlignment="1">
      <alignment horizontal="left"/>
    </xf>
    <xf numFmtId="0" fontId="3" fillId="0" borderId="10" xfId="118" applyBorder="1" applyAlignment="1">
      <alignment horizontal="center" vertical="center" wrapText="1"/>
    </xf>
    <xf numFmtId="0" fontId="3" fillId="0" borderId="10" xfId="118" applyBorder="1" applyAlignment="1">
      <alignment horizontal="left" vertical="top" wrapText="1"/>
    </xf>
  </cellXfs>
  <cellStyles count="119">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Body" xfId="26" xr:uid="{00000000-0005-0000-0000-000019000000}"/>
    <cellStyle name="Calc Currency (0)" xfId="27" xr:uid="{00000000-0005-0000-0000-00001A000000}"/>
    <cellStyle name="Calc Currency (2)" xfId="28" xr:uid="{00000000-0005-0000-0000-00001B000000}"/>
    <cellStyle name="Calc Percent (0)" xfId="29" xr:uid="{00000000-0005-0000-0000-00001C000000}"/>
    <cellStyle name="Calc Percent (1)" xfId="30" xr:uid="{00000000-0005-0000-0000-00001D000000}"/>
    <cellStyle name="Calc Percent (2)" xfId="31" xr:uid="{00000000-0005-0000-0000-00001E000000}"/>
    <cellStyle name="Calc Units (0)" xfId="32" xr:uid="{00000000-0005-0000-0000-00001F000000}"/>
    <cellStyle name="Calc Units (1)" xfId="33" xr:uid="{00000000-0005-0000-0000-000020000000}"/>
    <cellStyle name="Calc Units (2)" xfId="34" xr:uid="{00000000-0005-0000-0000-000021000000}"/>
    <cellStyle name="Calculation" xfId="35" builtinId="22" customBuiltin="1"/>
    <cellStyle name="Check Cell" xfId="36" builtinId="23" customBuiltin="1"/>
    <cellStyle name="Comma" xfId="37" builtinId="3"/>
    <cellStyle name="Comma  - Style1" xfId="38" xr:uid="{00000000-0005-0000-0000-000025000000}"/>
    <cellStyle name="Comma [00]" xfId="39" xr:uid="{00000000-0005-0000-0000-000026000000}"/>
    <cellStyle name="Comma 2" xfId="40" xr:uid="{00000000-0005-0000-0000-000027000000}"/>
    <cellStyle name="Comma 3" xfId="41" xr:uid="{00000000-0005-0000-0000-000028000000}"/>
    <cellStyle name="Comma 4" xfId="42" xr:uid="{00000000-0005-0000-0000-000029000000}"/>
    <cellStyle name="Comma 8" xfId="43" xr:uid="{00000000-0005-0000-0000-00002A000000}"/>
    <cellStyle name="Comma 9" xfId="44" xr:uid="{00000000-0005-0000-0000-00002B000000}"/>
    <cellStyle name="Comma_provision terminal benefits-NESCO" xfId="45" xr:uid="{00000000-0005-0000-0000-00002C000000}"/>
    <cellStyle name="Curren - Style2" xfId="46" xr:uid="{00000000-0005-0000-0000-00002D000000}"/>
    <cellStyle name="Currency [00]" xfId="47" xr:uid="{00000000-0005-0000-0000-00002E000000}"/>
    <cellStyle name="date" xfId="48" xr:uid="{00000000-0005-0000-0000-00002F000000}"/>
    <cellStyle name="Date Short" xfId="49" xr:uid="{00000000-0005-0000-0000-000030000000}"/>
    <cellStyle name="DELTA" xfId="50" xr:uid="{00000000-0005-0000-0000-000031000000}"/>
    <cellStyle name="Enter Currency (0)" xfId="51" xr:uid="{00000000-0005-0000-0000-000032000000}"/>
    <cellStyle name="Enter Currency (2)" xfId="52" xr:uid="{00000000-0005-0000-0000-000033000000}"/>
    <cellStyle name="Enter Units (0)" xfId="53" xr:uid="{00000000-0005-0000-0000-000034000000}"/>
    <cellStyle name="Enter Units (1)" xfId="54" xr:uid="{00000000-0005-0000-0000-000035000000}"/>
    <cellStyle name="Enter Units (2)" xfId="55" xr:uid="{00000000-0005-0000-0000-000036000000}"/>
    <cellStyle name="Explanatory Text" xfId="56" builtinId="53" customBuiltin="1"/>
    <cellStyle name="Good" xfId="57" builtinId="26" customBuiltin="1"/>
    <cellStyle name="Grey" xfId="58" xr:uid="{00000000-0005-0000-0000-000039000000}"/>
    <cellStyle name="Header1" xfId="59" xr:uid="{00000000-0005-0000-0000-00003A000000}"/>
    <cellStyle name="Header2" xfId="60" xr:uid="{00000000-0005-0000-0000-00003B000000}"/>
    <cellStyle name="Heading 1" xfId="61" builtinId="16" customBuiltin="1"/>
    <cellStyle name="Heading 2" xfId="62" builtinId="17" customBuiltin="1"/>
    <cellStyle name="Heading 3" xfId="63" builtinId="18" customBuiltin="1"/>
    <cellStyle name="Heading 4" xfId="64" builtinId="19" customBuiltin="1"/>
    <cellStyle name="Input" xfId="65" builtinId="20" customBuiltin="1"/>
    <cellStyle name="Input [yellow]" xfId="66" xr:uid="{00000000-0005-0000-0000-000041000000}"/>
    <cellStyle name="Link Currency (0)" xfId="67" xr:uid="{00000000-0005-0000-0000-000042000000}"/>
    <cellStyle name="Link Currency (2)" xfId="68" xr:uid="{00000000-0005-0000-0000-000043000000}"/>
    <cellStyle name="Link Units (0)" xfId="69" xr:uid="{00000000-0005-0000-0000-000044000000}"/>
    <cellStyle name="Link Units (1)" xfId="70" xr:uid="{00000000-0005-0000-0000-000045000000}"/>
    <cellStyle name="Link Units (2)" xfId="71" xr:uid="{00000000-0005-0000-0000-000046000000}"/>
    <cellStyle name="Linked Cell" xfId="72" builtinId="24" customBuiltin="1"/>
    <cellStyle name="Neutral" xfId="73" builtinId="28" customBuiltin="1"/>
    <cellStyle name="no dec" xfId="74" xr:uid="{00000000-0005-0000-0000-000049000000}"/>
    <cellStyle name="Normal" xfId="0" builtinId="0"/>
    <cellStyle name="Normal - Style1" xfId="75" xr:uid="{00000000-0005-0000-0000-00004B000000}"/>
    <cellStyle name="Normal 16" xfId="116" xr:uid="{00000000-0005-0000-0000-00004C000000}"/>
    <cellStyle name="Normal 2" xfId="76" xr:uid="{00000000-0005-0000-0000-00004D000000}"/>
    <cellStyle name="Normal 2 2" xfId="77" xr:uid="{00000000-0005-0000-0000-00004E000000}"/>
    <cellStyle name="Normal 2 2 2" xfId="112" xr:uid="{00000000-0005-0000-0000-00004F000000}"/>
    <cellStyle name="Normal 3" xfId="78" xr:uid="{00000000-0005-0000-0000-000050000000}"/>
    <cellStyle name="Normal 3 2" xfId="118" xr:uid="{00000000-0005-0000-0000-000051000000}"/>
    <cellStyle name="Normal 4" xfId="79" xr:uid="{00000000-0005-0000-0000-000052000000}"/>
    <cellStyle name="Normal 4 2" xfId="80" xr:uid="{00000000-0005-0000-0000-000053000000}"/>
    <cellStyle name="Normal 4 3" xfId="81" xr:uid="{00000000-0005-0000-0000-000054000000}"/>
    <cellStyle name="Normal 5" xfId="82" xr:uid="{00000000-0005-0000-0000-000055000000}"/>
    <cellStyle name="Normal 6" xfId="109" xr:uid="{00000000-0005-0000-0000-000056000000}"/>
    <cellStyle name="Normal 7" xfId="110" xr:uid="{00000000-0005-0000-0000-000057000000}"/>
    <cellStyle name="Normal 8" xfId="111" xr:uid="{00000000-0005-0000-0000-000058000000}"/>
    <cellStyle name="Normal 8 2" xfId="115" xr:uid="{00000000-0005-0000-0000-000059000000}"/>
    <cellStyle name="Normal 9" xfId="113" xr:uid="{00000000-0005-0000-0000-00005A000000}"/>
    <cellStyle name="Normal_CONSUMPTION GREATER THAN 1 MVA" xfId="83" xr:uid="{00000000-0005-0000-0000-00005B000000}"/>
    <cellStyle name="Normal_SOUTHCO___ARR_2005-06" xfId="84" xr:uid="{00000000-0005-0000-0000-00005C000000}"/>
    <cellStyle name="Normal_tarif revision" xfId="85" xr:uid="{00000000-0005-0000-0000-00005D000000}"/>
    <cellStyle name="Note" xfId="86" builtinId="10" customBuiltin="1"/>
    <cellStyle name="Output" xfId="87" builtinId="21" customBuiltin="1"/>
    <cellStyle name="Percent" xfId="88" builtinId="5"/>
    <cellStyle name="Percent [0]" xfId="89" xr:uid="{00000000-0005-0000-0000-000061000000}"/>
    <cellStyle name="Percent [00]" xfId="90" xr:uid="{00000000-0005-0000-0000-000062000000}"/>
    <cellStyle name="Percent [2]" xfId="91" xr:uid="{00000000-0005-0000-0000-000063000000}"/>
    <cellStyle name="Percent 2" xfId="92" xr:uid="{00000000-0005-0000-0000-000064000000}"/>
    <cellStyle name="Percent 2 2" xfId="93" xr:uid="{00000000-0005-0000-0000-000065000000}"/>
    <cellStyle name="Percent 3" xfId="94" xr:uid="{00000000-0005-0000-0000-000066000000}"/>
    <cellStyle name="Percent 4" xfId="95" xr:uid="{00000000-0005-0000-0000-000067000000}"/>
    <cellStyle name="Percent 5" xfId="96" xr:uid="{00000000-0005-0000-0000-000068000000}"/>
    <cellStyle name="Percent 6" xfId="97" xr:uid="{00000000-0005-0000-0000-000069000000}"/>
    <cellStyle name="Percent 7" xfId="114" xr:uid="{00000000-0005-0000-0000-00006A000000}"/>
    <cellStyle name="Percent 8" xfId="117" xr:uid="{00000000-0005-0000-0000-00006B000000}"/>
    <cellStyle name="PrePop Currency (0)" xfId="98" xr:uid="{00000000-0005-0000-0000-00006C000000}"/>
    <cellStyle name="PrePop Currency (2)" xfId="99" xr:uid="{00000000-0005-0000-0000-00006D000000}"/>
    <cellStyle name="PrePop Units (0)" xfId="100" xr:uid="{00000000-0005-0000-0000-00006E000000}"/>
    <cellStyle name="PrePop Units (1)" xfId="101" xr:uid="{00000000-0005-0000-0000-00006F000000}"/>
    <cellStyle name="PrePop Units (2)" xfId="102" xr:uid="{00000000-0005-0000-0000-000070000000}"/>
    <cellStyle name="Text Indent A" xfId="103" xr:uid="{00000000-0005-0000-0000-000071000000}"/>
    <cellStyle name="Text Indent B" xfId="104" xr:uid="{00000000-0005-0000-0000-000072000000}"/>
    <cellStyle name="Text Indent C" xfId="105" xr:uid="{00000000-0005-0000-0000-000073000000}"/>
    <cellStyle name="Title" xfId="106" builtinId="15" customBuiltin="1"/>
    <cellStyle name="Total" xfId="107" builtinId="25" customBuiltin="1"/>
    <cellStyle name="Warning Text" xfId="108" builtinId="11" customBuiltin="1"/>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externalLink" Target="externalLinks/externalLink3.xml"/><Relationship Id="rId84" Type="http://schemas.microsoft.com/office/2017/10/relationships/person" Target="persons/person.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externalLink" Target="externalLinks/externalLink9.xml"/><Relationship Id="rId79"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customXml" Target="../customXml/item2.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externalLink" Target="externalLinks/externalLink4.xml"/><Relationship Id="rId77"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externalLink" Target="externalLinks/externalLink7.xml"/><Relationship Id="rId80"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externalLink" Target="externalLinks/externalLink2.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externalLink" Target="externalLinks/externalLink5.xml"/><Relationship Id="rId75" Type="http://schemas.openxmlformats.org/officeDocument/2006/relationships/externalLink" Target="externalLinks/externalLink10.xml"/><Relationship Id="rId83"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externalLink" Target="externalLinks/externalLink8.xml"/><Relationship Id="rId78" Type="http://schemas.openxmlformats.org/officeDocument/2006/relationships/styles" Target="styles.xml"/><Relationship Id="rId8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externalLink" Target="externalLinks/externalLink11.xml"/><Relationship Id="rId7" Type="http://schemas.openxmlformats.org/officeDocument/2006/relationships/worksheet" Target="worksheets/sheet7.xml"/><Relationship Id="rId71" Type="http://schemas.openxmlformats.org/officeDocument/2006/relationships/externalLink" Target="externalLinks/externalLink6.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d-fa-hp\f\TARIFF%202006-07\Query-Tariff-2006-07\Distribution\SOUTHCO.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O%20E%20R%20C\ARRWESCO%20NOV-2006\Distribution\Consumer%20Analysis%20working%20sheet.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d-fa-hp\f\TARIFF%202006-07\Query-Tariff-2006-07\Distribution\Consumer%20Analysis%20working%20shee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fa-hp\f\Users\cso\AppData\Local\Microsoft\Windows\Temporary%20Internet%20Files\Low\Content.IE5\SBBZUIBU\Distribution\SOUTHC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O%20E%20R%20C\ARRWESCO%20NOV-2006\Distribution\SOUTHC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O%20E%20R%20C\ARRWESCO%20NOV-2006\Distribution\CESCO.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tpwesternodisha-my.sharepoint.com/O%20E%20R%20C/ARRWESCO%20NOV-2006/Distribution/SOUTHCO.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O%20E%20R%20C\ARRWESCO%20NOV-2006\Distribution\SOUTHCO.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d-fa-hp\f\Users\cso\AppData\Local\Microsoft\Windows\Temporary%20Internet%20Files\Low\Content.IE5\SBBZUIBU\Distribution\Consumer%20Analysis%20working%20sheet.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O%20E%20R%20C\ARRWESCO%20NOV-2006\Distribution\Consumer%20Analysis%20working%20shee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tpwesternodisha-my.sharepoint.com/O%20E%20R%20C/ARRWESCO%20NOV-2006/Distribution/Consumer%20Analysis%20working%20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Menu"/>
      <sheetName val="Capitalization Expenses Manual"/>
      <sheetName val="Capitalization of Expenses"/>
      <sheetName val="Loan Summary - Working Cap"/>
      <sheetName val="Details of Loan - Working Cap"/>
      <sheetName val="Details of Loan - Capital Works"/>
      <sheetName val="Loan Summary - Capital Works"/>
      <sheetName val="Current Year"/>
      <sheetName val="Costs at voltage Current year"/>
      <sheetName val="CWIP"/>
      <sheetName val="Other revenue sources Manual"/>
      <sheetName val="A&amp;G Expenses Manual"/>
      <sheetName val="Special Appropriations Manual"/>
      <sheetName val="Employee Cost Manual"/>
      <sheetName val="Interest Charges Manual"/>
      <sheetName val="Manual CWIP"/>
      <sheetName val="R&amp;M Manual"/>
      <sheetName val="Manual Loss Details"/>
      <sheetName val="Discounts and Penalties Manual"/>
      <sheetName val="Revenue Current Past Manual "/>
      <sheetName val="Power Purchase Cost Manual"/>
      <sheetName val="Power Purchase Cost"/>
      <sheetName val="Allocation-Network, Supply cost"/>
      <sheetName val="Special Appropriations"/>
      <sheetName val="Cost Allocation"/>
      <sheetName val="Employee Costs"/>
      <sheetName val="Other revenue sources"/>
      <sheetName val="Revenue-Current and Past Year"/>
      <sheetName val="Bad Debt"/>
      <sheetName val="RoE"/>
      <sheetName val="Allocation LT HT EHT"/>
      <sheetName val="Loss Details"/>
      <sheetName val="Manual Consumption Data"/>
      <sheetName val="Consumption Compute - Purchase"/>
      <sheetName val="Consumption Compute-Demand"/>
      <sheetName val="Depreciation Working"/>
      <sheetName val="Depreciation Schedule"/>
      <sheetName val="A&amp;G Expenses"/>
      <sheetName val="Computation of IDC"/>
      <sheetName val="Interest Charges"/>
      <sheetName val="R&amp;M"/>
      <sheetName val="Billing for Residential"/>
      <sheetName val="Billing for Commercial "/>
      <sheetName val="Verification of inputs"/>
      <sheetName val="EHT Load Factor Billing"/>
      <sheetName val="HT Load Factor Billing"/>
      <sheetName val="Costs at diff voltage levels"/>
      <sheetName val="Discounts and Penalties"/>
      <sheetName val="Tariff Design"/>
      <sheetName val="Ensuing Year-Proposed Tarif"/>
      <sheetName val="Consumption Data "/>
      <sheetName val="Ensuing Year-Existing Tariff"/>
      <sheetName val="Existing Tariff Structure"/>
      <sheetName val="Final Consumption Status"/>
      <sheetName val="Existing Gap"/>
      <sheetName val="Tariff Comparision"/>
      <sheetName val="Network Cost Calculation"/>
      <sheetName val="Process Flow"/>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umer Categories"/>
      <sheetName val="Category &amp; Voltages"/>
      <sheetName val="Consumer Analysis"/>
      <sheetName val="MD to CD"/>
      <sheetName val="MD to CD analysis"/>
      <sheetName val="Working Sheet"/>
      <sheetName val="Consumer Data &gt;100kVA"/>
    </sheetNames>
    <sheetDataSet>
      <sheetData sheetId="0"/>
      <sheetData sheetId="1"/>
      <sheetData sheetId="2"/>
      <sheetData sheetId="3"/>
      <sheetData sheetId="4"/>
      <sheetData sheetId="5"/>
      <sheetData sheetId="6"/>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umer Categories"/>
      <sheetName val="Category &amp; Voltages"/>
      <sheetName val="Consumer Analysis"/>
      <sheetName val="MD to CD"/>
      <sheetName val="MD to CD analysis"/>
      <sheetName val="Working Sheet"/>
      <sheetName val="Consumer Data &gt;100kVA"/>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Menu"/>
      <sheetName val="Capitalization Expenses Manual"/>
      <sheetName val="Capitalization of Expenses"/>
      <sheetName val="Loan Summary - Working Cap"/>
      <sheetName val="Details of Loan - Working Cap"/>
      <sheetName val="Details of Loan - Capital Works"/>
      <sheetName val="Loan Summary - Capital Works"/>
      <sheetName val="Current Year"/>
      <sheetName val="Costs at voltage Current year"/>
      <sheetName val="CWIP"/>
      <sheetName val="Other revenue sources Manual"/>
      <sheetName val="A&amp;G Expenses Manual"/>
      <sheetName val="Special Appropriations Manual"/>
      <sheetName val="Employee Cost Manual"/>
      <sheetName val="Interest Charges Manual"/>
      <sheetName val="Manual CWIP"/>
      <sheetName val="R&amp;M Manual"/>
      <sheetName val="Manual Loss Details"/>
      <sheetName val="Discounts and Penalties Manual"/>
      <sheetName val="Revenue Current Past Manual "/>
      <sheetName val="Power Purchase Cost Manual"/>
      <sheetName val="Power Purchase Cost"/>
      <sheetName val="Allocation-Network, Supply cost"/>
      <sheetName val="Special Appropriations"/>
      <sheetName val="Cost Allocation"/>
      <sheetName val="Employee Costs"/>
      <sheetName val="Other revenue sources"/>
      <sheetName val="Revenue-Current and Past Year"/>
      <sheetName val="Bad Debt"/>
      <sheetName val="RoE"/>
      <sheetName val="Allocation LT HT EHT"/>
      <sheetName val="Loss Details"/>
      <sheetName val="Manual Consumption Data"/>
      <sheetName val="Consumption Compute - Purchase"/>
      <sheetName val="Consumption Compute-Demand"/>
      <sheetName val="Depreciation Working"/>
      <sheetName val="Depreciation Schedule"/>
      <sheetName val="A&amp;G Expenses"/>
      <sheetName val="Computation of IDC"/>
      <sheetName val="Interest Charges"/>
      <sheetName val="R&amp;M"/>
      <sheetName val="Billing for Residential"/>
      <sheetName val="Billing for Commercial "/>
      <sheetName val="Verification of inputs"/>
      <sheetName val="EHT Load Factor Billing"/>
      <sheetName val="HT Load Factor Billing"/>
      <sheetName val="Costs at diff voltage levels"/>
      <sheetName val="Discounts and Penalties"/>
      <sheetName val="Tariff Design"/>
      <sheetName val="Ensuing Year-Proposed Tarif"/>
      <sheetName val="Consumption Data "/>
      <sheetName val="Ensuing Year-Existing Tariff"/>
      <sheetName val="Existing Tariff Structure"/>
      <sheetName val="Final Consumption Status"/>
      <sheetName val="Existing Gap"/>
      <sheetName val="Tariff Comparision"/>
      <sheetName val="Network Cost Calculation"/>
      <sheetName val="Process Flow"/>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Menu"/>
      <sheetName val="Capitalization Expenses Manual"/>
      <sheetName val="Capitalization of Expenses"/>
      <sheetName val="Loan Summary - Working Cap"/>
      <sheetName val="Details of Loan - Working Cap"/>
      <sheetName val="Details of Loan - Capital Works"/>
      <sheetName val="Loan Summary - Capital Works"/>
      <sheetName val="Current Year"/>
      <sheetName val="Costs at voltage Current year"/>
      <sheetName val="CWIP"/>
      <sheetName val="Other revenue sources Manual"/>
      <sheetName val="A&amp;G Expenses Manual"/>
      <sheetName val="Special Appropriations Manual"/>
      <sheetName val="Employee Cost Manual"/>
      <sheetName val="Interest Charges Manual"/>
      <sheetName val="Manual CWIP"/>
      <sheetName val="R&amp;M Manual"/>
      <sheetName val="Manual Loss Details"/>
      <sheetName val="Discounts and Penalties Manual"/>
      <sheetName val="Revenue Current Past Manual "/>
      <sheetName val="Power Purchase Cost Manual"/>
      <sheetName val="Power Purchase Cost"/>
      <sheetName val="Allocation-Network, Supply cost"/>
      <sheetName val="Special Appropriations"/>
      <sheetName val="Cost Allocation"/>
      <sheetName val="Employee Costs"/>
      <sheetName val="Other revenue sources"/>
      <sheetName val="Revenue-Current and Past Year"/>
      <sheetName val="Bad Debt"/>
      <sheetName val="RoE"/>
      <sheetName val="Allocation LT HT EHT"/>
      <sheetName val="Loss Details"/>
      <sheetName val="Manual Consumption Data"/>
      <sheetName val="Consumption Compute - Purchase"/>
      <sheetName val="Consumption Compute-Demand"/>
      <sheetName val="Depreciation Working"/>
      <sheetName val="Depreciation Schedule"/>
      <sheetName val="A&amp;G Expenses"/>
      <sheetName val="Computation of IDC"/>
      <sheetName val="Interest Charges"/>
      <sheetName val="R&amp;M"/>
      <sheetName val="Billing for Residential"/>
      <sheetName val="Billing for Commercial "/>
      <sheetName val="Verification of inputs"/>
      <sheetName val="EHT Load Factor Billing"/>
      <sheetName val="HT Load Factor Billing"/>
      <sheetName val="Costs at diff voltage levels"/>
      <sheetName val="Discounts and Penalties"/>
      <sheetName val="Tariff Design"/>
      <sheetName val="Ensuing Year-Proposed Tarif"/>
      <sheetName val="Consumption Data "/>
      <sheetName val="Ensuing Year-Existing Tariff"/>
      <sheetName val="Existing Tariff Structure"/>
      <sheetName val="Final Consumption Status"/>
      <sheetName val="Existing Gap"/>
      <sheetName val="Tariff Comparision"/>
      <sheetName val="Network Cost Calculation"/>
      <sheetName val="Process Flow"/>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Menu"/>
      <sheetName val="Capitalization Expenses Manual"/>
      <sheetName val="Capitalization of Expenses"/>
      <sheetName val="Loan Summary - Working Cap"/>
      <sheetName val="Details of Loan - Working Cap"/>
      <sheetName val="Details of Loan - Capital Works"/>
      <sheetName val="Loan Summary - Capital Works"/>
      <sheetName val="Current Year"/>
      <sheetName val="Costs at voltage Current year"/>
      <sheetName val="CWIP"/>
      <sheetName val="Other revenue sources Manual"/>
      <sheetName val="A&amp;G Expenses Manual"/>
      <sheetName val="Special Appropriations Manual"/>
      <sheetName val="Employee Cost Manual"/>
      <sheetName val="Interest Charges Manual"/>
      <sheetName val="Manual CWIP"/>
      <sheetName val="R&amp;M Manual"/>
      <sheetName val="Manual Loss Details"/>
      <sheetName val="Discounts and Penalties Manual"/>
      <sheetName val="Revenue Current Past Manual "/>
      <sheetName val="Power Purchase Cost Manual"/>
      <sheetName val="Power Purchase Cost"/>
      <sheetName val="Allocation-Network, Supply cost"/>
      <sheetName val="Special Appropriations"/>
      <sheetName val="Cost Allocation"/>
      <sheetName val="Employee Costs"/>
      <sheetName val="Other revenue sources"/>
      <sheetName val="Revenue-Current and Past Year"/>
      <sheetName val="Bad Debt"/>
      <sheetName val="RoE"/>
      <sheetName val="Allocation LT HT EHT"/>
      <sheetName val="Loss Details"/>
      <sheetName val="Manual Consumption Data"/>
      <sheetName val="Consumption Compute - Purchase"/>
      <sheetName val="Consumption Compute-Demand"/>
      <sheetName val="Depreciation Working"/>
      <sheetName val="Depreciation Schedule"/>
      <sheetName val="A&amp;G Expenses"/>
      <sheetName val="Computation of IDC"/>
      <sheetName val="Interest Charges"/>
      <sheetName val="R&amp;M"/>
      <sheetName val="Billing for Residential"/>
      <sheetName val="Billing for Commercial "/>
      <sheetName val="Verification of inputs"/>
      <sheetName val="EHT Load Factor Billing"/>
      <sheetName val="HT Load Factor Billing"/>
      <sheetName val="Costs at diff voltage levels"/>
      <sheetName val="Discounts and Penalties"/>
      <sheetName val="Tariff Design"/>
      <sheetName val="Ensuing Year-Proposed Tarif"/>
      <sheetName val="Consumption Data "/>
      <sheetName val="Ensuing Year-Existing Tariff"/>
      <sheetName val="Existing Tariff Structure"/>
      <sheetName val="Final Consumption Status"/>
      <sheetName val="Existing Gap"/>
      <sheetName val="Tariff Comparision"/>
      <sheetName val="Network Cost Calculation"/>
      <sheetName val="Process Flow"/>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Menu"/>
      <sheetName val="Capitalization Expenses Manual"/>
      <sheetName val="Capitalization of Expenses"/>
      <sheetName val="Loan Summary - Working Cap"/>
      <sheetName val="Details of Loan - Working Cap"/>
      <sheetName val="Details of Loan - Capital Works"/>
      <sheetName val="Loan Summary - Capital Works"/>
      <sheetName val="Current Year"/>
      <sheetName val="Costs at voltage Current year"/>
      <sheetName val="CWIP"/>
      <sheetName val="Other revenue sources Manual"/>
      <sheetName val="A&amp;G Expenses Manual"/>
      <sheetName val="Special Appropriations Manual"/>
      <sheetName val="Employee Cost Manual"/>
      <sheetName val="Interest Charges Manual"/>
      <sheetName val="Manual CWIP"/>
      <sheetName val="R&amp;M Manual"/>
      <sheetName val="Manual Loss Details"/>
      <sheetName val="Discounts and Penalties Manual"/>
      <sheetName val="Revenue Current Past Manual "/>
      <sheetName val="Power Purchase Cost Manual"/>
      <sheetName val="Power Purchase Cost"/>
      <sheetName val="Allocation-Network, Supply cost"/>
      <sheetName val="Special Appropriations"/>
      <sheetName val="Cost Allocation"/>
      <sheetName val="Employee Costs"/>
      <sheetName val="Other revenue sources"/>
      <sheetName val="Revenue-Current and Past Year"/>
      <sheetName val="Bad Debt"/>
      <sheetName val="RoE"/>
      <sheetName val="Allocation LT HT EHT"/>
      <sheetName val="Loss Details"/>
      <sheetName val="Manual Consumption Data"/>
      <sheetName val="Consumption Compute - Purchase"/>
      <sheetName val="Consumption Compute-Demand"/>
      <sheetName val="Depreciation Working"/>
      <sheetName val="Depreciation Schedule"/>
      <sheetName val="A&amp;G Expenses"/>
      <sheetName val="Computation of IDC"/>
      <sheetName val="Interest Charges"/>
      <sheetName val="R&amp;M"/>
      <sheetName val="Billing for Residential"/>
      <sheetName val="Billing for Commercial "/>
      <sheetName val="Verification of inputs"/>
      <sheetName val="EHT Load Factor Billing"/>
      <sheetName val="HT Load Factor Billing"/>
      <sheetName val="Costs at diff voltage levels"/>
      <sheetName val="Discounts and Penalties"/>
      <sheetName val="Tariff Design"/>
      <sheetName val="Ensuing Year-Proposed Tarif"/>
      <sheetName val="Consumption Data "/>
      <sheetName val="Ensuing Year-Existing Tariff"/>
      <sheetName val="Existing Tariff Structure"/>
      <sheetName val="Final Consumption Status"/>
      <sheetName val="Existing Gap"/>
      <sheetName val="Tariff Comparision"/>
      <sheetName val="Network Cost Calculation"/>
      <sheetName val="Process Flow"/>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Menu"/>
      <sheetName val="Capitalization Expenses Manual"/>
      <sheetName val="Capitalization of Expenses"/>
      <sheetName val="Loan Summary - Working Cap"/>
      <sheetName val="Details of Loan - Working Cap"/>
      <sheetName val="Details of Loan - Capital Works"/>
      <sheetName val="Loan Summary - Capital Works"/>
      <sheetName val="Current Year"/>
      <sheetName val="Costs at voltage Current year"/>
      <sheetName val="CWIP"/>
      <sheetName val="Other revenue sources Manual"/>
      <sheetName val="A&amp;G Expenses Manual"/>
      <sheetName val="Special Appropriations Manual"/>
      <sheetName val="Employee Cost Manual"/>
      <sheetName val="Interest Charges Manual"/>
      <sheetName val="Manual CWIP"/>
      <sheetName val="R&amp;M Manual"/>
      <sheetName val="Manual Loss Details"/>
      <sheetName val="Discounts and Penalties Manual"/>
      <sheetName val="Revenue Current Past Manual "/>
      <sheetName val="Power Purchase Cost Manual"/>
      <sheetName val="Power Purchase Cost"/>
      <sheetName val="Allocation-Network, Supply cost"/>
      <sheetName val="Special Appropriations"/>
      <sheetName val="Cost Allocation"/>
      <sheetName val="Employee Costs"/>
      <sheetName val="Other revenue sources"/>
      <sheetName val="Revenue-Current and Past Year"/>
      <sheetName val="Bad Debt"/>
      <sheetName val="RoE"/>
      <sheetName val="Allocation LT HT EHT"/>
      <sheetName val="Loss Details"/>
      <sheetName val="Manual Consumption Data"/>
      <sheetName val="Consumption Compute - Purchase"/>
      <sheetName val="Consumption Compute-Demand"/>
      <sheetName val="Depreciation Working"/>
      <sheetName val="Depreciation Schedule"/>
      <sheetName val="A&amp;G Expenses"/>
      <sheetName val="Computation of IDC"/>
      <sheetName val="Interest Charges"/>
      <sheetName val="R&amp;M"/>
      <sheetName val="Billing for Residential"/>
      <sheetName val="Billing for Commercial "/>
      <sheetName val="Verification of inputs"/>
      <sheetName val="EHT Load Factor Billing"/>
      <sheetName val="HT Load Factor Billing"/>
      <sheetName val="Costs at diff voltage levels"/>
      <sheetName val="Discounts and Penalties"/>
      <sheetName val="Tariff Design"/>
      <sheetName val="Ensuing Year-Proposed Tarif"/>
      <sheetName val="Consumption Data "/>
      <sheetName val="Ensuing Year-Existing Tariff"/>
      <sheetName val="Existing Tariff Structure"/>
      <sheetName val="Final Consumption Status"/>
      <sheetName val="Existing Gap"/>
      <sheetName val="Tariff Comparision"/>
      <sheetName val="Network Cost Calculation"/>
      <sheetName val="Process Flow"/>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umer Categories"/>
      <sheetName val="Category &amp; Voltages"/>
      <sheetName val="Consumer Analysis"/>
      <sheetName val="MD to CD"/>
      <sheetName val="MD to CD analysis"/>
      <sheetName val="Working Sheet"/>
      <sheetName val="Consumer Data &gt;100kVA"/>
    </sheetNames>
    <sheetDataSet>
      <sheetData sheetId="0"/>
      <sheetData sheetId="1"/>
      <sheetData sheetId="2"/>
      <sheetData sheetId="3"/>
      <sheetData sheetId="4"/>
      <sheetData sheetId="5"/>
      <sheetData sheetId="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umer Categories"/>
      <sheetName val="Category &amp; Voltages"/>
      <sheetName val="Consumer Analysis"/>
      <sheetName val="MD to CD"/>
      <sheetName val="MD to CD analysis"/>
      <sheetName val="Working Sheet"/>
      <sheetName val="Consumer Data &gt;100kVA"/>
    </sheetNames>
    <sheetDataSet>
      <sheetData sheetId="0"/>
      <sheetData sheetId="1"/>
      <sheetData sheetId="2"/>
      <sheetData sheetId="3"/>
      <sheetData sheetId="4"/>
      <sheetData sheetId="5"/>
      <sheetData sheetId="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umer Categories"/>
      <sheetName val="Category &amp; Voltages"/>
      <sheetName val="Consumer Analysis"/>
      <sheetName val="MD to CD"/>
      <sheetName val="MD to CD analysis"/>
      <sheetName val="Working Sheet"/>
      <sheetName val="Consumer Data &gt;100kVA"/>
    </sheetNames>
    <sheetDataSet>
      <sheetData sheetId="0"/>
      <sheetData sheetId="1"/>
      <sheetData sheetId="2"/>
      <sheetData sheetId="3"/>
      <sheetData sheetId="4"/>
      <sheetData sheetId="5"/>
      <sheetData sheetId="6"/>
    </sheetDataSet>
  </externalBook>
</externalLink>
</file>

<file path=xl/persons/person.xml><?xml version="1.0" encoding="utf-8"?>
<personList xmlns="http://schemas.microsoft.com/office/spreadsheetml/2018/threadedcomments" xmlns:x="http://schemas.openxmlformats.org/spreadsheetml/2006/main">
  <person displayName="Guest User" id="{4386FC9D-7152-47B3-AF8D-7675330BD55F}" userId="S::urn:spo:anon#17cc5b4dde916bb8d7c55c69a2daf01a9eab2bbb492a192adf328c8730650a32::"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D4" dT="2021-11-12T08:20:41.46" personId="{4386FC9D-7152-47B3-AF8D-7675330BD55F}" id="{7579F2FF-9C06-458F-9CBC-BE41EDED0B7F}">
    <text>As given by FInance dept and as indicated as FS</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6.bin"/><Relationship Id="rId4" Type="http://schemas.microsoft.com/office/2017/10/relationships/threadedComment" Target="../threadedComments/threadedComment1.xm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Q100"/>
  <sheetViews>
    <sheetView view="pageBreakPreview" zoomScale="90" zoomScaleNormal="80" zoomScaleSheetLayoutView="90" workbookViewId="0">
      <pane xSplit="2" ySplit="10" topLeftCell="G68" activePane="bottomRight" state="frozen"/>
      <selection activeCell="AC9" sqref="AC9"/>
      <selection pane="topRight" activeCell="AC9" sqref="AC9"/>
      <selection pane="bottomLeft" activeCell="AC9" sqref="AC9"/>
      <selection pane="bottomRight" activeCell="K49" sqref="K49"/>
    </sheetView>
  </sheetViews>
  <sheetFormatPr defaultColWidth="14.7109375" defaultRowHeight="15"/>
  <cols>
    <col min="1" max="1" width="6" style="38" customWidth="1"/>
    <col min="2" max="2" width="25.28515625" style="38" customWidth="1"/>
    <col min="3" max="3" width="10.140625" style="38" customWidth="1"/>
    <col min="4" max="4" width="10.42578125" style="38" customWidth="1"/>
    <col min="5" max="5" width="9.85546875" style="38" customWidth="1"/>
    <col min="6" max="6" width="9" style="38" customWidth="1"/>
    <col min="7" max="7" width="10.42578125" style="38" customWidth="1"/>
    <col min="8" max="8" width="10.85546875" style="38" customWidth="1"/>
    <col min="9" max="9" width="10.140625" style="38" customWidth="1"/>
    <col min="10" max="10" width="9.28515625" style="38" customWidth="1"/>
    <col min="11" max="11" width="10.42578125" style="38" customWidth="1"/>
    <col min="12" max="13" width="10.5703125" style="38" customWidth="1"/>
    <col min="14" max="14" width="12.28515625" style="38" customWidth="1"/>
    <col min="15" max="15" width="10" style="38" customWidth="1"/>
    <col min="16" max="16" width="11.42578125" style="38" customWidth="1"/>
    <col min="17" max="17" width="9.42578125" style="38" customWidth="1"/>
    <col min="18" max="18" width="9.85546875" style="38" customWidth="1"/>
    <col min="19" max="19" width="11.42578125" style="38" customWidth="1"/>
    <col min="20" max="20" width="10.85546875" style="38" customWidth="1"/>
    <col min="21" max="21" width="18.85546875" style="38" hidden="1" customWidth="1"/>
    <col min="22" max="22" width="0" style="38" hidden="1" customWidth="1"/>
    <col min="23" max="23" width="17.5703125" style="38" hidden="1" customWidth="1"/>
    <col min="24" max="24" width="16.28515625" style="38" hidden="1" customWidth="1"/>
    <col min="25" max="25" width="24" style="38" hidden="1" customWidth="1"/>
    <col min="26" max="26" width="0" style="38" hidden="1" customWidth="1"/>
    <col min="27" max="27" width="0.140625" style="38" hidden="1" customWidth="1"/>
    <col min="28" max="28" width="14.7109375" style="38"/>
    <col min="29" max="29" width="17.5703125" style="38" customWidth="1"/>
    <col min="30" max="16384" width="14.7109375" style="38"/>
  </cols>
  <sheetData>
    <row r="1" spans="1:69" ht="15.75">
      <c r="A1" s="290"/>
      <c r="B1" s="291"/>
      <c r="C1" s="291"/>
      <c r="D1" s="291"/>
      <c r="E1" s="291"/>
      <c r="F1" s="291"/>
      <c r="G1" s="291"/>
      <c r="H1" s="291"/>
      <c r="I1" s="291"/>
      <c r="J1" s="291"/>
      <c r="K1" s="291"/>
      <c r="L1" s="291"/>
      <c r="M1" s="291"/>
      <c r="N1" s="291"/>
      <c r="O1" s="292"/>
      <c r="P1" s="291"/>
      <c r="Q1" s="291"/>
      <c r="R1" s="291"/>
      <c r="S1" s="293" t="s">
        <v>0</v>
      </c>
      <c r="T1" s="593" t="s">
        <v>1</v>
      </c>
      <c r="U1" s="39"/>
      <c r="V1" s="39"/>
      <c r="W1" s="39"/>
      <c r="X1" s="39"/>
      <c r="Y1" s="39"/>
      <c r="Z1" s="39"/>
      <c r="AA1" s="39"/>
    </row>
    <row r="2" spans="1:69" ht="20.25">
      <c r="A2" s="216"/>
      <c r="B2" s="282" t="s">
        <v>2</v>
      </c>
      <c r="C2" s="283"/>
      <c r="D2" s="283"/>
      <c r="E2" s="283"/>
      <c r="F2" s="283"/>
      <c r="G2" s="283"/>
      <c r="H2" s="283"/>
      <c r="I2" s="283"/>
      <c r="J2" s="283"/>
      <c r="K2" s="283"/>
      <c r="L2" s="283"/>
      <c r="M2" s="283"/>
      <c r="N2" s="283"/>
      <c r="O2" s="283"/>
      <c r="P2" s="283"/>
      <c r="Q2" s="283"/>
      <c r="R2" s="283"/>
      <c r="S2" s="283"/>
      <c r="T2" s="294"/>
    </row>
    <row r="3" spans="1:69">
      <c r="A3" s="216"/>
      <c r="B3" s="28" t="s">
        <v>3</v>
      </c>
      <c r="C3" s="23"/>
      <c r="D3" s="23"/>
      <c r="E3" s="23"/>
      <c r="F3" s="23"/>
      <c r="G3" s="284"/>
      <c r="H3" s="62"/>
      <c r="I3" s="62"/>
      <c r="J3" s="62"/>
      <c r="K3" s="62"/>
      <c r="L3" s="62"/>
      <c r="M3" s="62"/>
      <c r="N3" s="284"/>
      <c r="O3" s="284"/>
      <c r="P3" s="284"/>
      <c r="Q3" s="284"/>
      <c r="R3" s="284"/>
      <c r="S3" s="284"/>
      <c r="T3" s="295"/>
      <c r="W3" s="41"/>
      <c r="X3" s="41"/>
      <c r="Y3" s="41"/>
      <c r="Z3" s="41"/>
      <c r="AA3" s="41"/>
    </row>
    <row r="4" spans="1:69" ht="15.75">
      <c r="A4" s="216"/>
      <c r="B4" s="413"/>
      <c r="C4" s="411"/>
      <c r="D4" s="1748" t="s">
        <v>4</v>
      </c>
      <c r="E4" s="1748"/>
      <c r="F4" s="1748"/>
      <c r="G4" s="1748"/>
      <c r="H4" s="1751" t="s">
        <v>5</v>
      </c>
      <c r="I4" s="1751"/>
      <c r="J4" s="1751"/>
      <c r="K4" s="1751"/>
      <c r="L4" s="1751" t="s">
        <v>6</v>
      </c>
      <c r="M4" s="1751"/>
      <c r="N4" s="1751"/>
      <c r="O4" s="1751"/>
      <c r="P4" s="1748" t="s">
        <v>7</v>
      </c>
      <c r="Q4" s="1748"/>
      <c r="R4" s="1748"/>
      <c r="S4" s="1748"/>
      <c r="T4" s="1752"/>
      <c r="U4" s="42"/>
      <c r="V4" s="42"/>
      <c r="W4" s="42" t="s">
        <v>8</v>
      </c>
      <c r="Y4" s="39"/>
      <c r="Z4" s="42"/>
      <c r="AA4" s="42"/>
      <c r="AB4" s="39"/>
    </row>
    <row r="5" spans="1:69" ht="18" customHeight="1">
      <c r="A5" s="1755" t="s">
        <v>9</v>
      </c>
      <c r="B5" s="1749" t="s">
        <v>10</v>
      </c>
      <c r="C5" s="1749" t="s">
        <v>11</v>
      </c>
      <c r="D5" s="1749" t="s">
        <v>1949</v>
      </c>
      <c r="E5" s="1749" t="s">
        <v>12</v>
      </c>
      <c r="F5" s="1749" t="s">
        <v>15</v>
      </c>
      <c r="G5" s="1749" t="s">
        <v>13</v>
      </c>
      <c r="H5" s="1749" t="s">
        <v>1950</v>
      </c>
      <c r="I5" s="1749" t="s">
        <v>14</v>
      </c>
      <c r="J5" s="1749" t="s">
        <v>15</v>
      </c>
      <c r="K5" s="1749" t="s">
        <v>16</v>
      </c>
      <c r="L5" s="1749" t="s">
        <v>14</v>
      </c>
      <c r="M5" s="1749" t="s">
        <v>15</v>
      </c>
      <c r="N5" s="1749" t="s">
        <v>16</v>
      </c>
      <c r="O5" s="1749" t="s">
        <v>17</v>
      </c>
      <c r="P5" s="1749" t="s">
        <v>1951</v>
      </c>
      <c r="Q5" s="1749" t="s">
        <v>14</v>
      </c>
      <c r="R5" s="1749" t="s">
        <v>15</v>
      </c>
      <c r="S5" s="1749" t="s">
        <v>18</v>
      </c>
      <c r="T5" s="1753" t="s">
        <v>17</v>
      </c>
      <c r="U5" s="126" t="s">
        <v>19</v>
      </c>
      <c r="V5" s="43" t="s">
        <v>20</v>
      </c>
      <c r="W5" s="43" t="s">
        <v>21</v>
      </c>
      <c r="X5" s="43" t="s">
        <v>22</v>
      </c>
      <c r="Y5" s="44" t="s">
        <v>21</v>
      </c>
      <c r="Z5" s="43"/>
      <c r="AA5" s="45"/>
      <c r="AB5" s="46"/>
      <c r="AC5" s="505"/>
      <c r="AD5" s="505"/>
      <c r="AE5" s="505"/>
      <c r="AF5" s="505"/>
      <c r="AG5" s="505"/>
      <c r="AH5" s="505"/>
      <c r="AI5" s="505"/>
      <c r="AJ5" s="505"/>
      <c r="AK5" s="505"/>
      <c r="AL5" s="505"/>
      <c r="AM5" s="505"/>
      <c r="AN5" s="505"/>
      <c r="AO5" s="505"/>
      <c r="AP5" s="505"/>
      <c r="AQ5" s="505"/>
      <c r="AR5" s="505"/>
      <c r="AS5" s="505"/>
      <c r="AT5" s="505"/>
      <c r="AU5" s="505"/>
      <c r="AV5" s="505"/>
      <c r="AW5" s="505"/>
      <c r="AX5" s="505"/>
      <c r="AY5" s="505"/>
      <c r="AZ5" s="505"/>
      <c r="BA5" s="505"/>
      <c r="BB5" s="505"/>
      <c r="BC5" s="505"/>
      <c r="BD5" s="505"/>
      <c r="BE5" s="505"/>
      <c r="BF5" s="505"/>
      <c r="BG5" s="505"/>
      <c r="BH5" s="505"/>
      <c r="BI5" s="505"/>
      <c r="BJ5" s="505"/>
      <c r="BK5" s="505"/>
      <c r="BL5" s="505"/>
      <c r="BM5" s="505"/>
      <c r="BN5" s="505"/>
      <c r="BO5" s="505"/>
      <c r="BP5" s="505"/>
      <c r="BQ5" s="505"/>
    </row>
    <row r="6" spans="1:69" ht="18" customHeight="1">
      <c r="A6" s="1756" t="s">
        <v>23</v>
      </c>
      <c r="B6" s="1750" t="s">
        <v>24</v>
      </c>
      <c r="C6" s="1750"/>
      <c r="D6" s="1750"/>
      <c r="E6" s="1750" t="s">
        <v>25</v>
      </c>
      <c r="F6" s="1750"/>
      <c r="G6" s="1750"/>
      <c r="H6" s="1750" t="s">
        <v>26</v>
      </c>
      <c r="I6" s="1750" t="s">
        <v>25</v>
      </c>
      <c r="J6" s="1750"/>
      <c r="K6" s="1750" t="s">
        <v>27</v>
      </c>
      <c r="L6" s="1750" t="s">
        <v>25</v>
      </c>
      <c r="M6" s="1750"/>
      <c r="N6" s="1750" t="s">
        <v>27</v>
      </c>
      <c r="O6" s="1750"/>
      <c r="P6" s="1750" t="s">
        <v>26</v>
      </c>
      <c r="Q6" s="1750" t="s">
        <v>25</v>
      </c>
      <c r="R6" s="1750"/>
      <c r="S6" s="1750" t="s">
        <v>27</v>
      </c>
      <c r="T6" s="1754"/>
      <c r="U6" s="127" t="s">
        <v>26</v>
      </c>
      <c r="V6" s="47" t="s">
        <v>25</v>
      </c>
      <c r="W6" s="47" t="s">
        <v>27</v>
      </c>
      <c r="X6" s="47" t="s">
        <v>28</v>
      </c>
      <c r="Y6" s="49" t="s">
        <v>29</v>
      </c>
      <c r="Z6" s="47"/>
      <c r="AA6" s="50"/>
      <c r="AB6" s="51"/>
      <c r="AC6" s="505"/>
      <c r="AD6" s="505"/>
      <c r="AE6" s="505"/>
      <c r="AF6" s="505"/>
      <c r="AG6" s="505"/>
      <c r="AH6" s="505"/>
      <c r="AI6" s="505"/>
      <c r="AJ6" s="505"/>
      <c r="AK6" s="505"/>
      <c r="AL6" s="505"/>
      <c r="AM6" s="505"/>
      <c r="AN6" s="505"/>
      <c r="AO6" s="505"/>
      <c r="AP6" s="505"/>
      <c r="AQ6" s="505"/>
      <c r="AR6" s="505"/>
      <c r="AS6" s="505"/>
      <c r="AT6" s="505"/>
      <c r="AU6" s="505"/>
      <c r="AV6" s="505"/>
      <c r="AW6" s="505"/>
      <c r="AX6" s="505"/>
      <c r="AY6" s="505"/>
      <c r="AZ6" s="505"/>
      <c r="BA6" s="505"/>
      <c r="BB6" s="505"/>
      <c r="BC6" s="505"/>
      <c r="BD6" s="505"/>
      <c r="BE6" s="505"/>
      <c r="BF6" s="505"/>
      <c r="BG6" s="505"/>
      <c r="BH6" s="505"/>
      <c r="BI6" s="505"/>
      <c r="BJ6" s="505"/>
      <c r="BK6" s="505"/>
      <c r="BL6" s="505"/>
      <c r="BM6" s="505"/>
      <c r="BN6" s="505"/>
      <c r="BO6" s="505"/>
      <c r="BP6" s="505"/>
      <c r="BQ6" s="505"/>
    </row>
    <row r="7" spans="1:69" ht="18" customHeight="1">
      <c r="A7" s="1756" t="s">
        <v>30</v>
      </c>
      <c r="B7" s="1750" t="s">
        <v>31</v>
      </c>
      <c r="C7" s="1750"/>
      <c r="D7" s="1750"/>
      <c r="E7" s="1750"/>
      <c r="F7" s="1750"/>
      <c r="G7" s="1750"/>
      <c r="H7" s="1750" t="s">
        <v>32</v>
      </c>
      <c r="I7" s="1750"/>
      <c r="J7" s="1750"/>
      <c r="K7" s="1750"/>
      <c r="L7" s="1750"/>
      <c r="M7" s="1750"/>
      <c r="N7" s="1750"/>
      <c r="O7" s="1750"/>
      <c r="P7" s="1750" t="s">
        <v>32</v>
      </c>
      <c r="Q7" s="1750"/>
      <c r="R7" s="1750"/>
      <c r="S7" s="1750"/>
      <c r="T7" s="1754"/>
      <c r="U7" s="128" t="s">
        <v>32</v>
      </c>
      <c r="V7" s="594"/>
      <c r="W7" s="594"/>
      <c r="X7" s="594"/>
      <c r="Y7" s="48" t="s">
        <v>33</v>
      </c>
      <c r="Z7" s="594"/>
      <c r="AA7" s="595"/>
      <c r="AB7" s="46"/>
      <c r="AC7" s="505"/>
      <c r="AD7" s="505"/>
      <c r="AE7" s="505"/>
      <c r="AF7" s="505"/>
      <c r="AG7" s="505"/>
      <c r="AH7" s="505"/>
      <c r="AI7" s="505"/>
      <c r="AJ7" s="505"/>
      <c r="AK7" s="505"/>
      <c r="AL7" s="505"/>
      <c r="AM7" s="505"/>
      <c r="AN7" s="505"/>
      <c r="AO7" s="505"/>
      <c r="AP7" s="505"/>
      <c r="AQ7" s="505"/>
      <c r="AR7" s="505"/>
      <c r="AS7" s="505"/>
      <c r="AT7" s="505"/>
      <c r="AU7" s="505"/>
      <c r="AV7" s="505"/>
      <c r="AW7" s="505"/>
      <c r="AX7" s="505"/>
      <c r="AY7" s="505"/>
      <c r="AZ7" s="505"/>
      <c r="BA7" s="505"/>
      <c r="BB7" s="505"/>
      <c r="BC7" s="505"/>
      <c r="BD7" s="505"/>
      <c r="BE7" s="505"/>
      <c r="BF7" s="505"/>
      <c r="BG7" s="505"/>
      <c r="BH7" s="505"/>
      <c r="BI7" s="505"/>
      <c r="BJ7" s="505"/>
      <c r="BK7" s="505"/>
      <c r="BL7" s="505"/>
      <c r="BM7" s="505"/>
      <c r="BN7" s="505"/>
      <c r="BO7" s="505"/>
      <c r="BP7" s="505"/>
      <c r="BQ7" s="505"/>
    </row>
    <row r="8" spans="1:69" ht="18" customHeight="1">
      <c r="A8" s="1756"/>
      <c r="B8" s="1750"/>
      <c r="C8" s="1750"/>
      <c r="D8" s="1750"/>
      <c r="E8" s="1750" t="s">
        <v>34</v>
      </c>
      <c r="F8" s="1750"/>
      <c r="G8" s="1750" t="s">
        <v>35</v>
      </c>
      <c r="H8" s="1750" t="s">
        <v>36</v>
      </c>
      <c r="I8" s="1750" t="s">
        <v>37</v>
      </c>
      <c r="J8" s="1750"/>
      <c r="K8" s="1750" t="s">
        <v>35</v>
      </c>
      <c r="L8" s="1750" t="s">
        <v>37</v>
      </c>
      <c r="M8" s="1750"/>
      <c r="N8" s="1750" t="s">
        <v>35</v>
      </c>
      <c r="O8" s="1750" t="s">
        <v>38</v>
      </c>
      <c r="P8" s="1750" t="s">
        <v>36</v>
      </c>
      <c r="Q8" s="1750" t="s">
        <v>37</v>
      </c>
      <c r="R8" s="1750"/>
      <c r="S8" s="1750" t="s">
        <v>35</v>
      </c>
      <c r="T8" s="1754" t="s">
        <v>38</v>
      </c>
      <c r="U8" s="54" t="s">
        <v>36</v>
      </c>
      <c r="V8" s="52" t="s">
        <v>34</v>
      </c>
      <c r="W8" s="52" t="s">
        <v>35</v>
      </c>
      <c r="X8" s="52" t="s">
        <v>38</v>
      </c>
      <c r="Y8" s="53" t="s">
        <v>35</v>
      </c>
      <c r="Z8" s="52"/>
      <c r="AA8" s="55"/>
      <c r="AB8" s="46"/>
      <c r="AC8" s="505"/>
      <c r="AD8" s="505"/>
      <c r="AE8" s="505"/>
      <c r="AF8" s="505"/>
      <c r="AG8" s="505"/>
      <c r="AH8" s="505"/>
      <c r="AI8" s="505"/>
      <c r="AJ8" s="505"/>
      <c r="AK8" s="505"/>
      <c r="AL8" s="505"/>
      <c r="AM8" s="505"/>
      <c r="AN8" s="505"/>
      <c r="AO8" s="505"/>
      <c r="AP8" s="505"/>
      <c r="AQ8" s="505"/>
      <c r="AR8" s="505"/>
      <c r="AS8" s="505"/>
      <c r="AT8" s="505"/>
      <c r="AU8" s="505"/>
      <c r="AV8" s="505"/>
      <c r="AW8" s="505"/>
      <c r="AX8" s="505"/>
      <c r="AY8" s="505"/>
      <c r="AZ8" s="505"/>
      <c r="BA8" s="505"/>
      <c r="BB8" s="505"/>
      <c r="BC8" s="505"/>
      <c r="BD8" s="505"/>
      <c r="BE8" s="505"/>
      <c r="BF8" s="505"/>
      <c r="BG8" s="505"/>
      <c r="BH8" s="505"/>
      <c r="BI8" s="505"/>
      <c r="BJ8" s="505"/>
      <c r="BK8" s="505"/>
      <c r="BL8" s="505"/>
      <c r="BM8" s="505"/>
      <c r="BN8" s="505"/>
      <c r="BO8" s="505"/>
      <c r="BP8" s="505"/>
      <c r="BQ8" s="505"/>
    </row>
    <row r="9" spans="1:69" ht="18" customHeight="1">
      <c r="A9" s="1756"/>
      <c r="B9" s="1750"/>
      <c r="C9" s="1750"/>
      <c r="D9" s="1750"/>
      <c r="E9" s="1750"/>
      <c r="F9" s="1750"/>
      <c r="G9" s="1750"/>
      <c r="H9" s="1750" t="s">
        <v>39</v>
      </c>
      <c r="I9" s="1750"/>
      <c r="J9" s="1750"/>
      <c r="K9" s="1750"/>
      <c r="L9" s="1750"/>
      <c r="M9" s="1750"/>
      <c r="N9" s="1750"/>
      <c r="O9" s="1750"/>
      <c r="P9" s="1750" t="s">
        <v>39</v>
      </c>
      <c r="Q9" s="1750"/>
      <c r="R9" s="1750"/>
      <c r="S9" s="1750"/>
      <c r="T9" s="1754"/>
      <c r="U9" s="54" t="s">
        <v>40</v>
      </c>
      <c r="V9" s="52"/>
      <c r="W9" s="52"/>
      <c r="X9" s="52"/>
      <c r="Y9" s="53"/>
      <c r="Z9" s="52"/>
      <c r="AA9" s="55"/>
      <c r="AB9" s="46"/>
      <c r="AC9" s="505"/>
      <c r="AD9" s="505"/>
      <c r="AE9" s="505"/>
      <c r="AF9" s="505"/>
      <c r="AG9" s="505"/>
      <c r="AH9" s="505"/>
      <c r="AI9" s="505"/>
      <c r="AJ9" s="505"/>
      <c r="AK9" s="505"/>
      <c r="AL9" s="505"/>
      <c r="AM9" s="505"/>
      <c r="AN9" s="505"/>
      <c r="AO9" s="505"/>
      <c r="AP9" s="505"/>
      <c r="AQ9" s="505"/>
      <c r="AR9" s="505"/>
      <c r="AS9" s="505"/>
      <c r="AT9" s="505"/>
      <c r="AU9" s="505"/>
      <c r="AV9" s="505"/>
      <c r="AW9" s="505"/>
      <c r="AX9" s="505"/>
      <c r="AY9" s="505"/>
      <c r="AZ9" s="505"/>
      <c r="BA9" s="505"/>
      <c r="BB9" s="505"/>
      <c r="BC9" s="505"/>
      <c r="BD9" s="505"/>
      <c r="BE9" s="505"/>
      <c r="BF9" s="505"/>
      <c r="BG9" s="505"/>
      <c r="BH9" s="505"/>
      <c r="BI9" s="505"/>
      <c r="BJ9" s="505"/>
      <c r="BK9" s="505"/>
      <c r="BL9" s="505"/>
      <c r="BM9" s="505"/>
      <c r="BN9" s="505"/>
      <c r="BO9" s="505"/>
      <c r="BP9" s="505"/>
      <c r="BQ9" s="505"/>
    </row>
    <row r="10" spans="1:69">
      <c r="A10" s="296">
        <v>1</v>
      </c>
      <c r="B10" s="285">
        <v>2</v>
      </c>
      <c r="C10" s="285">
        <v>3</v>
      </c>
      <c r="D10" s="285">
        <v>4</v>
      </c>
      <c r="E10" s="285">
        <v>5</v>
      </c>
      <c r="F10" s="285"/>
      <c r="G10" s="285">
        <v>6</v>
      </c>
      <c r="H10" s="285">
        <v>7</v>
      </c>
      <c r="I10" s="285">
        <v>8</v>
      </c>
      <c r="J10" s="285">
        <v>9</v>
      </c>
      <c r="K10" s="285">
        <v>10</v>
      </c>
      <c r="L10" s="285">
        <v>11</v>
      </c>
      <c r="M10" s="285">
        <v>12</v>
      </c>
      <c r="N10" s="285">
        <v>13</v>
      </c>
      <c r="O10" s="285">
        <v>14</v>
      </c>
      <c r="P10" s="285">
        <v>15</v>
      </c>
      <c r="Q10" s="285">
        <v>16</v>
      </c>
      <c r="R10" s="285">
        <v>17</v>
      </c>
      <c r="S10" s="285">
        <v>18</v>
      </c>
      <c r="T10" s="297">
        <v>19</v>
      </c>
      <c r="U10" s="129">
        <v>16</v>
      </c>
      <c r="V10" s="56">
        <v>17</v>
      </c>
      <c r="W10" s="56">
        <v>18</v>
      </c>
      <c r="X10" s="56">
        <v>19</v>
      </c>
      <c r="Y10" s="57">
        <v>20</v>
      </c>
      <c r="Z10" s="56"/>
      <c r="AA10" s="58"/>
      <c r="AB10" s="46"/>
      <c r="AC10" s="505"/>
      <c r="AD10" s="505"/>
      <c r="AE10" s="505"/>
      <c r="AF10" s="505"/>
      <c r="AG10" s="505"/>
      <c r="AH10" s="505"/>
      <c r="AI10" s="505"/>
      <c r="AJ10" s="505"/>
      <c r="AK10" s="505"/>
      <c r="AL10" s="505"/>
      <c r="AM10" s="505"/>
      <c r="AN10" s="505"/>
      <c r="AO10" s="505"/>
      <c r="AP10" s="505"/>
      <c r="AQ10" s="505"/>
      <c r="AR10" s="505"/>
      <c r="AS10" s="505"/>
      <c r="AT10" s="505"/>
      <c r="AU10" s="505"/>
      <c r="AV10" s="505"/>
      <c r="AW10" s="505"/>
      <c r="AX10" s="505"/>
      <c r="AY10" s="505"/>
      <c r="AZ10" s="505"/>
      <c r="BA10" s="505"/>
      <c r="BB10" s="505"/>
      <c r="BC10" s="505"/>
      <c r="BD10" s="505"/>
      <c r="BE10" s="505"/>
      <c r="BF10" s="505"/>
      <c r="BG10" s="505"/>
      <c r="BH10" s="505"/>
      <c r="BI10" s="505"/>
      <c r="BJ10" s="505"/>
      <c r="BK10" s="505"/>
      <c r="BL10" s="505"/>
      <c r="BM10" s="505"/>
      <c r="BN10" s="505"/>
      <c r="BO10" s="505"/>
      <c r="BP10" s="505"/>
      <c r="BQ10" s="505"/>
    </row>
    <row r="11" spans="1:69">
      <c r="A11" s="596"/>
      <c r="B11" s="62"/>
      <c r="C11" s="597"/>
      <c r="D11" s="285"/>
      <c r="E11" s="573"/>
      <c r="F11" s="573"/>
      <c r="G11" s="285"/>
      <c r="H11" s="285"/>
      <c r="I11" s="285"/>
      <c r="J11" s="285"/>
      <c r="K11" s="285"/>
      <c r="L11" s="285"/>
      <c r="M11" s="285"/>
      <c r="N11" s="285"/>
      <c r="O11" s="285"/>
      <c r="P11" s="285"/>
      <c r="Q11" s="285"/>
      <c r="R11" s="285"/>
      <c r="S11" s="285"/>
      <c r="T11" s="297"/>
      <c r="U11" s="129"/>
      <c r="V11" s="56"/>
      <c r="W11" s="56"/>
      <c r="X11" s="56"/>
      <c r="Y11" s="598"/>
      <c r="Z11" s="56"/>
      <c r="AA11" s="58"/>
      <c r="AB11" s="505"/>
      <c r="AC11" s="505"/>
      <c r="AD11" s="503" t="s">
        <v>41</v>
      </c>
      <c r="AE11" s="505"/>
      <c r="AF11" s="505"/>
      <c r="AG11" s="505"/>
      <c r="AH11" s="505"/>
      <c r="AI11" s="505"/>
      <c r="AJ11" s="505"/>
      <c r="AK11" s="505"/>
      <c r="AL11" s="505"/>
      <c r="AM11" s="505"/>
      <c r="AN11" s="505"/>
      <c r="AO11" s="505"/>
      <c r="AP11" s="505"/>
      <c r="AQ11" s="505"/>
      <c r="AR11" s="505"/>
      <c r="AS11" s="505"/>
      <c r="AT11" s="505"/>
      <c r="AU11" s="505"/>
      <c r="AV11" s="505"/>
      <c r="AW11" s="505"/>
      <c r="AX11" s="505"/>
      <c r="AY11" s="505"/>
      <c r="AZ11" s="505"/>
      <c r="BA11" s="505"/>
      <c r="BB11" s="505"/>
      <c r="BC11" s="505"/>
      <c r="BD11" s="505"/>
      <c r="BE11" s="505"/>
      <c r="BF11" s="505"/>
      <c r="BG11" s="505"/>
      <c r="BH11" s="505"/>
      <c r="BI11" s="505"/>
      <c r="BJ11" s="505"/>
      <c r="BK11" s="505"/>
      <c r="BL11" s="505"/>
      <c r="BM11" s="505"/>
      <c r="BN11" s="505"/>
      <c r="BO11" s="505"/>
      <c r="BP11" s="505"/>
      <c r="BQ11" s="505"/>
    </row>
    <row r="12" spans="1:69">
      <c r="A12" s="596"/>
      <c r="B12" s="285" t="s">
        <v>42</v>
      </c>
      <c r="C12" s="597"/>
      <c r="D12" s="285"/>
      <c r="E12" s="573"/>
      <c r="F12" s="573"/>
      <c r="G12" s="285"/>
      <c r="H12" s="285"/>
      <c r="I12" s="285"/>
      <c r="J12" s="285"/>
      <c r="K12" s="285"/>
      <c r="L12" s="285"/>
      <c r="M12" s="285"/>
      <c r="N12" s="285"/>
      <c r="O12" s="285"/>
      <c r="P12" s="1293"/>
      <c r="Q12" s="285"/>
      <c r="R12" s="285"/>
      <c r="S12" s="285"/>
      <c r="T12" s="297"/>
      <c r="U12" s="129"/>
      <c r="V12" s="56"/>
      <c r="W12" s="56"/>
      <c r="X12" s="56"/>
      <c r="Y12" s="598"/>
      <c r="Z12" s="56"/>
      <c r="AA12" s="58"/>
      <c r="AB12" s="505"/>
      <c r="AC12" s="560" t="s">
        <v>43</v>
      </c>
      <c r="AD12" s="505"/>
      <c r="AE12" s="503"/>
      <c r="AF12" s="505"/>
      <c r="AG12" s="505"/>
      <c r="AH12" s="505"/>
      <c r="AI12" s="505"/>
      <c r="AJ12" s="505"/>
      <c r="AK12" s="505"/>
      <c r="AL12" s="505"/>
      <c r="AM12" s="505"/>
      <c r="AN12" s="505"/>
      <c r="AO12" s="505"/>
      <c r="AP12" s="505"/>
      <c r="AQ12" s="505"/>
      <c r="AR12" s="505"/>
      <c r="AS12" s="505"/>
      <c r="AT12" s="505"/>
      <c r="AU12" s="505"/>
      <c r="AV12" s="505"/>
      <c r="AW12" s="505"/>
      <c r="AX12" s="505"/>
      <c r="AY12" s="505"/>
      <c r="AZ12" s="505"/>
      <c r="BA12" s="505"/>
      <c r="BB12" s="505"/>
      <c r="BC12" s="505"/>
      <c r="BD12" s="505"/>
      <c r="BE12" s="505"/>
      <c r="BF12" s="505"/>
      <c r="BG12" s="505"/>
      <c r="BH12" s="505"/>
      <c r="BI12" s="505"/>
      <c r="BJ12" s="505"/>
      <c r="BK12" s="505"/>
      <c r="BL12" s="505"/>
      <c r="BM12" s="505"/>
      <c r="BN12" s="505"/>
      <c r="BO12" s="505"/>
      <c r="BP12" s="505"/>
      <c r="BQ12" s="505"/>
    </row>
    <row r="13" spans="1:69">
      <c r="A13" s="599">
        <v>1</v>
      </c>
      <c r="B13" s="573" t="s">
        <v>44</v>
      </c>
      <c r="C13" s="597" t="s">
        <v>45</v>
      </c>
      <c r="D13" s="286">
        <f>('T-2(21-22)'!C43-D14)</f>
        <v>1869420</v>
      </c>
      <c r="E13" s="286">
        <f>('T-2(21-22)'!D43-E14)</f>
        <v>1692387.1800000002</v>
      </c>
      <c r="F13" s="281"/>
      <c r="G13" s="600"/>
      <c r="H13" s="572">
        <f>('T-2(1st six mth)'!C42-H14)</f>
        <v>1901257</v>
      </c>
      <c r="I13" s="572">
        <f>('T-2(1st six mth)'!D42-I14)</f>
        <v>1711188.5830000001</v>
      </c>
      <c r="J13" s="600"/>
      <c r="K13" s="600"/>
      <c r="L13" s="572">
        <f>2089297.085+5659.5</f>
        <v>2094956.585</v>
      </c>
      <c r="M13" s="597"/>
      <c r="N13" s="600"/>
      <c r="O13" s="367"/>
      <c r="P13" s="572">
        <f>1900956+273+20000+80000</f>
        <v>2001229</v>
      </c>
      <c r="Q13" s="1018">
        <f>L13+(20000/2)+120000</f>
        <v>2224956.585</v>
      </c>
      <c r="R13" s="579"/>
      <c r="S13" s="600"/>
      <c r="T13" s="601"/>
      <c r="U13" s="129"/>
      <c r="V13" s="56"/>
      <c r="W13" s="56"/>
      <c r="X13" s="56"/>
      <c r="Y13" s="598"/>
      <c r="Z13" s="56"/>
      <c r="AA13" s="58"/>
      <c r="AB13" s="505"/>
      <c r="AC13" s="505"/>
      <c r="AD13" s="239"/>
      <c r="AE13" s="602"/>
      <c r="AF13" s="505"/>
      <c r="AG13" s="505"/>
      <c r="AH13" s="505"/>
      <c r="AI13" s="505"/>
      <c r="AJ13" s="505"/>
      <c r="AK13" s="505"/>
      <c r="AL13" s="505"/>
      <c r="AM13" s="505"/>
      <c r="AN13" s="505"/>
      <c r="AO13" s="505"/>
      <c r="AP13" s="505"/>
      <c r="AQ13" s="505"/>
      <c r="AR13" s="505"/>
      <c r="AS13" s="505"/>
      <c r="AT13" s="505"/>
      <c r="AU13" s="505"/>
      <c r="AV13" s="505"/>
      <c r="AW13" s="505"/>
      <c r="AX13" s="505"/>
      <c r="AY13" s="505"/>
      <c r="AZ13" s="505"/>
      <c r="BA13" s="505"/>
      <c r="BB13" s="505"/>
      <c r="BC13" s="505"/>
      <c r="BD13" s="505"/>
      <c r="BE13" s="505"/>
      <c r="BF13" s="505"/>
      <c r="BG13" s="505"/>
      <c r="BH13" s="505"/>
      <c r="BI13" s="505"/>
      <c r="BJ13" s="505"/>
      <c r="BK13" s="505"/>
      <c r="BL13" s="505"/>
      <c r="BM13" s="505"/>
      <c r="BN13" s="505"/>
      <c r="BO13" s="505"/>
      <c r="BP13" s="505"/>
      <c r="BQ13" s="505"/>
    </row>
    <row r="14" spans="1:69" ht="20.100000000000001" customHeight="1">
      <c r="A14" s="599" t="s">
        <v>46</v>
      </c>
      <c r="B14" s="603" t="s">
        <v>47</v>
      </c>
      <c r="C14" s="573"/>
      <c r="D14" s="572">
        <f>('T-2(21-22)'!C37)</f>
        <v>166958</v>
      </c>
      <c r="E14" s="572">
        <f>('T-2(21-22)'!D37)</f>
        <v>73715.19</v>
      </c>
      <c r="F14" s="600"/>
      <c r="G14" s="600">
        <f>'T-6'!H12</f>
        <v>45.554000000000002</v>
      </c>
      <c r="H14" s="572">
        <f>'T-2(1st six mth)'!C36</f>
        <v>136562</v>
      </c>
      <c r="I14" s="572">
        <f>'T-2(1st six mth)'!D36</f>
        <v>53621.29</v>
      </c>
      <c r="J14" s="600"/>
      <c r="K14" s="600">
        <f>'T-6 (six mth)'!H12</f>
        <v>13.637372999999998</v>
      </c>
      <c r="L14" s="572">
        <v>53621.950000000004</v>
      </c>
      <c r="M14" s="600"/>
      <c r="N14" s="600">
        <v>26</v>
      </c>
      <c r="O14" s="368">
        <f>(N14-G14)/G14</f>
        <v>-0.42924880361768453</v>
      </c>
      <c r="P14" s="572">
        <f>146562-20000</f>
        <v>126562</v>
      </c>
      <c r="Q14" s="1018">
        <f>73281-(20000/2)</f>
        <v>63281</v>
      </c>
      <c r="R14" s="1055"/>
      <c r="S14" s="600">
        <v>30</v>
      </c>
      <c r="T14" s="416">
        <f>(S14-N14)/N14</f>
        <v>0.15384615384615385</v>
      </c>
      <c r="U14" s="129"/>
      <c r="V14" s="56"/>
      <c r="W14" s="56"/>
      <c r="X14" s="56"/>
      <c r="Y14" s="598"/>
      <c r="Z14" s="56"/>
      <c r="AA14" s="58"/>
      <c r="AC14" s="505" t="s">
        <v>48</v>
      </c>
      <c r="AD14" s="604">
        <f>P14</f>
        <v>126562</v>
      </c>
      <c r="AE14" s="503"/>
      <c r="AF14" s="505"/>
      <c r="AG14" s="505"/>
      <c r="AH14" s="505"/>
      <c r="AI14" s="505"/>
      <c r="AJ14" s="505"/>
      <c r="AK14" s="505"/>
      <c r="AL14" s="505"/>
      <c r="AM14" s="505"/>
      <c r="AN14" s="505"/>
      <c r="AO14" s="505"/>
      <c r="AP14" s="505"/>
      <c r="AQ14" s="505"/>
      <c r="AR14" s="505"/>
      <c r="AS14" s="505"/>
      <c r="AT14" s="505"/>
      <c r="AU14" s="505"/>
      <c r="AV14" s="505"/>
      <c r="AW14" s="505"/>
      <c r="AX14" s="505"/>
      <c r="AY14" s="505"/>
      <c r="AZ14" s="505"/>
      <c r="BA14" s="505"/>
      <c r="BB14" s="505"/>
      <c r="BC14" s="505"/>
      <c r="BD14" s="505"/>
      <c r="BE14" s="505"/>
      <c r="BF14" s="505"/>
      <c r="BG14" s="505"/>
      <c r="BH14" s="505"/>
      <c r="BI14" s="505"/>
      <c r="BJ14" s="505"/>
      <c r="BK14" s="505"/>
      <c r="BL14" s="505"/>
      <c r="BM14" s="505"/>
      <c r="BN14" s="505"/>
      <c r="BO14" s="505"/>
      <c r="BP14" s="505"/>
      <c r="BQ14" s="505"/>
    </row>
    <row r="15" spans="1:69">
      <c r="A15" s="599" t="s">
        <v>49</v>
      </c>
      <c r="B15" s="603" t="s">
        <v>50</v>
      </c>
      <c r="C15" s="573"/>
      <c r="D15" s="572"/>
      <c r="E15" s="572"/>
      <c r="F15" s="600"/>
      <c r="G15" s="600"/>
      <c r="H15" s="572"/>
      <c r="I15" s="572"/>
      <c r="J15" s="600"/>
      <c r="K15" s="600"/>
      <c r="L15" s="600"/>
      <c r="M15" s="600"/>
      <c r="N15" s="600"/>
      <c r="O15" s="368"/>
      <c r="P15" s="572"/>
      <c r="Q15" s="572"/>
      <c r="R15" s="600"/>
      <c r="S15" s="600"/>
      <c r="T15" s="1056"/>
      <c r="U15" s="129"/>
      <c r="V15" s="56"/>
      <c r="W15" s="56"/>
      <c r="X15" s="56"/>
      <c r="Y15" s="598"/>
      <c r="Z15" s="56"/>
      <c r="AA15" s="58"/>
      <c r="AD15" s="505"/>
      <c r="AE15" s="505"/>
      <c r="AF15" s="505"/>
      <c r="AG15" s="505"/>
      <c r="AH15" s="505"/>
      <c r="AI15" s="505"/>
      <c r="AJ15" s="505"/>
      <c r="AK15" s="505"/>
      <c r="AL15" s="505"/>
      <c r="AM15" s="505"/>
      <c r="AN15" s="505"/>
      <c r="AO15" s="505"/>
      <c r="AP15" s="505"/>
      <c r="AQ15" s="505"/>
      <c r="AR15" s="505"/>
      <c r="AS15" s="505"/>
      <c r="AT15" s="505"/>
      <c r="AU15" s="505"/>
      <c r="AV15" s="505"/>
      <c r="AW15" s="505"/>
      <c r="AX15" s="505"/>
      <c r="AY15" s="505"/>
      <c r="AZ15" s="505"/>
      <c r="BA15" s="505"/>
      <c r="BB15" s="505"/>
      <c r="BC15" s="505"/>
      <c r="BD15" s="505"/>
      <c r="BE15" s="505"/>
      <c r="BF15" s="505"/>
      <c r="BG15" s="505"/>
      <c r="BH15" s="505"/>
      <c r="BI15" s="505"/>
      <c r="BJ15" s="505"/>
      <c r="BK15" s="505"/>
      <c r="BL15" s="505"/>
      <c r="BM15" s="505"/>
      <c r="BN15" s="505"/>
      <c r="BO15" s="505"/>
      <c r="BP15" s="505"/>
      <c r="BQ15" s="505"/>
    </row>
    <row r="16" spans="1:69">
      <c r="A16" s="599"/>
      <c r="B16" s="603" t="s">
        <v>51</v>
      </c>
      <c r="C16" s="573"/>
      <c r="D16" s="572"/>
      <c r="E16" s="286"/>
      <c r="F16" s="281"/>
      <c r="G16" s="600">
        <f>'T-6'!H14</f>
        <v>202.21553669089846</v>
      </c>
      <c r="H16" s="572"/>
      <c r="I16" s="572"/>
      <c r="J16" s="600"/>
      <c r="K16" s="600">
        <f>'T-6 (six mth)'!H14</f>
        <v>98.769559344578553</v>
      </c>
      <c r="L16" s="231"/>
      <c r="M16" s="281"/>
      <c r="N16" s="600">
        <f>(1900/SUM($K$16:$K$19)*K16)</f>
        <v>177.90609977175356</v>
      </c>
      <c r="O16" s="368"/>
      <c r="P16" s="572"/>
      <c r="Q16" s="286"/>
      <c r="R16" s="281"/>
      <c r="S16" s="600">
        <f>2084/SUM($N$16:$N$19)*N16+40</f>
        <v>234.28108676308557</v>
      </c>
      <c r="T16" s="1056"/>
      <c r="U16" s="129"/>
      <c r="V16" s="56"/>
      <c r="W16" s="56"/>
      <c r="X16" s="56"/>
      <c r="Y16" s="598"/>
      <c r="Z16" s="56"/>
      <c r="AA16" s="58"/>
      <c r="AC16" s="505" t="s">
        <v>52</v>
      </c>
      <c r="AD16" s="565">
        <f>((AD13+AD14+AD15)*30*12)/1000000*0+140</f>
        <v>140</v>
      </c>
      <c r="AE16" s="505"/>
      <c r="AF16" s="503"/>
      <c r="AG16" s="505"/>
      <c r="AH16" s="505"/>
      <c r="AI16" s="505"/>
      <c r="AJ16" s="505"/>
      <c r="AK16" s="505"/>
      <c r="AL16" s="505"/>
      <c r="AM16" s="505"/>
      <c r="AN16" s="505"/>
      <c r="AO16" s="505"/>
      <c r="AP16" s="505"/>
      <c r="AQ16" s="505"/>
      <c r="AR16" s="505"/>
      <c r="AS16" s="505"/>
      <c r="AT16" s="505"/>
      <c r="AU16" s="505"/>
      <c r="AV16" s="505"/>
      <c r="AW16" s="505"/>
      <c r="AX16" s="505"/>
      <c r="AY16" s="505"/>
      <c r="AZ16" s="505"/>
      <c r="BA16" s="505"/>
      <c r="BB16" s="505"/>
      <c r="BC16" s="505"/>
      <c r="BD16" s="505"/>
      <c r="BE16" s="505"/>
      <c r="BF16" s="505"/>
      <c r="BG16" s="505"/>
      <c r="BH16" s="505"/>
      <c r="BI16" s="505"/>
      <c r="BJ16" s="505"/>
      <c r="BK16" s="505"/>
      <c r="BL16" s="505"/>
      <c r="BM16" s="505"/>
      <c r="BN16" s="505"/>
      <c r="BO16" s="505"/>
      <c r="BP16" s="505"/>
      <c r="BQ16" s="505"/>
    </row>
    <row r="17" spans="1:69">
      <c r="A17" s="599"/>
      <c r="B17" s="603" t="s">
        <v>53</v>
      </c>
      <c r="C17" s="573"/>
      <c r="D17" s="572"/>
      <c r="E17" s="286"/>
      <c r="F17" s="281"/>
      <c r="G17" s="600">
        <f>'T-6'!H15</f>
        <v>679.77886340303871</v>
      </c>
      <c r="H17" s="572"/>
      <c r="I17" s="572"/>
      <c r="J17" s="600"/>
      <c r="K17" s="600">
        <f>'T-6 (six mth)'!H15</f>
        <v>392.55492581902934</v>
      </c>
      <c r="L17" s="231"/>
      <c r="M17" s="281"/>
      <c r="N17" s="600">
        <f>(1900/SUM($K$16:$K$19)*K17)</f>
        <v>707.0793497722226</v>
      </c>
      <c r="O17" s="368"/>
      <c r="P17" s="572"/>
      <c r="Q17" s="286"/>
      <c r="R17" s="281"/>
      <c r="S17" s="600">
        <f>2084/SUM($N$16:$N$19)*N17+30</f>
        <v>802.16095838043941</v>
      </c>
      <c r="T17" s="1056"/>
      <c r="U17" s="129"/>
      <c r="V17" s="56"/>
      <c r="W17" s="56"/>
      <c r="X17" s="56"/>
      <c r="Y17" s="598"/>
      <c r="Z17" s="56"/>
      <c r="AA17" s="58"/>
      <c r="AC17" s="505"/>
      <c r="AD17" s="565"/>
      <c r="AE17" s="565"/>
      <c r="AF17" s="503"/>
      <c r="AG17" s="505"/>
      <c r="AH17" s="505"/>
      <c r="AI17" s="505"/>
      <c r="AJ17" s="505"/>
      <c r="AK17" s="505"/>
      <c r="AL17" s="505"/>
      <c r="AM17" s="505"/>
      <c r="AN17" s="505"/>
      <c r="AO17" s="505"/>
      <c r="AP17" s="505"/>
      <c r="AQ17" s="505"/>
      <c r="AR17" s="505"/>
      <c r="AS17" s="505"/>
      <c r="AT17" s="505"/>
      <c r="AU17" s="505"/>
      <c r="AV17" s="505"/>
      <c r="AW17" s="505"/>
      <c r="AX17" s="505"/>
      <c r="AY17" s="505"/>
      <c r="AZ17" s="505"/>
      <c r="BA17" s="505"/>
      <c r="BB17" s="505"/>
      <c r="BC17" s="505"/>
      <c r="BD17" s="505"/>
      <c r="BE17" s="505"/>
      <c r="BF17" s="505"/>
      <c r="BG17" s="505"/>
      <c r="BH17" s="505"/>
      <c r="BI17" s="505"/>
      <c r="BJ17" s="505"/>
      <c r="BK17" s="505"/>
      <c r="BL17" s="505"/>
      <c r="BM17" s="505"/>
      <c r="BN17" s="505"/>
      <c r="BO17" s="505"/>
      <c r="BP17" s="505"/>
      <c r="BQ17" s="505"/>
    </row>
    <row r="18" spans="1:69">
      <c r="A18" s="599"/>
      <c r="B18" s="603" t="s">
        <v>54</v>
      </c>
      <c r="C18" s="573"/>
      <c r="D18" s="572"/>
      <c r="E18" s="286"/>
      <c r="F18" s="281"/>
      <c r="G18" s="600">
        <f>'T-6'!H16</f>
        <v>422.08107321732939</v>
      </c>
      <c r="H18" s="572"/>
      <c r="I18" s="572"/>
      <c r="J18" s="600"/>
      <c r="K18" s="600">
        <f>'T-6 (six mth)'!H16</f>
        <v>263.33051871335692</v>
      </c>
      <c r="L18" s="231"/>
      <c r="M18" s="281"/>
      <c r="N18" s="600">
        <f>(1900/SUM($K$16:$K$19)*K18)</f>
        <v>474.31724760182988</v>
      </c>
      <c r="O18" s="368"/>
      <c r="P18" s="572"/>
      <c r="Q18" s="286"/>
      <c r="R18" s="281"/>
      <c r="S18" s="600">
        <f>2084/SUM($N$16:$N$19)*N18-30</f>
        <v>487.97476563639441</v>
      </c>
      <c r="T18" s="1056"/>
      <c r="U18" s="129"/>
      <c r="V18" s="56"/>
      <c r="W18" s="56"/>
      <c r="X18" s="56"/>
      <c r="Y18" s="598"/>
      <c r="Z18" s="56"/>
      <c r="AA18" s="58"/>
      <c r="AC18" s="505"/>
      <c r="AD18" s="565"/>
      <c r="AE18" s="505"/>
      <c r="AF18" s="503"/>
      <c r="AG18" s="505"/>
      <c r="AH18" s="505"/>
      <c r="AI18" s="505"/>
      <c r="AJ18" s="505"/>
      <c r="AK18" s="505"/>
      <c r="AL18" s="505"/>
      <c r="AM18" s="505"/>
      <c r="AN18" s="505"/>
      <c r="AO18" s="505"/>
      <c r="AP18" s="505"/>
      <c r="AQ18" s="505"/>
      <c r="AR18" s="505"/>
      <c r="AS18" s="505"/>
      <c r="AT18" s="505"/>
      <c r="AU18" s="505"/>
      <c r="AV18" s="505"/>
      <c r="AW18" s="505"/>
      <c r="AX18" s="505"/>
      <c r="AY18" s="505"/>
      <c r="AZ18" s="505"/>
      <c r="BA18" s="505"/>
      <c r="BB18" s="505"/>
      <c r="BC18" s="505"/>
      <c r="BD18" s="505"/>
      <c r="BE18" s="505"/>
      <c r="BF18" s="505"/>
      <c r="BG18" s="505"/>
      <c r="BH18" s="505"/>
      <c r="BI18" s="505"/>
      <c r="BJ18" s="505"/>
      <c r="BK18" s="505"/>
      <c r="BL18" s="505"/>
      <c r="BM18" s="505"/>
      <c r="BN18" s="505"/>
      <c r="BO18" s="505"/>
      <c r="BP18" s="505"/>
      <c r="BQ18" s="505"/>
    </row>
    <row r="19" spans="1:69">
      <c r="A19" s="599"/>
      <c r="B19" s="603" t="s">
        <v>55</v>
      </c>
      <c r="C19" s="573"/>
      <c r="D19" s="572"/>
      <c r="E19" s="286"/>
      <c r="F19" s="281"/>
      <c r="G19" s="600">
        <f>'T-6'!H17</f>
        <v>479.42052668542442</v>
      </c>
      <c r="H19" s="572"/>
      <c r="I19" s="572"/>
      <c r="J19" s="600"/>
      <c r="K19" s="600">
        <f>'T-6 (six mth)'!H17</f>
        <v>300.18326752273612</v>
      </c>
      <c r="L19" s="231"/>
      <c r="M19" s="281"/>
      <c r="N19" s="600">
        <f>(1900/SUM($K$16:$K$19)*K19)+8.35</f>
        <v>549.04730285419407</v>
      </c>
      <c r="O19" s="368"/>
      <c r="P19" s="572"/>
      <c r="Q19" s="286"/>
      <c r="R19" s="281"/>
      <c r="S19" s="600">
        <f>2084/SUM($N$16:$N$19)*N19-40</f>
        <v>559.58318922008027</v>
      </c>
      <c r="T19" s="1056"/>
      <c r="U19" s="129"/>
      <c r="V19" s="56"/>
      <c r="W19" s="56"/>
      <c r="X19" s="56"/>
      <c r="Y19" s="598"/>
      <c r="Z19" s="56"/>
      <c r="AA19" s="58"/>
      <c r="AD19" s="125"/>
      <c r="AE19" s="505"/>
      <c r="AF19" s="503"/>
      <c r="AG19" s="505"/>
      <c r="AH19" s="505"/>
      <c r="AI19" s="505"/>
      <c r="AJ19" s="505"/>
      <c r="AK19" s="505"/>
      <c r="AL19" s="505"/>
      <c r="AM19" s="505"/>
      <c r="AN19" s="505"/>
      <c r="AO19" s="505"/>
      <c r="AP19" s="505"/>
      <c r="AQ19" s="505"/>
      <c r="AR19" s="505"/>
      <c r="AS19" s="505"/>
      <c r="AT19" s="505"/>
      <c r="AU19" s="505"/>
      <c r="AV19" s="505"/>
      <c r="AW19" s="505"/>
      <c r="AX19" s="505"/>
      <c r="AY19" s="505"/>
      <c r="AZ19" s="505"/>
      <c r="BA19" s="505"/>
      <c r="BB19" s="505"/>
      <c r="BC19" s="505"/>
      <c r="BD19" s="505"/>
      <c r="BE19" s="505"/>
      <c r="BF19" s="505"/>
      <c r="BG19" s="505"/>
      <c r="BH19" s="505"/>
      <c r="BI19" s="505"/>
      <c r="BJ19" s="505"/>
      <c r="BK19" s="505"/>
      <c r="BL19" s="505"/>
      <c r="BM19" s="505"/>
      <c r="BN19" s="505"/>
      <c r="BO19" s="505"/>
      <c r="BP19" s="505"/>
      <c r="BQ19" s="505"/>
    </row>
    <row r="20" spans="1:69">
      <c r="A20" s="599"/>
      <c r="B20" s="573" t="s">
        <v>56</v>
      </c>
      <c r="C20" s="282"/>
      <c r="D20" s="286">
        <f t="shared" ref="D20:L20" si="0">SUM(D13:D19)</f>
        <v>2036378</v>
      </c>
      <c r="E20" s="286">
        <f t="shared" si="0"/>
        <v>1766102.37</v>
      </c>
      <c r="F20" s="281"/>
      <c r="G20" s="281">
        <f>SUM(G13:G19)</f>
        <v>1829.049999996691</v>
      </c>
      <c r="H20" s="286">
        <f t="shared" si="0"/>
        <v>2037819</v>
      </c>
      <c r="I20" s="286">
        <f t="shared" si="0"/>
        <v>1764809.8730000001</v>
      </c>
      <c r="J20" s="281"/>
      <c r="K20" s="281">
        <f>SUM(K13:K19)</f>
        <v>1068.475644399701</v>
      </c>
      <c r="L20" s="286">
        <f t="shared" si="0"/>
        <v>2148578.5350000001</v>
      </c>
      <c r="M20" s="281"/>
      <c r="N20" s="281">
        <f>SUM(N13:N19)</f>
        <v>1934.3500000000004</v>
      </c>
      <c r="O20" s="368">
        <f>(N20-G20)/G20</f>
        <v>5.7570870125748276E-2</v>
      </c>
      <c r="P20" s="286">
        <f>SUM(P13:P19)</f>
        <v>2127791</v>
      </c>
      <c r="Q20" s="286">
        <f>SUM(Q13:Q19)</f>
        <v>2288237.585</v>
      </c>
      <c r="R20" s="281"/>
      <c r="S20" s="281">
        <f>SUM(S13:S19)</f>
        <v>2113.9999999999995</v>
      </c>
      <c r="T20" s="416">
        <f>((S20-N20)/N20)</f>
        <v>9.2873575102747255E-2</v>
      </c>
      <c r="U20" s="129"/>
      <c r="V20" s="56"/>
      <c r="W20" s="56"/>
      <c r="X20" s="56"/>
      <c r="Y20" s="598"/>
      <c r="Z20" s="56"/>
      <c r="AA20" s="58"/>
      <c r="AE20" s="505"/>
      <c r="AF20" s="503"/>
      <c r="AG20" s="505"/>
      <c r="AH20" s="505"/>
      <c r="AI20" s="505"/>
      <c r="AJ20" s="505"/>
      <c r="AK20" s="505"/>
      <c r="AL20" s="505"/>
      <c r="AM20" s="505"/>
      <c r="AN20" s="505"/>
      <c r="AO20" s="505"/>
      <c r="AP20" s="505"/>
      <c r="AQ20" s="505"/>
      <c r="AR20" s="505"/>
      <c r="AS20" s="505"/>
      <c r="AT20" s="505"/>
      <c r="AU20" s="505"/>
      <c r="AV20" s="505"/>
      <c r="AW20" s="505"/>
      <c r="AX20" s="505"/>
      <c r="AY20" s="505"/>
      <c r="AZ20" s="505"/>
      <c r="BA20" s="505"/>
      <c r="BB20" s="505"/>
      <c r="BC20" s="505"/>
      <c r="BD20" s="505"/>
      <c r="BE20" s="505"/>
      <c r="BF20" s="505"/>
      <c r="BG20" s="505"/>
      <c r="BH20" s="505"/>
      <c r="BI20" s="505"/>
      <c r="BJ20" s="505"/>
      <c r="BK20" s="505"/>
      <c r="BL20" s="505"/>
      <c r="BM20" s="505"/>
      <c r="BN20" s="505"/>
      <c r="BO20" s="505"/>
      <c r="BP20" s="505"/>
      <c r="BQ20" s="505"/>
    </row>
    <row r="21" spans="1:69">
      <c r="A21" s="599">
        <v>2</v>
      </c>
      <c r="B21" s="573" t="s">
        <v>57</v>
      </c>
      <c r="C21" s="597" t="s">
        <v>45</v>
      </c>
      <c r="D21" s="572"/>
      <c r="E21" s="572"/>
      <c r="F21" s="600"/>
      <c r="G21" s="600"/>
      <c r="H21" s="572"/>
      <c r="I21" s="572"/>
      <c r="J21" s="600"/>
      <c r="K21" s="600"/>
      <c r="L21" s="597"/>
      <c r="M21" s="600"/>
      <c r="N21" s="600"/>
      <c r="O21" s="368"/>
      <c r="P21" s="572"/>
      <c r="Q21" s="572"/>
      <c r="R21" s="600"/>
      <c r="S21" s="600"/>
      <c r="T21" s="1056"/>
      <c r="U21" s="129"/>
      <c r="V21" s="56"/>
      <c r="W21" s="56"/>
      <c r="X21" s="56"/>
      <c r="Y21" s="598"/>
      <c r="Z21" s="56"/>
      <c r="AA21" s="58"/>
      <c r="AB21" s="505"/>
      <c r="AE21" s="505"/>
      <c r="AF21" s="505"/>
      <c r="AG21" s="505"/>
      <c r="AH21" s="505"/>
      <c r="AI21" s="505"/>
      <c r="AJ21" s="505"/>
      <c r="AK21" s="505"/>
      <c r="AL21" s="505"/>
      <c r="AM21" s="505"/>
      <c r="AN21" s="505"/>
      <c r="AO21" s="505"/>
      <c r="AP21" s="505"/>
      <c r="AQ21" s="505"/>
      <c r="AR21" s="505"/>
      <c r="AS21" s="505"/>
      <c r="AT21" s="505"/>
      <c r="AU21" s="505"/>
      <c r="AV21" s="505"/>
      <c r="AW21" s="505"/>
      <c r="AX21" s="505"/>
      <c r="AY21" s="505"/>
      <c r="AZ21" s="505"/>
      <c r="BA21" s="505"/>
      <c r="BB21" s="505"/>
      <c r="BC21" s="505"/>
      <c r="BD21" s="505"/>
      <c r="BE21" s="505"/>
      <c r="BF21" s="505"/>
      <c r="BG21" s="505"/>
      <c r="BH21" s="505"/>
      <c r="BI21" s="505"/>
      <c r="BJ21" s="505"/>
      <c r="BK21" s="505"/>
      <c r="BL21" s="505"/>
      <c r="BM21" s="505"/>
      <c r="BN21" s="505"/>
      <c r="BO21" s="505"/>
      <c r="BP21" s="505"/>
      <c r="BQ21" s="505"/>
    </row>
    <row r="22" spans="1:69">
      <c r="A22" s="599"/>
      <c r="B22" s="603" t="s">
        <v>58</v>
      </c>
      <c r="C22" s="597"/>
      <c r="D22" s="572"/>
      <c r="E22" s="572"/>
      <c r="F22" s="600"/>
      <c r="G22" s="600"/>
      <c r="H22" s="572"/>
      <c r="I22" s="572"/>
      <c r="J22" s="600"/>
      <c r="K22" s="600"/>
      <c r="L22" s="597"/>
      <c r="M22" s="600"/>
      <c r="N22" s="600"/>
      <c r="O22" s="368"/>
      <c r="P22" s="572"/>
      <c r="Q22" s="572"/>
      <c r="R22" s="600"/>
      <c r="S22" s="600"/>
      <c r="T22" s="1056"/>
      <c r="U22" s="129"/>
      <c r="V22" s="56"/>
      <c r="W22" s="56"/>
      <c r="X22" s="56"/>
      <c r="Y22" s="598"/>
      <c r="Z22" s="56"/>
      <c r="AA22" s="58"/>
      <c r="AB22" s="505"/>
      <c r="AE22" s="565"/>
      <c r="AF22" s="505"/>
      <c r="AG22" s="505"/>
      <c r="AH22" s="505"/>
      <c r="AI22" s="505"/>
      <c r="AJ22" s="505"/>
      <c r="AK22" s="505"/>
      <c r="AL22" s="505"/>
      <c r="AM22" s="505"/>
      <c r="AN22" s="505"/>
      <c r="AO22" s="505"/>
      <c r="AP22" s="505"/>
      <c r="AQ22" s="505"/>
      <c r="AR22" s="505"/>
      <c r="AS22" s="505"/>
      <c r="AT22" s="505"/>
      <c r="AU22" s="505"/>
      <c r="AV22" s="505"/>
      <c r="AW22" s="505"/>
      <c r="AX22" s="505"/>
      <c r="AY22" s="505"/>
      <c r="AZ22" s="505"/>
      <c r="BA22" s="505"/>
      <c r="BB22" s="505"/>
      <c r="BC22" s="505"/>
      <c r="BD22" s="505"/>
      <c r="BE22" s="505"/>
      <c r="BF22" s="505"/>
      <c r="BG22" s="505"/>
      <c r="BH22" s="505"/>
      <c r="BI22" s="505"/>
      <c r="BJ22" s="505"/>
      <c r="BK22" s="505"/>
      <c r="BL22" s="505"/>
      <c r="BM22" s="505"/>
      <c r="BN22" s="505"/>
      <c r="BO22" s="505"/>
      <c r="BP22" s="505"/>
      <c r="BQ22" s="505"/>
    </row>
    <row r="23" spans="1:69">
      <c r="A23" s="599"/>
      <c r="B23" s="603" t="s">
        <v>59</v>
      </c>
      <c r="C23" s="597"/>
      <c r="D23" s="572"/>
      <c r="E23" s="572"/>
      <c r="F23" s="600"/>
      <c r="G23" s="600">
        <f>'T-6'!H22</f>
        <v>20.185625225724465</v>
      </c>
      <c r="H23" s="572"/>
      <c r="I23" s="572"/>
      <c r="J23" s="600"/>
      <c r="K23" s="600">
        <f>'T-6 (six mth)'!H23</f>
        <v>9.2851830427775113</v>
      </c>
      <c r="L23" s="597"/>
      <c r="M23" s="600"/>
      <c r="N23" s="600">
        <f>450/SUM($K$23:$K$25)*K23</f>
        <v>17.624128173881967</v>
      </c>
      <c r="O23" s="1054"/>
      <c r="P23" s="572"/>
      <c r="Q23" s="572"/>
      <c r="R23" s="600"/>
      <c r="S23" s="600">
        <f>465/SUM($N$23:$N$25)*N23</f>
        <v>18.211599113011367</v>
      </c>
      <c r="T23" s="1056"/>
      <c r="U23" s="129"/>
      <c r="V23" s="56"/>
      <c r="W23" s="56"/>
      <c r="X23" s="56"/>
      <c r="Y23" s="598"/>
      <c r="Z23" s="56"/>
      <c r="AA23" s="58"/>
      <c r="AB23" s="505"/>
      <c r="AE23" s="565"/>
      <c r="AF23" s="505"/>
      <c r="AG23" s="505"/>
      <c r="AH23" s="505"/>
      <c r="AI23" s="505"/>
      <c r="AJ23" s="505"/>
      <c r="AK23" s="505"/>
      <c r="AL23" s="505"/>
      <c r="AM23" s="505"/>
      <c r="AN23" s="505"/>
      <c r="AO23" s="505"/>
      <c r="AP23" s="505"/>
      <c r="AQ23" s="505"/>
      <c r="AR23" s="505"/>
      <c r="AS23" s="505"/>
      <c r="AT23" s="505"/>
      <c r="AU23" s="505"/>
      <c r="AV23" s="505"/>
      <c r="AW23" s="505"/>
      <c r="AX23" s="505"/>
      <c r="AY23" s="505"/>
      <c r="AZ23" s="505"/>
      <c r="BA23" s="505"/>
      <c r="BB23" s="505"/>
      <c r="BC23" s="505"/>
      <c r="BD23" s="505"/>
      <c r="BE23" s="505"/>
      <c r="BF23" s="505"/>
      <c r="BG23" s="505"/>
      <c r="BH23" s="505"/>
      <c r="BI23" s="505"/>
      <c r="BJ23" s="505"/>
      <c r="BK23" s="505"/>
      <c r="BL23" s="505"/>
      <c r="BM23" s="505"/>
      <c r="BN23" s="505"/>
      <c r="BO23" s="505"/>
      <c r="BP23" s="505"/>
      <c r="BQ23" s="505"/>
    </row>
    <row r="24" spans="1:69">
      <c r="A24" s="599"/>
      <c r="B24" s="603" t="s">
        <v>60</v>
      </c>
      <c r="C24" s="573"/>
      <c r="D24" s="572"/>
      <c r="E24" s="572"/>
      <c r="F24" s="600"/>
      <c r="G24" s="600">
        <f>'T-6'!H23</f>
        <v>46.846185285166719</v>
      </c>
      <c r="H24" s="572"/>
      <c r="I24" s="572"/>
      <c r="J24" s="600"/>
      <c r="K24" s="600">
        <f>'T-6 (six mth)'!H24</f>
        <v>26.650537796502679</v>
      </c>
      <c r="L24" s="597"/>
      <c r="M24" s="600"/>
      <c r="N24" s="600">
        <f>450/SUM($K$23:$K$25)*K24</f>
        <v>50.585162604177185</v>
      </c>
      <c r="O24" s="368"/>
      <c r="P24" s="572"/>
      <c r="Q24" s="572"/>
      <c r="R24" s="600"/>
      <c r="S24" s="600">
        <f>465/SUM($N$23:$N$25)*N24</f>
        <v>52.271334690983096</v>
      </c>
      <c r="T24" s="1056"/>
      <c r="U24" s="129"/>
      <c r="V24" s="56"/>
      <c r="W24" s="56"/>
      <c r="X24" s="56"/>
      <c r="Y24" s="598"/>
      <c r="Z24" s="56"/>
      <c r="AA24" s="58"/>
      <c r="AB24" s="505"/>
      <c r="AE24" s="565"/>
      <c r="AF24" s="505"/>
      <c r="AG24" s="505"/>
      <c r="AH24" s="505"/>
      <c r="AI24" s="505"/>
      <c r="AJ24" s="505"/>
      <c r="AK24" s="505"/>
      <c r="AL24" s="505"/>
      <c r="AM24" s="505"/>
      <c r="AN24" s="505"/>
      <c r="AO24" s="505"/>
      <c r="AP24" s="505"/>
      <c r="AQ24" s="505"/>
      <c r="AR24" s="505"/>
      <c r="AS24" s="505"/>
      <c r="AT24" s="505"/>
      <c r="AU24" s="505"/>
      <c r="AV24" s="505"/>
      <c r="AW24" s="505"/>
      <c r="AX24" s="505"/>
      <c r="AY24" s="505"/>
      <c r="AZ24" s="505"/>
      <c r="BA24" s="505"/>
      <c r="BB24" s="505"/>
      <c r="BC24" s="505"/>
      <c r="BD24" s="505"/>
      <c r="BE24" s="505"/>
      <c r="BF24" s="505"/>
      <c r="BG24" s="505"/>
      <c r="BH24" s="505"/>
      <c r="BI24" s="505"/>
      <c r="BJ24" s="505"/>
      <c r="BK24" s="505"/>
      <c r="BL24" s="505"/>
      <c r="BM24" s="505"/>
      <c r="BN24" s="505"/>
      <c r="BO24" s="505"/>
      <c r="BP24" s="505"/>
      <c r="BQ24" s="505"/>
    </row>
    <row r="25" spans="1:69">
      <c r="A25" s="599"/>
      <c r="B25" s="603" t="s">
        <v>61</v>
      </c>
      <c r="C25" s="597"/>
      <c r="D25" s="572"/>
      <c r="E25" s="572"/>
      <c r="F25" s="600"/>
      <c r="G25" s="600">
        <f>'T-6'!H24</f>
        <v>311.5231894891088</v>
      </c>
      <c r="H25" s="572"/>
      <c r="I25" s="572"/>
      <c r="J25" s="600"/>
      <c r="K25" s="600">
        <f>'T-6 (six mth)'!H25</f>
        <v>201.14450962806001</v>
      </c>
      <c r="L25" s="597"/>
      <c r="M25" s="600"/>
      <c r="N25" s="600">
        <f>450/SUM($K$23:$K$25)*K25</f>
        <v>381.79070922194086</v>
      </c>
      <c r="O25" s="368"/>
      <c r="P25" s="572"/>
      <c r="Q25" s="572"/>
      <c r="R25" s="600"/>
      <c r="S25" s="600">
        <f>465/SUM($N$23:$N$25)*N25</f>
        <v>394.5170661960056</v>
      </c>
      <c r="T25" s="1056"/>
      <c r="U25" s="129"/>
      <c r="V25" s="56"/>
      <c r="W25" s="56"/>
      <c r="X25" s="56"/>
      <c r="Y25" s="598"/>
      <c r="Z25" s="56"/>
      <c r="AA25" s="58"/>
      <c r="AB25" s="505"/>
      <c r="AE25" s="249"/>
      <c r="AF25" s="505"/>
      <c r="AG25" s="505"/>
      <c r="AH25" s="505"/>
      <c r="AI25" s="505"/>
      <c r="AJ25" s="505"/>
      <c r="AK25" s="505"/>
      <c r="AL25" s="505"/>
      <c r="AM25" s="505"/>
      <c r="AN25" s="505"/>
      <c r="AO25" s="505"/>
      <c r="AP25" s="505"/>
      <c r="AQ25" s="505"/>
      <c r="AR25" s="505"/>
      <c r="AS25" s="505"/>
      <c r="AT25" s="505"/>
      <c r="AU25" s="505"/>
      <c r="AV25" s="505"/>
      <c r="AW25" s="505"/>
      <c r="AX25" s="505"/>
      <c r="AY25" s="505"/>
      <c r="AZ25" s="505"/>
      <c r="BA25" s="505"/>
      <c r="BB25" s="505"/>
      <c r="BC25" s="505"/>
      <c r="BD25" s="505"/>
      <c r="BE25" s="505"/>
      <c r="BF25" s="505"/>
      <c r="BG25" s="505"/>
      <c r="BH25" s="505"/>
      <c r="BI25" s="505"/>
      <c r="BJ25" s="505"/>
      <c r="BK25" s="505"/>
      <c r="BL25" s="505"/>
      <c r="BM25" s="505"/>
      <c r="BN25" s="505"/>
      <c r="BO25" s="505"/>
      <c r="BP25" s="505"/>
      <c r="BQ25" s="505"/>
    </row>
    <row r="26" spans="1:69">
      <c r="A26" s="599"/>
      <c r="B26" s="573" t="s">
        <v>62</v>
      </c>
      <c r="C26" s="282"/>
      <c r="D26" s="286">
        <f>('T-3(21-22)'!C33)</f>
        <v>81231</v>
      </c>
      <c r="E26" s="286">
        <f>('T-3(21-22)'!D33)</f>
        <v>262253.84999999998</v>
      </c>
      <c r="F26" s="281"/>
      <c r="G26" s="281">
        <f>SUM(G23:G25)</f>
        <v>378.55499999999995</v>
      </c>
      <c r="H26" s="286">
        <f>'T-3(1st six mth)'!C35</f>
        <v>85870</v>
      </c>
      <c r="I26" s="286">
        <f>'T-3(1st six mth)'!D35</f>
        <v>293928.91000000003</v>
      </c>
      <c r="J26" s="281"/>
      <c r="K26" s="281">
        <f>SUM(K23:K25)</f>
        <v>237.08023046734019</v>
      </c>
      <c r="L26" s="286">
        <f>310339.020360001+1477.7</f>
        <v>311816.72036000103</v>
      </c>
      <c r="M26" s="281"/>
      <c r="N26" s="281">
        <f>SUM(N23:N25)</f>
        <v>450</v>
      </c>
      <c r="O26" s="368">
        <f t="shared" ref="O26:O33" si="1">(N26-G26)/G26</f>
        <v>0.18873083171533875</v>
      </c>
      <c r="P26" s="286">
        <f>99761+170+10000</f>
        <v>109931</v>
      </c>
      <c r="Q26" s="286">
        <f>310339.020360001+1477.7+10000*1.5</f>
        <v>326816.72036000103</v>
      </c>
      <c r="R26" s="281"/>
      <c r="S26" s="281">
        <f>SUM(S23:S25)</f>
        <v>465.00000000000006</v>
      </c>
      <c r="T26" s="416">
        <f t="shared" ref="T26:T33" si="2">((S26-N26)/N26)</f>
        <v>3.3333333333333458E-2</v>
      </c>
      <c r="U26" s="129"/>
      <c r="V26" s="56"/>
      <c r="W26" s="56"/>
      <c r="X26" s="56"/>
      <c r="Y26" s="598"/>
      <c r="Z26" s="56"/>
      <c r="AA26" s="58"/>
      <c r="AB26" s="505"/>
      <c r="AE26" s="249"/>
      <c r="AF26" s="505"/>
      <c r="AG26" s="505"/>
      <c r="AH26" s="505"/>
      <c r="AI26" s="505"/>
      <c r="AJ26" s="505"/>
      <c r="AK26" s="505"/>
      <c r="AL26" s="505"/>
      <c r="AM26" s="505"/>
      <c r="AN26" s="505"/>
      <c r="AO26" s="505"/>
      <c r="AP26" s="505"/>
      <c r="AQ26" s="505"/>
      <c r="AR26" s="505"/>
      <c r="AS26" s="505"/>
      <c r="AT26" s="505"/>
      <c r="AU26" s="505"/>
      <c r="AV26" s="505"/>
      <c r="AW26" s="505"/>
      <c r="AX26" s="505"/>
      <c r="AY26" s="505"/>
      <c r="AZ26" s="505"/>
      <c r="BA26" s="505"/>
      <c r="BB26" s="505"/>
      <c r="BC26" s="505"/>
      <c r="BD26" s="505"/>
      <c r="BE26" s="505"/>
      <c r="BF26" s="505"/>
      <c r="BG26" s="505"/>
      <c r="BH26" s="505"/>
      <c r="BI26" s="505"/>
      <c r="BJ26" s="505"/>
      <c r="BK26" s="505"/>
      <c r="BL26" s="505"/>
      <c r="BM26" s="505"/>
      <c r="BN26" s="505"/>
      <c r="BO26" s="505"/>
      <c r="BP26" s="505"/>
      <c r="BQ26" s="505"/>
    </row>
    <row r="27" spans="1:69">
      <c r="A27" s="599">
        <v>3</v>
      </c>
      <c r="B27" s="573" t="s">
        <v>63</v>
      </c>
      <c r="C27" s="597" t="s">
        <v>45</v>
      </c>
      <c r="D27" s="572">
        <f>('T-5'!B15)*0+66446-D28-D29</f>
        <v>66075</v>
      </c>
      <c r="E27" s="572">
        <f>('T-5'!C15)*0+227424-E28-E29</f>
        <v>222195</v>
      </c>
      <c r="F27" s="600"/>
      <c r="G27" s="600">
        <f>'T-6'!H26</f>
        <v>420.245</v>
      </c>
      <c r="H27" s="572">
        <f>('T-5'!G15)-H28-H29</f>
        <v>73278</v>
      </c>
      <c r="I27" s="572">
        <f>('T-5'!H15)-I28-I29</f>
        <v>230693.85509999993</v>
      </c>
      <c r="J27" s="600"/>
      <c r="K27" s="600">
        <f>'T-6 (six mth)'!H27</f>
        <v>217.92254337056002</v>
      </c>
      <c r="L27" s="572">
        <f>(I27+Q27)/2</f>
        <v>256069.04250000045</v>
      </c>
      <c r="M27" s="600"/>
      <c r="N27" s="600">
        <v>425</v>
      </c>
      <c r="O27" s="368">
        <f t="shared" si="1"/>
        <v>1.1314828254946509E-2</v>
      </c>
      <c r="P27" s="572">
        <f>80314+10000</f>
        <v>90314</v>
      </c>
      <c r="Q27" s="572">
        <f>256444.229900001+10000*2.5</f>
        <v>281444.22990000097</v>
      </c>
      <c r="R27" s="600"/>
      <c r="S27" s="600">
        <f>450-0.151</f>
        <v>449.84899999999999</v>
      </c>
      <c r="T27" s="416">
        <f t="shared" si="2"/>
        <v>5.8468235294117619E-2</v>
      </c>
      <c r="U27" s="129"/>
      <c r="V27" s="56"/>
      <c r="W27" s="56"/>
      <c r="X27" s="56"/>
      <c r="Y27" s="598"/>
      <c r="Z27" s="56"/>
      <c r="AA27" s="58"/>
      <c r="AB27" s="505"/>
      <c r="AF27" s="505"/>
      <c r="AG27" s="505"/>
      <c r="AH27" s="505"/>
      <c r="AI27" s="505"/>
      <c r="AJ27" s="505"/>
      <c r="AK27" s="505"/>
      <c r="AL27" s="505"/>
      <c r="AM27" s="505"/>
      <c r="AN27" s="505"/>
      <c r="AO27" s="505"/>
      <c r="AP27" s="505"/>
      <c r="AQ27" s="505"/>
      <c r="AR27" s="505"/>
      <c r="AS27" s="505"/>
      <c r="AT27" s="505"/>
      <c r="AU27" s="505"/>
      <c r="AV27" s="505"/>
      <c r="AW27" s="505"/>
      <c r="AX27" s="505"/>
      <c r="AY27" s="505"/>
      <c r="AZ27" s="505"/>
      <c r="BA27" s="505"/>
      <c r="BB27" s="505"/>
      <c r="BC27" s="505"/>
      <c r="BD27" s="505"/>
      <c r="BE27" s="505"/>
      <c r="BF27" s="505"/>
      <c r="BG27" s="505"/>
      <c r="BH27" s="505"/>
      <c r="BI27" s="505"/>
      <c r="BJ27" s="505"/>
      <c r="BK27" s="505"/>
      <c r="BL27" s="505"/>
      <c r="BM27" s="505"/>
      <c r="BN27" s="505"/>
      <c r="BO27" s="505"/>
      <c r="BP27" s="505"/>
      <c r="BQ27" s="505"/>
    </row>
    <row r="28" spans="1:69" ht="14.25" customHeight="1">
      <c r="A28" s="599">
        <v>4</v>
      </c>
      <c r="B28" s="573" t="s">
        <v>64</v>
      </c>
      <c r="C28" s="597" t="s">
        <v>45</v>
      </c>
      <c r="D28" s="572">
        <v>293</v>
      </c>
      <c r="E28" s="572">
        <v>3621</v>
      </c>
      <c r="F28" s="600"/>
      <c r="G28" s="600">
        <f>'T-6'!H27</f>
        <v>6.7868290478100004</v>
      </c>
      <c r="H28" s="572">
        <v>381</v>
      </c>
      <c r="I28" s="572">
        <v>4811.2280000000001</v>
      </c>
      <c r="J28" s="600"/>
      <c r="K28" s="600">
        <f>'T-6 (six mth)'!H28</f>
        <v>4.9057478157600016</v>
      </c>
      <c r="L28" s="572">
        <f t="shared" ref="L28:L31" si="3">(I28+Q28)/2</f>
        <v>5285.938000000001</v>
      </c>
      <c r="M28" s="600"/>
      <c r="N28" s="600">
        <v>7</v>
      </c>
      <c r="O28" s="368">
        <f t="shared" si="1"/>
        <v>3.1409506661846213E-2</v>
      </c>
      <c r="P28" s="572">
        <f>551</f>
        <v>551</v>
      </c>
      <c r="Q28" s="572">
        <v>5760.648000000002</v>
      </c>
      <c r="R28" s="600"/>
      <c r="S28" s="600">
        <v>7.2</v>
      </c>
      <c r="T28" s="416">
        <f t="shared" si="2"/>
        <v>2.8571428571428598E-2</v>
      </c>
      <c r="U28" s="129"/>
      <c r="V28" s="56"/>
      <c r="W28" s="56"/>
      <c r="X28" s="56"/>
      <c r="Y28" s="598"/>
      <c r="Z28" s="56"/>
      <c r="AA28" s="58"/>
      <c r="AB28" s="505"/>
      <c r="AF28" s="505"/>
      <c r="AG28" s="505"/>
      <c r="AH28" s="505"/>
      <c r="AI28" s="505"/>
      <c r="AJ28" s="505"/>
      <c r="AK28" s="505"/>
      <c r="AL28" s="505"/>
      <c r="AM28" s="505"/>
      <c r="AN28" s="505"/>
      <c r="AO28" s="505"/>
      <c r="AP28" s="505"/>
      <c r="AQ28" s="505"/>
      <c r="AR28" s="505"/>
      <c r="AS28" s="505"/>
      <c r="AT28" s="505"/>
      <c r="AU28" s="505"/>
      <c r="AV28" s="505"/>
      <c r="AW28" s="505"/>
      <c r="AX28" s="505"/>
      <c r="AY28" s="505"/>
      <c r="AZ28" s="505"/>
      <c r="BA28" s="505"/>
      <c r="BB28" s="505"/>
      <c r="BC28" s="505"/>
      <c r="BD28" s="505"/>
      <c r="BE28" s="505"/>
      <c r="BF28" s="505"/>
      <c r="BG28" s="505"/>
      <c r="BH28" s="505"/>
      <c r="BI28" s="505"/>
      <c r="BJ28" s="505"/>
      <c r="BK28" s="505"/>
      <c r="BL28" s="505"/>
      <c r="BM28" s="505"/>
      <c r="BN28" s="505"/>
      <c r="BO28" s="505"/>
      <c r="BP28" s="505"/>
      <c r="BQ28" s="505"/>
    </row>
    <row r="29" spans="1:69">
      <c r="A29" s="599">
        <v>5</v>
      </c>
      <c r="B29" s="573" t="s">
        <v>65</v>
      </c>
      <c r="C29" s="597" t="s">
        <v>45</v>
      </c>
      <c r="D29" s="572">
        <v>78</v>
      </c>
      <c r="E29" s="572">
        <v>1608</v>
      </c>
      <c r="F29" s="600"/>
      <c r="G29" s="600">
        <f>'T-6'!H28</f>
        <v>3.3409455852000005</v>
      </c>
      <c r="H29" s="572">
        <v>115</v>
      </c>
      <c r="I29" s="572">
        <v>2102.6619999999998</v>
      </c>
      <c r="J29" s="600"/>
      <c r="K29" s="600">
        <f>'T-6 (six mth)'!H29</f>
        <v>1.6572514690000002</v>
      </c>
      <c r="L29" s="572">
        <f t="shared" si="3"/>
        <v>2178</v>
      </c>
      <c r="M29" s="600"/>
      <c r="N29" s="600">
        <v>3.5</v>
      </c>
      <c r="O29" s="368">
        <f t="shared" si="1"/>
        <v>4.7607604118005395E-2</v>
      </c>
      <c r="P29" s="572">
        <v>121</v>
      </c>
      <c r="Q29" s="572">
        <v>2253.3380000000002</v>
      </c>
      <c r="R29" s="600"/>
      <c r="S29" s="600">
        <v>3.6</v>
      </c>
      <c r="T29" s="416">
        <f t="shared" si="2"/>
        <v>2.8571428571428598E-2</v>
      </c>
      <c r="U29" s="129"/>
      <c r="V29" s="56"/>
      <c r="W29" s="56"/>
      <c r="X29" s="56"/>
      <c r="Y29" s="598"/>
      <c r="Z29" s="56"/>
      <c r="AA29" s="58"/>
      <c r="AB29" s="505"/>
      <c r="AF29" s="505"/>
      <c r="AG29" s="505"/>
      <c r="AH29" s="505"/>
      <c r="AI29" s="505"/>
      <c r="AJ29" s="505"/>
      <c r="AK29" s="505"/>
      <c r="AL29" s="505"/>
      <c r="AM29" s="505"/>
      <c r="AN29" s="505"/>
      <c r="AO29" s="505"/>
      <c r="AP29" s="505"/>
      <c r="AQ29" s="505"/>
      <c r="AR29" s="505"/>
      <c r="AS29" s="505"/>
      <c r="AT29" s="505"/>
      <c r="AU29" s="505"/>
      <c r="AV29" s="505"/>
      <c r="AW29" s="505"/>
      <c r="AX29" s="505"/>
      <c r="AY29" s="505"/>
      <c r="AZ29" s="505"/>
      <c r="BA29" s="505"/>
      <c r="BB29" s="505"/>
      <c r="BC29" s="505"/>
      <c r="BD29" s="505"/>
      <c r="BE29" s="505"/>
      <c r="BF29" s="505"/>
      <c r="BG29" s="505"/>
      <c r="BH29" s="505"/>
      <c r="BI29" s="505"/>
      <c r="BJ29" s="505"/>
      <c r="BK29" s="505"/>
      <c r="BL29" s="505"/>
      <c r="BM29" s="505"/>
      <c r="BN29" s="505"/>
      <c r="BO29" s="505"/>
      <c r="BP29" s="505"/>
      <c r="BQ29" s="505"/>
    </row>
    <row r="30" spans="1:69">
      <c r="A30" s="599">
        <v>6</v>
      </c>
      <c r="B30" s="573" t="s">
        <v>66</v>
      </c>
      <c r="C30" s="597" t="s">
        <v>45</v>
      </c>
      <c r="D30" s="572">
        <v>2523</v>
      </c>
      <c r="E30" s="572">
        <v>10155</v>
      </c>
      <c r="F30" s="600"/>
      <c r="G30" s="600">
        <f>'T-6'!H29</f>
        <v>39.306094843999993</v>
      </c>
      <c r="H30" s="572">
        <v>3142</v>
      </c>
      <c r="I30" s="572">
        <v>11912.903000000004</v>
      </c>
      <c r="J30" s="600"/>
      <c r="K30" s="600">
        <f>'T-6 (six mth)'!H30</f>
        <v>24.53305513399998</v>
      </c>
      <c r="L30" s="572">
        <f t="shared" si="3"/>
        <v>12281.396500000003</v>
      </c>
      <c r="M30" s="600"/>
      <c r="N30" s="600">
        <v>44</v>
      </c>
      <c r="O30" s="368">
        <f t="shared" si="1"/>
        <v>0.11941927008087203</v>
      </c>
      <c r="P30" s="572">
        <v>3335</v>
      </c>
      <c r="Q30" s="572">
        <v>12649.890000000001</v>
      </c>
      <c r="R30" s="600"/>
      <c r="S30" s="600">
        <v>45</v>
      </c>
      <c r="T30" s="416">
        <f t="shared" si="2"/>
        <v>2.2727272727272728E-2</v>
      </c>
      <c r="U30" s="129"/>
      <c r="V30" s="56"/>
      <c r="W30" s="56"/>
      <c r="X30" s="56"/>
      <c r="Y30" s="598"/>
      <c r="Z30" s="56"/>
      <c r="AA30" s="58"/>
      <c r="AB30" s="505"/>
      <c r="AC30" s="505"/>
      <c r="AD30" s="505"/>
      <c r="AE30" s="505"/>
      <c r="AF30" s="505"/>
      <c r="AG30" s="505"/>
      <c r="AH30" s="505"/>
      <c r="AI30" s="505"/>
      <c r="AJ30" s="505"/>
      <c r="AK30" s="505"/>
      <c r="AL30" s="505"/>
      <c r="AM30" s="505"/>
      <c r="AN30" s="505"/>
      <c r="AO30" s="505"/>
      <c r="AP30" s="505"/>
      <c r="AQ30" s="505"/>
      <c r="AR30" s="505"/>
      <c r="AS30" s="505"/>
      <c r="AT30" s="505"/>
      <c r="AU30" s="505"/>
      <c r="AV30" s="505"/>
      <c r="AW30" s="505"/>
      <c r="AX30" s="505"/>
      <c r="AY30" s="505"/>
      <c r="AZ30" s="505"/>
      <c r="BA30" s="505"/>
      <c r="BB30" s="505"/>
      <c r="BC30" s="505"/>
      <c r="BD30" s="505"/>
      <c r="BE30" s="505"/>
      <c r="BF30" s="505"/>
      <c r="BG30" s="505"/>
      <c r="BH30" s="505"/>
      <c r="BI30" s="505"/>
      <c r="BJ30" s="505"/>
      <c r="BK30" s="505"/>
      <c r="BL30" s="505"/>
      <c r="BM30" s="505"/>
      <c r="BN30" s="505"/>
      <c r="BO30" s="505"/>
      <c r="BP30" s="505"/>
      <c r="BQ30" s="505"/>
    </row>
    <row r="31" spans="1:69">
      <c r="A31" s="599">
        <v>7</v>
      </c>
      <c r="B31" s="573" t="s">
        <v>67</v>
      </c>
      <c r="C31" s="597" t="s">
        <v>45</v>
      </c>
      <c r="D31" s="572">
        <v>3793</v>
      </c>
      <c r="E31" s="572">
        <v>37388</v>
      </c>
      <c r="F31" s="600"/>
      <c r="G31" s="600">
        <f>'T-6'!H30</f>
        <v>19.478136199400002</v>
      </c>
      <c r="H31" s="572">
        <v>3845</v>
      </c>
      <c r="I31" s="572">
        <v>38224.910819999976</v>
      </c>
      <c r="J31" s="600"/>
      <c r="K31" s="600">
        <f>'T-6 (six mth)'!H31</f>
        <v>11.0749201874</v>
      </c>
      <c r="L31" s="572">
        <f t="shared" si="3"/>
        <v>38263.622320000009</v>
      </c>
      <c r="M31" s="600"/>
      <c r="N31" s="600">
        <v>21</v>
      </c>
      <c r="O31" s="368">
        <f t="shared" si="1"/>
        <v>7.8131900558682688E-2</v>
      </c>
      <c r="P31" s="572">
        <v>3836</v>
      </c>
      <c r="Q31" s="572">
        <v>38302.333820000043</v>
      </c>
      <c r="R31" s="600"/>
      <c r="S31" s="600">
        <v>22</v>
      </c>
      <c r="T31" s="416">
        <f t="shared" si="2"/>
        <v>4.7619047619047616E-2</v>
      </c>
      <c r="U31" s="129"/>
      <c r="V31" s="56"/>
      <c r="W31" s="56"/>
      <c r="X31" s="56"/>
      <c r="Y31" s="598"/>
      <c r="Z31" s="56"/>
      <c r="AA31" s="58"/>
      <c r="AB31" s="505"/>
      <c r="AC31" s="505"/>
      <c r="AD31" s="505"/>
      <c r="AE31" s="505"/>
      <c r="AF31" s="505"/>
      <c r="AG31" s="505"/>
      <c r="AH31" s="505"/>
      <c r="AI31" s="505"/>
      <c r="AJ31" s="505"/>
      <c r="AK31" s="505"/>
      <c r="AL31" s="505"/>
      <c r="AM31" s="505"/>
      <c r="AN31" s="505"/>
      <c r="AO31" s="505"/>
      <c r="AP31" s="505"/>
      <c r="AQ31" s="505"/>
      <c r="AR31" s="505"/>
      <c r="AS31" s="505"/>
      <c r="AT31" s="505"/>
      <c r="AU31" s="505"/>
      <c r="AV31" s="505"/>
      <c r="AW31" s="505"/>
      <c r="AX31" s="505"/>
      <c r="AY31" s="505"/>
      <c r="AZ31" s="505"/>
      <c r="BA31" s="505"/>
      <c r="BB31" s="505"/>
      <c r="BC31" s="505"/>
      <c r="BD31" s="505"/>
      <c r="BE31" s="505"/>
      <c r="BF31" s="505"/>
      <c r="BG31" s="505"/>
      <c r="BH31" s="505"/>
      <c r="BI31" s="505"/>
      <c r="BJ31" s="505"/>
      <c r="BK31" s="505"/>
      <c r="BL31" s="505"/>
      <c r="BM31" s="505"/>
      <c r="BN31" s="505"/>
      <c r="BO31" s="505"/>
      <c r="BP31" s="505"/>
      <c r="BQ31" s="505"/>
    </row>
    <row r="32" spans="1:69">
      <c r="A32" s="599">
        <v>8</v>
      </c>
      <c r="B32" s="573" t="s">
        <v>68</v>
      </c>
      <c r="C32" s="597" t="s">
        <v>45</v>
      </c>
      <c r="D32" s="572">
        <v>1382</v>
      </c>
      <c r="E32" s="572">
        <v>67280</v>
      </c>
      <c r="F32" s="600"/>
      <c r="G32" s="600">
        <f>'T-6'!H31</f>
        <v>66.355309008039995</v>
      </c>
      <c r="H32" s="572">
        <f>470+946+1+11</f>
        <v>1428</v>
      </c>
      <c r="I32" s="572">
        <f>17324.855+51047.918+48+1065.56</f>
        <v>69486.332999999999</v>
      </c>
      <c r="J32" s="600"/>
      <c r="K32" s="600">
        <f>'T-6 (six mth)'!H32</f>
        <v>33.326433995999999</v>
      </c>
      <c r="L32" s="572">
        <f t="shared" ref="L32:L36" si="4">(I32+Q32)/2</f>
        <v>69176.392999999953</v>
      </c>
      <c r="M32" s="600"/>
      <c r="N32" s="600">
        <v>67</v>
      </c>
      <c r="O32" s="368">
        <f t="shared" si="1"/>
        <v>9.7157409346385545E-3</v>
      </c>
      <c r="P32" s="572">
        <f>968+464</f>
        <v>1432</v>
      </c>
      <c r="Q32" s="572">
        <f>51783.5979999999+17082.855</f>
        <v>68866.452999999907</v>
      </c>
      <c r="R32" s="600"/>
      <c r="S32" s="600">
        <v>69</v>
      </c>
      <c r="T32" s="416">
        <f t="shared" si="2"/>
        <v>2.9850746268656716E-2</v>
      </c>
      <c r="U32" s="129"/>
      <c r="V32" s="56"/>
      <c r="W32" s="56"/>
      <c r="X32" s="56"/>
      <c r="Y32" s="598"/>
      <c r="Z32" s="56"/>
      <c r="AA32" s="58"/>
      <c r="AB32" s="505"/>
      <c r="AC32" s="505"/>
      <c r="AD32" s="505"/>
      <c r="AE32" s="505"/>
      <c r="AF32" s="505"/>
      <c r="AG32" s="505"/>
      <c r="AH32" s="505"/>
      <c r="AI32" s="505"/>
      <c r="AJ32" s="505"/>
      <c r="AK32" s="505"/>
      <c r="AL32" s="505"/>
      <c r="AM32" s="505"/>
      <c r="AN32" s="505"/>
      <c r="AO32" s="505"/>
      <c r="AP32" s="505"/>
      <c r="AQ32" s="505"/>
      <c r="AR32" s="505"/>
      <c r="AS32" s="505"/>
      <c r="AT32" s="505"/>
      <c r="AU32" s="505"/>
      <c r="AV32" s="505"/>
      <c r="AW32" s="505"/>
      <c r="AX32" s="505"/>
      <c r="AY32" s="505"/>
      <c r="AZ32" s="505"/>
      <c r="BA32" s="505"/>
      <c r="BB32" s="505"/>
      <c r="BC32" s="505"/>
      <c r="BD32" s="505"/>
      <c r="BE32" s="505"/>
      <c r="BF32" s="505"/>
      <c r="BG32" s="505"/>
      <c r="BH32" s="505"/>
      <c r="BI32" s="505"/>
      <c r="BJ32" s="505"/>
      <c r="BK32" s="505"/>
      <c r="BL32" s="505"/>
      <c r="BM32" s="505"/>
      <c r="BN32" s="505"/>
      <c r="BO32" s="505"/>
      <c r="BP32" s="505"/>
      <c r="BQ32" s="505"/>
    </row>
    <row r="33" spans="1:69">
      <c r="A33" s="599">
        <v>9</v>
      </c>
      <c r="B33" s="573" t="s">
        <v>69</v>
      </c>
      <c r="C33" s="597" t="s">
        <v>45</v>
      </c>
      <c r="D33" s="572">
        <v>10563</v>
      </c>
      <c r="E33" s="572">
        <v>32152</v>
      </c>
      <c r="F33" s="600"/>
      <c r="G33" s="600">
        <f>'T-6'!H32</f>
        <v>43.302907612370007</v>
      </c>
      <c r="H33" s="572">
        <v>12484</v>
      </c>
      <c r="I33" s="572">
        <v>35393.532999999996</v>
      </c>
      <c r="J33" s="600"/>
      <c r="K33" s="600">
        <f>'T-6 (six mth)'!H33</f>
        <v>32.95766824719999</v>
      </c>
      <c r="L33" s="572">
        <f t="shared" si="4"/>
        <v>36805.162999999979</v>
      </c>
      <c r="M33" s="600"/>
      <c r="N33" s="600">
        <v>65</v>
      </c>
      <c r="O33" s="368">
        <f t="shared" si="1"/>
        <v>0.50105393803699116</v>
      </c>
      <c r="P33" s="572">
        <v>13459</v>
      </c>
      <c r="Q33" s="572">
        <v>38216.792999999961</v>
      </c>
      <c r="R33" s="600"/>
      <c r="S33" s="600">
        <v>68</v>
      </c>
      <c r="T33" s="416">
        <f t="shared" si="2"/>
        <v>4.6153846153846156E-2</v>
      </c>
      <c r="U33" s="605"/>
      <c r="V33" s="606"/>
      <c r="W33" s="606"/>
      <c r="X33" s="606"/>
      <c r="Y33" s="598"/>
      <c r="Z33" s="606"/>
      <c r="AA33" s="607"/>
      <c r="AB33" s="505"/>
      <c r="AC33" s="505"/>
      <c r="AD33" s="505"/>
      <c r="AE33" s="505"/>
      <c r="AF33" s="505"/>
      <c r="AG33" s="505"/>
      <c r="AH33" s="505"/>
      <c r="AI33" s="505"/>
      <c r="AJ33" s="505"/>
      <c r="AK33" s="505"/>
      <c r="AL33" s="505"/>
      <c r="AM33" s="505"/>
      <c r="AN33" s="505"/>
      <c r="AO33" s="505"/>
      <c r="AP33" s="505"/>
      <c r="AQ33" s="505"/>
      <c r="AR33" s="505"/>
      <c r="AS33" s="505"/>
      <c r="AT33" s="505"/>
      <c r="AU33" s="505"/>
      <c r="AV33" s="505"/>
      <c r="AW33" s="505"/>
      <c r="AX33" s="505"/>
      <c r="AY33" s="505"/>
      <c r="AZ33" s="505"/>
      <c r="BA33" s="505"/>
      <c r="BB33" s="505"/>
      <c r="BC33" s="505"/>
      <c r="BD33" s="505"/>
      <c r="BE33" s="505"/>
      <c r="BF33" s="505"/>
      <c r="BG33" s="505"/>
      <c r="BH33" s="505"/>
      <c r="BI33" s="505"/>
      <c r="BJ33" s="505"/>
      <c r="BK33" s="505"/>
      <c r="BL33" s="505"/>
      <c r="BM33" s="505"/>
      <c r="BN33" s="505"/>
      <c r="BO33" s="505"/>
      <c r="BP33" s="505"/>
      <c r="BQ33" s="505"/>
    </row>
    <row r="34" spans="1:69">
      <c r="A34" s="599">
        <v>10</v>
      </c>
      <c r="B34" s="573" t="s">
        <v>70</v>
      </c>
      <c r="C34" s="597"/>
      <c r="D34" s="572">
        <v>4299</v>
      </c>
      <c r="E34" s="572">
        <v>25885</v>
      </c>
      <c r="F34" s="600"/>
      <c r="G34" s="600">
        <f>'T-6'!H33</f>
        <v>62.260673613220007</v>
      </c>
      <c r="H34" s="572">
        <f>2697+1862</f>
        <v>4559</v>
      </c>
      <c r="I34" s="572">
        <f>15145.7056+13886.429</f>
        <v>29032.134599999998</v>
      </c>
      <c r="J34" s="600"/>
      <c r="K34" s="600">
        <f>'T-6 (six mth)'!H34</f>
        <v>30.505790763300006</v>
      </c>
      <c r="L34" s="572">
        <f t="shared" si="4"/>
        <v>30762.769599999949</v>
      </c>
      <c r="M34" s="600"/>
      <c r="N34" s="600">
        <v>63</v>
      </c>
      <c r="O34" s="368">
        <f>(N34-G34)/G34</f>
        <v>1.1874693026498344E-2</v>
      </c>
      <c r="P34" s="572">
        <f>1802+2960</f>
        <v>4762</v>
      </c>
      <c r="Q34" s="572">
        <f>13465.729+19027.6755999999</f>
        <v>32493.4045999999</v>
      </c>
      <c r="R34" s="600"/>
      <c r="S34" s="600">
        <v>65</v>
      </c>
      <c r="T34" s="416">
        <f>((S34-N34)/N34)</f>
        <v>3.1746031746031744E-2</v>
      </c>
      <c r="U34" s="605"/>
      <c r="V34" s="606"/>
      <c r="W34" s="606"/>
      <c r="X34" s="606"/>
      <c r="Y34" s="598"/>
      <c r="Z34" s="606"/>
      <c r="AA34" s="607"/>
      <c r="AB34" s="505"/>
      <c r="AC34" s="505"/>
      <c r="AD34" s="505"/>
      <c r="AE34" s="505"/>
      <c r="AF34" s="505"/>
      <c r="AG34" s="505"/>
      <c r="AH34" s="505"/>
      <c r="AI34" s="505"/>
      <c r="AJ34" s="505"/>
      <c r="AK34" s="505"/>
      <c r="AL34" s="505"/>
      <c r="AM34" s="505"/>
      <c r="AN34" s="505"/>
      <c r="AO34" s="505"/>
      <c r="AP34" s="505"/>
      <c r="AQ34" s="505"/>
      <c r="AR34" s="505"/>
      <c r="AS34" s="505"/>
      <c r="AT34" s="505"/>
      <c r="AU34" s="505"/>
      <c r="AV34" s="505"/>
      <c r="AW34" s="505"/>
      <c r="AX34" s="505"/>
      <c r="AY34" s="505"/>
      <c r="AZ34" s="505"/>
      <c r="BA34" s="505"/>
      <c r="BB34" s="505"/>
      <c r="BC34" s="505"/>
      <c r="BD34" s="505"/>
      <c r="BE34" s="505"/>
      <c r="BF34" s="505"/>
      <c r="BG34" s="505"/>
      <c r="BH34" s="505"/>
      <c r="BI34" s="505"/>
      <c r="BJ34" s="505"/>
      <c r="BK34" s="505"/>
      <c r="BL34" s="505"/>
      <c r="BM34" s="505"/>
      <c r="BN34" s="505"/>
      <c r="BO34" s="505"/>
      <c r="BP34" s="505"/>
      <c r="BQ34" s="505"/>
    </row>
    <row r="35" spans="1:69">
      <c r="A35" s="599">
        <v>11</v>
      </c>
      <c r="B35" s="573" t="s">
        <v>71</v>
      </c>
      <c r="C35" s="597"/>
      <c r="D35" s="572">
        <v>10</v>
      </c>
      <c r="E35" s="572">
        <f>1775</f>
        <v>1775</v>
      </c>
      <c r="F35" s="600"/>
      <c r="G35" s="600">
        <f>'T-6'!H34</f>
        <v>4.8841861899999994</v>
      </c>
      <c r="H35" s="572">
        <v>19</v>
      </c>
      <c r="I35" s="572">
        <f>162.5+1775</f>
        <v>1937.5</v>
      </c>
      <c r="J35" s="600"/>
      <c r="K35" s="600">
        <f>'T-6 (six mth)'!H35</f>
        <v>3.2366949000000003</v>
      </c>
      <c r="L35" s="572">
        <f t="shared" si="4"/>
        <v>1180.04</v>
      </c>
      <c r="M35" s="600"/>
      <c r="N35" s="600">
        <v>5</v>
      </c>
      <c r="O35" s="368">
        <f>(N35-G35)/G35</f>
        <v>2.371199735119037E-2</v>
      </c>
      <c r="P35" s="572">
        <f>20+5</f>
        <v>25</v>
      </c>
      <c r="Q35" s="572">
        <f>412.58+10</f>
        <v>422.58</v>
      </c>
      <c r="R35" s="600"/>
      <c r="S35" s="600">
        <v>5.2</v>
      </c>
      <c r="T35" s="416">
        <f>((S35-N35)/N35)</f>
        <v>4.0000000000000036E-2</v>
      </c>
      <c r="U35" s="605"/>
      <c r="V35" s="606"/>
      <c r="W35" s="606"/>
      <c r="X35" s="606"/>
      <c r="Y35" s="598"/>
      <c r="Z35" s="606"/>
      <c r="AA35" s="607"/>
      <c r="AB35" s="505"/>
      <c r="AC35" s="505"/>
      <c r="AD35" s="505"/>
      <c r="AE35" s="505"/>
      <c r="AF35" s="505"/>
      <c r="AG35" s="505"/>
      <c r="AH35" s="505"/>
      <c r="AI35" s="505"/>
      <c r="AJ35" s="505"/>
      <c r="AK35" s="505"/>
      <c r="AL35" s="505"/>
      <c r="AM35" s="505"/>
      <c r="AN35" s="505"/>
      <c r="AO35" s="505"/>
      <c r="AP35" s="505"/>
      <c r="AQ35" s="505"/>
      <c r="AR35" s="505"/>
      <c r="AS35" s="505"/>
      <c r="AT35" s="505"/>
      <c r="AU35" s="505"/>
      <c r="AV35" s="505"/>
      <c r="AW35" s="505"/>
      <c r="AX35" s="505"/>
      <c r="AY35" s="505"/>
      <c r="AZ35" s="505"/>
      <c r="BA35" s="505"/>
      <c r="BB35" s="505"/>
      <c r="BC35" s="505"/>
      <c r="BD35" s="505"/>
      <c r="BE35" s="505"/>
      <c r="BF35" s="505"/>
      <c r="BG35" s="505"/>
      <c r="BH35" s="505"/>
      <c r="BI35" s="505"/>
      <c r="BJ35" s="505"/>
      <c r="BK35" s="505"/>
      <c r="BL35" s="505"/>
      <c r="BM35" s="505"/>
      <c r="BN35" s="505"/>
      <c r="BO35" s="505"/>
      <c r="BP35" s="505"/>
      <c r="BQ35" s="505"/>
    </row>
    <row r="36" spans="1:69">
      <c r="A36" s="599">
        <v>12</v>
      </c>
      <c r="B36" s="573" t="s">
        <v>72</v>
      </c>
      <c r="C36" s="597" t="s">
        <v>45</v>
      </c>
      <c r="D36" s="572">
        <v>1</v>
      </c>
      <c r="E36" s="572">
        <v>200</v>
      </c>
      <c r="F36" s="600"/>
      <c r="G36" s="600">
        <f>'T-6'!H35</f>
        <v>0</v>
      </c>
      <c r="H36" s="572">
        <v>2</v>
      </c>
      <c r="I36" s="572">
        <f>289.8/0.9</f>
        <v>322</v>
      </c>
      <c r="J36" s="600"/>
      <c r="K36" s="600">
        <f>'T-6 (six mth)'!H36</f>
        <v>0.1305247494</v>
      </c>
      <c r="L36" s="572">
        <f t="shared" si="4"/>
        <v>321</v>
      </c>
      <c r="M36" s="600"/>
      <c r="N36" s="600">
        <v>0.15</v>
      </c>
      <c r="O36" s="368" t="e">
        <f>(N36-G36)/G36</f>
        <v>#DIV/0!</v>
      </c>
      <c r="P36" s="572">
        <v>2</v>
      </c>
      <c r="Q36" s="572">
        <f>288/0.9</f>
        <v>320</v>
      </c>
      <c r="R36" s="600"/>
      <c r="S36" s="600">
        <v>0.151</v>
      </c>
      <c r="T36" s="416">
        <f>((S36-N36)/N36)</f>
        <v>6.6666666666666732E-3</v>
      </c>
      <c r="U36" s="605"/>
      <c r="V36" s="606"/>
      <c r="W36" s="606"/>
      <c r="X36" s="606"/>
      <c r="Y36" s="598"/>
      <c r="Z36" s="606"/>
      <c r="AA36" s="607"/>
      <c r="AB36" s="505"/>
      <c r="AC36" s="505"/>
      <c r="AD36" s="505"/>
      <c r="AE36" s="505"/>
      <c r="AF36" s="505"/>
      <c r="AG36" s="505"/>
      <c r="AH36" s="505"/>
      <c r="AI36" s="505"/>
      <c r="AJ36" s="505"/>
      <c r="AK36" s="505"/>
      <c r="AL36" s="505"/>
      <c r="AM36" s="505"/>
      <c r="AN36" s="505"/>
      <c r="AO36" s="505"/>
      <c r="AP36" s="505"/>
      <c r="AQ36" s="505"/>
      <c r="AR36" s="505"/>
      <c r="AS36" s="505"/>
      <c r="AT36" s="505"/>
      <c r="AU36" s="505"/>
      <c r="AV36" s="505"/>
      <c r="AW36" s="505"/>
      <c r="AX36" s="505"/>
      <c r="AY36" s="505"/>
      <c r="AZ36" s="505"/>
      <c r="BA36" s="505"/>
      <c r="BB36" s="505"/>
      <c r="BC36" s="505"/>
      <c r="BD36" s="505"/>
      <c r="BE36" s="505"/>
      <c r="BF36" s="505"/>
      <c r="BG36" s="505"/>
      <c r="BH36" s="505"/>
      <c r="BI36" s="505"/>
      <c r="BJ36" s="505"/>
      <c r="BK36" s="505"/>
      <c r="BL36" s="505"/>
      <c r="BM36" s="505"/>
      <c r="BN36" s="505"/>
      <c r="BO36" s="505"/>
      <c r="BP36" s="505"/>
      <c r="BQ36" s="505"/>
    </row>
    <row r="37" spans="1:69">
      <c r="A37" s="599">
        <v>13</v>
      </c>
      <c r="B37" s="573" t="s">
        <v>73</v>
      </c>
      <c r="C37" s="597" t="s">
        <v>45</v>
      </c>
      <c r="D37" s="572"/>
      <c r="E37" s="572"/>
      <c r="F37" s="600"/>
      <c r="G37" s="600">
        <f>'T-6'!H36</f>
        <v>0</v>
      </c>
      <c r="H37" s="572"/>
      <c r="I37" s="572"/>
      <c r="J37" s="600"/>
      <c r="K37" s="600">
        <f>'T-6 (six mth)'!H37</f>
        <v>0</v>
      </c>
      <c r="L37" s="572"/>
      <c r="M37" s="600"/>
      <c r="N37" s="600"/>
      <c r="O37" s="368" t="e">
        <f>(N37-G37)/G37</f>
        <v>#DIV/0!</v>
      </c>
      <c r="P37" s="572"/>
      <c r="Q37" s="572"/>
      <c r="R37" s="600"/>
      <c r="S37" s="600"/>
      <c r="T37" s="416" t="e">
        <f>((S37-N37)/N37)</f>
        <v>#DIV/0!</v>
      </c>
      <c r="U37" s="605"/>
      <c r="V37" s="606"/>
      <c r="W37" s="606"/>
      <c r="X37" s="606"/>
      <c r="Y37" s="598"/>
      <c r="Z37" s="606"/>
      <c r="AA37" s="607"/>
      <c r="AB37" s="505"/>
      <c r="AC37" s="505"/>
      <c r="AD37" s="505"/>
      <c r="AE37" s="505"/>
      <c r="AF37" s="505"/>
      <c r="AG37" s="505"/>
      <c r="AH37" s="505"/>
      <c r="AI37" s="505"/>
      <c r="AJ37" s="505"/>
      <c r="AK37" s="505"/>
      <c r="AL37" s="505"/>
      <c r="AM37" s="505"/>
      <c r="AN37" s="505"/>
      <c r="AO37" s="505"/>
      <c r="AP37" s="505"/>
      <c r="AQ37" s="505"/>
      <c r="AR37" s="505"/>
      <c r="AS37" s="505"/>
      <c r="AT37" s="505"/>
      <c r="AU37" s="505"/>
      <c r="AV37" s="505"/>
      <c r="AW37" s="505"/>
      <c r="AX37" s="505"/>
      <c r="AY37" s="505"/>
      <c r="AZ37" s="505"/>
      <c r="BA37" s="505"/>
      <c r="BB37" s="505"/>
      <c r="BC37" s="505"/>
      <c r="BD37" s="505"/>
      <c r="BE37" s="505"/>
      <c r="BF37" s="505"/>
      <c r="BG37" s="505"/>
      <c r="BH37" s="505"/>
      <c r="BI37" s="505"/>
      <c r="BJ37" s="505"/>
      <c r="BK37" s="505"/>
      <c r="BL37" s="505"/>
      <c r="BM37" s="505"/>
      <c r="BN37" s="505"/>
      <c r="BO37" s="505"/>
      <c r="BP37" s="505"/>
      <c r="BQ37" s="505"/>
    </row>
    <row r="38" spans="1:69">
      <c r="A38" s="599"/>
      <c r="B38" s="285" t="s">
        <v>74</v>
      </c>
      <c r="C38" s="282"/>
      <c r="D38" s="286">
        <f>SUM(D20:D37)</f>
        <v>2206626</v>
      </c>
      <c r="E38" s="286">
        <f>SUM(E20:E37)</f>
        <v>2430615.2200000002</v>
      </c>
      <c r="F38" s="281"/>
      <c r="G38" s="281">
        <f>G26+G20+SUM(G27:G37)</f>
        <v>2873.5650820967307</v>
      </c>
      <c r="H38" s="286">
        <f>SUM(H20:H37)</f>
        <v>2222942</v>
      </c>
      <c r="I38" s="286">
        <f>SUM(I20:I37)</f>
        <v>2482655.8425199999</v>
      </c>
      <c r="J38" s="281"/>
      <c r="K38" s="281">
        <f>K26+K20+SUM(K27:K37)</f>
        <v>1665.8065054996612</v>
      </c>
      <c r="L38" s="286">
        <f>SUM(L20:L37)</f>
        <v>2912718.6202800018</v>
      </c>
      <c r="M38" s="281"/>
      <c r="N38" s="281">
        <f>N26+N20+SUM(N27:N37)</f>
        <v>3085.0000000000005</v>
      </c>
      <c r="O38" s="368">
        <f>(N38-G38)/G38</f>
        <v>7.3579303709033705E-2</v>
      </c>
      <c r="P38" s="286">
        <f>SUM(P20:P37)</f>
        <v>2355559</v>
      </c>
      <c r="Q38" s="286">
        <f>SUM(Q20:Q37)</f>
        <v>3095783.975680002</v>
      </c>
      <c r="R38" s="281"/>
      <c r="S38" s="281">
        <f>S26+S20+SUM(S27:S37)</f>
        <v>3313.9999999999995</v>
      </c>
      <c r="T38" s="416">
        <f>((S38-N38)/N38)</f>
        <v>7.4230145867098557E-2</v>
      </c>
      <c r="U38" s="605"/>
      <c r="V38" s="606"/>
      <c r="W38" s="606"/>
      <c r="X38" s="606"/>
      <c r="Y38" s="598"/>
      <c r="Z38" s="606"/>
      <c r="AA38" s="607"/>
      <c r="AB38" s="565"/>
      <c r="AC38" s="505"/>
      <c r="AD38" s="505"/>
      <c r="AE38" s="505"/>
      <c r="AF38" s="505"/>
      <c r="AG38" s="505"/>
      <c r="AH38" s="505"/>
      <c r="AI38" s="505"/>
      <c r="AJ38" s="505"/>
      <c r="AK38" s="505"/>
      <c r="AL38" s="505"/>
      <c r="AM38" s="505"/>
      <c r="AN38" s="505"/>
      <c r="AO38" s="505"/>
      <c r="AP38" s="505"/>
      <c r="AQ38" s="505"/>
      <c r="AR38" s="505"/>
      <c r="AS38" s="505"/>
      <c r="AT38" s="505"/>
      <c r="AU38" s="505"/>
      <c r="AV38" s="505"/>
      <c r="AW38" s="505"/>
      <c r="AX38" s="505"/>
      <c r="AY38" s="505"/>
      <c r="AZ38" s="505"/>
      <c r="BA38" s="505"/>
      <c r="BB38" s="505"/>
      <c r="BC38" s="505"/>
      <c r="BD38" s="505"/>
      <c r="BE38" s="505"/>
      <c r="BF38" s="505"/>
      <c r="BG38" s="505"/>
      <c r="BH38" s="505"/>
      <c r="BI38" s="505"/>
      <c r="BJ38" s="505"/>
      <c r="BK38" s="505"/>
      <c r="BL38" s="505"/>
      <c r="BM38" s="505"/>
      <c r="BN38" s="505"/>
      <c r="BO38" s="505"/>
      <c r="BP38" s="505"/>
      <c r="BQ38" s="505"/>
    </row>
    <row r="39" spans="1:69">
      <c r="A39" s="596"/>
      <c r="B39" s="285" t="s">
        <v>75</v>
      </c>
      <c r="C39" s="597"/>
      <c r="D39" s="608"/>
      <c r="E39" s="608"/>
      <c r="F39" s="609"/>
      <c r="G39" s="609"/>
      <c r="H39" s="608"/>
      <c r="I39" s="608"/>
      <c r="J39" s="609"/>
      <c r="K39" s="609"/>
      <c r="L39" s="609"/>
      <c r="M39" s="609"/>
      <c r="N39" s="609"/>
      <c r="O39" s="610"/>
      <c r="P39" s="608"/>
      <c r="Q39" s="608"/>
      <c r="R39" s="609"/>
      <c r="S39" s="611"/>
      <c r="T39" s="1057"/>
      <c r="U39" s="605"/>
      <c r="V39" s="606"/>
      <c r="W39" s="606"/>
      <c r="X39" s="606"/>
      <c r="Y39" s="598"/>
      <c r="Z39" s="606"/>
      <c r="AA39" s="607"/>
      <c r="AB39" s="565"/>
      <c r="AC39" s="505">
        <f>1712.963+342.773+39.609+214.165+2.65+5.38+40.754+27.88</f>
        <v>2386.174</v>
      </c>
      <c r="AD39" s="505">
        <f>1761.74+370+41.5+280+3.2+5.6+41.875+29.5</f>
        <v>2533.4149999999995</v>
      </c>
      <c r="AE39" s="505">
        <f>2041.215+385+43+300+3.4+5.8+42.5+30</f>
        <v>2850.9150000000004</v>
      </c>
      <c r="AF39" s="505"/>
      <c r="AG39" s="505"/>
      <c r="AH39" s="505"/>
      <c r="AI39" s="505"/>
      <c r="AJ39" s="505"/>
      <c r="AK39" s="505"/>
      <c r="AL39" s="505"/>
      <c r="AM39" s="505"/>
      <c r="AN39" s="505"/>
      <c r="AO39" s="505"/>
      <c r="AP39" s="505"/>
      <c r="AQ39" s="505"/>
      <c r="AR39" s="505"/>
      <c r="AS39" s="505"/>
      <c r="AT39" s="505"/>
      <c r="AU39" s="505"/>
      <c r="AV39" s="505"/>
      <c r="AW39" s="505"/>
      <c r="AX39" s="505"/>
      <c r="AY39" s="505"/>
      <c r="AZ39" s="505"/>
      <c r="BA39" s="505"/>
      <c r="BB39" s="505"/>
      <c r="BC39" s="505"/>
      <c r="BD39" s="505"/>
      <c r="BE39" s="505"/>
      <c r="BF39" s="505"/>
      <c r="BG39" s="505"/>
      <c r="BH39" s="505"/>
      <c r="BI39" s="505"/>
      <c r="BJ39" s="505"/>
      <c r="BK39" s="505"/>
      <c r="BL39" s="505"/>
      <c r="BM39" s="505"/>
      <c r="BN39" s="505"/>
      <c r="BO39" s="505"/>
      <c r="BP39" s="505"/>
      <c r="BQ39" s="505"/>
    </row>
    <row r="40" spans="1:69" ht="20.100000000000001" customHeight="1">
      <c r="A40" s="599">
        <v>14</v>
      </c>
      <c r="B40" s="573" t="s">
        <v>76</v>
      </c>
      <c r="C40" s="597" t="s">
        <v>77</v>
      </c>
      <c r="D40" s="572">
        <v>26</v>
      </c>
      <c r="E40" s="572">
        <v>9453</v>
      </c>
      <c r="F40" s="600"/>
      <c r="G40" s="600">
        <f>'T-6'!H39</f>
        <v>13.409634369999999</v>
      </c>
      <c r="H40" s="572">
        <f>28</f>
        <v>28</v>
      </c>
      <c r="I40" s="572">
        <f>8566.9/0.9</f>
        <v>9518.7777777777774</v>
      </c>
      <c r="J40" s="600">
        <f t="shared" ref="J40:J46" si="5">K40</f>
        <v>8.4256522599999997</v>
      </c>
      <c r="K40" s="600">
        <f>'T-6 (six mth)'!H40</f>
        <v>8.4256522599999997</v>
      </c>
      <c r="L40" s="572">
        <f t="shared" ref="L40:L46" si="6">(I40+Q40)/2</f>
        <v>9657.2777777777774</v>
      </c>
      <c r="M40" s="600">
        <f>N40</f>
        <v>14</v>
      </c>
      <c r="N40" s="600">
        <v>14</v>
      </c>
      <c r="O40" s="368">
        <f>(N40-G40)/G40</f>
        <v>4.4025483000548128E-2</v>
      </c>
      <c r="P40" s="572">
        <v>28</v>
      </c>
      <c r="Q40" s="572">
        <f>8816.2/0.9</f>
        <v>9795.7777777777792</v>
      </c>
      <c r="R40" s="600">
        <f t="shared" ref="R40:R46" si="7">S40</f>
        <v>14.5</v>
      </c>
      <c r="S40" s="600">
        <v>14.5</v>
      </c>
      <c r="T40" s="416">
        <f>((S40-N40)/N40)</f>
        <v>3.5714285714285712E-2</v>
      </c>
      <c r="U40" s="605"/>
      <c r="V40" s="606"/>
      <c r="W40" s="606"/>
      <c r="X40" s="606"/>
      <c r="Y40" s="598"/>
      <c r="Z40" s="606"/>
      <c r="AA40" s="607"/>
      <c r="AB40" s="505"/>
      <c r="AC40" s="565">
        <f>G38</f>
        <v>2873.5650820967307</v>
      </c>
      <c r="AD40" s="565">
        <f>N38</f>
        <v>3085.0000000000005</v>
      </c>
      <c r="AE40" s="565">
        <f>S38</f>
        <v>3313.9999999999995</v>
      </c>
      <c r="AF40" s="505"/>
      <c r="AG40" s="505"/>
      <c r="AH40" s="505"/>
      <c r="AI40" s="505"/>
      <c r="AJ40" s="505"/>
      <c r="AK40" s="505"/>
      <c r="AL40" s="505"/>
      <c r="AM40" s="505"/>
      <c r="AN40" s="505"/>
      <c r="AO40" s="505"/>
      <c r="AP40" s="505"/>
      <c r="AQ40" s="505"/>
      <c r="AR40" s="505"/>
      <c r="AS40" s="505"/>
      <c r="AT40" s="505"/>
      <c r="AU40" s="505"/>
      <c r="AV40" s="505"/>
      <c r="AW40" s="505"/>
      <c r="AX40" s="505"/>
      <c r="AY40" s="505"/>
      <c r="AZ40" s="505"/>
      <c r="BA40" s="505"/>
      <c r="BB40" s="505"/>
      <c r="BC40" s="505"/>
      <c r="BD40" s="505"/>
      <c r="BE40" s="505"/>
      <c r="BF40" s="505"/>
      <c r="BG40" s="505"/>
      <c r="BH40" s="505"/>
      <c r="BI40" s="505"/>
      <c r="BJ40" s="505"/>
      <c r="BK40" s="505"/>
      <c r="BL40" s="505"/>
      <c r="BM40" s="505"/>
      <c r="BN40" s="505"/>
      <c r="BO40" s="505"/>
      <c r="BP40" s="505"/>
      <c r="BQ40" s="505"/>
    </row>
    <row r="41" spans="1:69" ht="20.100000000000001" customHeight="1">
      <c r="A41" s="599">
        <v>15</v>
      </c>
      <c r="B41" s="573" t="s">
        <v>63</v>
      </c>
      <c r="C41" s="597" t="s">
        <v>77</v>
      </c>
      <c r="D41" s="572">
        <f>27+1</f>
        <v>28</v>
      </c>
      <c r="E41" s="572">
        <f>74145+13500</f>
        <v>87645</v>
      </c>
      <c r="F41" s="600">
        <f>G41/0.99</f>
        <v>46.06913292929292</v>
      </c>
      <c r="G41" s="600">
        <f>'T-6'!H40+'T-6'!H64</f>
        <v>45.608441599999992</v>
      </c>
      <c r="H41" s="572">
        <f>33+1</f>
        <v>34</v>
      </c>
      <c r="I41" s="572">
        <f>88184/0.9+12150/0.9</f>
        <v>111482.22222222222</v>
      </c>
      <c r="J41" s="600">
        <f t="shared" si="5"/>
        <v>14.75121433</v>
      </c>
      <c r="K41" s="600">
        <f>'T-6 (six mth)'!H41+'T-6 (six mth)'!H67</f>
        <v>14.75121433</v>
      </c>
      <c r="L41" s="572">
        <f t="shared" si="6"/>
        <v>118225.22222222222</v>
      </c>
      <c r="M41" s="600">
        <f>N41</f>
        <v>50</v>
      </c>
      <c r="N41" s="600">
        <v>50</v>
      </c>
      <c r="O41" s="368">
        <f t="shared" ref="O41:O42" si="8">(N41-G41)/G41</f>
        <v>9.6288280106461885E-2</v>
      </c>
      <c r="P41" s="572">
        <f>36+1</f>
        <v>37</v>
      </c>
      <c r="Q41" s="572">
        <f>96057.2/0.9+4264.2/0.9+12150/0.9</f>
        <v>124968.22222222222</v>
      </c>
      <c r="R41" s="600">
        <f t="shared" si="7"/>
        <v>60</v>
      </c>
      <c r="S41" s="600">
        <v>60</v>
      </c>
      <c r="T41" s="416">
        <f t="shared" ref="T41:T42" si="9">((S41-N41)/N41)</f>
        <v>0.2</v>
      </c>
      <c r="U41" s="605"/>
      <c r="V41" s="606"/>
      <c r="W41" s="606"/>
      <c r="X41" s="606"/>
      <c r="Y41" s="598"/>
      <c r="Z41" s="606"/>
      <c r="AA41" s="607"/>
      <c r="AB41" s="565"/>
      <c r="AC41" s="565">
        <f>AC40-AC39</f>
        <v>487.39108209673077</v>
      </c>
      <c r="AD41" s="565">
        <f t="shared" ref="AD41:AE41" si="10">AD40-AD39</f>
        <v>551.58500000000095</v>
      </c>
      <c r="AE41" s="565">
        <f t="shared" si="10"/>
        <v>463.08499999999913</v>
      </c>
      <c r="AF41" s="505"/>
      <c r="AG41" s="505"/>
      <c r="AH41" s="505"/>
      <c r="AI41" s="505"/>
      <c r="AJ41" s="505"/>
      <c r="AK41" s="505"/>
      <c r="AL41" s="505"/>
      <c r="AM41" s="505"/>
      <c r="AN41" s="505"/>
      <c r="AO41" s="505"/>
      <c r="AP41" s="505"/>
      <c r="AQ41" s="505"/>
      <c r="AR41" s="505"/>
      <c r="AS41" s="505"/>
      <c r="AT41" s="505"/>
      <c r="AU41" s="505"/>
      <c r="AV41" s="505"/>
      <c r="AW41" s="505"/>
      <c r="AX41" s="505"/>
      <c r="AY41" s="505"/>
      <c r="AZ41" s="505"/>
      <c r="BA41" s="505"/>
      <c r="BB41" s="505"/>
      <c r="BC41" s="505"/>
      <c r="BD41" s="505"/>
      <c r="BE41" s="505"/>
      <c r="BF41" s="505"/>
      <c r="BG41" s="505"/>
      <c r="BH41" s="505"/>
      <c r="BI41" s="505"/>
      <c r="BJ41" s="505"/>
      <c r="BK41" s="505"/>
      <c r="BL41" s="505"/>
      <c r="BM41" s="505"/>
      <c r="BN41" s="505"/>
      <c r="BO41" s="505"/>
      <c r="BP41" s="505"/>
      <c r="BQ41" s="505"/>
    </row>
    <row r="42" spans="1:69" ht="20.100000000000001" customHeight="1">
      <c r="A42" s="599">
        <v>16</v>
      </c>
      <c r="B42" s="573" t="s">
        <v>64</v>
      </c>
      <c r="C42" s="597" t="s">
        <v>77</v>
      </c>
      <c r="D42" s="572">
        <v>7</v>
      </c>
      <c r="E42" s="572">
        <f>1666.8</f>
        <v>1666.8</v>
      </c>
      <c r="F42" s="600"/>
      <c r="G42" s="600">
        <f>'T-6'!H41</f>
        <v>3.6294979999999994</v>
      </c>
      <c r="H42" s="572">
        <v>7</v>
      </c>
      <c r="I42" s="572">
        <f>1666.8</f>
        <v>1666.8</v>
      </c>
      <c r="J42" s="600">
        <f t="shared" si="5"/>
        <v>2.2534164999999997</v>
      </c>
      <c r="K42" s="600">
        <f>'T-6 (six mth)'!H42</f>
        <v>2.2534164999999997</v>
      </c>
      <c r="L42" s="572">
        <f t="shared" si="6"/>
        <v>1666.8</v>
      </c>
      <c r="M42" s="600">
        <f>N42</f>
        <v>4.5</v>
      </c>
      <c r="N42" s="600">
        <v>4.5</v>
      </c>
      <c r="O42" s="368">
        <f t="shared" si="8"/>
        <v>0.23984088157646063</v>
      </c>
      <c r="P42" s="572">
        <v>7</v>
      </c>
      <c r="Q42" s="572">
        <f>1666.8</f>
        <v>1666.8</v>
      </c>
      <c r="R42" s="600">
        <f t="shared" si="7"/>
        <v>5</v>
      </c>
      <c r="S42" s="600">
        <v>5</v>
      </c>
      <c r="T42" s="416">
        <f t="shared" si="9"/>
        <v>0.1111111111111111</v>
      </c>
      <c r="U42" s="605"/>
      <c r="V42" s="606"/>
      <c r="W42" s="606"/>
      <c r="X42" s="606"/>
      <c r="Y42" s="598"/>
      <c r="Z42" s="606"/>
      <c r="AA42" s="607"/>
      <c r="AB42" s="565"/>
      <c r="AC42" s="505"/>
      <c r="AD42" s="505"/>
      <c r="AE42" s="505"/>
      <c r="AF42" s="505"/>
      <c r="AG42" s="505"/>
      <c r="AH42" s="505"/>
      <c r="AI42" s="505"/>
      <c r="AJ42" s="505"/>
      <c r="AK42" s="505"/>
      <c r="AL42" s="505"/>
      <c r="AM42" s="505"/>
      <c r="AN42" s="505"/>
      <c r="AO42" s="505"/>
      <c r="AP42" s="505"/>
      <c r="AQ42" s="505"/>
      <c r="AR42" s="505"/>
      <c r="AS42" s="505"/>
      <c r="AT42" s="505"/>
      <c r="AU42" s="505"/>
      <c r="AV42" s="505"/>
      <c r="AW42" s="505"/>
      <c r="AX42" s="505"/>
      <c r="AY42" s="505"/>
      <c r="AZ42" s="505"/>
      <c r="BA42" s="505"/>
      <c r="BB42" s="505"/>
      <c r="BC42" s="505"/>
      <c r="BD42" s="505"/>
      <c r="BE42" s="505"/>
      <c r="BF42" s="505"/>
      <c r="BG42" s="505"/>
      <c r="BH42" s="505"/>
      <c r="BI42" s="505"/>
      <c r="BJ42" s="505"/>
      <c r="BK42" s="505"/>
      <c r="BL42" s="505"/>
      <c r="BM42" s="505"/>
      <c r="BN42" s="505"/>
      <c r="BO42" s="505"/>
      <c r="BP42" s="505"/>
      <c r="BQ42" s="505"/>
    </row>
    <row r="43" spans="1:69" ht="20.100000000000001" customHeight="1">
      <c r="A43" s="599">
        <v>17</v>
      </c>
      <c r="B43" s="573" t="s">
        <v>65</v>
      </c>
      <c r="C43" s="597" t="s">
        <v>77</v>
      </c>
      <c r="D43" s="572">
        <v>12</v>
      </c>
      <c r="E43" s="572">
        <f>2296.8</f>
        <v>2296.8000000000002</v>
      </c>
      <c r="F43" s="600"/>
      <c r="G43" s="600">
        <f>'T-6'!H42</f>
        <v>4.7194184999999997</v>
      </c>
      <c r="H43" s="572">
        <v>14</v>
      </c>
      <c r="I43" s="572">
        <f>2926.8</f>
        <v>2926.8</v>
      </c>
      <c r="J43" s="600">
        <f t="shared" si="5"/>
        <v>3.3025370000000009</v>
      </c>
      <c r="K43" s="600">
        <f>'T-6 (six mth)'!H43</f>
        <v>3.3025370000000009</v>
      </c>
      <c r="L43" s="572">
        <f t="shared" si="6"/>
        <v>2926.8</v>
      </c>
      <c r="M43" s="600">
        <f>N43</f>
        <v>7</v>
      </c>
      <c r="N43" s="600">
        <v>7</v>
      </c>
      <c r="O43" s="368">
        <f>(N43-G43)/G43</f>
        <v>0.48323358057777677</v>
      </c>
      <c r="P43" s="572">
        <v>14</v>
      </c>
      <c r="Q43" s="572">
        <f>2926.8</f>
        <v>2926.8</v>
      </c>
      <c r="R43" s="600">
        <f t="shared" si="7"/>
        <v>7.2</v>
      </c>
      <c r="S43" s="600">
        <v>7.2</v>
      </c>
      <c r="T43" s="416">
        <f>((S43-N43)/N43)</f>
        <v>2.8571428571428598E-2</v>
      </c>
      <c r="U43" s="605"/>
      <c r="V43" s="606"/>
      <c r="W43" s="606"/>
      <c r="X43" s="606"/>
      <c r="Y43" s="598"/>
      <c r="Z43" s="606"/>
      <c r="AA43" s="607"/>
      <c r="AB43" s="505"/>
      <c r="AC43" s="505"/>
      <c r="AD43" s="505"/>
      <c r="AE43" s="505"/>
      <c r="AF43" s="505"/>
      <c r="AG43" s="505"/>
      <c r="AH43" s="505"/>
      <c r="AI43" s="505"/>
      <c r="AJ43" s="505"/>
      <c r="AK43" s="505"/>
      <c r="AL43" s="505"/>
      <c r="AM43" s="505"/>
      <c r="AN43" s="505"/>
      <c r="AO43" s="505"/>
      <c r="AP43" s="505"/>
      <c r="AQ43" s="505"/>
      <c r="AR43" s="505"/>
      <c r="AS43" s="505"/>
      <c r="AT43" s="505"/>
      <c r="AU43" s="505"/>
      <c r="AV43" s="505"/>
      <c r="AW43" s="505"/>
      <c r="AX43" s="505"/>
      <c r="AY43" s="505"/>
      <c r="AZ43" s="505"/>
      <c r="BA43" s="505"/>
      <c r="BB43" s="505"/>
      <c r="BC43" s="505"/>
      <c r="BD43" s="505"/>
      <c r="BE43" s="505"/>
      <c r="BF43" s="505"/>
      <c r="BG43" s="505"/>
      <c r="BH43" s="505"/>
      <c r="BI43" s="505"/>
      <c r="BJ43" s="505"/>
      <c r="BK43" s="505"/>
      <c r="BL43" s="505"/>
      <c r="BM43" s="505"/>
      <c r="BN43" s="505"/>
      <c r="BO43" s="505"/>
      <c r="BP43" s="505"/>
      <c r="BQ43" s="505"/>
    </row>
    <row r="44" spans="1:69" ht="20.100000000000001" customHeight="1">
      <c r="A44" s="599">
        <v>18</v>
      </c>
      <c r="B44" s="573" t="s">
        <v>78</v>
      </c>
      <c r="C44" s="597" t="s">
        <v>77</v>
      </c>
      <c r="D44" s="572">
        <f>55+4</f>
        <v>59</v>
      </c>
      <c r="E44" s="572">
        <f>(898/0.9)+(21596.805/0.9)</f>
        <v>24994.227777777778</v>
      </c>
      <c r="F44" s="600"/>
      <c r="G44" s="600">
        <f>'T-6'!H43</f>
        <v>21.529943450000001</v>
      </c>
      <c r="H44" s="572">
        <v>64</v>
      </c>
      <c r="I44" s="572">
        <f>898/0.9+22908.7/0.9</f>
        <v>26451.888888888887</v>
      </c>
      <c r="J44" s="600">
        <f t="shared" si="5"/>
        <v>17.558525470999999</v>
      </c>
      <c r="K44" s="600">
        <f>'T-6 (six mth)'!H44</f>
        <v>17.558525470999999</v>
      </c>
      <c r="L44" s="572">
        <f t="shared" si="6"/>
        <v>27617.444444444445</v>
      </c>
      <c r="M44" s="600">
        <f t="shared" ref="M44:M54" si="11">N44</f>
        <v>35</v>
      </c>
      <c r="N44" s="600">
        <v>35</v>
      </c>
      <c r="O44" s="368">
        <f>(N44-G44)/G44</f>
        <v>0.62564291361387658</v>
      </c>
      <c r="P44" s="572">
        <f>68+3</f>
        <v>71</v>
      </c>
      <c r="Q44" s="572">
        <f>582/0.9+25322.7/0.9</f>
        <v>28783</v>
      </c>
      <c r="R44" s="600">
        <f t="shared" si="7"/>
        <v>36</v>
      </c>
      <c r="S44" s="600">
        <v>36</v>
      </c>
      <c r="T44" s="416">
        <f>((S44-N44)/N44)</f>
        <v>2.8571428571428571E-2</v>
      </c>
      <c r="U44" s="605"/>
      <c r="V44" s="606"/>
      <c r="W44" s="606"/>
      <c r="X44" s="606"/>
      <c r="Y44" s="598"/>
      <c r="Z44" s="606"/>
      <c r="AA44" s="607"/>
      <c r="AB44" s="505"/>
      <c r="AC44" s="505"/>
      <c r="AD44" s="505"/>
      <c r="AE44" s="505"/>
      <c r="AF44" s="505"/>
      <c r="AG44" s="505"/>
      <c r="AH44" s="505"/>
      <c r="AI44" s="505"/>
      <c r="AJ44" s="505"/>
      <c r="AK44" s="505"/>
      <c r="AL44" s="505"/>
      <c r="AM44" s="505"/>
      <c r="AN44" s="505"/>
      <c r="AO44" s="505"/>
      <c r="AP44" s="505"/>
      <c r="AQ44" s="505"/>
      <c r="AR44" s="505"/>
      <c r="AS44" s="505"/>
      <c r="AT44" s="505"/>
      <c r="AU44" s="505"/>
      <c r="AV44" s="505"/>
      <c r="AW44" s="505"/>
      <c r="AX44" s="505"/>
      <c r="AY44" s="505"/>
      <c r="AZ44" s="505"/>
      <c r="BA44" s="505"/>
      <c r="BB44" s="505"/>
      <c r="BC44" s="505"/>
      <c r="BD44" s="505"/>
      <c r="BE44" s="505"/>
      <c r="BF44" s="505"/>
      <c r="BG44" s="505"/>
      <c r="BH44" s="505"/>
      <c r="BI44" s="505"/>
      <c r="BJ44" s="505"/>
      <c r="BK44" s="505"/>
      <c r="BL44" s="505"/>
      <c r="BM44" s="505"/>
      <c r="BN44" s="505"/>
      <c r="BO44" s="505"/>
      <c r="BP44" s="505"/>
      <c r="BQ44" s="505"/>
    </row>
    <row r="45" spans="1:69" ht="20.100000000000001" customHeight="1">
      <c r="A45" s="599">
        <v>19</v>
      </c>
      <c r="B45" s="573" t="s">
        <v>79</v>
      </c>
      <c r="C45" s="597" t="s">
        <v>77</v>
      </c>
      <c r="D45" s="572"/>
      <c r="E45" s="572"/>
      <c r="F45" s="600"/>
      <c r="G45" s="600"/>
      <c r="H45" s="572">
        <v>2</v>
      </c>
      <c r="I45" s="572">
        <f>385.2/0.9</f>
        <v>428</v>
      </c>
      <c r="J45" s="600">
        <f t="shared" si="5"/>
        <v>0.10138800000000001</v>
      </c>
      <c r="K45" s="600">
        <f>'T-6 (six mth)'!H45</f>
        <v>0.10138800000000001</v>
      </c>
      <c r="L45" s="572">
        <f t="shared" si="6"/>
        <v>289</v>
      </c>
      <c r="M45" s="600">
        <f>N45</f>
        <v>0.2</v>
      </c>
      <c r="N45" s="600">
        <v>0.2</v>
      </c>
      <c r="O45" s="368"/>
      <c r="P45" s="572">
        <v>1</v>
      </c>
      <c r="Q45" s="572">
        <f>135/0.9</f>
        <v>150</v>
      </c>
      <c r="R45" s="600">
        <f t="shared" si="7"/>
        <v>0.1</v>
      </c>
      <c r="S45" s="600">
        <v>0.1</v>
      </c>
      <c r="T45" s="416"/>
      <c r="U45" s="605"/>
      <c r="V45" s="606"/>
      <c r="W45" s="606"/>
      <c r="X45" s="606"/>
      <c r="Y45" s="598"/>
      <c r="Z45" s="606"/>
      <c r="AA45" s="607"/>
      <c r="AB45" s="505"/>
      <c r="AC45" s="505"/>
      <c r="AD45" s="505"/>
      <c r="AE45" s="505"/>
      <c r="AF45" s="505"/>
      <c r="AG45" s="505"/>
      <c r="AH45" s="505"/>
      <c r="AI45" s="505"/>
      <c r="AJ45" s="505"/>
      <c r="AK45" s="505"/>
      <c r="AL45" s="505"/>
      <c r="AM45" s="505"/>
      <c r="AN45" s="505"/>
      <c r="AO45" s="505"/>
      <c r="AP45" s="505"/>
      <c r="AQ45" s="505"/>
      <c r="AR45" s="505"/>
      <c r="AS45" s="505"/>
      <c r="AT45" s="505"/>
      <c r="AU45" s="505"/>
      <c r="AV45" s="505"/>
      <c r="AW45" s="505"/>
      <c r="AX45" s="505"/>
      <c r="AY45" s="505"/>
      <c r="AZ45" s="505"/>
      <c r="BA45" s="505"/>
      <c r="BB45" s="505"/>
      <c r="BC45" s="505"/>
      <c r="BD45" s="505"/>
      <c r="BE45" s="505"/>
      <c r="BF45" s="505"/>
      <c r="BG45" s="505"/>
      <c r="BH45" s="505"/>
      <c r="BI45" s="505"/>
      <c r="BJ45" s="505"/>
      <c r="BK45" s="505"/>
      <c r="BL45" s="505"/>
      <c r="BM45" s="505"/>
      <c r="BN45" s="505"/>
      <c r="BO45" s="505"/>
      <c r="BP45" s="505"/>
      <c r="BQ45" s="505"/>
    </row>
    <row r="46" spans="1:69" ht="20.100000000000001" customHeight="1">
      <c r="A46" s="599">
        <v>20</v>
      </c>
      <c r="B46" s="573" t="s">
        <v>80</v>
      </c>
      <c r="C46" s="597" t="s">
        <v>77</v>
      </c>
      <c r="D46" s="572">
        <v>142</v>
      </c>
      <c r="E46" s="572">
        <v>54479</v>
      </c>
      <c r="F46" s="600"/>
      <c r="G46" s="600">
        <f>'T-6'!H45</f>
        <v>128.14765196580004</v>
      </c>
      <c r="H46" s="572">
        <f>171+1</f>
        <v>172</v>
      </c>
      <c r="I46" s="572">
        <f>(55815.942/0.9)+150</f>
        <v>62167.713333333333</v>
      </c>
      <c r="J46" s="600">
        <f t="shared" si="5"/>
        <v>82.669579374999998</v>
      </c>
      <c r="K46" s="600">
        <f>'T-6 (six mth)'!H46</f>
        <v>82.669579374999998</v>
      </c>
      <c r="L46" s="572">
        <f t="shared" si="6"/>
        <v>64280.157777777778</v>
      </c>
      <c r="M46" s="600">
        <f>N46</f>
        <v>160</v>
      </c>
      <c r="N46" s="600">
        <v>160</v>
      </c>
      <c r="O46" s="368">
        <f t="shared" ref="O46:O54" si="12">(N46-G46)/G46</f>
        <v>0.24855974764719604</v>
      </c>
      <c r="P46" s="572">
        <f>196+2</f>
        <v>198</v>
      </c>
      <c r="Q46" s="572">
        <f>(59415.842/0.9)+375</f>
        <v>66392.602222222224</v>
      </c>
      <c r="R46" s="600">
        <f t="shared" si="7"/>
        <v>168</v>
      </c>
      <c r="S46" s="600">
        <v>168</v>
      </c>
      <c r="T46" s="416">
        <f t="shared" ref="T46:T52" si="13">((S46-N46)/N46)</f>
        <v>0.05</v>
      </c>
      <c r="U46" s="605"/>
      <c r="V46" s="606"/>
      <c r="W46" s="606"/>
      <c r="X46" s="606"/>
      <c r="Y46" s="598"/>
      <c r="Z46" s="606"/>
      <c r="AA46" s="607"/>
      <c r="AB46" s="505"/>
      <c r="AC46" s="505"/>
      <c r="AD46" s="505"/>
      <c r="AE46" s="505"/>
      <c r="AF46" s="505"/>
      <c r="AG46" s="505"/>
      <c r="AH46" s="505"/>
      <c r="AI46" s="505"/>
      <c r="AJ46" s="505"/>
      <c r="AK46" s="505"/>
      <c r="AL46" s="505"/>
      <c r="AM46" s="505"/>
      <c r="AN46" s="505"/>
      <c r="AO46" s="505"/>
      <c r="AP46" s="505"/>
      <c r="AQ46" s="505"/>
      <c r="AR46" s="505"/>
      <c r="AS46" s="505"/>
      <c r="AT46" s="505"/>
      <c r="AU46" s="505"/>
      <c r="AV46" s="505"/>
      <c r="AW46" s="505"/>
      <c r="AX46" s="505"/>
      <c r="AY46" s="505"/>
      <c r="AZ46" s="505"/>
      <c r="BA46" s="505"/>
      <c r="BB46" s="505"/>
      <c r="BC46" s="505"/>
      <c r="BD46" s="505"/>
      <c r="BE46" s="505"/>
      <c r="BF46" s="505"/>
      <c r="BG46" s="505"/>
      <c r="BH46" s="505"/>
      <c r="BI46" s="505"/>
      <c r="BJ46" s="505"/>
      <c r="BK46" s="505"/>
      <c r="BL46" s="505"/>
      <c r="BM46" s="505"/>
      <c r="BN46" s="505"/>
      <c r="BO46" s="505"/>
      <c r="BP46" s="505"/>
      <c r="BQ46" s="505"/>
    </row>
    <row r="47" spans="1:69">
      <c r="A47" s="599">
        <v>21</v>
      </c>
      <c r="B47" s="573" t="s">
        <v>81</v>
      </c>
      <c r="C47" s="597" t="s">
        <v>77</v>
      </c>
      <c r="D47" s="572">
        <f>530*0</f>
        <v>0</v>
      </c>
      <c r="E47" s="572">
        <f>33053*0</f>
        <v>0</v>
      </c>
      <c r="F47" s="600"/>
      <c r="G47" s="600">
        <f>'T-6'!H46</f>
        <v>0</v>
      </c>
      <c r="H47" s="572">
        <f>530*0</f>
        <v>0</v>
      </c>
      <c r="I47" s="572">
        <f>33053*0</f>
        <v>0</v>
      </c>
      <c r="J47" s="600"/>
      <c r="K47" s="600">
        <f>'T-6 (six mth)'!H47</f>
        <v>0</v>
      </c>
      <c r="L47" s="597">
        <v>0</v>
      </c>
      <c r="M47" s="600"/>
      <c r="N47" s="600">
        <v>0</v>
      </c>
      <c r="O47" s="368" t="e">
        <f>(N47-G47)/G47</f>
        <v>#DIV/0!</v>
      </c>
      <c r="P47" s="572">
        <f>350*0</f>
        <v>0</v>
      </c>
      <c r="Q47" s="572">
        <f>23600*0</f>
        <v>0</v>
      </c>
      <c r="R47" s="600">
        <f>36*0</f>
        <v>0</v>
      </c>
      <c r="S47" s="600">
        <f>36*0</f>
        <v>0</v>
      </c>
      <c r="T47" s="416" t="e">
        <f>((S47-N47)/N47)</f>
        <v>#DIV/0!</v>
      </c>
      <c r="U47" s="605"/>
      <c r="V47" s="606"/>
      <c r="W47" s="606"/>
      <c r="X47" s="606"/>
      <c r="Y47" s="598"/>
      <c r="Z47" s="606"/>
      <c r="AA47" s="607"/>
      <c r="AB47" s="505"/>
      <c r="AC47" s="505"/>
      <c r="AD47" s="505"/>
      <c r="AE47" s="505"/>
      <c r="AF47" s="505"/>
      <c r="AG47" s="505"/>
      <c r="AH47" s="505"/>
      <c r="AI47" s="505"/>
      <c r="AJ47" s="505"/>
      <c r="AK47" s="505"/>
      <c r="AL47" s="505"/>
      <c r="AM47" s="505"/>
      <c r="AN47" s="505"/>
      <c r="AO47" s="505"/>
      <c r="AP47" s="505"/>
      <c r="AQ47" s="505"/>
      <c r="AR47" s="505"/>
      <c r="AS47" s="505"/>
      <c r="AT47" s="505"/>
      <c r="AU47" s="505"/>
      <c r="AV47" s="505"/>
      <c r="AW47" s="505"/>
      <c r="AX47" s="505"/>
      <c r="AY47" s="505"/>
      <c r="AZ47" s="505"/>
      <c r="BA47" s="505"/>
      <c r="BB47" s="505"/>
      <c r="BC47" s="505"/>
      <c r="BD47" s="505"/>
      <c r="BE47" s="505"/>
      <c r="BF47" s="505"/>
      <c r="BG47" s="505"/>
      <c r="BH47" s="505"/>
      <c r="BI47" s="505"/>
      <c r="BJ47" s="505"/>
      <c r="BK47" s="505"/>
      <c r="BL47" s="505"/>
      <c r="BM47" s="505"/>
      <c r="BN47" s="505"/>
      <c r="BO47" s="505"/>
      <c r="BP47" s="505"/>
      <c r="BQ47" s="505"/>
    </row>
    <row r="48" spans="1:69" ht="20.100000000000001" customHeight="1">
      <c r="A48" s="599">
        <v>22</v>
      </c>
      <c r="B48" s="573" t="s">
        <v>82</v>
      </c>
      <c r="C48" s="597" t="s">
        <v>77</v>
      </c>
      <c r="D48" s="572">
        <v>35</v>
      </c>
      <c r="E48" s="572">
        <v>12561</v>
      </c>
      <c r="F48" s="600"/>
      <c r="G48" s="600">
        <f>'T-6'!H47</f>
        <v>33.402508919999995</v>
      </c>
      <c r="H48" s="572">
        <v>46</v>
      </c>
      <c r="I48" s="572">
        <f>13858.5/0.9</f>
        <v>15398.333333333332</v>
      </c>
      <c r="J48" s="600">
        <f>K48</f>
        <v>21.23571922</v>
      </c>
      <c r="K48" s="600">
        <f>'T-6 (six mth)'!H48</f>
        <v>21.23571922</v>
      </c>
      <c r="L48" s="572">
        <f>(I48+Q48)/2</f>
        <v>16514.611111111109</v>
      </c>
      <c r="M48" s="600">
        <f>N48</f>
        <v>42</v>
      </c>
      <c r="N48" s="600">
        <v>42</v>
      </c>
      <c r="O48" s="368">
        <f t="shared" si="12"/>
        <v>0.25739057807278048</v>
      </c>
      <c r="P48" s="572">
        <v>51</v>
      </c>
      <c r="Q48" s="572">
        <f>15867.8/0.9</f>
        <v>17630.888888888887</v>
      </c>
      <c r="R48" s="600">
        <f>S48</f>
        <v>43</v>
      </c>
      <c r="S48" s="600">
        <v>43</v>
      </c>
      <c r="T48" s="416">
        <f t="shared" si="13"/>
        <v>2.3809523809523808E-2</v>
      </c>
      <c r="U48" s="605"/>
      <c r="V48" s="606"/>
      <c r="W48" s="606"/>
      <c r="X48" s="606"/>
      <c r="Y48" s="598"/>
      <c r="Z48" s="606"/>
      <c r="AA48" s="607"/>
      <c r="AB48" s="505"/>
      <c r="AC48" s="505"/>
      <c r="AD48" s="505"/>
      <c r="AE48" s="505"/>
      <c r="AF48" s="505"/>
      <c r="AG48" s="505"/>
      <c r="AH48" s="505"/>
      <c r="AI48" s="505"/>
      <c r="AJ48" s="505"/>
      <c r="AK48" s="505"/>
      <c r="AL48" s="505"/>
      <c r="AM48" s="505"/>
      <c r="AN48" s="505"/>
      <c r="AO48" s="505"/>
      <c r="AP48" s="505"/>
      <c r="AQ48" s="505"/>
      <c r="AR48" s="505"/>
      <c r="AS48" s="505"/>
      <c r="AT48" s="505"/>
      <c r="AU48" s="505"/>
      <c r="AV48" s="505"/>
      <c r="AW48" s="505"/>
      <c r="AX48" s="505"/>
      <c r="AY48" s="505"/>
      <c r="AZ48" s="505"/>
      <c r="BA48" s="505"/>
      <c r="BB48" s="505"/>
      <c r="BC48" s="505"/>
      <c r="BD48" s="505"/>
      <c r="BE48" s="505"/>
      <c r="BF48" s="505"/>
      <c r="BG48" s="505"/>
      <c r="BH48" s="505"/>
      <c r="BI48" s="505"/>
      <c r="BJ48" s="505"/>
      <c r="BK48" s="505"/>
      <c r="BL48" s="505"/>
      <c r="BM48" s="505"/>
      <c r="BN48" s="505"/>
      <c r="BO48" s="505"/>
      <c r="BP48" s="505"/>
      <c r="BQ48" s="505"/>
    </row>
    <row r="49" spans="1:69" ht="20.100000000000001" customHeight="1">
      <c r="A49" s="599">
        <v>23</v>
      </c>
      <c r="B49" s="573" t="s">
        <v>73</v>
      </c>
      <c r="C49" s="597" t="s">
        <v>77</v>
      </c>
      <c r="D49" s="572">
        <v>651</v>
      </c>
      <c r="E49" s="572">
        <v>302011</v>
      </c>
      <c r="F49" s="600"/>
      <c r="G49" s="600">
        <f>'T-6'!H48</f>
        <v>951.98521253900003</v>
      </c>
      <c r="H49" s="572">
        <f>701+1</f>
        <v>702</v>
      </c>
      <c r="I49" s="572">
        <f>(297102.894/0.9)+160</f>
        <v>330274.3266666666</v>
      </c>
      <c r="J49" s="600">
        <f>K49/0.96</f>
        <v>521.66647922146774</v>
      </c>
      <c r="K49" s="600">
        <f>'T-6 (six mth)'!H49</f>
        <v>500.79982005260905</v>
      </c>
      <c r="L49" s="572">
        <f>(I49+Q49)/2</f>
        <v>337901.5244444444</v>
      </c>
      <c r="M49" s="600">
        <f>N49/0.96</f>
        <v>990.31250000000011</v>
      </c>
      <c r="N49" s="600">
        <f>960.7-N50</f>
        <v>950.7</v>
      </c>
      <c r="O49" s="368">
        <f t="shared" si="12"/>
        <v>-1.3500341413626045E-3</v>
      </c>
      <c r="P49" s="572">
        <v>734</v>
      </c>
      <c r="Q49" s="572">
        <f>(310831.85)/0.9+160</f>
        <v>345528.72222222219</v>
      </c>
      <c r="R49" s="600">
        <f>S49/0.96</f>
        <v>1026.0416666666667</v>
      </c>
      <c r="S49" s="600">
        <f>1000-S50</f>
        <v>985</v>
      </c>
      <c r="T49" s="416">
        <f t="shared" si="13"/>
        <v>3.6078678868202325E-2</v>
      </c>
      <c r="U49" s="605"/>
      <c r="V49" s="606"/>
      <c r="W49" s="606"/>
      <c r="X49" s="606"/>
      <c r="Y49" s="598"/>
      <c r="Z49" s="606"/>
      <c r="AA49" s="607"/>
      <c r="AB49" s="505"/>
      <c r="AC49" s="505"/>
      <c r="AD49" s="505"/>
      <c r="AE49" s="505"/>
      <c r="AF49" s="505"/>
      <c r="AG49" s="505"/>
      <c r="AH49" s="505"/>
      <c r="AI49" s="505"/>
      <c r="AJ49" s="505"/>
      <c r="AK49" s="505"/>
      <c r="AL49" s="505"/>
      <c r="AM49" s="505"/>
      <c r="AN49" s="505"/>
      <c r="AO49" s="505"/>
      <c r="AP49" s="505"/>
      <c r="AQ49" s="505"/>
      <c r="AR49" s="505"/>
      <c r="AS49" s="505"/>
      <c r="AT49" s="505"/>
      <c r="AU49" s="505"/>
      <c r="AV49" s="505"/>
      <c r="AW49" s="505"/>
      <c r="AX49" s="505"/>
      <c r="AY49" s="505"/>
      <c r="AZ49" s="505"/>
      <c r="BA49" s="505"/>
      <c r="BB49" s="505"/>
      <c r="BC49" s="505"/>
      <c r="BD49" s="505"/>
      <c r="BE49" s="505"/>
      <c r="BF49" s="505"/>
      <c r="BG49" s="505"/>
      <c r="BH49" s="505"/>
      <c r="BI49" s="505"/>
      <c r="BJ49" s="505"/>
      <c r="BK49" s="505"/>
      <c r="BL49" s="505"/>
      <c r="BM49" s="505"/>
      <c r="BN49" s="505"/>
      <c r="BO49" s="505"/>
      <c r="BP49" s="505"/>
      <c r="BQ49" s="505"/>
    </row>
    <row r="50" spans="1:69" ht="25.5">
      <c r="A50" s="599"/>
      <c r="B50" s="1027" t="s">
        <v>2127</v>
      </c>
      <c r="C50" s="597" t="s">
        <v>77</v>
      </c>
      <c r="D50" s="572"/>
      <c r="E50" s="572"/>
      <c r="F50" s="600"/>
      <c r="G50" s="600"/>
      <c r="H50" s="572"/>
      <c r="I50" s="572"/>
      <c r="J50" s="600">
        <f>K50/0.96</f>
        <v>5.2083333333333339</v>
      </c>
      <c r="K50" s="600">
        <f>'T-6 (six mth)'!H50</f>
        <v>5</v>
      </c>
      <c r="L50" s="572"/>
      <c r="M50" s="600">
        <f>N50/0.96</f>
        <v>10.416666666666668</v>
      </c>
      <c r="N50" s="600">
        <v>10</v>
      </c>
      <c r="O50" s="368" t="e">
        <f t="shared" si="12"/>
        <v>#DIV/0!</v>
      </c>
      <c r="P50" s="572"/>
      <c r="Q50" s="572"/>
      <c r="R50" s="600">
        <f>S50/0.96</f>
        <v>15.625</v>
      </c>
      <c r="S50" s="600">
        <v>15</v>
      </c>
      <c r="T50" s="416">
        <f t="shared" si="13"/>
        <v>0.5</v>
      </c>
      <c r="U50" s="605"/>
      <c r="V50" s="606"/>
      <c r="W50" s="606"/>
      <c r="X50" s="606"/>
      <c r="Y50" s="598"/>
      <c r="Z50" s="606"/>
      <c r="AA50" s="607"/>
      <c r="AB50" s="505"/>
      <c r="AC50" s="505"/>
      <c r="AD50" s="505"/>
      <c r="AE50" s="505"/>
      <c r="AF50" s="505"/>
      <c r="AG50" s="505"/>
      <c r="AH50" s="505"/>
      <c r="AI50" s="505"/>
      <c r="AJ50" s="505"/>
      <c r="AK50" s="505"/>
      <c r="AL50" s="505"/>
      <c r="AM50" s="505"/>
      <c r="AN50" s="505"/>
      <c r="AO50" s="505"/>
      <c r="AP50" s="505"/>
      <c r="AQ50" s="505"/>
      <c r="AR50" s="505"/>
      <c r="AS50" s="505"/>
      <c r="AT50" s="505"/>
      <c r="AU50" s="505"/>
      <c r="AV50" s="505"/>
      <c r="AW50" s="505"/>
      <c r="AX50" s="505"/>
      <c r="AY50" s="505"/>
      <c r="AZ50" s="505"/>
      <c r="BA50" s="505"/>
      <c r="BB50" s="505"/>
      <c r="BC50" s="505"/>
      <c r="BD50" s="505"/>
      <c r="BE50" s="505"/>
      <c r="BF50" s="505"/>
      <c r="BG50" s="505"/>
      <c r="BH50" s="505"/>
      <c r="BI50" s="505"/>
      <c r="BJ50" s="505"/>
      <c r="BK50" s="505"/>
      <c r="BL50" s="505"/>
      <c r="BM50" s="505"/>
      <c r="BN50" s="505"/>
      <c r="BO50" s="505"/>
      <c r="BP50" s="505"/>
      <c r="BQ50" s="505"/>
    </row>
    <row r="51" spans="1:69" ht="20.100000000000001" customHeight="1">
      <c r="A51" s="599">
        <v>24</v>
      </c>
      <c r="B51" s="573" t="s">
        <v>83</v>
      </c>
      <c r="C51" s="597" t="s">
        <v>77</v>
      </c>
      <c r="D51" s="572">
        <v>13</v>
      </c>
      <c r="E51" s="572">
        <v>93490</v>
      </c>
      <c r="F51" s="600"/>
      <c r="G51" s="600">
        <f>'T-6'!H49</f>
        <v>502.79085599999985</v>
      </c>
      <c r="H51" s="572">
        <v>13</v>
      </c>
      <c r="I51" s="572">
        <v>92680</v>
      </c>
      <c r="J51" s="600">
        <f>K51/0.9831</f>
        <v>288.29807344115557</v>
      </c>
      <c r="K51" s="600">
        <f>'T-6 (six mth)'!H51</f>
        <v>283.425836</v>
      </c>
      <c r="L51" s="572">
        <f>(I51+Q51)/2</f>
        <v>94115</v>
      </c>
      <c r="M51" s="600">
        <f>N51/0.9831</f>
        <v>589.97050147492632</v>
      </c>
      <c r="N51" s="600">
        <v>580</v>
      </c>
      <c r="O51" s="368">
        <f t="shared" si="12"/>
        <v>0.15356115386473967</v>
      </c>
      <c r="P51" s="572">
        <v>13</v>
      </c>
      <c r="Q51" s="572">
        <v>95550</v>
      </c>
      <c r="R51" s="600">
        <f>S51/0.9831</f>
        <v>620.48621706845699</v>
      </c>
      <c r="S51" s="600">
        <v>610</v>
      </c>
      <c r="T51" s="416">
        <f t="shared" si="13"/>
        <v>5.1724137931034482E-2</v>
      </c>
      <c r="U51" s="605"/>
      <c r="V51" s="606"/>
      <c r="W51" s="606"/>
      <c r="X51" s="606"/>
      <c r="Y51" s="598"/>
      <c r="Z51" s="606"/>
      <c r="AA51" s="607"/>
      <c r="AB51" s="505"/>
      <c r="AC51" s="505"/>
      <c r="AD51" s="505"/>
      <c r="AE51" s="505"/>
      <c r="AF51" s="505"/>
      <c r="AG51" s="505"/>
      <c r="AH51" s="505"/>
      <c r="AI51" s="505"/>
      <c r="AJ51" s="505"/>
      <c r="AK51" s="505"/>
      <c r="AL51" s="505"/>
      <c r="AM51" s="505"/>
      <c r="AN51" s="505"/>
      <c r="AO51" s="505"/>
      <c r="AP51" s="505"/>
      <c r="AQ51" s="505"/>
      <c r="AR51" s="505"/>
      <c r="AS51" s="505"/>
      <c r="AT51" s="505"/>
      <c r="AU51" s="505"/>
      <c r="AV51" s="505"/>
      <c r="AW51" s="505"/>
      <c r="AX51" s="505"/>
      <c r="AY51" s="505"/>
      <c r="AZ51" s="505"/>
      <c r="BA51" s="505"/>
      <c r="BB51" s="505"/>
      <c r="BC51" s="505"/>
      <c r="BD51" s="505"/>
      <c r="BE51" s="505"/>
      <c r="BF51" s="505"/>
      <c r="BG51" s="505"/>
      <c r="BH51" s="505"/>
      <c r="BI51" s="505"/>
      <c r="BJ51" s="505"/>
      <c r="BK51" s="505"/>
      <c r="BL51" s="505"/>
      <c r="BM51" s="505"/>
      <c r="BN51" s="505"/>
      <c r="BO51" s="505"/>
      <c r="BP51" s="505"/>
      <c r="BQ51" s="505"/>
    </row>
    <row r="52" spans="1:69" ht="20.100000000000001" customHeight="1">
      <c r="A52" s="599">
        <v>25</v>
      </c>
      <c r="B52" s="573" t="s">
        <v>84</v>
      </c>
      <c r="C52" s="597" t="s">
        <v>77</v>
      </c>
      <c r="D52" s="572">
        <v>4</v>
      </c>
      <c r="E52" s="572">
        <v>29500</v>
      </c>
      <c r="F52" s="600"/>
      <c r="G52" s="600">
        <f>'T-6'!H50</f>
        <v>136.43827999999999</v>
      </c>
      <c r="H52" s="572">
        <v>4</v>
      </c>
      <c r="I52" s="572">
        <v>29500</v>
      </c>
      <c r="J52" s="600">
        <f>K52/0.9883</f>
        <v>82.72981888090662</v>
      </c>
      <c r="K52" s="600">
        <f>'T-6 (six mth)'!H52</f>
        <v>81.761880000000005</v>
      </c>
      <c r="L52" s="572">
        <f t="shared" ref="L52:L54" si="14">(I52+Q52)/2</f>
        <v>29500</v>
      </c>
      <c r="M52" s="600">
        <f>N52/0.9883</f>
        <v>168.5722958615805</v>
      </c>
      <c r="N52" s="600">
        <v>166.6</v>
      </c>
      <c r="O52" s="368">
        <f t="shared" si="12"/>
        <v>0.22106493866677301</v>
      </c>
      <c r="P52" s="572">
        <v>4</v>
      </c>
      <c r="Q52" s="572">
        <v>29500</v>
      </c>
      <c r="R52" s="600">
        <f>S52/0.9883</f>
        <v>177.0717393503997</v>
      </c>
      <c r="S52" s="600">
        <v>175</v>
      </c>
      <c r="T52" s="416">
        <f t="shared" si="13"/>
        <v>5.0420168067226927E-2</v>
      </c>
      <c r="U52" s="605"/>
      <c r="V52" s="606"/>
      <c r="W52" s="606"/>
      <c r="X52" s="606"/>
      <c r="Y52" s="598"/>
      <c r="Z52" s="606"/>
      <c r="AA52" s="607"/>
      <c r="AB52" s="505"/>
      <c r="AC52" s="505"/>
      <c r="AD52" s="505"/>
      <c r="AE52" s="505"/>
      <c r="AF52" s="505"/>
      <c r="AG52" s="505"/>
      <c r="AH52" s="505"/>
      <c r="AI52" s="505"/>
      <c r="AJ52" s="505"/>
      <c r="AK52" s="505"/>
      <c r="AL52" s="505"/>
      <c r="AM52" s="505"/>
      <c r="AN52" s="505"/>
      <c r="AO52" s="505"/>
      <c r="AP52" s="505"/>
      <c r="AQ52" s="505"/>
      <c r="AR52" s="505"/>
      <c r="AS52" s="505"/>
      <c r="AT52" s="505"/>
      <c r="AU52" s="505"/>
      <c r="AV52" s="505"/>
      <c r="AW52" s="505"/>
      <c r="AX52" s="505"/>
      <c r="AY52" s="505"/>
      <c r="AZ52" s="505"/>
      <c r="BA52" s="505"/>
      <c r="BB52" s="505"/>
      <c r="BC52" s="505"/>
      <c r="BD52" s="505"/>
      <c r="BE52" s="505"/>
      <c r="BF52" s="505"/>
      <c r="BG52" s="505"/>
      <c r="BH52" s="505"/>
      <c r="BI52" s="505"/>
      <c r="BJ52" s="505"/>
      <c r="BK52" s="505"/>
      <c r="BL52" s="505"/>
      <c r="BM52" s="505"/>
      <c r="BN52" s="505"/>
      <c r="BO52" s="505"/>
      <c r="BP52" s="505"/>
      <c r="BQ52" s="505"/>
    </row>
    <row r="53" spans="1:69" ht="20.100000000000001" customHeight="1">
      <c r="A53" s="599">
        <v>26</v>
      </c>
      <c r="B53" s="573" t="s">
        <v>85</v>
      </c>
      <c r="C53" s="597" t="s">
        <v>77</v>
      </c>
      <c r="D53" s="572">
        <v>1</v>
      </c>
      <c r="E53" s="572">
        <v>11000</v>
      </c>
      <c r="F53" s="600"/>
      <c r="G53" s="600">
        <f>'T-6'!H51</f>
        <v>1.5167999999999999</v>
      </c>
      <c r="H53" s="572">
        <v>0</v>
      </c>
      <c r="I53" s="572">
        <v>0</v>
      </c>
      <c r="J53" s="600"/>
      <c r="K53" s="600">
        <f>'T-6 (six mth)'!H53</f>
        <v>0</v>
      </c>
      <c r="L53" s="572">
        <f t="shared" si="14"/>
        <v>0</v>
      </c>
      <c r="M53" s="600">
        <f t="shared" si="11"/>
        <v>0</v>
      </c>
      <c r="N53" s="600">
        <v>0</v>
      </c>
      <c r="O53" s="368">
        <f t="shared" si="12"/>
        <v>-1</v>
      </c>
      <c r="P53" s="572"/>
      <c r="Q53" s="572"/>
      <c r="R53" s="600">
        <v>9.9999999999999995E-7</v>
      </c>
      <c r="S53" s="600">
        <v>9.9999999999999995E-7</v>
      </c>
      <c r="T53" s="416"/>
      <c r="U53" s="605"/>
      <c r="V53" s="606"/>
      <c r="W53" s="606"/>
      <c r="X53" s="606"/>
      <c r="Y53" s="598"/>
      <c r="Z53" s="606"/>
      <c r="AA53" s="607"/>
      <c r="AB53" s="505"/>
      <c r="AC53" s="505"/>
      <c r="AD53" s="505"/>
      <c r="AE53" s="505"/>
      <c r="AF53" s="505"/>
      <c r="AG53" s="505"/>
      <c r="AH53" s="505"/>
      <c r="AI53" s="505"/>
      <c r="AJ53" s="505"/>
      <c r="AK53" s="505"/>
      <c r="AL53" s="505"/>
      <c r="AM53" s="505"/>
      <c r="AN53" s="505"/>
      <c r="AO53" s="505"/>
      <c r="AP53" s="505"/>
      <c r="AQ53" s="505"/>
      <c r="AR53" s="505"/>
      <c r="AS53" s="505"/>
      <c r="AT53" s="505"/>
      <c r="AU53" s="505"/>
      <c r="AV53" s="505"/>
      <c r="AW53" s="505"/>
      <c r="AX53" s="505"/>
      <c r="AY53" s="505"/>
      <c r="AZ53" s="505"/>
      <c r="BA53" s="505"/>
      <c r="BB53" s="505"/>
      <c r="BC53" s="505"/>
      <c r="BD53" s="505"/>
      <c r="BE53" s="505"/>
      <c r="BF53" s="505"/>
      <c r="BG53" s="505"/>
      <c r="BH53" s="505"/>
      <c r="BI53" s="505"/>
      <c r="BJ53" s="505"/>
      <c r="BK53" s="505"/>
      <c r="BL53" s="505"/>
      <c r="BM53" s="505"/>
      <c r="BN53" s="505"/>
      <c r="BO53" s="505"/>
      <c r="BP53" s="505"/>
      <c r="BQ53" s="505"/>
    </row>
    <row r="54" spans="1:69" ht="20.100000000000001" customHeight="1">
      <c r="A54" s="599">
        <v>27</v>
      </c>
      <c r="B54" s="573" t="s">
        <v>86</v>
      </c>
      <c r="C54" s="597" t="s">
        <v>77</v>
      </c>
      <c r="D54" s="572">
        <v>0</v>
      </c>
      <c r="E54" s="572">
        <v>0</v>
      </c>
      <c r="F54" s="600"/>
      <c r="G54" s="600">
        <f>'T-6'!H52</f>
        <v>0</v>
      </c>
      <c r="H54" s="572">
        <v>0</v>
      </c>
      <c r="I54" s="572">
        <v>0</v>
      </c>
      <c r="J54" s="600"/>
      <c r="K54" s="600">
        <f>'T-6 (six mth)'!H54</f>
        <v>0</v>
      </c>
      <c r="L54" s="572">
        <f t="shared" si="14"/>
        <v>0</v>
      </c>
      <c r="M54" s="600">
        <f t="shared" si="11"/>
        <v>0</v>
      </c>
      <c r="N54" s="600">
        <v>0</v>
      </c>
      <c r="O54" s="368" t="e">
        <f t="shared" si="12"/>
        <v>#DIV/0!</v>
      </c>
      <c r="P54" s="572"/>
      <c r="Q54" s="572"/>
      <c r="R54" s="600"/>
      <c r="S54" s="600">
        <v>9.9999999999999995E-7</v>
      </c>
      <c r="T54" s="416"/>
      <c r="U54" s="605"/>
      <c r="V54" s="606"/>
      <c r="W54" s="606"/>
      <c r="X54" s="606"/>
      <c r="Y54" s="598"/>
      <c r="Z54" s="606"/>
      <c r="AA54" s="607"/>
      <c r="AB54" s="505"/>
      <c r="AC54" s="505"/>
      <c r="AD54" s="505"/>
      <c r="AE54" s="505"/>
      <c r="AF54" s="505"/>
      <c r="AG54" s="505"/>
      <c r="AH54" s="505"/>
      <c r="AI54" s="505"/>
      <c r="AJ54" s="505"/>
      <c r="AK54" s="505"/>
      <c r="AL54" s="505"/>
      <c r="AM54" s="505"/>
      <c r="AN54" s="505"/>
      <c r="AO54" s="505"/>
      <c r="AP54" s="505"/>
      <c r="AQ54" s="505"/>
      <c r="AR54" s="505"/>
      <c r="AS54" s="505"/>
      <c r="AT54" s="505"/>
      <c r="AU54" s="505"/>
      <c r="AV54" s="505"/>
      <c r="AW54" s="505"/>
      <c r="AX54" s="505"/>
      <c r="AY54" s="505"/>
      <c r="AZ54" s="505"/>
      <c r="BA54" s="505"/>
      <c r="BB54" s="505"/>
      <c r="BC54" s="505"/>
      <c r="BD54" s="505"/>
      <c r="BE54" s="505"/>
      <c r="BF54" s="505"/>
      <c r="BG54" s="505"/>
      <c r="BH54" s="505"/>
      <c r="BI54" s="505"/>
      <c r="BJ54" s="505"/>
      <c r="BK54" s="505"/>
      <c r="BL54" s="505"/>
      <c r="BM54" s="505"/>
      <c r="BN54" s="505"/>
      <c r="BO54" s="505"/>
      <c r="BP54" s="505"/>
      <c r="BQ54" s="505"/>
    </row>
    <row r="55" spans="1:69" ht="20.100000000000001" customHeight="1">
      <c r="A55" s="599">
        <v>28</v>
      </c>
      <c r="B55" s="573" t="s">
        <v>87</v>
      </c>
      <c r="C55" s="597" t="s">
        <v>77</v>
      </c>
      <c r="D55" s="572"/>
      <c r="E55" s="572"/>
      <c r="F55" s="600"/>
      <c r="G55" s="600">
        <f>'T-6'!H53</f>
        <v>4.4749999999999996</v>
      </c>
      <c r="H55" s="572"/>
      <c r="I55" s="572"/>
      <c r="J55" s="600">
        <f>K55</f>
        <v>3.8098000000000005</v>
      </c>
      <c r="K55" s="600">
        <f>'T-6 (six mth)'!H55</f>
        <v>3.8098000000000005</v>
      </c>
      <c r="L55" s="597"/>
      <c r="M55" s="600">
        <f>N55</f>
        <v>5</v>
      </c>
      <c r="N55" s="600">
        <v>5</v>
      </c>
      <c r="O55" s="368">
        <f>(N55-G55)/G55</f>
        <v>0.11731843575419003</v>
      </c>
      <c r="P55" s="572"/>
      <c r="Q55" s="572"/>
      <c r="R55" s="600">
        <f>S55</f>
        <v>4.2</v>
      </c>
      <c r="S55" s="600">
        <v>4.2</v>
      </c>
      <c r="T55" s="416">
        <f>((S55-N55)/N55)</f>
        <v>-0.15999999999999998</v>
      </c>
      <c r="U55" s="605"/>
      <c r="V55" s="606"/>
      <c r="W55" s="606"/>
      <c r="X55" s="606"/>
      <c r="Y55" s="598"/>
      <c r="Z55" s="606"/>
      <c r="AA55" s="607"/>
      <c r="AB55" s="505"/>
      <c r="AC55" s="505"/>
      <c r="AD55" s="505"/>
      <c r="AE55" s="505"/>
      <c r="AF55" s="505"/>
      <c r="AG55" s="505"/>
      <c r="AH55" s="505"/>
      <c r="AI55" s="505"/>
      <c r="AJ55" s="505"/>
      <c r="AK55" s="505"/>
      <c r="AL55" s="505"/>
      <c r="AM55" s="505"/>
      <c r="AN55" s="505"/>
      <c r="AO55" s="505"/>
      <c r="AP55" s="505"/>
      <c r="AQ55" s="505"/>
      <c r="AR55" s="505"/>
      <c r="AS55" s="505"/>
      <c r="AT55" s="505"/>
      <c r="AU55" s="505"/>
      <c r="AV55" s="505"/>
      <c r="AW55" s="505"/>
      <c r="AX55" s="505"/>
      <c r="AY55" s="505"/>
      <c r="AZ55" s="505"/>
      <c r="BA55" s="505"/>
      <c r="BB55" s="505"/>
      <c r="BC55" s="505"/>
      <c r="BD55" s="505"/>
      <c r="BE55" s="505"/>
      <c r="BF55" s="505"/>
      <c r="BG55" s="505"/>
      <c r="BH55" s="505"/>
      <c r="BI55" s="505"/>
      <c r="BJ55" s="505"/>
      <c r="BK55" s="505"/>
      <c r="BL55" s="505"/>
      <c r="BM55" s="505"/>
      <c r="BN55" s="505"/>
      <c r="BO55" s="505"/>
      <c r="BP55" s="505"/>
      <c r="BQ55" s="505"/>
    </row>
    <row r="56" spans="1:69" ht="20.100000000000001" customHeight="1">
      <c r="A56" s="599"/>
      <c r="B56" s="573"/>
      <c r="C56" s="597"/>
      <c r="D56" s="608"/>
      <c r="E56" s="608"/>
      <c r="F56" s="609"/>
      <c r="G56" s="609"/>
      <c r="H56" s="608"/>
      <c r="I56" s="608"/>
      <c r="J56" s="609"/>
      <c r="K56" s="609"/>
      <c r="L56" s="573"/>
      <c r="M56" s="609"/>
      <c r="N56" s="609"/>
      <c r="O56" s="610"/>
      <c r="P56" s="608"/>
      <c r="Q56" s="608"/>
      <c r="R56" s="609"/>
      <c r="S56" s="609"/>
      <c r="T56" s="1057"/>
      <c r="U56" s="605"/>
      <c r="V56" s="606"/>
      <c r="W56" s="606"/>
      <c r="X56" s="606"/>
      <c r="Y56" s="598"/>
      <c r="Z56" s="606"/>
      <c r="AA56" s="607"/>
      <c r="AB56" s="505"/>
      <c r="AC56" s="505"/>
      <c r="AD56" s="505"/>
      <c r="AE56" s="505"/>
      <c r="AF56" s="505"/>
      <c r="AG56" s="505"/>
      <c r="AH56" s="505"/>
      <c r="AI56" s="505"/>
      <c r="AJ56" s="505"/>
      <c r="AK56" s="505"/>
      <c r="AL56" s="505"/>
      <c r="AM56" s="505"/>
      <c r="AN56" s="505"/>
      <c r="AO56" s="505"/>
      <c r="AP56" s="505"/>
      <c r="AQ56" s="505"/>
      <c r="AR56" s="505"/>
      <c r="AS56" s="505"/>
      <c r="AT56" s="505"/>
      <c r="AU56" s="505"/>
      <c r="AV56" s="505"/>
      <c r="AW56" s="505"/>
      <c r="AX56" s="505"/>
      <c r="AY56" s="505"/>
      <c r="AZ56" s="505"/>
      <c r="BA56" s="505"/>
      <c r="BB56" s="505"/>
      <c r="BC56" s="505"/>
      <c r="BD56" s="505"/>
      <c r="BE56" s="505"/>
      <c r="BF56" s="505"/>
      <c r="BG56" s="505"/>
      <c r="BH56" s="505"/>
      <c r="BI56" s="505"/>
      <c r="BJ56" s="505"/>
      <c r="BK56" s="505"/>
      <c r="BL56" s="505"/>
      <c r="BM56" s="505"/>
      <c r="BN56" s="505"/>
      <c r="BO56" s="505"/>
      <c r="BP56" s="505"/>
      <c r="BQ56" s="505"/>
    </row>
    <row r="57" spans="1:69" ht="20.100000000000001" customHeight="1">
      <c r="A57" s="599"/>
      <c r="B57" s="282" t="s">
        <v>88</v>
      </c>
      <c r="C57" s="597"/>
      <c r="D57" s="286">
        <f t="shared" ref="D57:N57" si="15">SUM(D40:D55)</f>
        <v>978</v>
      </c>
      <c r="E57" s="286">
        <f t="shared" si="15"/>
        <v>629096.8277777778</v>
      </c>
      <c r="F57" s="281"/>
      <c r="G57" s="281">
        <f t="shared" si="15"/>
        <v>1847.6532453448001</v>
      </c>
      <c r="H57" s="286">
        <f t="shared" si="15"/>
        <v>1086</v>
      </c>
      <c r="I57" s="286">
        <f t="shared" si="15"/>
        <v>682494.86222222215</v>
      </c>
      <c r="J57" s="281">
        <f t="shared" si="15"/>
        <v>1052.0105370328633</v>
      </c>
      <c r="K57" s="281">
        <f t="shared" si="15"/>
        <v>1025.0953682086092</v>
      </c>
      <c r="L57" s="286">
        <f t="shared" si="15"/>
        <v>702693.83777777781</v>
      </c>
      <c r="M57" s="281">
        <f t="shared" si="15"/>
        <v>2076.9719640031735</v>
      </c>
      <c r="N57" s="281">
        <f t="shared" si="15"/>
        <v>2025</v>
      </c>
      <c r="O57" s="368">
        <f>(N57-G57)/G57</f>
        <v>9.5984868969341872E-2</v>
      </c>
      <c r="P57" s="286">
        <f>SUM(P40:P55)</f>
        <v>1158</v>
      </c>
      <c r="Q57" s="286">
        <f>SUM(Q40:Q55)</f>
        <v>722892.81333333324</v>
      </c>
      <c r="R57" s="281">
        <f>SUM(R40:R55)</f>
        <v>2177.2246240855229</v>
      </c>
      <c r="S57" s="281">
        <f>SUM(S40:S55)</f>
        <v>2123.0000019999998</v>
      </c>
      <c r="T57" s="416">
        <f>((S57-N57)/N57)</f>
        <v>4.8395062716049271E-2</v>
      </c>
      <c r="U57" s="605"/>
      <c r="V57" s="606"/>
      <c r="W57" s="606"/>
      <c r="X57" s="606"/>
      <c r="Y57" s="598"/>
      <c r="Z57" s="606"/>
      <c r="AA57" s="607"/>
      <c r="AB57" s="565"/>
      <c r="AC57" s="505">
        <f>734.927+616.544+114.439</f>
        <v>1465.91</v>
      </c>
      <c r="AD57" s="505">
        <f>711.2+613+115.8</f>
        <v>1440</v>
      </c>
      <c r="AE57" s="505">
        <f>746+640.53+121.6</f>
        <v>1508.1299999999999</v>
      </c>
      <c r="AF57" s="505"/>
      <c r="AG57" s="505"/>
      <c r="AH57" s="505"/>
      <c r="AI57" s="505"/>
      <c r="AJ57" s="505"/>
      <c r="AK57" s="505"/>
      <c r="AL57" s="505"/>
      <c r="AM57" s="505"/>
      <c r="AN57" s="505"/>
      <c r="AO57" s="505"/>
      <c r="AP57" s="505"/>
      <c r="AQ57" s="505"/>
      <c r="AR57" s="505"/>
      <c r="AS57" s="505"/>
      <c r="AT57" s="505"/>
      <c r="AU57" s="505"/>
      <c r="AV57" s="505"/>
      <c r="AW57" s="505"/>
      <c r="AX57" s="505"/>
      <c r="AY57" s="505"/>
      <c r="AZ57" s="505"/>
      <c r="BA57" s="505"/>
      <c r="BB57" s="505"/>
      <c r="BC57" s="505"/>
      <c r="BD57" s="505"/>
      <c r="BE57" s="505"/>
      <c r="BF57" s="505"/>
      <c r="BG57" s="505"/>
      <c r="BH57" s="505"/>
      <c r="BI57" s="505"/>
      <c r="BJ57" s="505"/>
      <c r="BK57" s="505"/>
      <c r="BL57" s="505"/>
      <c r="BM57" s="505"/>
      <c r="BN57" s="505"/>
      <c r="BO57" s="505"/>
      <c r="BP57" s="505"/>
      <c r="BQ57" s="505"/>
    </row>
    <row r="58" spans="1:69" ht="20.100000000000001" customHeight="1">
      <c r="A58" s="596"/>
      <c r="B58" s="287" t="s">
        <v>89</v>
      </c>
      <c r="C58" s="597"/>
      <c r="D58" s="608"/>
      <c r="E58" s="608"/>
      <c r="F58" s="609"/>
      <c r="G58" s="609"/>
      <c r="H58" s="1011"/>
      <c r="I58" s="1011"/>
      <c r="J58" s="609"/>
      <c r="K58" s="609"/>
      <c r="L58" s="573"/>
      <c r="M58" s="609"/>
      <c r="N58" s="609"/>
      <c r="O58" s="610"/>
      <c r="P58" s="608"/>
      <c r="Q58" s="608"/>
      <c r="R58" s="609"/>
      <c r="S58" s="609"/>
      <c r="T58" s="1057"/>
      <c r="U58" s="605"/>
      <c r="V58" s="606"/>
      <c r="W58" s="606"/>
      <c r="X58" s="606"/>
      <c r="Y58" s="598"/>
      <c r="Z58" s="606"/>
      <c r="AA58" s="607"/>
      <c r="AB58" s="505"/>
      <c r="AC58" s="565">
        <f>G57</f>
        <v>1847.6532453448001</v>
      </c>
      <c r="AD58" s="565">
        <f>N57</f>
        <v>2025</v>
      </c>
      <c r="AE58" s="565">
        <f>S57</f>
        <v>2123.0000019999998</v>
      </c>
      <c r="AF58" s="505"/>
      <c r="AG58" s="505"/>
      <c r="AH58" s="505"/>
      <c r="AI58" s="505"/>
      <c r="AJ58" s="505"/>
      <c r="AK58" s="505"/>
      <c r="AL58" s="505"/>
      <c r="AM58" s="505"/>
      <c r="AN58" s="505"/>
      <c r="AO58" s="505"/>
      <c r="AP58" s="505"/>
      <c r="AQ58" s="505"/>
      <c r="AR58" s="505"/>
      <c r="AS58" s="505"/>
      <c r="AT58" s="505"/>
      <c r="AU58" s="505"/>
      <c r="AV58" s="505"/>
      <c r="AW58" s="505"/>
      <c r="AX58" s="505"/>
      <c r="AY58" s="505"/>
      <c r="AZ58" s="505"/>
      <c r="BA58" s="505"/>
      <c r="BB58" s="505"/>
      <c r="BC58" s="505"/>
      <c r="BD58" s="505"/>
      <c r="BE58" s="505"/>
      <c r="BF58" s="505"/>
      <c r="BG58" s="505"/>
      <c r="BH58" s="505"/>
      <c r="BI58" s="505"/>
      <c r="BJ58" s="505"/>
      <c r="BK58" s="505"/>
      <c r="BL58" s="505"/>
      <c r="BM58" s="505"/>
      <c r="BN58" s="505"/>
      <c r="BO58" s="505"/>
      <c r="BP58" s="505"/>
      <c r="BQ58" s="505"/>
    </row>
    <row r="59" spans="1:69" ht="20.100000000000001" customHeight="1">
      <c r="A59" s="599">
        <v>29</v>
      </c>
      <c r="B59" s="573" t="s">
        <v>90</v>
      </c>
      <c r="C59" s="597" t="s">
        <v>91</v>
      </c>
      <c r="D59" s="572">
        <v>1</v>
      </c>
      <c r="E59" s="572">
        <v>110</v>
      </c>
      <c r="F59" s="600"/>
      <c r="G59" s="600">
        <f>'T-6'!H56</f>
        <v>0.16317999999999999</v>
      </c>
      <c r="H59" s="572"/>
      <c r="I59" s="572"/>
      <c r="J59" s="600"/>
      <c r="K59" s="600"/>
      <c r="L59" s="572"/>
      <c r="M59" s="600"/>
      <c r="N59" s="600"/>
      <c r="O59" s="368"/>
      <c r="P59" s="572"/>
      <c r="Q59" s="572"/>
      <c r="R59" s="600"/>
      <c r="S59" s="600"/>
      <c r="T59" s="416"/>
      <c r="U59" s="605"/>
      <c r="V59" s="606"/>
      <c r="W59" s="606"/>
      <c r="X59" s="606"/>
      <c r="Y59" s="598"/>
      <c r="Z59" s="606"/>
      <c r="AA59" s="607"/>
      <c r="AB59" s="505"/>
      <c r="AC59" s="565">
        <f>AC58-AC57</f>
        <v>381.74324534480002</v>
      </c>
      <c r="AD59" s="565">
        <f t="shared" ref="AD59:AE59" si="16">AD58-AD57</f>
        <v>585</v>
      </c>
      <c r="AE59" s="565">
        <f t="shared" si="16"/>
        <v>614.87000199999989</v>
      </c>
      <c r="AF59" s="505"/>
      <c r="AG59" s="505"/>
      <c r="AH59" s="505"/>
      <c r="AI59" s="505"/>
      <c r="AJ59" s="505"/>
      <c r="AK59" s="505"/>
      <c r="AL59" s="505"/>
      <c r="AM59" s="505"/>
      <c r="AN59" s="505"/>
      <c r="AO59" s="505"/>
      <c r="AP59" s="505"/>
      <c r="AQ59" s="505"/>
      <c r="AR59" s="505"/>
      <c r="AS59" s="505"/>
      <c r="AT59" s="505"/>
      <c r="AU59" s="505"/>
      <c r="AV59" s="505"/>
      <c r="AW59" s="505"/>
      <c r="AX59" s="505"/>
      <c r="AY59" s="505"/>
      <c r="AZ59" s="505"/>
      <c r="BA59" s="505"/>
      <c r="BB59" s="505"/>
      <c r="BC59" s="505"/>
      <c r="BD59" s="505"/>
      <c r="BE59" s="505"/>
      <c r="BF59" s="505"/>
      <c r="BG59" s="505"/>
      <c r="BH59" s="505"/>
      <c r="BI59" s="505"/>
      <c r="BJ59" s="505"/>
      <c r="BK59" s="505"/>
      <c r="BL59" s="505"/>
      <c r="BM59" s="505"/>
      <c r="BN59" s="505"/>
      <c r="BO59" s="505"/>
      <c r="BP59" s="505"/>
      <c r="BQ59" s="505"/>
    </row>
    <row r="60" spans="1:69" ht="20.100000000000001" customHeight="1">
      <c r="A60" s="599">
        <v>30</v>
      </c>
      <c r="B60" s="573" t="s">
        <v>2104</v>
      </c>
      <c r="C60" s="597" t="s">
        <v>91</v>
      </c>
      <c r="D60" s="572">
        <v>10</v>
      </c>
      <c r="E60" s="572">
        <v>97250</v>
      </c>
      <c r="F60" s="600"/>
      <c r="G60" s="600">
        <f>'T-6'!H57</f>
        <v>304.61456655649999</v>
      </c>
      <c r="H60" s="572">
        <v>10</v>
      </c>
      <c r="I60" s="572">
        <f>94275*0+104750</f>
        <v>104750</v>
      </c>
      <c r="J60" s="600">
        <f>K60/0.9768</f>
        <v>192.85918828828827</v>
      </c>
      <c r="K60" s="600">
        <f>'T-6 (six mth)'!H59+'T-6 (six mth)'!H58</f>
        <v>188.38485511999997</v>
      </c>
      <c r="L60" s="572">
        <f>(I60+Q60)/2</f>
        <v>165750</v>
      </c>
      <c r="M60" s="600">
        <f>N60/0.9768</f>
        <v>340.90909090909093</v>
      </c>
      <c r="N60" s="600">
        <f>480-N61</f>
        <v>333</v>
      </c>
      <c r="O60" s="368">
        <f t="shared" ref="O60:O70" si="17">(N60-G60)/G60</f>
        <v>9.3184753980683543E-2</v>
      </c>
      <c r="P60" s="572">
        <f>10+4</f>
        <v>14</v>
      </c>
      <c r="Q60" s="572">
        <f>106750+120000</f>
        <v>226750</v>
      </c>
      <c r="R60" s="600">
        <f>S60/0.9768</f>
        <v>358.31285831285834</v>
      </c>
      <c r="S60" s="600">
        <f>500-S61</f>
        <v>350</v>
      </c>
      <c r="T60" s="416">
        <f t="shared" ref="T60:T70" si="18">((S60-N60)/N60)</f>
        <v>5.1051051051051052E-2</v>
      </c>
      <c r="U60" s="505"/>
      <c r="V60" s="505"/>
      <c r="W60" s="505"/>
      <c r="X60" s="505"/>
      <c r="Y60" s="505"/>
      <c r="Z60" s="505"/>
      <c r="AA60" s="505"/>
      <c r="AB60" s="505"/>
      <c r="AC60" s="505"/>
      <c r="AD60" s="505"/>
      <c r="AE60" s="505"/>
      <c r="AF60" s="505"/>
      <c r="AG60" s="505"/>
      <c r="AH60" s="505"/>
      <c r="AI60" s="505"/>
      <c r="AJ60" s="505"/>
      <c r="AK60" s="505"/>
      <c r="AL60" s="505"/>
      <c r="AM60" s="505"/>
      <c r="AN60" s="505"/>
      <c r="AO60" s="505"/>
      <c r="AP60" s="505"/>
      <c r="AQ60" s="505"/>
      <c r="AR60" s="505"/>
      <c r="AS60" s="505"/>
      <c r="AT60" s="505"/>
      <c r="AU60" s="505"/>
      <c r="AV60" s="505"/>
      <c r="AW60" s="505"/>
      <c r="AX60" s="505"/>
      <c r="AY60" s="505"/>
      <c r="AZ60" s="505"/>
      <c r="BA60" s="505"/>
      <c r="BB60" s="505"/>
      <c r="BC60" s="505"/>
      <c r="BD60" s="505"/>
      <c r="BE60" s="505"/>
      <c r="BF60" s="505"/>
      <c r="BG60" s="505"/>
      <c r="BH60" s="505"/>
      <c r="BI60" s="505"/>
      <c r="BJ60" s="505"/>
      <c r="BK60" s="505"/>
      <c r="BL60" s="505"/>
      <c r="BM60" s="505"/>
      <c r="BN60" s="505"/>
      <c r="BO60" s="505"/>
      <c r="BP60" s="505"/>
      <c r="BQ60" s="505"/>
    </row>
    <row r="61" spans="1:69" ht="25.5">
      <c r="A61" s="599"/>
      <c r="B61" s="1027" t="s">
        <v>2127</v>
      </c>
      <c r="C61" s="597"/>
      <c r="D61" s="572"/>
      <c r="E61" s="572"/>
      <c r="F61" s="600"/>
      <c r="G61" s="600"/>
      <c r="H61" s="572"/>
      <c r="I61" s="572"/>
      <c r="J61" s="600">
        <f>K61/0.9768</f>
        <v>62.448812448812447</v>
      </c>
      <c r="K61" s="600">
        <f>'T-6 (six mth)'!H60</f>
        <v>61</v>
      </c>
      <c r="L61" s="572"/>
      <c r="M61" s="600">
        <f>N61/0.9768</f>
        <v>150.4914004914005</v>
      </c>
      <c r="N61" s="600">
        <v>147</v>
      </c>
      <c r="O61" s="368" t="e">
        <f t="shared" si="17"/>
        <v>#DIV/0!</v>
      </c>
      <c r="P61" s="572"/>
      <c r="Q61" s="572"/>
      <c r="R61" s="600">
        <f>S61/0.9768</f>
        <v>153.56265356265357</v>
      </c>
      <c r="S61" s="600">
        <v>150</v>
      </c>
      <c r="T61" s="416">
        <f t="shared" si="18"/>
        <v>2.0408163265306121E-2</v>
      </c>
      <c r="U61" s="505"/>
      <c r="V61" s="505"/>
      <c r="W61" s="505"/>
      <c r="X61" s="505"/>
      <c r="Y61" s="505"/>
      <c r="Z61" s="505"/>
      <c r="AA61" s="505"/>
      <c r="AB61" s="505"/>
      <c r="AC61" s="505"/>
      <c r="AD61" s="505"/>
      <c r="AE61" s="505"/>
      <c r="AF61" s="505"/>
      <c r="AG61" s="505"/>
      <c r="AH61" s="505"/>
      <c r="AI61" s="505"/>
      <c r="AJ61" s="505"/>
      <c r="AK61" s="505"/>
      <c r="AL61" s="505"/>
      <c r="AM61" s="505"/>
      <c r="AN61" s="505"/>
      <c r="AO61" s="505"/>
      <c r="AP61" s="505"/>
      <c r="AQ61" s="505"/>
      <c r="AR61" s="505"/>
      <c r="AS61" s="505"/>
      <c r="AT61" s="505"/>
      <c r="AU61" s="505"/>
      <c r="AV61" s="505"/>
      <c r="AW61" s="505"/>
      <c r="AX61" s="505"/>
      <c r="AY61" s="505"/>
      <c r="AZ61" s="505"/>
      <c r="BA61" s="505"/>
      <c r="BB61" s="505"/>
      <c r="BC61" s="505"/>
      <c r="BD61" s="505"/>
      <c r="BE61" s="505"/>
      <c r="BF61" s="505"/>
      <c r="BG61" s="505"/>
      <c r="BH61" s="505"/>
      <c r="BI61" s="505"/>
      <c r="BJ61" s="505"/>
      <c r="BK61" s="505"/>
      <c r="BL61" s="505"/>
      <c r="BM61" s="505"/>
      <c r="BN61" s="505"/>
      <c r="BO61" s="505"/>
      <c r="BP61" s="505"/>
      <c r="BQ61" s="505"/>
    </row>
    <row r="62" spans="1:69" ht="20.100000000000001" customHeight="1">
      <c r="A62" s="599">
        <v>31</v>
      </c>
      <c r="B62" s="573" t="s">
        <v>85</v>
      </c>
      <c r="C62" s="597" t="s">
        <v>91</v>
      </c>
      <c r="D62" s="572">
        <v>15</v>
      </c>
      <c r="E62" s="572">
        <v>206000</v>
      </c>
      <c r="F62" s="600"/>
      <c r="G62" s="600">
        <f>'T-6'!H58</f>
        <v>639.00268000000005</v>
      </c>
      <c r="H62" s="572">
        <v>18</v>
      </c>
      <c r="I62" s="572">
        <f>220500*0+257000</f>
        <v>257000</v>
      </c>
      <c r="J62" s="600">
        <f>K62/0.962</f>
        <v>422.78927234927244</v>
      </c>
      <c r="K62" s="600">
        <f>'T-6 (six mth)'!H61</f>
        <v>406.72328000000005</v>
      </c>
      <c r="L62" s="572">
        <f t="shared" ref="L62:L67" si="19">(I62+Q62)/2</f>
        <v>266500</v>
      </c>
      <c r="M62" s="600">
        <f>N62/0.962</f>
        <v>834.71933471933471</v>
      </c>
      <c r="N62" s="600">
        <f>806-3</f>
        <v>803</v>
      </c>
      <c r="O62" s="368">
        <f t="shared" si="17"/>
        <v>0.25664574677527163</v>
      </c>
      <c r="P62" s="572">
        <v>18</v>
      </c>
      <c r="Q62" s="572">
        <v>276000</v>
      </c>
      <c r="R62" s="600">
        <f>S62/0.962</f>
        <v>878.37837837837844</v>
      </c>
      <c r="S62" s="600">
        <v>845</v>
      </c>
      <c r="T62" s="416">
        <f t="shared" si="18"/>
        <v>5.2303860523038606E-2</v>
      </c>
      <c r="U62" s="505"/>
      <c r="V62" s="505"/>
      <c r="W62" s="505"/>
      <c r="X62" s="505"/>
      <c r="Y62" s="505"/>
      <c r="Z62" s="505"/>
      <c r="AA62" s="505"/>
      <c r="AB62" s="505"/>
      <c r="AC62" s="505"/>
      <c r="AD62" s="505"/>
      <c r="AE62" s="505"/>
      <c r="AF62" s="505"/>
      <c r="AG62" s="505"/>
      <c r="AH62" s="505"/>
      <c r="AI62" s="505"/>
      <c r="AJ62" s="505"/>
      <c r="AK62" s="505"/>
      <c r="AL62" s="505"/>
      <c r="AM62" s="505"/>
      <c r="AN62" s="505"/>
      <c r="AO62" s="505"/>
      <c r="AP62" s="505"/>
      <c r="AQ62" s="505"/>
      <c r="AR62" s="505"/>
      <c r="AS62" s="505"/>
      <c r="AT62" s="505"/>
      <c r="AU62" s="505"/>
      <c r="AV62" s="505"/>
      <c r="AW62" s="505"/>
      <c r="AX62" s="505"/>
      <c r="AY62" s="505"/>
      <c r="AZ62" s="505"/>
      <c r="BA62" s="505"/>
      <c r="BB62" s="505"/>
      <c r="BC62" s="505"/>
      <c r="BD62" s="505"/>
      <c r="BE62" s="505"/>
      <c r="BF62" s="505"/>
      <c r="BG62" s="505"/>
      <c r="BH62" s="505"/>
      <c r="BI62" s="505"/>
      <c r="BJ62" s="505"/>
      <c r="BK62" s="505"/>
      <c r="BL62" s="505"/>
      <c r="BM62" s="505"/>
      <c r="BN62" s="505"/>
      <c r="BO62" s="505"/>
      <c r="BP62" s="505"/>
      <c r="BQ62" s="505"/>
    </row>
    <row r="63" spans="1:69" ht="20.100000000000001" customHeight="1">
      <c r="A63" s="599">
        <v>32</v>
      </c>
      <c r="B63" s="573" t="s">
        <v>92</v>
      </c>
      <c r="C63" s="597" t="s">
        <v>91</v>
      </c>
      <c r="D63" s="572">
        <v>3</v>
      </c>
      <c r="E63" s="572">
        <v>248556</v>
      </c>
      <c r="F63" s="600"/>
      <c r="G63" s="600">
        <f>'T-6'!H59</f>
        <v>446.242526489</v>
      </c>
      <c r="H63" s="572">
        <v>3</v>
      </c>
      <c r="I63" s="572">
        <f>223700.4*0+248556</f>
        <v>248556</v>
      </c>
      <c r="J63" s="600">
        <f>K63/0.9311</f>
        <v>434.93181505745889</v>
      </c>
      <c r="K63" s="600">
        <f>'T-6 (six mth)'!H62</f>
        <v>404.965013</v>
      </c>
      <c r="L63" s="572">
        <f t="shared" si="19"/>
        <v>248556</v>
      </c>
      <c r="M63" s="600">
        <f>N63/0.9311</f>
        <v>805.49887230157879</v>
      </c>
      <c r="N63" s="600">
        <v>750</v>
      </c>
      <c r="O63" s="368">
        <f t="shared" si="17"/>
        <v>0.68070041620851152</v>
      </c>
      <c r="P63" s="572">
        <v>3</v>
      </c>
      <c r="Q63" s="572">
        <v>248556</v>
      </c>
      <c r="R63" s="600">
        <f>S63/0.9311</f>
        <v>698.09902266136828</v>
      </c>
      <c r="S63" s="600">
        <v>650</v>
      </c>
      <c r="T63" s="416">
        <f t="shared" si="18"/>
        <v>-0.13333333333333333</v>
      </c>
      <c r="U63" s="505"/>
      <c r="V63" s="505"/>
      <c r="W63" s="505"/>
      <c r="X63" s="505"/>
      <c r="Y63" s="505"/>
      <c r="Z63" s="505"/>
      <c r="AA63" s="505"/>
      <c r="AB63" s="505"/>
      <c r="AC63" s="505"/>
      <c r="AD63" s="505"/>
      <c r="AE63" s="505"/>
      <c r="AF63" s="505"/>
      <c r="AG63" s="505"/>
      <c r="AH63" s="505"/>
      <c r="AI63" s="505"/>
      <c r="AJ63" s="505"/>
      <c r="AK63" s="505"/>
      <c r="AL63" s="505"/>
      <c r="AM63" s="505"/>
      <c r="AN63" s="505"/>
      <c r="AO63" s="505"/>
      <c r="AP63" s="505"/>
      <c r="AQ63" s="505"/>
      <c r="AR63" s="505"/>
      <c r="AS63" s="505"/>
      <c r="AT63" s="505"/>
      <c r="AU63" s="505"/>
      <c r="AV63" s="505"/>
      <c r="AW63" s="505"/>
      <c r="AX63" s="505"/>
      <c r="AY63" s="505"/>
      <c r="AZ63" s="505"/>
      <c r="BA63" s="505"/>
      <c r="BB63" s="505"/>
      <c r="BC63" s="505"/>
      <c r="BD63" s="505"/>
      <c r="BE63" s="505"/>
      <c r="BF63" s="505"/>
      <c r="BG63" s="505"/>
      <c r="BH63" s="505"/>
      <c r="BI63" s="505"/>
      <c r="BJ63" s="505"/>
      <c r="BK63" s="505"/>
      <c r="BL63" s="505"/>
      <c r="BM63" s="505"/>
      <c r="BN63" s="505"/>
      <c r="BO63" s="505"/>
      <c r="BP63" s="505"/>
      <c r="BQ63" s="505"/>
    </row>
    <row r="64" spans="1:69" ht="20.100000000000001" customHeight="1">
      <c r="A64" s="599">
        <v>33</v>
      </c>
      <c r="B64" s="573" t="s">
        <v>2103</v>
      </c>
      <c r="C64" s="597" t="s">
        <v>91</v>
      </c>
      <c r="D64" s="572">
        <v>5</v>
      </c>
      <c r="E64" s="572">
        <v>320278</v>
      </c>
      <c r="F64" s="600"/>
      <c r="G64" s="600">
        <f>'T-6'!H60</f>
        <v>620.44729970499998</v>
      </c>
      <c r="H64" s="572">
        <v>6</v>
      </c>
      <c r="I64" s="572">
        <f>370500.3*0+414667</f>
        <v>414667</v>
      </c>
      <c r="J64" s="600">
        <f>K64/0.9727</f>
        <v>525.10500281690133</v>
      </c>
      <c r="K64" s="600">
        <f>'T-6 (six mth)'!H63</f>
        <v>510.76963623999995</v>
      </c>
      <c r="L64" s="572">
        <f t="shared" si="19"/>
        <v>570084</v>
      </c>
      <c r="M64" s="600">
        <f>N64/0.9727</f>
        <v>766.71121620232361</v>
      </c>
      <c r="N64" s="600">
        <f>2845.78-N65</f>
        <v>745.7800000000002</v>
      </c>
      <c r="O64" s="368">
        <f t="shared" si="17"/>
        <v>0.20200378074752093</v>
      </c>
      <c r="P64" s="572">
        <v>7</v>
      </c>
      <c r="Q64" s="572">
        <f>522167+3334+100000+100000</f>
        <v>725501</v>
      </c>
      <c r="R64" s="600">
        <f>S64/0.9727</f>
        <v>995.68212192865224</v>
      </c>
      <c r="S64" s="600">
        <f>1010-21.5-20</f>
        <v>968.5</v>
      </c>
      <c r="T64" s="416">
        <f t="shared" si="18"/>
        <v>0.29864034970098385</v>
      </c>
      <c r="U64" s="505"/>
      <c r="V64" s="505"/>
      <c r="W64" s="505"/>
      <c r="X64" s="505"/>
      <c r="Y64" s="505"/>
      <c r="Z64" s="505"/>
      <c r="AA64" s="505"/>
      <c r="AB64" s="505"/>
      <c r="AC64" s="505"/>
      <c r="AD64" s="505"/>
      <c r="AE64" s="505"/>
      <c r="AF64" s="505"/>
      <c r="AG64" s="505"/>
      <c r="AH64" s="505"/>
      <c r="AI64" s="505"/>
      <c r="AJ64" s="505"/>
      <c r="AK64" s="505"/>
      <c r="AL64" s="505"/>
      <c r="AM64" s="505"/>
      <c r="AN64" s="505"/>
      <c r="AO64" s="505"/>
      <c r="AP64" s="505"/>
      <c r="AQ64" s="505"/>
      <c r="AR64" s="505"/>
      <c r="AS64" s="505"/>
      <c r="AT64" s="505"/>
      <c r="AU64" s="505"/>
      <c r="AV64" s="505"/>
      <c r="AW64" s="505"/>
      <c r="AX64" s="505"/>
      <c r="AY64" s="505"/>
      <c r="AZ64" s="505"/>
      <c r="BA64" s="505"/>
      <c r="BB64" s="505"/>
      <c r="BC64" s="505"/>
      <c r="BD64" s="505"/>
      <c r="BE64" s="505"/>
      <c r="BF64" s="505"/>
      <c r="BG64" s="505"/>
      <c r="BH64" s="505"/>
      <c r="BI64" s="505"/>
      <c r="BJ64" s="505"/>
      <c r="BK64" s="505"/>
      <c r="BL64" s="505"/>
      <c r="BM64" s="505"/>
      <c r="BN64" s="505"/>
      <c r="BO64" s="505"/>
      <c r="BP64" s="505"/>
      <c r="BQ64" s="505"/>
    </row>
    <row r="65" spans="1:69" ht="20.100000000000001" customHeight="1">
      <c r="A65" s="599"/>
      <c r="B65" s="573" t="s">
        <v>2129</v>
      </c>
      <c r="C65" s="597" t="s">
        <v>91</v>
      </c>
      <c r="D65" s="572"/>
      <c r="E65" s="572"/>
      <c r="F65" s="600"/>
      <c r="G65" s="600">
        <f>'T-6'!H61</f>
        <v>552</v>
      </c>
      <c r="H65" s="572"/>
      <c r="I65" s="572"/>
      <c r="J65" s="600">
        <f>K65/0.9727</f>
        <v>525.34183201398173</v>
      </c>
      <c r="K65" s="600">
        <f>'T-6 (six mth)'!H64</f>
        <v>511</v>
      </c>
      <c r="L65" s="572"/>
      <c r="M65" s="600">
        <f>N65/0.9727</f>
        <v>2158.9390356738973</v>
      </c>
      <c r="N65" s="600">
        <v>2100</v>
      </c>
      <c r="O65" s="368">
        <f t="shared" si="17"/>
        <v>2.8043478260869565</v>
      </c>
      <c r="P65" s="572"/>
      <c r="Q65" s="572"/>
      <c r="R65" s="600">
        <f>S65/0.9727</f>
        <v>2056.1324149275215</v>
      </c>
      <c r="S65" s="600">
        <f>2500-500</f>
        <v>2000</v>
      </c>
      <c r="T65" s="416">
        <f t="shared" si="18"/>
        <v>-4.7619047619047616E-2</v>
      </c>
      <c r="U65" s="505"/>
      <c r="V65" s="505"/>
      <c r="W65" s="505"/>
      <c r="X65" s="505"/>
      <c r="Y65" s="505"/>
      <c r="Z65" s="505"/>
      <c r="AA65" s="505"/>
      <c r="AB65" s="505"/>
      <c r="AC65" s="505"/>
      <c r="AD65" s="505"/>
      <c r="AE65" s="505"/>
      <c r="AF65" s="505"/>
      <c r="AG65" s="505"/>
      <c r="AH65" s="505"/>
      <c r="AI65" s="505"/>
      <c r="AJ65" s="505"/>
      <c r="AK65" s="505"/>
      <c r="AL65" s="505"/>
      <c r="AM65" s="505"/>
      <c r="AN65" s="505"/>
      <c r="AO65" s="505"/>
      <c r="AP65" s="505"/>
      <c r="AQ65" s="505"/>
      <c r="AR65" s="505"/>
      <c r="AS65" s="505"/>
      <c r="AT65" s="505"/>
      <c r="AU65" s="505"/>
      <c r="AV65" s="505"/>
      <c r="AW65" s="505"/>
      <c r="AX65" s="505"/>
      <c r="AY65" s="505"/>
      <c r="AZ65" s="505"/>
      <c r="BA65" s="505"/>
      <c r="BB65" s="505"/>
      <c r="BC65" s="505"/>
      <c r="BD65" s="505"/>
      <c r="BE65" s="505"/>
      <c r="BF65" s="505"/>
      <c r="BG65" s="505"/>
      <c r="BH65" s="505"/>
      <c r="BI65" s="505"/>
      <c r="BJ65" s="505"/>
      <c r="BK65" s="505"/>
      <c r="BL65" s="505"/>
      <c r="BM65" s="505"/>
      <c r="BN65" s="505"/>
      <c r="BO65" s="505"/>
      <c r="BP65" s="505"/>
      <c r="BQ65" s="505"/>
    </row>
    <row r="66" spans="1:69" ht="20.100000000000001" customHeight="1">
      <c r="A66" s="599">
        <v>34</v>
      </c>
      <c r="B66" s="573" t="s">
        <v>93</v>
      </c>
      <c r="C66" s="597" t="s">
        <v>91</v>
      </c>
      <c r="D66" s="572">
        <v>1</v>
      </c>
      <c r="E66" s="572">
        <v>5000</v>
      </c>
      <c r="F66" s="600"/>
      <c r="G66" s="600">
        <f>'T-6'!H62</f>
        <v>6.7701200000000004</v>
      </c>
      <c r="H66" s="572">
        <v>1</v>
      </c>
      <c r="I66" s="572">
        <v>5000</v>
      </c>
      <c r="J66" s="600">
        <f>K66/0.992</f>
        <v>3.6611133064516133</v>
      </c>
      <c r="K66" s="600">
        <f>'T-6 (six mth)'!H65</f>
        <v>3.6318244000000002</v>
      </c>
      <c r="L66" s="572">
        <f t="shared" si="19"/>
        <v>5000</v>
      </c>
      <c r="M66" s="600">
        <f>N66/0.992</f>
        <v>7.278225806451613</v>
      </c>
      <c r="N66" s="600">
        <v>7.22</v>
      </c>
      <c r="O66" s="368">
        <f t="shared" si="17"/>
        <v>6.6450816233685567E-2</v>
      </c>
      <c r="P66" s="572">
        <v>1</v>
      </c>
      <c r="Q66" s="572">
        <v>5000</v>
      </c>
      <c r="R66" s="600">
        <f>S66/0.992</f>
        <v>7.560483870967742</v>
      </c>
      <c r="S66" s="600">
        <v>7.5</v>
      </c>
      <c r="T66" s="416">
        <f t="shared" si="18"/>
        <v>3.8781163434903086E-2</v>
      </c>
      <c r="U66" s="505"/>
      <c r="V66" s="505"/>
      <c r="W66" s="505"/>
      <c r="X66" s="505"/>
      <c r="Y66" s="505"/>
      <c r="Z66" s="505"/>
      <c r="AA66" s="505"/>
      <c r="AB66" s="505"/>
      <c r="AC66" s="505"/>
      <c r="AD66" s="505"/>
      <c r="AE66" s="505"/>
      <c r="AF66" s="505"/>
      <c r="AG66" s="505"/>
      <c r="AH66" s="505"/>
      <c r="AI66" s="505"/>
      <c r="AJ66" s="505"/>
      <c r="AK66" s="505"/>
      <c r="AL66" s="505"/>
      <c r="AM66" s="505"/>
      <c r="AN66" s="505"/>
      <c r="AO66" s="505"/>
      <c r="AP66" s="505"/>
      <c r="AQ66" s="505"/>
      <c r="AR66" s="505"/>
      <c r="AS66" s="505"/>
      <c r="AT66" s="505"/>
      <c r="AU66" s="505"/>
      <c r="AV66" s="505"/>
      <c r="AW66" s="505"/>
      <c r="AX66" s="505"/>
      <c r="AY66" s="505"/>
      <c r="AZ66" s="505"/>
      <c r="BA66" s="505"/>
      <c r="BB66" s="505"/>
      <c r="BC66" s="505"/>
      <c r="BD66" s="505"/>
      <c r="BE66" s="505"/>
      <c r="BF66" s="505"/>
      <c r="BG66" s="505"/>
      <c r="BH66" s="505"/>
      <c r="BI66" s="505"/>
      <c r="BJ66" s="505"/>
      <c r="BK66" s="505"/>
      <c r="BL66" s="505"/>
      <c r="BM66" s="505"/>
      <c r="BN66" s="505"/>
      <c r="BO66" s="505"/>
      <c r="BP66" s="505"/>
      <c r="BQ66" s="505"/>
    </row>
    <row r="67" spans="1:69" ht="20.100000000000001" customHeight="1">
      <c r="A67" s="599">
        <v>35</v>
      </c>
      <c r="B67" s="573" t="s">
        <v>86</v>
      </c>
      <c r="C67" s="597" t="s">
        <v>91</v>
      </c>
      <c r="D67" s="572">
        <v>2</v>
      </c>
      <c r="E67" s="572">
        <v>8000</v>
      </c>
      <c r="F67" s="600"/>
      <c r="G67" s="600">
        <f>'T-6'!H63</f>
        <v>3.4121000000000006</v>
      </c>
      <c r="H67" s="572">
        <v>1</v>
      </c>
      <c r="I67" s="572">
        <v>5000</v>
      </c>
      <c r="J67" s="600">
        <f>K67/0.9522</f>
        <v>4.4141986977525738</v>
      </c>
      <c r="K67" s="600">
        <f>'T-6 (six mth)'!H66</f>
        <v>4.2032000000000007</v>
      </c>
      <c r="L67" s="572">
        <f t="shared" si="19"/>
        <v>5000</v>
      </c>
      <c r="M67" s="600">
        <f>N67/0.9522</f>
        <v>5.2509976895610162</v>
      </c>
      <c r="N67" s="600">
        <v>5</v>
      </c>
      <c r="O67" s="368">
        <f t="shared" si="17"/>
        <v>0.46537323056182384</v>
      </c>
      <c r="P67" s="572">
        <v>1</v>
      </c>
      <c r="Q67" s="572">
        <v>5000</v>
      </c>
      <c r="R67" s="600">
        <f>S67/0.9522</f>
        <v>2.1003990758244067</v>
      </c>
      <c r="S67" s="600">
        <v>2</v>
      </c>
      <c r="T67" s="416">
        <f t="shared" si="18"/>
        <v>-0.6</v>
      </c>
      <c r="U67" s="505"/>
      <c r="V67" s="505"/>
      <c r="W67" s="505"/>
      <c r="X67" s="505"/>
      <c r="Y67" s="505"/>
      <c r="Z67" s="505"/>
      <c r="AA67" s="505"/>
      <c r="AB67" s="505"/>
      <c r="AC67" s="505"/>
      <c r="AD67" s="505"/>
      <c r="AE67" s="505"/>
      <c r="AF67" s="505"/>
      <c r="AG67" s="505"/>
      <c r="AH67" s="505"/>
      <c r="AI67" s="505"/>
      <c r="AJ67" s="505"/>
      <c r="AK67" s="505"/>
      <c r="AL67" s="505"/>
      <c r="AM67" s="505"/>
      <c r="AN67" s="505"/>
      <c r="AO67" s="505"/>
      <c r="AP67" s="505"/>
      <c r="AQ67" s="505"/>
      <c r="AR67" s="505"/>
      <c r="AS67" s="505"/>
      <c r="AT67" s="505"/>
      <c r="AU67" s="505"/>
      <c r="AV67" s="505"/>
      <c r="AW67" s="505"/>
      <c r="AX67" s="505"/>
      <c r="AY67" s="505"/>
      <c r="AZ67" s="505"/>
      <c r="BA67" s="505"/>
      <c r="BB67" s="505"/>
      <c r="BC67" s="505"/>
      <c r="BD67" s="505"/>
      <c r="BE67" s="505"/>
      <c r="BF67" s="505"/>
      <c r="BG67" s="505"/>
      <c r="BH67" s="505"/>
      <c r="BI67" s="505"/>
      <c r="BJ67" s="505"/>
      <c r="BK67" s="505"/>
      <c r="BL67" s="505"/>
      <c r="BM67" s="505"/>
      <c r="BN67" s="505"/>
      <c r="BO67" s="505"/>
      <c r="BP67" s="505"/>
      <c r="BQ67" s="505"/>
    </row>
    <row r="68" spans="1:69" ht="20.100000000000001" customHeight="1">
      <c r="A68" s="599">
        <v>36</v>
      </c>
      <c r="B68" s="573" t="s">
        <v>87</v>
      </c>
      <c r="C68" s="597" t="s">
        <v>91</v>
      </c>
      <c r="D68" s="572"/>
      <c r="E68" s="572"/>
      <c r="F68" s="600"/>
      <c r="G68" s="600">
        <f>'T-6'!H65</f>
        <v>61.929000000000002</v>
      </c>
      <c r="H68" s="572"/>
      <c r="I68" s="572"/>
      <c r="J68" s="600">
        <f>K68</f>
        <v>35.903651439999997</v>
      </c>
      <c r="K68" s="600">
        <f>'T-6 (six mth)'!H68</f>
        <v>35.903651439999997</v>
      </c>
      <c r="L68" s="597"/>
      <c r="M68" s="600">
        <f>N68</f>
        <v>70</v>
      </c>
      <c r="N68" s="600">
        <v>70</v>
      </c>
      <c r="O68" s="368"/>
      <c r="P68" s="572"/>
      <c r="Q68" s="572"/>
      <c r="R68" s="600">
        <f>S68</f>
        <v>72</v>
      </c>
      <c r="S68" s="600">
        <v>72</v>
      </c>
      <c r="T68" s="416">
        <f t="shared" si="18"/>
        <v>2.8571428571428571E-2</v>
      </c>
      <c r="U68" s="505"/>
      <c r="V68" s="505"/>
      <c r="W68" s="505"/>
      <c r="X68" s="505"/>
      <c r="Y68" s="505"/>
      <c r="Z68" s="505"/>
      <c r="AA68" s="505"/>
      <c r="AB68" s="505"/>
      <c r="AC68" s="505"/>
      <c r="AD68" s="505"/>
      <c r="AE68" s="505"/>
      <c r="AF68" s="505"/>
      <c r="AG68" s="505"/>
      <c r="AH68" s="505"/>
      <c r="AI68" s="505"/>
      <c r="AJ68" s="505"/>
      <c r="AK68" s="505"/>
      <c r="AL68" s="505"/>
      <c r="AM68" s="505"/>
      <c r="AN68" s="505"/>
      <c r="AO68" s="505"/>
      <c r="AP68" s="505"/>
      <c r="AQ68" s="505"/>
      <c r="AR68" s="505"/>
      <c r="AS68" s="505"/>
      <c r="AT68" s="505"/>
      <c r="AU68" s="505"/>
      <c r="AV68" s="505"/>
      <c r="AW68" s="505"/>
      <c r="AX68" s="505"/>
      <c r="AY68" s="505"/>
      <c r="AZ68" s="505"/>
      <c r="BA68" s="505"/>
      <c r="BB68" s="505"/>
      <c r="BC68" s="505"/>
      <c r="BD68" s="505"/>
      <c r="BE68" s="505"/>
      <c r="BF68" s="505"/>
      <c r="BG68" s="505"/>
      <c r="BH68" s="505"/>
      <c r="BI68" s="505"/>
      <c r="BJ68" s="505"/>
      <c r="BK68" s="505"/>
      <c r="BL68" s="505"/>
      <c r="BM68" s="505"/>
      <c r="BN68" s="505"/>
      <c r="BO68" s="505"/>
      <c r="BP68" s="505"/>
      <c r="BQ68" s="505"/>
    </row>
    <row r="69" spans="1:69" ht="20.100000000000001" customHeight="1">
      <c r="A69" s="599"/>
      <c r="B69" s="573"/>
      <c r="C69" s="597"/>
      <c r="D69" s="572"/>
      <c r="E69" s="572"/>
      <c r="F69" s="600"/>
      <c r="G69" s="600"/>
      <c r="H69" s="572"/>
      <c r="I69" s="572"/>
      <c r="J69" s="600"/>
      <c r="K69" s="600"/>
      <c r="L69" s="597"/>
      <c r="M69" s="600"/>
      <c r="N69" s="600"/>
      <c r="O69" s="368"/>
      <c r="P69" s="572"/>
      <c r="Q69" s="572"/>
      <c r="R69" s="600"/>
      <c r="S69" s="600"/>
      <c r="T69" s="416"/>
      <c r="U69" s="505"/>
      <c r="V69" s="505"/>
      <c r="W69" s="505"/>
      <c r="X69" s="505"/>
      <c r="Y69" s="505"/>
      <c r="Z69" s="505"/>
      <c r="AA69" s="505"/>
      <c r="AB69" s="505"/>
      <c r="AC69" s="505"/>
      <c r="AD69" s="505"/>
      <c r="AE69" s="505"/>
      <c r="AF69" s="505"/>
      <c r="AG69" s="505"/>
      <c r="AH69" s="505"/>
      <c r="AI69" s="505"/>
      <c r="AJ69" s="505"/>
      <c r="AK69" s="505"/>
      <c r="AL69" s="505"/>
      <c r="AM69" s="505"/>
      <c r="AN69" s="505"/>
      <c r="AO69" s="505"/>
      <c r="AP69" s="505"/>
      <c r="AQ69" s="505"/>
      <c r="AR69" s="505"/>
      <c r="AS69" s="505"/>
      <c r="AT69" s="505"/>
      <c r="AU69" s="505"/>
      <c r="AV69" s="505"/>
      <c r="AW69" s="505"/>
      <c r="AX69" s="505"/>
      <c r="AY69" s="505"/>
      <c r="AZ69" s="505"/>
      <c r="BA69" s="505"/>
      <c r="BB69" s="505"/>
      <c r="BC69" s="505"/>
      <c r="BD69" s="505"/>
      <c r="BE69" s="505"/>
      <c r="BF69" s="505"/>
      <c r="BG69" s="505"/>
      <c r="BH69" s="505"/>
      <c r="BI69" s="505"/>
      <c r="BJ69" s="505"/>
      <c r="BK69" s="505"/>
      <c r="BL69" s="505"/>
      <c r="BM69" s="505"/>
      <c r="BN69" s="505"/>
      <c r="BO69" s="505"/>
      <c r="BP69" s="505"/>
      <c r="BQ69" s="505"/>
    </row>
    <row r="70" spans="1:69">
      <c r="A70" s="599"/>
      <c r="B70" s="287" t="s">
        <v>94</v>
      </c>
      <c r="C70" s="573"/>
      <c r="D70" s="286">
        <f t="shared" ref="D70:M70" si="20">SUM(D59:D69)</f>
        <v>37</v>
      </c>
      <c r="E70" s="286">
        <f t="shared" si="20"/>
        <v>885194</v>
      </c>
      <c r="F70" s="281"/>
      <c r="G70" s="281">
        <f>SUM(G59:G69)</f>
        <v>2634.5814727505003</v>
      </c>
      <c r="H70" s="286">
        <f t="shared" si="20"/>
        <v>39</v>
      </c>
      <c r="I70" s="286">
        <f t="shared" si="20"/>
        <v>1034973</v>
      </c>
      <c r="J70" s="281">
        <f t="shared" si="20"/>
        <v>2207.4548864189192</v>
      </c>
      <c r="K70" s="281">
        <f t="shared" si="20"/>
        <v>2126.5814602</v>
      </c>
      <c r="L70" s="231">
        <f t="shared" si="20"/>
        <v>1260890</v>
      </c>
      <c r="M70" s="281">
        <f t="shared" si="20"/>
        <v>5139.7981737936379</v>
      </c>
      <c r="N70" s="281">
        <f>SUM(N59:N69)</f>
        <v>4961.0000000000009</v>
      </c>
      <c r="O70" s="368">
        <f t="shared" si="17"/>
        <v>0.88303153700565651</v>
      </c>
      <c r="P70" s="286">
        <f>SUM(P59:P69)</f>
        <v>44</v>
      </c>
      <c r="Q70" s="286">
        <f>SUM(Q59:Q69)</f>
        <v>1486807</v>
      </c>
      <c r="R70" s="281">
        <f>SUM(R59:R69)</f>
        <v>5221.8283327182244</v>
      </c>
      <c r="S70" s="281">
        <f>SUM(S59:S69)</f>
        <v>5045</v>
      </c>
      <c r="T70" s="416">
        <f t="shared" si="18"/>
        <v>1.6932070147147565E-2</v>
      </c>
      <c r="U70" s="505"/>
      <c r="V70" s="505"/>
      <c r="W70" s="505"/>
      <c r="X70" s="505"/>
      <c r="Y70" s="505"/>
      <c r="Z70" s="505"/>
      <c r="AA70" s="505"/>
      <c r="AB70" s="505"/>
      <c r="AC70" s="565"/>
      <c r="AD70" s="565"/>
      <c r="AE70" s="505"/>
      <c r="AF70" s="505"/>
      <c r="AG70" s="505"/>
      <c r="AH70" s="505"/>
      <c r="AI70" s="505"/>
      <c r="AJ70" s="505"/>
      <c r="AK70" s="505"/>
      <c r="AL70" s="505"/>
      <c r="AM70" s="505"/>
      <c r="AN70" s="505"/>
      <c r="AO70" s="505"/>
      <c r="AP70" s="505"/>
      <c r="AQ70" s="505"/>
      <c r="AR70" s="505"/>
      <c r="AS70" s="505"/>
      <c r="AT70" s="505"/>
      <c r="AU70" s="505"/>
      <c r="AV70" s="505"/>
      <c r="AW70" s="505"/>
      <c r="AX70" s="505"/>
      <c r="AY70" s="505"/>
      <c r="AZ70" s="505"/>
      <c r="BA70" s="505"/>
      <c r="BB70" s="505"/>
      <c r="BC70" s="505"/>
      <c r="BD70" s="505"/>
      <c r="BE70" s="505"/>
      <c r="BF70" s="505"/>
      <c r="BG70" s="505"/>
      <c r="BH70" s="505"/>
      <c r="BI70" s="505"/>
      <c r="BJ70" s="505"/>
      <c r="BK70" s="505"/>
      <c r="BL70" s="505"/>
      <c r="BM70" s="505"/>
      <c r="BN70" s="505"/>
      <c r="BO70" s="505"/>
      <c r="BP70" s="505"/>
      <c r="BQ70" s="505"/>
    </row>
    <row r="71" spans="1:69">
      <c r="A71" s="599"/>
      <c r="B71" s="285"/>
      <c r="C71" s="573"/>
      <c r="D71" s="608"/>
      <c r="E71" s="608"/>
      <c r="F71" s="609"/>
      <c r="G71" s="1019"/>
      <c r="H71" s="1053"/>
      <c r="I71" s="1053"/>
      <c r="J71" s="1019"/>
      <c r="K71" s="1019"/>
      <c r="L71" s="1020"/>
      <c r="M71" s="1019"/>
      <c r="N71" s="1019"/>
      <c r="O71" s="1021"/>
      <c r="P71" s="608"/>
      <c r="Q71" s="608"/>
      <c r="R71" s="609"/>
      <c r="S71" s="609"/>
      <c r="T71" s="1057"/>
      <c r="U71" s="505"/>
      <c r="V71" s="505"/>
      <c r="W71" s="505"/>
      <c r="X71" s="505"/>
      <c r="Y71" s="505"/>
      <c r="Z71" s="505"/>
      <c r="AA71" s="505"/>
      <c r="AB71" s="505"/>
      <c r="AC71" s="505"/>
      <c r="AD71" s="505"/>
      <c r="AE71" s="505"/>
      <c r="AF71" s="505"/>
      <c r="AG71" s="505"/>
      <c r="AH71" s="505"/>
      <c r="AI71" s="505"/>
      <c r="AJ71" s="505"/>
      <c r="AK71" s="505"/>
      <c r="AL71" s="505"/>
      <c r="AM71" s="505"/>
      <c r="AN71" s="505"/>
      <c r="AO71" s="505"/>
      <c r="AP71" s="505"/>
      <c r="AQ71" s="505"/>
      <c r="AR71" s="505"/>
      <c r="AS71" s="505"/>
      <c r="AT71" s="505"/>
      <c r="AU71" s="505"/>
      <c r="AV71" s="505"/>
      <c r="AW71" s="505"/>
      <c r="AX71" s="505"/>
      <c r="AY71" s="505"/>
      <c r="AZ71" s="505"/>
      <c r="BA71" s="505"/>
      <c r="BB71" s="505"/>
      <c r="BC71" s="505"/>
      <c r="BD71" s="505"/>
      <c r="BE71" s="505"/>
      <c r="BF71" s="505"/>
      <c r="BG71" s="505"/>
      <c r="BH71" s="505"/>
      <c r="BI71" s="505"/>
      <c r="BJ71" s="505"/>
      <c r="BK71" s="505"/>
      <c r="BL71" s="505"/>
      <c r="BM71" s="505"/>
      <c r="BN71" s="505"/>
      <c r="BO71" s="505"/>
      <c r="BP71" s="505"/>
      <c r="BQ71" s="505"/>
    </row>
    <row r="72" spans="1:69" ht="15.75">
      <c r="A72" s="599"/>
      <c r="B72" s="285" t="s">
        <v>95</v>
      </c>
      <c r="C72" s="597"/>
      <c r="D72" s="268">
        <f t="shared" ref="D72:L72" si="21">D70+D57+D38</f>
        <v>2207641</v>
      </c>
      <c r="E72" s="268">
        <f t="shared" si="21"/>
        <v>3944906.047777778</v>
      </c>
      <c r="F72" s="110"/>
      <c r="G72" s="110">
        <f>G70+G57+G38</f>
        <v>7355.7998001920314</v>
      </c>
      <c r="H72" s="268">
        <f t="shared" si="21"/>
        <v>2224067</v>
      </c>
      <c r="I72" s="268">
        <f t="shared" si="21"/>
        <v>4200123.7047422221</v>
      </c>
      <c r="J72" s="110"/>
      <c r="K72" s="110">
        <f t="shared" si="21"/>
        <v>4817.4833339082707</v>
      </c>
      <c r="L72" s="268">
        <f t="shared" si="21"/>
        <v>4876302.4580577798</v>
      </c>
      <c r="M72" s="110"/>
      <c r="N72" s="110">
        <f>N70+N57+N38</f>
        <v>10071.000000000002</v>
      </c>
      <c r="O72" s="369">
        <f>(N72-G72)/G72</f>
        <v>0.36912372190133386</v>
      </c>
      <c r="P72" s="268">
        <f>P70+P57+P38</f>
        <v>2356761</v>
      </c>
      <c r="Q72" s="268">
        <f>Q70+Q57+Q38</f>
        <v>5305483.7890133355</v>
      </c>
      <c r="R72" s="110"/>
      <c r="S72" s="110">
        <f>S70+S57+S38</f>
        <v>10482.000001999999</v>
      </c>
      <c r="T72" s="1058">
        <f>((S72-N72)/N72)</f>
        <v>4.0810247443153307E-2</v>
      </c>
      <c r="U72" s="505"/>
      <c r="V72" s="505"/>
      <c r="W72" s="505"/>
      <c r="X72" s="505"/>
      <c r="Y72" s="505"/>
      <c r="Z72" s="505"/>
      <c r="AA72" s="505"/>
      <c r="AB72" s="505"/>
      <c r="AC72" s="565"/>
      <c r="AD72" s="505"/>
      <c r="AE72" s="505"/>
      <c r="AF72" s="505"/>
      <c r="AG72" s="505"/>
      <c r="AH72" s="505"/>
      <c r="AI72" s="505"/>
      <c r="AJ72" s="505"/>
      <c r="AK72" s="505"/>
      <c r="AL72" s="505"/>
      <c r="AM72" s="505"/>
      <c r="AN72" s="505"/>
      <c r="AO72" s="505"/>
      <c r="AP72" s="505"/>
      <c r="AQ72" s="505"/>
      <c r="AR72" s="505"/>
      <c r="AS72" s="505"/>
      <c r="AT72" s="505"/>
      <c r="AU72" s="505"/>
      <c r="AV72" s="505"/>
      <c r="AW72" s="505"/>
      <c r="AX72" s="505"/>
      <c r="AY72" s="505"/>
      <c r="AZ72" s="505"/>
      <c r="BA72" s="505"/>
      <c r="BB72" s="505"/>
      <c r="BC72" s="505"/>
      <c r="BD72" s="505"/>
      <c r="BE72" s="505"/>
      <c r="BF72" s="505"/>
      <c r="BG72" s="505"/>
      <c r="BH72" s="505"/>
      <c r="BI72" s="505"/>
      <c r="BJ72" s="505"/>
      <c r="BK72" s="505"/>
      <c r="BL72" s="505"/>
      <c r="BM72" s="505"/>
      <c r="BN72" s="505"/>
      <c r="BO72" s="505"/>
      <c r="BP72" s="505"/>
      <c r="BQ72" s="505"/>
    </row>
    <row r="73" spans="1:69" ht="20.100000000000001" customHeight="1">
      <c r="A73" s="599">
        <v>37</v>
      </c>
      <c r="B73" s="573" t="s">
        <v>96</v>
      </c>
      <c r="C73" s="597"/>
      <c r="D73" s="288"/>
      <c r="E73" s="289"/>
      <c r="F73" s="289"/>
      <c r="G73" s="344">
        <f>'T-6'!H68</f>
        <v>9313.2066041351354</v>
      </c>
      <c r="H73" s="412"/>
      <c r="I73" s="612"/>
      <c r="J73" s="1040"/>
      <c r="K73" s="344">
        <f>'F-4'!E44</f>
        <v>6346.5334769000001</v>
      </c>
      <c r="L73" s="288"/>
      <c r="M73" s="289"/>
      <c r="N73" s="344">
        <f>10000+2100+200</f>
        <v>12300</v>
      </c>
      <c r="O73" s="573"/>
      <c r="P73" s="288"/>
      <c r="Q73" s="288"/>
      <c r="R73" s="289"/>
      <c r="S73" s="344">
        <f>10500+2000+300</f>
        <v>12800</v>
      </c>
      <c r="T73" s="1057"/>
      <c r="U73" s="505"/>
      <c r="V73" s="505"/>
      <c r="W73" s="505"/>
      <c r="X73" s="505"/>
      <c r="Y73" s="505"/>
      <c r="Z73" s="505"/>
      <c r="AA73" s="505"/>
      <c r="AB73" s="565"/>
      <c r="AC73" s="505"/>
      <c r="AD73" s="505"/>
      <c r="AE73" s="505"/>
      <c r="AF73" s="505"/>
      <c r="AG73" s="505"/>
      <c r="AH73" s="505"/>
      <c r="AI73" s="505"/>
      <c r="AJ73" s="505"/>
      <c r="AK73" s="505"/>
      <c r="AL73" s="505"/>
      <c r="AM73" s="505"/>
      <c r="AN73" s="505"/>
      <c r="AO73" s="505"/>
      <c r="AP73" s="505"/>
      <c r="AQ73" s="505"/>
      <c r="AR73" s="505"/>
      <c r="AS73" s="505"/>
      <c r="AT73" s="505"/>
      <c r="AU73" s="505"/>
      <c r="AV73" s="505"/>
      <c r="AW73" s="505"/>
      <c r="AX73" s="505"/>
      <c r="AY73" s="505"/>
      <c r="AZ73" s="505"/>
      <c r="BA73" s="505"/>
      <c r="BB73" s="505"/>
      <c r="BC73" s="505"/>
      <c r="BD73" s="505"/>
      <c r="BE73" s="505"/>
      <c r="BF73" s="505"/>
      <c r="BG73" s="505"/>
      <c r="BH73" s="505"/>
      <c r="BI73" s="505"/>
      <c r="BJ73" s="505"/>
      <c r="BK73" s="505"/>
      <c r="BL73" s="505"/>
      <c r="BM73" s="505"/>
      <c r="BN73" s="505"/>
      <c r="BO73" s="505"/>
      <c r="BP73" s="505"/>
      <c r="BQ73" s="505"/>
    </row>
    <row r="74" spans="1:69" ht="15.75">
      <c r="A74" s="599">
        <v>38</v>
      </c>
      <c r="B74" s="573" t="s">
        <v>97</v>
      </c>
      <c r="C74" s="597"/>
      <c r="D74" s="288"/>
      <c r="E74" s="289"/>
      <c r="F74" s="289"/>
      <c r="G74" s="344">
        <f>G73-G72</f>
        <v>1957.406803943104</v>
      </c>
      <c r="H74" s="412"/>
      <c r="I74" s="612"/>
      <c r="J74" s="1040"/>
      <c r="K74" s="344">
        <f>K73-K72</f>
        <v>1529.0501429917294</v>
      </c>
      <c r="L74" s="288"/>
      <c r="M74" s="289"/>
      <c r="N74" s="344">
        <f>N73-N72</f>
        <v>2228.9999999999982</v>
      </c>
      <c r="O74" s="573"/>
      <c r="P74" s="288"/>
      <c r="Q74" s="288"/>
      <c r="R74" s="288"/>
      <c r="S74" s="344">
        <f>S73-S72</f>
        <v>2317.9999980000011</v>
      </c>
      <c r="T74" s="1057"/>
      <c r="U74" s="505"/>
      <c r="V74" s="505"/>
      <c r="W74" s="505"/>
      <c r="X74" s="505"/>
      <c r="Y74" s="505"/>
      <c r="Z74" s="505"/>
      <c r="AA74" s="505"/>
      <c r="AB74" s="565"/>
      <c r="AC74" s="565"/>
      <c r="AD74" s="505"/>
      <c r="AE74" s="505"/>
      <c r="AF74" s="505"/>
      <c r="AG74" s="505"/>
      <c r="AH74" s="505"/>
      <c r="AI74" s="505"/>
      <c r="AJ74" s="505"/>
      <c r="AK74" s="505"/>
      <c r="AL74" s="505"/>
      <c r="AM74" s="505"/>
      <c r="AN74" s="505"/>
      <c r="AO74" s="505"/>
      <c r="AP74" s="505"/>
      <c r="AQ74" s="505"/>
      <c r="AR74" s="505"/>
      <c r="AS74" s="505"/>
      <c r="AT74" s="505"/>
      <c r="AU74" s="505"/>
      <c r="AV74" s="505"/>
      <c r="AW74" s="505"/>
      <c r="AX74" s="505"/>
      <c r="AY74" s="505"/>
      <c r="AZ74" s="505"/>
      <c r="BA74" s="505"/>
      <c r="BB74" s="505"/>
      <c r="BC74" s="505"/>
      <c r="BD74" s="505"/>
      <c r="BE74" s="505"/>
      <c r="BF74" s="505"/>
      <c r="BG74" s="505"/>
      <c r="BH74" s="505"/>
      <c r="BI74" s="505"/>
      <c r="BJ74" s="505"/>
      <c r="BK74" s="505"/>
      <c r="BL74" s="505"/>
      <c r="BM74" s="505"/>
      <c r="BN74" s="505"/>
      <c r="BO74" s="505"/>
      <c r="BP74" s="505"/>
      <c r="BQ74" s="505"/>
    </row>
    <row r="75" spans="1:69" ht="15.75">
      <c r="A75" s="599">
        <v>39</v>
      </c>
      <c r="B75" s="573" t="s">
        <v>98</v>
      </c>
      <c r="C75" s="597"/>
      <c r="D75" s="287"/>
      <c r="E75" s="414"/>
      <c r="F75" s="414"/>
      <c r="G75" s="415">
        <f>G74/G73</f>
        <v>0.21017538718340043</v>
      </c>
      <c r="H75" s="612"/>
      <c r="I75" s="612"/>
      <c r="J75" s="612"/>
      <c r="K75" s="415">
        <f>K74/K73</f>
        <v>0.24092682226559411</v>
      </c>
      <c r="L75" s="453"/>
      <c r="M75" s="453"/>
      <c r="N75" s="415">
        <f>N74/N73</f>
        <v>0.18121951219512181</v>
      </c>
      <c r="O75" s="453"/>
      <c r="P75" s="610"/>
      <c r="Q75" s="610"/>
      <c r="R75" s="610"/>
      <c r="S75" s="415">
        <f>S74/S73</f>
        <v>0.1810937498437501</v>
      </c>
      <c r="T75" s="568">
        <f>S75-N75</f>
        <v>-1.2576235137171099E-4</v>
      </c>
      <c r="U75" s="505"/>
      <c r="V75" s="505"/>
      <c r="W75" s="505"/>
      <c r="X75" s="505"/>
      <c r="Y75" s="505"/>
      <c r="Z75" s="505"/>
      <c r="AA75" s="505"/>
      <c r="AB75" s="565"/>
      <c r="AC75" s="505"/>
      <c r="AD75" s="505"/>
      <c r="AE75" s="505"/>
      <c r="AF75" s="505"/>
      <c r="AG75" s="505"/>
      <c r="AH75" s="505"/>
      <c r="AI75" s="505"/>
      <c r="AJ75" s="505"/>
      <c r="AK75" s="505"/>
      <c r="AL75" s="505"/>
      <c r="AM75" s="505"/>
      <c r="AN75" s="505"/>
      <c r="AO75" s="505"/>
      <c r="AP75" s="505"/>
      <c r="AQ75" s="505"/>
      <c r="AR75" s="505"/>
      <c r="AS75" s="505"/>
      <c r="AT75" s="505"/>
      <c r="AU75" s="505"/>
      <c r="AV75" s="505"/>
      <c r="AW75" s="505"/>
      <c r="AX75" s="505"/>
      <c r="AY75" s="505"/>
      <c r="AZ75" s="505"/>
      <c r="BA75" s="505"/>
      <c r="BB75" s="505"/>
      <c r="BC75" s="505"/>
      <c r="BD75" s="505"/>
      <c r="BE75" s="505"/>
      <c r="BF75" s="505"/>
      <c r="BG75" s="505"/>
      <c r="BH75" s="505"/>
      <c r="BI75" s="505"/>
      <c r="BJ75" s="505"/>
      <c r="BK75" s="505"/>
      <c r="BL75" s="505"/>
      <c r="BM75" s="505"/>
      <c r="BN75" s="505"/>
      <c r="BO75" s="505"/>
      <c r="BP75" s="505"/>
      <c r="BQ75" s="505"/>
    </row>
    <row r="76" spans="1:69" ht="15.75">
      <c r="A76" s="599">
        <v>40</v>
      </c>
      <c r="B76" s="573" t="s">
        <v>99</v>
      </c>
      <c r="C76" s="62"/>
      <c r="D76" s="62"/>
      <c r="E76" s="62"/>
      <c r="F76" s="62"/>
      <c r="G76" s="415">
        <f>summary!B37</f>
        <v>0.92932847030704879</v>
      </c>
      <c r="H76" s="419"/>
      <c r="I76" s="419"/>
      <c r="J76" s="419"/>
      <c r="K76" s="415">
        <f>summary!K37</f>
        <v>0.94642487429461031</v>
      </c>
      <c r="L76" s="62"/>
      <c r="M76" s="62"/>
      <c r="N76" s="415">
        <v>0.97199999999999998</v>
      </c>
      <c r="O76" s="289"/>
      <c r="P76" s="62"/>
      <c r="Q76" s="62"/>
      <c r="R76" s="62"/>
      <c r="S76" s="415">
        <v>0.99</v>
      </c>
      <c r="T76" s="568"/>
    </row>
    <row r="77" spans="1:69" ht="16.5" thickBot="1">
      <c r="A77" s="599">
        <v>41</v>
      </c>
      <c r="B77" s="573" t="s">
        <v>100</v>
      </c>
      <c r="C77" s="417"/>
      <c r="D77" s="417"/>
      <c r="E77" s="417"/>
      <c r="F77" s="417"/>
      <c r="G77" s="418">
        <f>1-(1-G75)*G76</f>
        <v>0.26599350076029249</v>
      </c>
      <c r="H77" s="420"/>
      <c r="I77" s="420"/>
      <c r="J77" s="420"/>
      <c r="K77" s="418">
        <f>1-(1-K75)*K76</f>
        <v>0.28159426318230452</v>
      </c>
      <c r="L77" s="417"/>
      <c r="M77" s="417"/>
      <c r="N77" s="418">
        <f>1-(1-N75)*N76</f>
        <v>0.20414536585365839</v>
      </c>
      <c r="O77" s="453"/>
      <c r="P77" s="417"/>
      <c r="Q77" s="417"/>
      <c r="R77" s="417"/>
      <c r="S77" s="418">
        <f>1-(1-S75)*S76</f>
        <v>0.18928281234531263</v>
      </c>
      <c r="T77" s="1745">
        <f>S77-N77</f>
        <v>-1.4862553508345755E-2</v>
      </c>
    </row>
    <row r="78" spans="1:69" ht="15.75">
      <c r="A78" s="503"/>
      <c r="B78" s="505"/>
      <c r="G78" s="421"/>
      <c r="H78" s="422"/>
      <c r="I78" s="422"/>
      <c r="J78" s="422"/>
      <c r="K78" s="422"/>
      <c r="N78" s="421"/>
      <c r="O78" s="125"/>
      <c r="S78" s="421"/>
      <c r="T78" s="237"/>
      <c r="AB78" s="125"/>
    </row>
    <row r="79" spans="1:69" ht="15.75">
      <c r="A79" s="503"/>
      <c r="B79" s="505"/>
      <c r="G79" s="421"/>
      <c r="H79" s="422"/>
      <c r="I79" s="422"/>
      <c r="J79" s="422"/>
      <c r="K79" s="422"/>
      <c r="N79" s="421"/>
      <c r="O79" s="125"/>
      <c r="S79" s="421"/>
      <c r="T79" s="237"/>
      <c r="AB79" s="125"/>
    </row>
    <row r="80" spans="1:69" ht="15.75">
      <c r="A80" s="503"/>
      <c r="B80" s="505"/>
      <c r="G80" s="421"/>
      <c r="H80" s="422"/>
      <c r="I80" s="422"/>
      <c r="J80" s="422"/>
      <c r="K80" s="422"/>
      <c r="N80" s="421"/>
      <c r="O80" s="125"/>
      <c r="S80" s="421"/>
      <c r="T80" s="237"/>
      <c r="AB80" s="125"/>
    </row>
    <row r="81" spans="1:28" ht="15.75">
      <c r="A81" s="503"/>
      <c r="B81" s="505"/>
      <c r="G81" s="421"/>
      <c r="H81" s="422"/>
      <c r="I81" s="422"/>
      <c r="J81" s="422"/>
      <c r="K81" s="422"/>
      <c r="N81" s="421"/>
      <c r="O81" s="125"/>
      <c r="S81" s="421"/>
      <c r="T81" s="237"/>
      <c r="AB81" s="125"/>
    </row>
    <row r="82" spans="1:28" ht="15.75">
      <c r="A82" s="503"/>
      <c r="B82" s="505"/>
      <c r="G82" s="421"/>
      <c r="H82" s="422"/>
      <c r="I82" s="422"/>
      <c r="J82" s="422"/>
      <c r="K82" s="422"/>
      <c r="N82" s="421"/>
      <c r="O82" s="125"/>
      <c r="S82" s="421"/>
      <c r="T82" s="237"/>
      <c r="AB82" s="125"/>
    </row>
    <row r="83" spans="1:28" ht="15.75">
      <c r="E83" s="370" t="s">
        <v>101</v>
      </c>
      <c r="F83" s="370"/>
      <c r="G83" s="370" t="s">
        <v>41</v>
      </c>
      <c r="H83" s="64"/>
      <c r="I83" s="370" t="s">
        <v>101</v>
      </c>
      <c r="J83" s="370" t="s">
        <v>103</v>
      </c>
      <c r="K83" s="64"/>
      <c r="L83" s="370" t="s">
        <v>101</v>
      </c>
      <c r="M83" s="370"/>
      <c r="N83" s="370" t="s">
        <v>103</v>
      </c>
      <c r="O83" s="64"/>
      <c r="P83" s="64"/>
      <c r="Q83" s="370" t="s">
        <v>101</v>
      </c>
      <c r="R83" s="370"/>
      <c r="S83" s="370" t="s">
        <v>2137</v>
      </c>
      <c r="T83" s="371"/>
      <c r="AB83" s="125"/>
    </row>
    <row r="84" spans="1:28" ht="15.75">
      <c r="C84" s="415"/>
      <c r="E84" s="64" t="s">
        <v>45</v>
      </c>
      <c r="F84" s="64"/>
      <c r="G84" s="125">
        <f>G38</f>
        <v>2873.5650820967307</v>
      </c>
      <c r="I84" s="64" t="s">
        <v>45</v>
      </c>
      <c r="J84" s="125">
        <f>K38</f>
        <v>1665.8065054996612</v>
      </c>
      <c r="L84" s="64" t="s">
        <v>45</v>
      </c>
      <c r="M84" s="64"/>
      <c r="N84" s="125">
        <f>N38</f>
        <v>3085.0000000000005</v>
      </c>
      <c r="Q84" s="64" t="s">
        <v>45</v>
      </c>
      <c r="R84" s="692">
        <f>(S84-N84)/S84</f>
        <v>6.9100784550392008E-2</v>
      </c>
      <c r="S84" s="125">
        <f>S38</f>
        <v>3313.9999999999995</v>
      </c>
      <c r="T84" s="125">
        <f>S73/12</f>
        <v>1066.6666666666667</v>
      </c>
      <c r="AB84" s="125"/>
    </row>
    <row r="85" spans="1:28">
      <c r="C85" s="236"/>
      <c r="E85" s="64" t="s">
        <v>77</v>
      </c>
      <c r="F85" s="64"/>
      <c r="G85" s="125">
        <f>G57</f>
        <v>1847.6532453448001</v>
      </c>
      <c r="I85" s="64" t="s">
        <v>77</v>
      </c>
      <c r="J85" s="125">
        <f>J57</f>
        <v>1052.0105370328633</v>
      </c>
      <c r="L85" s="64" t="s">
        <v>77</v>
      </c>
      <c r="M85" s="64"/>
      <c r="N85" s="125">
        <f>N57</f>
        <v>2025</v>
      </c>
      <c r="Q85" s="64" t="s">
        <v>77</v>
      </c>
      <c r="R85" s="692">
        <f>(S85-N85)/S85</f>
        <v>4.6161093691793498E-2</v>
      </c>
      <c r="S85" s="125">
        <f>S57</f>
        <v>2123.0000019999998</v>
      </c>
      <c r="T85" s="125"/>
      <c r="AB85" s="236"/>
    </row>
    <row r="86" spans="1:28" ht="15.75">
      <c r="E86" s="64"/>
      <c r="F86" s="64"/>
      <c r="G86" s="220">
        <f>SUM(G84:G85)</f>
        <v>4721.2183274415311</v>
      </c>
      <c r="I86" s="64"/>
      <c r="J86" s="220">
        <f>SUM(J84:J85)</f>
        <v>2717.8170425325243</v>
      </c>
      <c r="L86" s="64"/>
      <c r="M86" s="64"/>
      <c r="N86" s="220">
        <f>SUM(N84:N85)</f>
        <v>5110</v>
      </c>
      <c r="Q86" s="64"/>
      <c r="R86" s="692"/>
      <c r="S86" s="220">
        <f>SUM(S84:S85)</f>
        <v>5437.0000019999989</v>
      </c>
      <c r="T86" s="125"/>
      <c r="AB86" s="236"/>
    </row>
    <row r="87" spans="1:28">
      <c r="E87" s="64" t="s">
        <v>91</v>
      </c>
      <c r="F87" s="64"/>
      <c r="G87" s="125">
        <f>G70</f>
        <v>2634.5814727505003</v>
      </c>
      <c r="I87" s="64" t="s">
        <v>91</v>
      </c>
      <c r="J87" s="125">
        <f>J70</f>
        <v>2207.4548864189192</v>
      </c>
      <c r="L87" s="64" t="s">
        <v>91</v>
      </c>
      <c r="M87" s="64"/>
      <c r="N87" s="125">
        <f>N70</f>
        <v>4961.0000000000009</v>
      </c>
      <c r="P87" s="38">
        <f>1850/0.92</f>
        <v>2010.8695652173913</v>
      </c>
      <c r="Q87" s="64" t="s">
        <v>91</v>
      </c>
      <c r="R87" s="692">
        <f>(S87-N87)/S87</f>
        <v>1.6650148662041446E-2</v>
      </c>
      <c r="S87" s="125">
        <f>S70</f>
        <v>5045</v>
      </c>
      <c r="AB87" s="237"/>
    </row>
    <row r="88" spans="1:28">
      <c r="E88" s="64"/>
      <c r="F88" s="64"/>
      <c r="L88" s="64"/>
      <c r="M88" s="64"/>
      <c r="P88" s="38">
        <f>1850*1.08</f>
        <v>1998.0000000000002</v>
      </c>
      <c r="Q88" s="64"/>
      <c r="R88" s="692"/>
      <c r="AB88" s="236"/>
    </row>
    <row r="89" spans="1:28">
      <c r="E89" s="64" t="s">
        <v>104</v>
      </c>
      <c r="F89" s="64"/>
      <c r="G89" s="125">
        <f>G73</f>
        <v>9313.2066041351354</v>
      </c>
      <c r="L89" s="64" t="s">
        <v>104</v>
      </c>
      <c r="M89" s="64"/>
      <c r="N89" s="125">
        <f>N73</f>
        <v>12300</v>
      </c>
      <c r="Q89" s="64" t="s">
        <v>104</v>
      </c>
      <c r="R89" s="692">
        <f>(S89-N89)/S89</f>
        <v>3.90625E-2</v>
      </c>
      <c r="S89" s="125">
        <f>S73</f>
        <v>12800</v>
      </c>
      <c r="T89" s="326"/>
    </row>
    <row r="90" spans="1:28" ht="30">
      <c r="E90" s="372" t="s">
        <v>105</v>
      </c>
      <c r="F90" s="372"/>
      <c r="G90" s="125">
        <f>G89-G87</f>
        <v>6678.6251313846351</v>
      </c>
      <c r="H90" s="38">
        <f>6900*0.08</f>
        <v>552</v>
      </c>
      <c r="L90" s="372" t="s">
        <v>105</v>
      </c>
      <c r="M90" s="372"/>
      <c r="N90" s="125">
        <f>N89-N87</f>
        <v>7338.9999999999991</v>
      </c>
      <c r="Q90" s="372" t="s">
        <v>105</v>
      </c>
      <c r="R90" s="372"/>
      <c r="S90" s="125">
        <f>S89-S87</f>
        <v>7755</v>
      </c>
      <c r="T90" s="125"/>
    </row>
    <row r="91" spans="1:28">
      <c r="E91" s="342"/>
      <c r="F91" s="342"/>
      <c r="G91" s="219">
        <f>1-G86/G90</f>
        <v>0.29308529307098385</v>
      </c>
      <c r="N91" s="219">
        <f>1-N86/N90</f>
        <v>0.30371985284098646</v>
      </c>
      <c r="S91" s="219">
        <f>1-S86/S90</f>
        <v>0.29890393268858817</v>
      </c>
      <c r="T91" s="219"/>
    </row>
    <row r="92" spans="1:28">
      <c r="N92" s="125"/>
      <c r="T92" s="125"/>
    </row>
    <row r="94" spans="1:28">
      <c r="G94" s="236"/>
      <c r="N94" s="219">
        <v>0.35</v>
      </c>
      <c r="S94" s="219">
        <v>0.33</v>
      </c>
      <c r="T94" s="219"/>
    </row>
    <row r="95" spans="1:28">
      <c r="N95" s="219"/>
      <c r="T95" s="219"/>
    </row>
    <row r="98" spans="4:4">
      <c r="D98" s="38">
        <v>168000000</v>
      </c>
    </row>
    <row r="99" spans="4:4">
      <c r="D99" s="38">
        <f>100000*0.9*24*30*12</f>
        <v>777600000</v>
      </c>
    </row>
    <row r="100" spans="4:4">
      <c r="D100" s="38">
        <f>+D98/D99</f>
        <v>0.21604938271604937</v>
      </c>
    </row>
  </sheetData>
  <mergeCells count="24">
    <mergeCell ref="A5:A9"/>
    <mergeCell ref="H5:H9"/>
    <mergeCell ref="D5:D9"/>
    <mergeCell ref="K5:K9"/>
    <mergeCell ref="C5:C9"/>
    <mergeCell ref="B5:B9"/>
    <mergeCell ref="J5:J9"/>
    <mergeCell ref="F5:F9"/>
    <mergeCell ref="Q5:Q9"/>
    <mergeCell ref="L5:L9"/>
    <mergeCell ref="N5:N9"/>
    <mergeCell ref="O5:O9"/>
    <mergeCell ref="P4:T4"/>
    <mergeCell ref="S5:S9"/>
    <mergeCell ref="T5:T9"/>
    <mergeCell ref="P5:P9"/>
    <mergeCell ref="L4:O4"/>
    <mergeCell ref="M5:M9"/>
    <mergeCell ref="R5:R9"/>
    <mergeCell ref="D4:G4"/>
    <mergeCell ref="E5:E9"/>
    <mergeCell ref="G5:G9"/>
    <mergeCell ref="I5:I9"/>
    <mergeCell ref="H4:K4"/>
  </mergeCells>
  <phoneticPr fontId="0" type="noConversion"/>
  <printOptions horizontalCentered="1" gridLines="1"/>
  <pageMargins left="0" right="0" top="0.74803149606299213" bottom="0" header="0" footer="0"/>
  <pageSetup paperSize="9" scale="67" fitToWidth="3" fitToHeight="3" orientation="landscape" horizontalDpi="4294967292" verticalDpi="4294967292" r:id="rId1"/>
  <headerFooter alignWithMargins="0">
    <oddFooter xml:space="preserve">&amp;R&amp;"Arial,Bold"&amp;12OERC FORM &amp;A
&amp;"Arial,Regular"&amp;10
</oddFooter>
  </headerFooter>
  <rowBreaks count="2" manualBreakCount="2">
    <brk id="38" max="19" man="1"/>
    <brk id="57" max="19"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N93"/>
  <sheetViews>
    <sheetView view="pageBreakPreview" topLeftCell="A53" zoomScale="95" zoomScaleNormal="75" zoomScaleSheetLayoutView="95" workbookViewId="0">
      <pane xSplit="3" topLeftCell="D1" activePane="topRight" state="frozen"/>
      <selection pane="topRight" activeCell="F78" sqref="F78"/>
    </sheetView>
  </sheetViews>
  <sheetFormatPr defaultColWidth="8.7109375" defaultRowHeight="12.75"/>
  <cols>
    <col min="1" max="1" width="3.5703125" customWidth="1"/>
    <col min="2" max="2" width="30" customWidth="1"/>
    <col min="3" max="3" width="7.85546875" bestFit="1" customWidth="1"/>
    <col min="4" max="4" width="13" bestFit="1" customWidth="1"/>
    <col min="5" max="5" width="12.5703125" bestFit="1" customWidth="1"/>
    <col min="6" max="6" width="9.5703125" customWidth="1"/>
    <col min="7" max="8" width="9.7109375" bestFit="1" customWidth="1"/>
    <col min="9" max="9" width="9.85546875" bestFit="1" customWidth="1"/>
    <col min="10" max="10" width="10" customWidth="1"/>
    <col min="11" max="11" width="11.28515625" bestFit="1" customWidth="1"/>
    <col min="12" max="12" width="10.140625" bestFit="1" customWidth="1"/>
    <col min="13" max="13" width="8.42578125" customWidth="1"/>
    <col min="14" max="14" width="7.28515625" customWidth="1"/>
    <col min="15" max="15" width="10.140625" customWidth="1"/>
    <col min="16" max="16" width="9.5703125" customWidth="1"/>
    <col min="17" max="17" width="7.85546875" customWidth="1"/>
    <col min="18" max="18" width="9.5703125" customWidth="1"/>
    <col min="19" max="19" width="7.85546875" bestFit="1" customWidth="1"/>
    <col min="20" max="20" width="12.7109375" bestFit="1" customWidth="1"/>
    <col min="21" max="21" width="12.5703125" customWidth="1"/>
    <col min="22" max="22" width="11.42578125" customWidth="1"/>
    <col min="23" max="23" width="9.42578125" bestFit="1" customWidth="1"/>
    <col min="24" max="24" width="11.5703125" bestFit="1" customWidth="1"/>
    <col min="25" max="25" width="7.42578125" bestFit="1" customWidth="1"/>
    <col min="26" max="26" width="11.42578125" bestFit="1" customWidth="1"/>
    <col min="27" max="27" width="9.140625" bestFit="1" customWidth="1"/>
    <col min="28" max="28" width="8.5703125" customWidth="1"/>
    <col min="29" max="29" width="11.5703125" bestFit="1" customWidth="1"/>
    <col min="30" max="30" width="7.42578125" customWidth="1"/>
    <col min="31" max="31" width="7.7109375" customWidth="1"/>
    <col min="32" max="32" width="11.42578125" customWidth="1"/>
    <col min="33" max="35" width="10" customWidth="1"/>
    <col min="36" max="37" width="10.5703125" customWidth="1"/>
    <col min="38" max="38" width="12.5703125" bestFit="1" customWidth="1"/>
    <col min="39" max="39" width="10.5703125" customWidth="1"/>
  </cols>
  <sheetData>
    <row r="1" spans="1:40" ht="21" customHeight="1">
      <c r="B1" s="2" t="s">
        <v>106</v>
      </c>
      <c r="R1" s="4"/>
      <c r="S1" s="4"/>
      <c r="T1" s="9"/>
    </row>
    <row r="2" spans="1:40" ht="18.75" customHeight="1">
      <c r="B2" s="70" t="s">
        <v>233</v>
      </c>
    </row>
    <row r="3" spans="1:40" ht="18">
      <c r="B3" s="6" t="s">
        <v>234</v>
      </c>
    </row>
    <row r="4" spans="1:40">
      <c r="B4" s="2"/>
    </row>
    <row r="5" spans="1:40" ht="15.75">
      <c r="A5" s="1378">
        <v>1</v>
      </c>
      <c r="B5" s="1379">
        <v>2</v>
      </c>
      <c r="C5" s="1378">
        <v>3</v>
      </c>
      <c r="D5" s="1378">
        <v>4</v>
      </c>
      <c r="E5" s="1378">
        <v>5</v>
      </c>
      <c r="F5" s="1378">
        <v>6</v>
      </c>
      <c r="G5" s="1378">
        <v>7</v>
      </c>
      <c r="H5" s="1378">
        <v>8</v>
      </c>
      <c r="I5" s="1378">
        <v>9</v>
      </c>
      <c r="J5" s="1378">
        <v>10</v>
      </c>
      <c r="K5" s="1378">
        <v>11</v>
      </c>
      <c r="L5" s="1378">
        <v>12</v>
      </c>
      <c r="M5" s="1378">
        <v>13</v>
      </c>
      <c r="N5" s="1378">
        <v>14</v>
      </c>
      <c r="O5" s="1378">
        <v>15</v>
      </c>
      <c r="P5" s="1378">
        <v>16</v>
      </c>
      <c r="Q5" s="1378">
        <v>17</v>
      </c>
      <c r="R5" s="1378">
        <v>18</v>
      </c>
      <c r="S5" s="1378">
        <v>19</v>
      </c>
      <c r="T5" s="1378">
        <v>20</v>
      </c>
      <c r="U5" s="1378">
        <v>21</v>
      </c>
      <c r="V5" s="1378">
        <v>22</v>
      </c>
      <c r="W5" s="1378">
        <v>23</v>
      </c>
      <c r="X5" s="1378">
        <v>24</v>
      </c>
      <c r="Y5" s="1378">
        <v>25</v>
      </c>
      <c r="Z5" s="1378">
        <v>26</v>
      </c>
      <c r="AA5" s="1378">
        <v>27</v>
      </c>
      <c r="AB5" s="1378">
        <v>28</v>
      </c>
      <c r="AC5" s="1378">
        <v>29</v>
      </c>
      <c r="AD5" s="1378">
        <v>30</v>
      </c>
      <c r="AE5" s="1378">
        <v>31</v>
      </c>
      <c r="AF5" s="1378">
        <v>32</v>
      </c>
      <c r="AG5" s="1378">
        <v>33</v>
      </c>
      <c r="AH5" s="1378">
        <v>34</v>
      </c>
      <c r="AI5" s="1378">
        <v>35</v>
      </c>
      <c r="AJ5" s="1378">
        <v>36</v>
      </c>
      <c r="AK5" s="1378">
        <v>37</v>
      </c>
      <c r="AL5" s="1378">
        <v>38</v>
      </c>
      <c r="AM5" s="1378">
        <v>39</v>
      </c>
      <c r="AN5" s="455"/>
    </row>
    <row r="6" spans="1:40" ht="15.75">
      <c r="A6" s="1378"/>
      <c r="B6" s="1379"/>
      <c r="C6" s="1378"/>
      <c r="D6" s="1378"/>
      <c r="E6" s="1378"/>
      <c r="F6" s="1378"/>
      <c r="G6" s="1378"/>
      <c r="H6" s="1378"/>
      <c r="I6" s="1378"/>
      <c r="J6" s="1378"/>
      <c r="K6" s="1378"/>
      <c r="L6" s="1378"/>
      <c r="M6" s="1380"/>
      <c r="N6" s="1381"/>
      <c r="O6" s="1378"/>
      <c r="P6" s="1380"/>
      <c r="Q6" s="1381"/>
      <c r="R6" s="1378"/>
      <c r="S6" s="1378"/>
      <c r="T6" s="1378"/>
      <c r="U6" s="1378"/>
      <c r="V6" s="1378"/>
      <c r="W6" s="1378"/>
      <c r="X6" s="1378"/>
      <c r="Y6" s="1378"/>
      <c r="Z6" s="1378"/>
      <c r="AA6" s="1378"/>
      <c r="AB6" s="1378"/>
      <c r="AC6" s="1378"/>
      <c r="AD6" s="1378"/>
      <c r="AE6" s="1378"/>
      <c r="AF6" s="1378"/>
      <c r="AG6" s="1378"/>
      <c r="AH6" s="1378"/>
      <c r="AI6" s="1378"/>
      <c r="AJ6" s="1378"/>
      <c r="AK6" s="1378"/>
      <c r="AL6" s="1378"/>
      <c r="AM6" s="1378"/>
      <c r="AN6" s="455"/>
    </row>
    <row r="7" spans="1:40" s="1383" customFormat="1" ht="88.5" customHeight="1">
      <c r="A7" s="813" t="s">
        <v>235</v>
      </c>
      <c r="B7" s="1382" t="s">
        <v>10</v>
      </c>
      <c r="C7" s="813" t="s">
        <v>236</v>
      </c>
      <c r="D7" s="813" t="s">
        <v>237</v>
      </c>
      <c r="E7" s="813" t="s">
        <v>238</v>
      </c>
      <c r="F7" s="813" t="s">
        <v>239</v>
      </c>
      <c r="G7" s="813" t="s">
        <v>240</v>
      </c>
      <c r="H7" s="813" t="s">
        <v>241</v>
      </c>
      <c r="I7" s="813" t="s">
        <v>242</v>
      </c>
      <c r="J7" s="813" t="s">
        <v>243</v>
      </c>
      <c r="K7" s="813" t="s">
        <v>244</v>
      </c>
      <c r="L7" s="813" t="s">
        <v>245</v>
      </c>
      <c r="M7" s="1802" t="s">
        <v>246</v>
      </c>
      <c r="N7" s="1803"/>
      <c r="O7" s="813" t="s">
        <v>247</v>
      </c>
      <c r="P7" s="1802" t="s">
        <v>248</v>
      </c>
      <c r="Q7" s="1803"/>
      <c r="R7" s="813" t="s">
        <v>249</v>
      </c>
      <c r="S7" s="813" t="s">
        <v>250</v>
      </c>
      <c r="T7" s="813" t="s">
        <v>251</v>
      </c>
      <c r="U7" s="813" t="s">
        <v>252</v>
      </c>
      <c r="V7" s="813" t="s">
        <v>253</v>
      </c>
      <c r="W7" s="813" t="s">
        <v>254</v>
      </c>
      <c r="X7" s="813" t="s">
        <v>255</v>
      </c>
      <c r="Y7" s="813" t="s">
        <v>256</v>
      </c>
      <c r="Z7" s="813" t="s">
        <v>257</v>
      </c>
      <c r="AA7" s="813" t="s">
        <v>258</v>
      </c>
      <c r="AB7" s="813" t="s">
        <v>259</v>
      </c>
      <c r="AC7" s="813" t="s">
        <v>260</v>
      </c>
      <c r="AD7" s="813" t="s">
        <v>261</v>
      </c>
      <c r="AE7" s="813" t="s">
        <v>262</v>
      </c>
      <c r="AF7" s="813" t="s">
        <v>263</v>
      </c>
      <c r="AG7" s="813" t="s">
        <v>264</v>
      </c>
      <c r="AH7" s="813" t="s">
        <v>265</v>
      </c>
      <c r="AI7" s="813" t="s">
        <v>266</v>
      </c>
      <c r="AJ7" s="813" t="s">
        <v>267</v>
      </c>
      <c r="AK7" s="813" t="s">
        <v>268</v>
      </c>
      <c r="AL7" s="813" t="s">
        <v>269</v>
      </c>
      <c r="AM7" s="813" t="s">
        <v>270</v>
      </c>
    </row>
    <row r="8" spans="1:40" s="1383" customFormat="1" ht="44.25" customHeight="1">
      <c r="A8" s="813"/>
      <c r="B8" s="1382" t="s">
        <v>271</v>
      </c>
      <c r="C8" s="813"/>
      <c r="D8" s="813" t="s">
        <v>272</v>
      </c>
      <c r="E8" s="813" t="s">
        <v>272</v>
      </c>
      <c r="F8" s="813" t="s">
        <v>272</v>
      </c>
      <c r="G8" s="813" t="s">
        <v>273</v>
      </c>
      <c r="H8" s="813" t="s">
        <v>274</v>
      </c>
      <c r="I8" s="813" t="s">
        <v>275</v>
      </c>
      <c r="J8" s="813" t="s">
        <v>276</v>
      </c>
      <c r="K8" s="813" t="s">
        <v>277</v>
      </c>
      <c r="L8" s="813" t="s">
        <v>277</v>
      </c>
      <c r="M8" s="813" t="s">
        <v>278</v>
      </c>
      <c r="N8" s="813" t="s">
        <v>279</v>
      </c>
      <c r="O8" s="813" t="s">
        <v>280</v>
      </c>
      <c r="P8" s="813" t="s">
        <v>281</v>
      </c>
      <c r="Q8" s="813" t="s">
        <v>282</v>
      </c>
      <c r="R8" s="813" t="s">
        <v>283</v>
      </c>
      <c r="S8" s="813"/>
      <c r="T8" s="813" t="s">
        <v>284</v>
      </c>
      <c r="U8" s="813" t="s">
        <v>284</v>
      </c>
      <c r="V8" s="813" t="s">
        <v>284</v>
      </c>
      <c r="W8" s="813" t="s">
        <v>284</v>
      </c>
      <c r="X8" s="813" t="s">
        <v>284</v>
      </c>
      <c r="Y8" s="813" t="s">
        <v>285</v>
      </c>
      <c r="Z8" s="813" t="s">
        <v>283</v>
      </c>
      <c r="AA8" s="813" t="s">
        <v>286</v>
      </c>
      <c r="AB8" s="813" t="s">
        <v>284</v>
      </c>
      <c r="AC8" s="813" t="s">
        <v>284</v>
      </c>
      <c r="AD8" s="813" t="s">
        <v>287</v>
      </c>
      <c r="AE8" s="813" t="s">
        <v>288</v>
      </c>
      <c r="AF8" s="813" t="s">
        <v>284</v>
      </c>
      <c r="AG8" s="813" t="s">
        <v>289</v>
      </c>
      <c r="AH8" s="813" t="s">
        <v>284</v>
      </c>
      <c r="AI8" s="813" t="s">
        <v>284</v>
      </c>
      <c r="AJ8" s="813" t="s">
        <v>284</v>
      </c>
      <c r="AK8" s="813" t="s">
        <v>284</v>
      </c>
      <c r="AL8" s="813" t="s">
        <v>284</v>
      </c>
      <c r="AM8" s="813"/>
    </row>
    <row r="9" spans="1:40" ht="15.75">
      <c r="A9" s="814"/>
      <c r="B9" s="100" t="s">
        <v>42</v>
      </c>
      <c r="C9" s="100"/>
      <c r="D9" s="100"/>
      <c r="E9" s="100"/>
      <c r="F9" s="100"/>
      <c r="G9" s="100"/>
      <c r="H9" s="100"/>
      <c r="I9" s="100"/>
      <c r="J9" s="100"/>
      <c r="K9" s="100"/>
      <c r="L9" s="100"/>
      <c r="M9" s="100"/>
      <c r="N9" s="100"/>
      <c r="O9" s="100"/>
      <c r="P9" s="100"/>
      <c r="Q9" s="100"/>
      <c r="R9" s="814"/>
      <c r="S9" s="814"/>
      <c r="T9" s="814"/>
      <c r="U9" s="814"/>
      <c r="V9" s="814"/>
      <c r="W9" s="814"/>
      <c r="X9" s="814"/>
      <c r="Y9" s="814"/>
      <c r="Z9" s="814"/>
      <c r="AA9" s="814"/>
      <c r="AB9" s="1384"/>
      <c r="AC9" s="814"/>
      <c r="AD9" s="814"/>
      <c r="AE9" s="814"/>
      <c r="AF9" s="814"/>
      <c r="AG9" s="814"/>
      <c r="AH9" s="814"/>
      <c r="AI9" s="814"/>
      <c r="AJ9" s="814"/>
      <c r="AK9" s="814"/>
      <c r="AL9" s="814"/>
      <c r="AM9" s="814"/>
      <c r="AN9" s="455"/>
    </row>
    <row r="10" spans="1:40" ht="15">
      <c r="A10" s="814">
        <v>1</v>
      </c>
      <c r="B10" s="169" t="s">
        <v>44</v>
      </c>
      <c r="C10" s="165" t="s">
        <v>45</v>
      </c>
      <c r="D10" s="165"/>
      <c r="E10" s="165"/>
      <c r="F10" s="165"/>
      <c r="G10" s="409">
        <f>'T-1'!H13</f>
        <v>1901257</v>
      </c>
      <c r="H10" s="409">
        <f>('T-1'!I13+'T-1'!L13)/2</f>
        <v>1903072.584</v>
      </c>
      <c r="I10" s="409">
        <f>(137960+197334)+(68760+76863)*2+(23983+7760)*3+(18212+6072)*4</f>
        <v>818905</v>
      </c>
      <c r="J10" s="175"/>
      <c r="K10" s="165"/>
      <c r="L10" s="165"/>
      <c r="M10" s="409">
        <v>20</v>
      </c>
      <c r="N10" s="409">
        <v>20</v>
      </c>
      <c r="O10" s="175"/>
      <c r="P10" s="175"/>
      <c r="Q10" s="175"/>
      <c r="R10" s="175"/>
      <c r="S10" s="38"/>
      <c r="T10" s="455"/>
      <c r="U10" s="1384"/>
      <c r="V10" s="1059">
        <f>((H10-I10)*M10+I10*N10)*6/100000</f>
        <v>2283.6871007999998</v>
      </c>
      <c r="W10" s="1059"/>
      <c r="X10" s="1059">
        <f>SUM(T10:W10)</f>
        <v>2283.6871007999998</v>
      </c>
      <c r="Y10" s="1059">
        <v>0.1</v>
      </c>
      <c r="Z10" s="175"/>
      <c r="AA10" s="614">
        <f>(367528512)/1000000*1</f>
        <v>367.52851199999998</v>
      </c>
      <c r="AB10" s="174">
        <f>AA10*Y10*10</f>
        <v>367.52851200000003</v>
      </c>
      <c r="AC10" s="615">
        <f>X10-AB10</f>
        <v>1916.1585887999997</v>
      </c>
      <c r="AD10" s="616"/>
      <c r="AE10" s="1385"/>
      <c r="AF10" s="814"/>
      <c r="AG10" s="814"/>
      <c r="AH10" s="814"/>
      <c r="AI10" s="175"/>
      <c r="AJ10" s="814"/>
      <c r="AK10" s="814"/>
      <c r="AL10" s="817">
        <f>AC10-AH10+AI10+AJ10-AK10</f>
        <v>1916.1585887999997</v>
      </c>
      <c r="AM10" s="814"/>
      <c r="AN10" s="455"/>
    </row>
    <row r="11" spans="1:40" ht="15">
      <c r="A11" s="814" t="s">
        <v>290</v>
      </c>
      <c r="B11" s="169" t="s">
        <v>176</v>
      </c>
      <c r="C11" s="175"/>
      <c r="D11" s="617">
        <f>'T-1'!N14-'T-6 (six mth)'!H12</f>
        <v>12.362627000000002</v>
      </c>
      <c r="E11" s="617"/>
      <c r="F11" s="176"/>
      <c r="G11" s="409">
        <f>'T-1'!H14</f>
        <v>136562</v>
      </c>
      <c r="H11" s="409">
        <f>('T-1'!I14+'T-1'!L14)/2</f>
        <v>53621.62</v>
      </c>
      <c r="I11" s="409"/>
      <c r="J11" s="618">
        <v>80</v>
      </c>
      <c r="K11" s="165"/>
      <c r="L11" s="165"/>
      <c r="M11" s="409"/>
      <c r="N11" s="409"/>
      <c r="O11" s="175"/>
      <c r="P11" s="175"/>
      <c r="Q11" s="175"/>
      <c r="R11" s="613"/>
      <c r="S11" s="613"/>
      <c r="T11" s="613">
        <f>((J11*G11)*6)/100000</f>
        <v>655.49760000000003</v>
      </c>
      <c r="U11" s="1384"/>
      <c r="V11" s="1386"/>
      <c r="W11" s="1059"/>
      <c r="X11" s="1059">
        <f>SUM(T11:W11)</f>
        <v>655.49760000000003</v>
      </c>
      <c r="Y11" s="1059"/>
      <c r="Z11" s="619">
        <f>AC11/D11*10</f>
        <v>530.22516977985345</v>
      </c>
      <c r="AA11" s="614"/>
      <c r="AB11" s="174"/>
      <c r="AC11" s="615">
        <f>X11-AB11</f>
        <v>655.49760000000003</v>
      </c>
      <c r="AD11" s="616"/>
      <c r="AE11" s="1387">
        <v>0</v>
      </c>
      <c r="AF11" s="1384">
        <f>AE11*D11</f>
        <v>0</v>
      </c>
      <c r="AG11" s="1384"/>
      <c r="AH11" s="814"/>
      <c r="AI11" s="613"/>
      <c r="AJ11" s="814"/>
      <c r="AK11" s="814"/>
      <c r="AL11" s="817">
        <f>AC11-AH11+AI11+AJ11-AK11</f>
        <v>655.49760000000003</v>
      </c>
      <c r="AM11" s="814"/>
      <c r="AN11" s="455"/>
    </row>
    <row r="12" spans="1:40" ht="15">
      <c r="A12" s="814" t="s">
        <v>177</v>
      </c>
      <c r="B12" s="620" t="s">
        <v>50</v>
      </c>
      <c r="C12" s="175"/>
      <c r="D12" s="617"/>
      <c r="E12" s="617"/>
      <c r="F12" s="614"/>
      <c r="G12" s="409"/>
      <c r="H12" s="409"/>
      <c r="I12" s="409"/>
      <c r="J12" s="618"/>
      <c r="K12" s="165"/>
      <c r="L12" s="165"/>
      <c r="M12" s="409"/>
      <c r="N12" s="409"/>
      <c r="O12" s="175"/>
      <c r="P12" s="175"/>
      <c r="Q12" s="175"/>
      <c r="R12" s="613"/>
      <c r="S12" s="613"/>
      <c r="T12" s="613"/>
      <c r="U12" s="1384"/>
      <c r="V12" s="1386"/>
      <c r="W12" s="1059"/>
      <c r="X12" s="1059"/>
      <c r="Y12" s="1059"/>
      <c r="Z12" s="175"/>
      <c r="AA12" s="614"/>
      <c r="AB12" s="174"/>
      <c r="AC12" s="615"/>
      <c r="AD12" s="616"/>
      <c r="AE12" s="1387"/>
      <c r="AF12" s="1384"/>
      <c r="AG12" s="814"/>
      <c r="AH12" s="814"/>
      <c r="AI12" s="613"/>
      <c r="AJ12" s="814"/>
      <c r="AK12" s="814"/>
      <c r="AL12" s="817"/>
      <c r="AM12" s="814"/>
      <c r="AN12" s="455"/>
    </row>
    <row r="13" spans="1:40" ht="15">
      <c r="A13" s="814"/>
      <c r="B13" s="380" t="s">
        <v>178</v>
      </c>
      <c r="C13" s="175"/>
      <c r="D13" s="617">
        <f>'T-1'!N16-'T-6 (six mth)'!H14</f>
        <v>79.136540427175007</v>
      </c>
      <c r="E13" s="617"/>
      <c r="F13" s="614"/>
      <c r="G13" s="409"/>
      <c r="H13" s="409"/>
      <c r="I13" s="409"/>
      <c r="J13" s="618"/>
      <c r="K13" s="409">
        <f>250+20+30</f>
        <v>300</v>
      </c>
      <c r="L13" s="165"/>
      <c r="M13" s="409"/>
      <c r="N13" s="409"/>
      <c r="O13" s="175"/>
      <c r="P13" s="175"/>
      <c r="Q13" s="175"/>
      <c r="R13" s="613"/>
      <c r="S13" s="613"/>
      <c r="T13" s="613"/>
      <c r="U13" s="174">
        <f>D13*K13/10</f>
        <v>2374.0962128152505</v>
      </c>
      <c r="V13" s="1059"/>
      <c r="W13" s="1059"/>
      <c r="X13" s="1059">
        <f>SUM(T13:W13)</f>
        <v>2374.0962128152505</v>
      </c>
      <c r="Y13" s="1059"/>
      <c r="Z13" s="175"/>
      <c r="AA13" s="614"/>
      <c r="AB13" s="174"/>
      <c r="AC13" s="615">
        <f>X13-AB13</f>
        <v>2374.0962128152505</v>
      </c>
      <c r="AD13" s="616"/>
      <c r="AE13" s="1387"/>
      <c r="AF13" s="1384"/>
      <c r="AG13" s="814"/>
      <c r="AH13" s="814"/>
      <c r="AI13" s="613"/>
      <c r="AJ13" s="814"/>
      <c r="AK13" s="814"/>
      <c r="AL13" s="817">
        <f t="shared" ref="AL13:AL34" si="0">AC13-AH13+AI13+AJ13-AK13</f>
        <v>2374.0962128152505</v>
      </c>
      <c r="AM13" s="814"/>
      <c r="AN13" s="455"/>
    </row>
    <row r="14" spans="1:40" ht="15">
      <c r="A14" s="814"/>
      <c r="B14" s="380" t="s">
        <v>53</v>
      </c>
      <c r="C14" s="175"/>
      <c r="D14" s="617">
        <f>'T-1'!N17-'T-6 (six mth)'!H15</f>
        <v>314.52442395319326</v>
      </c>
      <c r="E14" s="617"/>
      <c r="F14" s="614"/>
      <c r="G14" s="409"/>
      <c r="H14" s="409"/>
      <c r="I14" s="409"/>
      <c r="J14" s="618"/>
      <c r="K14" s="409">
        <f>430+20+30</f>
        <v>480</v>
      </c>
      <c r="L14" s="165"/>
      <c r="M14" s="409"/>
      <c r="N14" s="409"/>
      <c r="O14" s="175"/>
      <c r="P14" s="175"/>
      <c r="Q14" s="175"/>
      <c r="R14" s="613"/>
      <c r="S14" s="613"/>
      <c r="T14" s="613"/>
      <c r="U14" s="174">
        <f>D14*K14/10</f>
        <v>15097.172349753277</v>
      </c>
      <c r="V14" s="1059"/>
      <c r="W14" s="1059"/>
      <c r="X14" s="1059">
        <f>SUM(T14:W14)</f>
        <v>15097.172349753277</v>
      </c>
      <c r="Y14" s="1059"/>
      <c r="Z14" s="175"/>
      <c r="AA14" s="614"/>
      <c r="AB14" s="174"/>
      <c r="AC14" s="615">
        <f>X14-AB14</f>
        <v>15097.172349753277</v>
      </c>
      <c r="AD14" s="616"/>
      <c r="AE14" s="1387"/>
      <c r="AF14" s="1384"/>
      <c r="AG14" s="814"/>
      <c r="AH14" s="814"/>
      <c r="AI14" s="613"/>
      <c r="AJ14" s="814"/>
      <c r="AK14" s="814"/>
      <c r="AL14" s="817">
        <f t="shared" si="0"/>
        <v>15097.172349753277</v>
      </c>
      <c r="AM14" s="814"/>
      <c r="AN14" s="455"/>
    </row>
    <row r="15" spans="1:40" ht="15">
      <c r="A15" s="814"/>
      <c r="B15" s="380" t="s">
        <v>54</v>
      </c>
      <c r="C15" s="175"/>
      <c r="D15" s="617">
        <f>'T-1'!N18-'T-6 (six mth)'!H16</f>
        <v>210.98672888847295</v>
      </c>
      <c r="E15" s="617"/>
      <c r="F15" s="614"/>
      <c r="G15" s="409"/>
      <c r="H15" s="409"/>
      <c r="I15" s="409"/>
      <c r="J15" s="618"/>
      <c r="K15" s="409">
        <f>530+20+30</f>
        <v>580</v>
      </c>
      <c r="L15" s="165"/>
      <c r="M15" s="409"/>
      <c r="N15" s="409"/>
      <c r="O15" s="175"/>
      <c r="P15" s="175"/>
      <c r="Q15" s="175"/>
      <c r="R15" s="613"/>
      <c r="S15" s="613"/>
      <c r="T15" s="613"/>
      <c r="U15" s="174">
        <f>D15*K15/10</f>
        <v>12237.230275531432</v>
      </c>
      <c r="V15" s="1059"/>
      <c r="W15" s="1059"/>
      <c r="X15" s="1059">
        <f>SUM(T15:W15)</f>
        <v>12237.230275531432</v>
      </c>
      <c r="Y15" s="1059"/>
      <c r="Z15" s="175"/>
      <c r="AA15" s="614"/>
      <c r="AB15" s="174"/>
      <c r="AC15" s="615">
        <f>X15-AB15</f>
        <v>12237.230275531432</v>
      </c>
      <c r="AD15" s="616"/>
      <c r="AE15" s="815"/>
      <c r="AF15" s="1384"/>
      <c r="AG15" s="814"/>
      <c r="AH15" s="814"/>
      <c r="AI15" s="613"/>
      <c r="AJ15" s="814"/>
      <c r="AK15" s="814"/>
      <c r="AL15" s="817">
        <f t="shared" si="0"/>
        <v>12237.230275531432</v>
      </c>
      <c r="AM15" s="814"/>
      <c r="AN15" s="455"/>
    </row>
    <row r="16" spans="1:40" ht="16.5">
      <c r="A16" s="814"/>
      <c r="B16" s="380" t="s">
        <v>291</v>
      </c>
      <c r="C16" s="175"/>
      <c r="D16" s="617">
        <f>'T-1'!N19-'T-6 (six mth)'!H17</f>
        <v>248.86403533145796</v>
      </c>
      <c r="E16" s="617"/>
      <c r="F16" s="614"/>
      <c r="G16" s="409"/>
      <c r="H16" s="409"/>
      <c r="I16" s="409"/>
      <c r="J16" s="618"/>
      <c r="K16" s="409">
        <f>570+20+30</f>
        <v>620</v>
      </c>
      <c r="L16" s="165"/>
      <c r="M16" s="409"/>
      <c r="N16" s="409"/>
      <c r="O16" s="175"/>
      <c r="P16" s="175"/>
      <c r="Q16" s="175"/>
      <c r="R16" s="613"/>
      <c r="S16" s="613"/>
      <c r="T16" s="613"/>
      <c r="U16" s="174">
        <f>(D16*K16/10)-((5.768*1*20)/10)</f>
        <v>15418.034190550392</v>
      </c>
      <c r="V16" s="1059"/>
      <c r="W16" s="1059"/>
      <c r="X16" s="1059">
        <f>SUM(T16:W16)</f>
        <v>15418.034190550392</v>
      </c>
      <c r="Y16" s="1059"/>
      <c r="Z16" s="619">
        <f>((AC17-X11)/SUM(D13:D16))*10</f>
        <v>551.16631724085539</v>
      </c>
      <c r="AA16" s="614"/>
      <c r="AB16" s="174"/>
      <c r="AC16" s="615">
        <f>X16-AB16</f>
        <v>15418.034190550392</v>
      </c>
      <c r="AD16" s="616"/>
      <c r="AE16" s="313">
        <v>0.04</v>
      </c>
      <c r="AF16" s="817">
        <f>AE16*SUM(U13:U16)</f>
        <v>1805.0613211460138</v>
      </c>
      <c r="AG16" s="1384"/>
      <c r="AH16" s="814"/>
      <c r="AI16" s="613"/>
      <c r="AJ16" s="814"/>
      <c r="AK16" s="814"/>
      <c r="AL16" s="817">
        <f t="shared" si="0"/>
        <v>15418.034190550392</v>
      </c>
      <c r="AM16" s="814"/>
      <c r="AN16" s="455"/>
    </row>
    <row r="17" spans="1:40" ht="16.5">
      <c r="A17" s="814"/>
      <c r="B17" s="379" t="s">
        <v>56</v>
      </c>
      <c r="C17" s="165"/>
      <c r="D17" s="240">
        <f>SUM(D10:D16)</f>
        <v>865.87435560029917</v>
      </c>
      <c r="E17" s="240"/>
      <c r="F17" s="111"/>
      <c r="G17" s="112">
        <f>SUM(G10:G16)</f>
        <v>2037819</v>
      </c>
      <c r="H17" s="112">
        <f>SUM(H10:H16)</f>
        <v>1956694.2040000001</v>
      </c>
      <c r="I17" s="112">
        <f>SUM(I10:I16)</f>
        <v>818905</v>
      </c>
      <c r="J17" s="618"/>
      <c r="K17" s="174"/>
      <c r="L17" s="165"/>
      <c r="M17" s="409"/>
      <c r="N17" s="409"/>
      <c r="O17" s="175"/>
      <c r="P17" s="175"/>
      <c r="Q17" s="175"/>
      <c r="R17" s="112">
        <f>(X17/D17)*10</f>
        <v>555.11192147649444</v>
      </c>
      <c r="S17" s="101"/>
      <c r="T17" s="242">
        <f>SUM(T10:T16)</f>
        <v>655.49760000000003</v>
      </c>
      <c r="U17" s="101">
        <f>SUM(U10:U16)</f>
        <v>45126.533028650345</v>
      </c>
      <c r="V17" s="1060">
        <f>SUM(V10:V16)</f>
        <v>2283.6871007999998</v>
      </c>
      <c r="W17" s="1060">
        <f>SUM(W10:W16)</f>
        <v>0</v>
      </c>
      <c r="X17" s="1060">
        <f>SUM(X10:X16)</f>
        <v>48065.717729450349</v>
      </c>
      <c r="Y17" s="1059"/>
      <c r="Z17" s="241">
        <f>AC17/D17*10</f>
        <v>550.86732744708468</v>
      </c>
      <c r="AA17" s="111">
        <f>SUM(AA10:AA16)</f>
        <v>367.52851199999998</v>
      </c>
      <c r="AB17" s="101">
        <f>SUM(AB10:AB16)</f>
        <v>367.52851200000003</v>
      </c>
      <c r="AC17" s="423">
        <f>SUM(AC10:AC16)</f>
        <v>47698.189217450345</v>
      </c>
      <c r="AD17" s="109"/>
      <c r="AE17" s="172"/>
      <c r="AF17" s="101">
        <f>SUM(AF10:AF16)</f>
        <v>1805.0613211460138</v>
      </c>
      <c r="AG17" s="816">
        <f>AF17/SUM(D13:D16)+Z17</f>
        <v>552.98219155575509</v>
      </c>
      <c r="AH17" s="1384">
        <f t="shared" ref="AH17" si="1">X17*1%</f>
        <v>480.65717729450353</v>
      </c>
      <c r="AI17" s="101">
        <f>SUM(AI10:AI16)</f>
        <v>0</v>
      </c>
      <c r="AJ17" s="101">
        <f>SUM(AJ10:AJ16)</f>
        <v>0</v>
      </c>
      <c r="AK17" s="101">
        <f>SUM(AK10:AK16)</f>
        <v>0</v>
      </c>
      <c r="AL17" s="101">
        <f>SUM(AL10:AL16)</f>
        <v>47698.189217450345</v>
      </c>
      <c r="AM17" s="101"/>
      <c r="AN17" s="455"/>
    </row>
    <row r="18" spans="1:40" ht="16.5">
      <c r="A18" s="814">
        <v>2</v>
      </c>
      <c r="B18" s="169" t="s">
        <v>292</v>
      </c>
      <c r="C18" s="165" t="s">
        <v>45</v>
      </c>
      <c r="D18" s="617"/>
      <c r="E18" s="617"/>
      <c r="F18" s="176"/>
      <c r="G18" s="409">
        <f>'T-1'!H26</f>
        <v>85870</v>
      </c>
      <c r="H18" s="409">
        <f>('T-1'!I26+'T-1'!L26)/2</f>
        <v>302872.8151800005</v>
      </c>
      <c r="I18" s="409">
        <f>(9026+6272)+(4914+2743)*2+(1937+1008)*3+(7630+7745)*4</f>
        <v>100947</v>
      </c>
      <c r="J18" s="618"/>
      <c r="K18" s="174"/>
      <c r="L18" s="165"/>
      <c r="M18" s="409">
        <v>30</v>
      </c>
      <c r="N18" s="409">
        <v>30</v>
      </c>
      <c r="O18" s="175"/>
      <c r="P18" s="175"/>
      <c r="Q18" s="175"/>
      <c r="R18" s="409"/>
      <c r="S18" s="177"/>
      <c r="T18" s="815"/>
      <c r="U18" s="174"/>
      <c r="V18" s="1059">
        <f>((H18-I18)*M18+I18*N18)*6/100000</f>
        <v>545.171067324001</v>
      </c>
      <c r="W18" s="1059"/>
      <c r="X18" s="1059">
        <f>SUM(T18:W18)</f>
        <v>545.171067324001</v>
      </c>
      <c r="Y18" s="1059">
        <v>0.1</v>
      </c>
      <c r="Z18" s="175"/>
      <c r="AA18" s="614">
        <f>(72486325)/1000000*1</f>
        <v>72.486324999999994</v>
      </c>
      <c r="AB18" s="174">
        <f>Y18*AA18*10</f>
        <v>72.486324999999994</v>
      </c>
      <c r="AC18" s="615">
        <f>X18-AB18</f>
        <v>472.68474232400104</v>
      </c>
      <c r="AD18" s="616"/>
      <c r="AE18" s="172"/>
      <c r="AF18" s="817"/>
      <c r="AG18" s="817"/>
      <c r="AH18" s="814"/>
      <c r="AI18" s="174"/>
      <c r="AJ18" s="817"/>
      <c r="AK18" s="817"/>
      <c r="AL18" s="817">
        <f t="shared" si="0"/>
        <v>472.68474232400104</v>
      </c>
      <c r="AM18" s="817"/>
      <c r="AN18" s="455"/>
    </row>
    <row r="19" spans="1:40" ht="16.5">
      <c r="A19" s="814"/>
      <c r="B19" s="169" t="s">
        <v>58</v>
      </c>
      <c r="C19" s="165"/>
      <c r="D19" s="617"/>
      <c r="E19" s="617"/>
      <c r="F19" s="176"/>
      <c r="G19" s="409"/>
      <c r="H19" s="409"/>
      <c r="I19" s="409"/>
      <c r="J19" s="618"/>
      <c r="K19" s="174"/>
      <c r="L19" s="165"/>
      <c r="M19" s="409"/>
      <c r="N19" s="409"/>
      <c r="O19" s="175"/>
      <c r="P19" s="175"/>
      <c r="Q19" s="175"/>
      <c r="R19" s="409"/>
      <c r="S19" s="174"/>
      <c r="T19" s="174"/>
      <c r="U19" s="174"/>
      <c r="V19" s="1059"/>
      <c r="W19" s="1059"/>
      <c r="X19" s="1059"/>
      <c r="Y19" s="1059"/>
      <c r="Z19" s="175"/>
      <c r="AA19" s="614"/>
      <c r="AB19" s="174"/>
      <c r="AC19" s="615"/>
      <c r="AD19" s="616"/>
      <c r="AE19" s="172"/>
      <c r="AF19" s="817"/>
      <c r="AG19" s="817"/>
      <c r="AH19" s="814"/>
      <c r="AI19" s="174"/>
      <c r="AJ19" s="817"/>
      <c r="AK19" s="817"/>
      <c r="AL19" s="817"/>
      <c r="AM19" s="817"/>
      <c r="AN19" s="455"/>
    </row>
    <row r="20" spans="1:40" ht="16.5">
      <c r="A20" s="814"/>
      <c r="B20" s="169" t="s">
        <v>59</v>
      </c>
      <c r="C20" s="165"/>
      <c r="D20" s="617">
        <f>'T-1'!N23-'T-6 (six mth)'!H23</f>
        <v>8.338945131104456</v>
      </c>
      <c r="E20" s="617"/>
      <c r="F20" s="176"/>
      <c r="G20" s="409"/>
      <c r="H20" s="409"/>
      <c r="I20" s="409"/>
      <c r="J20" s="618"/>
      <c r="K20" s="409">
        <f>540+20+30</f>
        <v>590</v>
      </c>
      <c r="L20" s="165"/>
      <c r="M20" s="409"/>
      <c r="N20" s="409"/>
      <c r="O20" s="175"/>
      <c r="P20" s="175"/>
      <c r="Q20" s="175"/>
      <c r="R20" s="409"/>
      <c r="S20" s="174"/>
      <c r="T20" s="174"/>
      <c r="U20" s="174">
        <f>D20*K20/10</f>
        <v>491.99776273516289</v>
      </c>
      <c r="V20" s="1059"/>
      <c r="W20" s="1059"/>
      <c r="X20" s="1059">
        <f>SUM(T20:W20)</f>
        <v>491.99776273516289</v>
      </c>
      <c r="Y20" s="1059"/>
      <c r="Z20" s="175"/>
      <c r="AA20" s="614"/>
      <c r="AB20" s="174"/>
      <c r="AC20" s="615">
        <f>X20-AB20</f>
        <v>491.99776273516289</v>
      </c>
      <c r="AD20" s="616"/>
      <c r="AE20" s="172"/>
      <c r="AF20" s="817"/>
      <c r="AG20" s="817"/>
      <c r="AH20" s="814"/>
      <c r="AI20" s="174"/>
      <c r="AJ20" s="817"/>
      <c r="AK20" s="817"/>
      <c r="AL20" s="817">
        <f t="shared" si="0"/>
        <v>491.99776273516289</v>
      </c>
      <c r="AM20" s="817"/>
      <c r="AN20" s="455"/>
    </row>
    <row r="21" spans="1:40" ht="16.5">
      <c r="A21" s="814"/>
      <c r="B21" s="169" t="s">
        <v>60</v>
      </c>
      <c r="C21" s="175"/>
      <c r="D21" s="617">
        <f>'T-1'!N24-'T-6 (six mth)'!H24</f>
        <v>23.934624807674506</v>
      </c>
      <c r="E21" s="617"/>
      <c r="F21" s="614"/>
      <c r="G21" s="409"/>
      <c r="H21" s="409"/>
      <c r="I21" s="409"/>
      <c r="J21" s="618"/>
      <c r="K21" s="409">
        <f>650+20+30</f>
        <v>700</v>
      </c>
      <c r="L21" s="165"/>
      <c r="M21" s="409"/>
      <c r="N21" s="409"/>
      <c r="O21" s="175"/>
      <c r="P21" s="175"/>
      <c r="Q21" s="175"/>
      <c r="R21" s="409"/>
      <c r="S21" s="174"/>
      <c r="T21" s="174"/>
      <c r="U21" s="174">
        <f>D21*K21/10</f>
        <v>1675.4237365372155</v>
      </c>
      <c r="V21" s="1059"/>
      <c r="W21" s="1059"/>
      <c r="X21" s="1059">
        <f>SUM(T21:W21)</f>
        <v>1675.4237365372155</v>
      </c>
      <c r="Y21" s="1059"/>
      <c r="Z21" s="175"/>
      <c r="AA21" s="614"/>
      <c r="AB21" s="174"/>
      <c r="AC21" s="615">
        <f>X21-AB21</f>
        <v>1675.4237365372155</v>
      </c>
      <c r="AD21" s="616"/>
      <c r="AE21" s="172"/>
      <c r="AF21" s="817"/>
      <c r="AG21" s="817"/>
      <c r="AH21" s="814"/>
      <c r="AI21" s="174"/>
      <c r="AJ21" s="817"/>
      <c r="AK21" s="817"/>
      <c r="AL21" s="817">
        <f t="shared" si="0"/>
        <v>1675.4237365372155</v>
      </c>
      <c r="AM21" s="817"/>
      <c r="AN21" s="455"/>
    </row>
    <row r="22" spans="1:40" ht="16.5">
      <c r="A22" s="814"/>
      <c r="B22" s="178" t="s">
        <v>61</v>
      </c>
      <c r="C22" s="165"/>
      <c r="D22" s="617">
        <f>'T-1'!N25-'T-6 (six mth)'!H25</f>
        <v>180.64619959388085</v>
      </c>
      <c r="E22" s="617"/>
      <c r="F22" s="176"/>
      <c r="G22" s="409"/>
      <c r="H22" s="409"/>
      <c r="I22" s="409"/>
      <c r="J22" s="618"/>
      <c r="K22" s="409">
        <f>710+20+30</f>
        <v>760</v>
      </c>
      <c r="L22" s="165"/>
      <c r="M22" s="409"/>
      <c r="N22" s="409"/>
      <c r="O22" s="175"/>
      <c r="P22" s="175"/>
      <c r="Q22" s="175"/>
      <c r="R22" s="409"/>
      <c r="S22" s="174"/>
      <c r="T22" s="174"/>
      <c r="U22" s="174">
        <f>(D22*K22/10)-(13.996*1*20)/10</f>
        <v>13701.119169134945</v>
      </c>
      <c r="V22" s="1059"/>
      <c r="W22" s="1059"/>
      <c r="X22" s="1059">
        <f>SUM(T22:W22)</f>
        <v>13701.119169134945</v>
      </c>
      <c r="Y22" s="1059"/>
      <c r="Z22" s="175"/>
      <c r="AA22" s="614"/>
      <c r="AB22" s="174"/>
      <c r="AC22" s="615">
        <f>X22-AB22</f>
        <v>13701.119169134945</v>
      </c>
      <c r="AD22" s="616"/>
      <c r="AE22" s="172"/>
      <c r="AF22" s="815"/>
      <c r="AG22" s="817"/>
      <c r="AH22" s="814"/>
      <c r="AI22" s="174"/>
      <c r="AJ22" s="817"/>
      <c r="AK22" s="817"/>
      <c r="AL22" s="817">
        <f t="shared" si="0"/>
        <v>13701.119169134945</v>
      </c>
      <c r="AM22" s="817"/>
      <c r="AN22" s="455"/>
    </row>
    <row r="23" spans="1:40" ht="16.5">
      <c r="A23" s="814"/>
      <c r="B23" s="621" t="s">
        <v>293</v>
      </c>
      <c r="C23" s="175"/>
      <c r="D23" s="240">
        <f>SUM(D18:D22)</f>
        <v>212.91976953265981</v>
      </c>
      <c r="E23" s="240"/>
      <c r="F23" s="111"/>
      <c r="G23" s="112">
        <f>SUM(G18:G22)</f>
        <v>85870</v>
      </c>
      <c r="H23" s="112">
        <f>SUM(H18:H22)</f>
        <v>302872.8151800005</v>
      </c>
      <c r="I23" s="112">
        <f>SUM(I18:I22)</f>
        <v>100947</v>
      </c>
      <c r="J23" s="618"/>
      <c r="K23" s="174"/>
      <c r="L23" s="165"/>
      <c r="M23" s="409"/>
      <c r="N23" s="409"/>
      <c r="O23" s="175"/>
      <c r="P23" s="175"/>
      <c r="Q23" s="175"/>
      <c r="R23" s="409">
        <f t="shared" ref="R23:R35" si="2">X23/D23*10</f>
        <v>770.88716429470026</v>
      </c>
      <c r="S23" s="174"/>
      <c r="T23" s="242">
        <f>SUM(T18:T22)</f>
        <v>0</v>
      </c>
      <c r="U23" s="101">
        <f>SUM(U18:U22)</f>
        <v>15868.540668407324</v>
      </c>
      <c r="V23" s="1060">
        <f>SUM(V18:V22)</f>
        <v>545.171067324001</v>
      </c>
      <c r="W23" s="1060">
        <f>SUM(W18:W22)</f>
        <v>0</v>
      </c>
      <c r="X23" s="1060">
        <f>SUM(X18:X22)</f>
        <v>16413.711735731325</v>
      </c>
      <c r="Y23" s="1059"/>
      <c r="Z23" s="619">
        <f t="shared" ref="Z23:Z28" si="3">AC23/D23*10</f>
        <v>767.48276811490439</v>
      </c>
      <c r="AA23" s="111">
        <f>SUM(AA18:AA22)</f>
        <v>72.486324999999994</v>
      </c>
      <c r="AB23" s="101">
        <f>SUM(AB18:AB22)</f>
        <v>72.486324999999994</v>
      </c>
      <c r="AC23" s="423">
        <f>SUM(AC18:AC22)</f>
        <v>16341.225410731324</v>
      </c>
      <c r="AD23" s="109"/>
      <c r="AE23" s="313">
        <v>0.04</v>
      </c>
      <c r="AF23" s="822">
        <f>AE23*SUM(U20:U22)</f>
        <v>634.74162673629303</v>
      </c>
      <c r="AG23" s="816">
        <f t="shared" ref="AG23:AG35" si="4">AF23/D23+Z23</f>
        <v>770.46389865120682</v>
      </c>
      <c r="AH23" s="814"/>
      <c r="AI23" s="101">
        <f>SUM(AI18:AI22)</f>
        <v>0</v>
      </c>
      <c r="AJ23" s="101">
        <f>SUM(AJ18:AJ22)</f>
        <v>0</v>
      </c>
      <c r="AK23" s="101">
        <f>SUM(AK18:AK22)</f>
        <v>0</v>
      </c>
      <c r="AL23" s="101">
        <f>SUM(AL18:AL22)</f>
        <v>16341.225410731324</v>
      </c>
      <c r="AM23" s="101"/>
      <c r="AN23" s="455"/>
    </row>
    <row r="24" spans="1:40" ht="16.5">
      <c r="A24" s="814">
        <v>3</v>
      </c>
      <c r="B24" s="169" t="s">
        <v>63</v>
      </c>
      <c r="C24" s="165" t="s">
        <v>45</v>
      </c>
      <c r="D24" s="617">
        <f>'T-1'!N27-'T-6 (six mth)'!H27</f>
        <v>207.07745662943998</v>
      </c>
      <c r="E24" s="617"/>
      <c r="F24" s="176"/>
      <c r="G24" s="409">
        <f>'T-1'!H27</f>
        <v>73278</v>
      </c>
      <c r="H24" s="409">
        <f>('T-1'!I27+'T-1'!L27)/2</f>
        <v>243381.44880000019</v>
      </c>
      <c r="I24" s="409">
        <f>6764+52054*2+6877*3+250*4+399*5+45*6+6066*7</f>
        <v>177230</v>
      </c>
      <c r="J24" s="618"/>
      <c r="K24" s="409">
        <v>150</v>
      </c>
      <c r="L24" s="165"/>
      <c r="M24" s="409">
        <v>20</v>
      </c>
      <c r="N24" s="409">
        <v>10</v>
      </c>
      <c r="O24" s="175"/>
      <c r="P24" s="175"/>
      <c r="Q24" s="175"/>
      <c r="R24" s="409">
        <f t="shared" si="2"/>
        <v>158.96059578769331</v>
      </c>
      <c r="S24" s="174"/>
      <c r="T24" s="174"/>
      <c r="U24" s="174">
        <f>(D24*K24/10)-(0.083*1*20)/10</f>
        <v>3105.9958494415996</v>
      </c>
      <c r="V24" s="1059">
        <f t="shared" ref="V24:V31" si="5">((H24-I24)*M24+I24*N24)*6/100000</f>
        <v>185.71973856000022</v>
      </c>
      <c r="W24" s="1059"/>
      <c r="X24" s="1059">
        <f t="shared" ref="X24:X30" si="6">SUM(T24:W24)</f>
        <v>3291.7155880015998</v>
      </c>
      <c r="Y24" s="1059">
        <v>0.1</v>
      </c>
      <c r="Z24" s="619">
        <f t="shared" si="3"/>
        <v>158.77507342024049</v>
      </c>
      <c r="AA24" s="614">
        <f>(3841750)/1000000*1</f>
        <v>3.8417500000000002</v>
      </c>
      <c r="AB24" s="174">
        <f>AA24*Y24*10</f>
        <v>3.8417500000000002</v>
      </c>
      <c r="AC24" s="424">
        <f t="shared" ref="AC24:AC30" si="7">X24-AB24</f>
        <v>3287.8738380015998</v>
      </c>
      <c r="AD24" s="425"/>
      <c r="AE24" s="313">
        <v>0.02</v>
      </c>
      <c r="AF24" s="817">
        <f t="shared" ref="AF24:AF34" si="8">AE24*U24</f>
        <v>62.119916988831996</v>
      </c>
      <c r="AG24" s="816">
        <f t="shared" si="4"/>
        <v>159.07505738759235</v>
      </c>
      <c r="AH24" s="814"/>
      <c r="AI24" s="174"/>
      <c r="AJ24" s="817"/>
      <c r="AK24" s="817"/>
      <c r="AL24" s="817">
        <f t="shared" si="0"/>
        <v>3287.8738380015998</v>
      </c>
      <c r="AM24" s="817"/>
      <c r="AN24" s="455"/>
    </row>
    <row r="25" spans="1:40" ht="16.5">
      <c r="A25" s="814">
        <v>4</v>
      </c>
      <c r="B25" s="169" t="s">
        <v>64</v>
      </c>
      <c r="C25" s="165" t="s">
        <v>45</v>
      </c>
      <c r="D25" s="617">
        <f>'T-1'!N28-'T-6 (six mth)'!H28</f>
        <v>2.0942521842399984</v>
      </c>
      <c r="E25" s="617"/>
      <c r="F25" s="176"/>
      <c r="G25" s="409">
        <f>'T-1'!H28</f>
        <v>381</v>
      </c>
      <c r="H25" s="409">
        <f>('T-1'!I28+'T-1'!L28)/2</f>
        <v>5048.5830000000005</v>
      </c>
      <c r="I25" s="409">
        <f t="shared" ref="I25:I31" si="9">H25-G25</f>
        <v>4667.5830000000005</v>
      </c>
      <c r="J25" s="618"/>
      <c r="K25" s="409">
        <v>160</v>
      </c>
      <c r="L25" s="165"/>
      <c r="M25" s="409">
        <v>20</v>
      </c>
      <c r="N25" s="409">
        <v>10</v>
      </c>
      <c r="O25" s="175"/>
      <c r="P25" s="175"/>
      <c r="Q25" s="175"/>
      <c r="R25" s="409">
        <f t="shared" si="2"/>
        <v>173.9417297590623</v>
      </c>
      <c r="S25" s="174"/>
      <c r="T25" s="174"/>
      <c r="U25" s="174">
        <f>(D25*K25/10)-(0.169*1*20)/10</f>
        <v>33.170034947839973</v>
      </c>
      <c r="V25" s="1059">
        <f t="shared" si="5"/>
        <v>3.2577498</v>
      </c>
      <c r="W25" s="1059"/>
      <c r="X25" s="1059">
        <f t="shared" si="6"/>
        <v>36.427784747839972</v>
      </c>
      <c r="Y25" s="1059">
        <v>0.1</v>
      </c>
      <c r="Z25" s="619">
        <f t="shared" si="3"/>
        <v>172.33491276475593</v>
      </c>
      <c r="AA25" s="614">
        <f>(336508/1000000)*1</f>
        <v>0.33650799999999997</v>
      </c>
      <c r="AB25" s="174">
        <f>AA25*Y25*10</f>
        <v>0.33650800000000003</v>
      </c>
      <c r="AC25" s="424">
        <f t="shared" si="7"/>
        <v>36.09127674783997</v>
      </c>
      <c r="AD25" s="425"/>
      <c r="AE25" s="313">
        <v>0.02</v>
      </c>
      <c r="AF25" s="817">
        <f t="shared" si="8"/>
        <v>0.66340069895679943</v>
      </c>
      <c r="AG25" s="816">
        <f t="shared" si="4"/>
        <v>172.65168488224452</v>
      </c>
      <c r="AH25" s="1384"/>
      <c r="AI25" s="174"/>
      <c r="AJ25" s="817"/>
      <c r="AK25" s="817"/>
      <c r="AL25" s="817">
        <f t="shared" si="0"/>
        <v>36.09127674783997</v>
      </c>
      <c r="AM25" s="817"/>
      <c r="AN25" s="455"/>
    </row>
    <row r="26" spans="1:40" ht="16.5">
      <c r="A26" s="814">
        <v>5</v>
      </c>
      <c r="B26" s="169" t="s">
        <v>65</v>
      </c>
      <c r="C26" s="165" t="s">
        <v>45</v>
      </c>
      <c r="D26" s="617">
        <f>'T-1'!N29-'T-6 (six mth)'!H29</f>
        <v>1.8427485309999998</v>
      </c>
      <c r="E26" s="617"/>
      <c r="F26" s="176"/>
      <c r="G26" s="409">
        <f>'T-1'!H29</f>
        <v>115</v>
      </c>
      <c r="H26" s="409">
        <f>('T-1'!I29+'T-1'!L29)/2</f>
        <v>2140.3310000000001</v>
      </c>
      <c r="I26" s="409">
        <f t="shared" si="9"/>
        <v>2025.3310000000001</v>
      </c>
      <c r="J26" s="618"/>
      <c r="K26" s="409">
        <f>420+20+30</f>
        <v>470</v>
      </c>
      <c r="L26" s="165"/>
      <c r="M26" s="409">
        <v>80</v>
      </c>
      <c r="N26" s="409">
        <v>50</v>
      </c>
      <c r="O26" s="175"/>
      <c r="P26" s="175"/>
      <c r="Q26" s="175"/>
      <c r="R26" s="409">
        <f t="shared" si="2"/>
        <v>501.68089894952681</v>
      </c>
      <c r="S26" s="174"/>
      <c r="T26" s="174"/>
      <c r="U26" s="174">
        <f>(D26*K26/10)-(0.395*1*20)/10</f>
        <v>85.819180956999986</v>
      </c>
      <c r="V26" s="1059">
        <f t="shared" si="5"/>
        <v>6.627993</v>
      </c>
      <c r="W26" s="1059"/>
      <c r="X26" s="1059">
        <f t="shared" si="6"/>
        <v>92.44717395699999</v>
      </c>
      <c r="Y26" s="1059">
        <v>0.1</v>
      </c>
      <c r="Z26" s="619">
        <f t="shared" si="3"/>
        <v>494.59851642122948</v>
      </c>
      <c r="AA26" s="614">
        <f>(1305105/1000000)*1</f>
        <v>1.305105</v>
      </c>
      <c r="AB26" s="174">
        <f>AA26*Y26*10</f>
        <v>1.305105</v>
      </c>
      <c r="AC26" s="424">
        <f>X26-AB26</f>
        <v>91.142068956999992</v>
      </c>
      <c r="AD26" s="425"/>
      <c r="AE26" s="313">
        <v>0.02</v>
      </c>
      <c r="AF26" s="817">
        <f t="shared" si="8"/>
        <v>1.7163836191399997</v>
      </c>
      <c r="AG26" s="816">
        <f t="shared" si="4"/>
        <v>495.52994227248689</v>
      </c>
      <c r="AH26" s="1384">
        <f>X26*1%</f>
        <v>0.92447173956999995</v>
      </c>
      <c r="AI26" s="174"/>
      <c r="AJ26" s="817"/>
      <c r="AK26" s="817"/>
      <c r="AL26" s="817">
        <f t="shared" si="0"/>
        <v>90.217597217429997</v>
      </c>
      <c r="AM26" s="817"/>
      <c r="AN26" s="455"/>
    </row>
    <row r="27" spans="1:40" ht="16.5">
      <c r="A27" s="814">
        <v>6</v>
      </c>
      <c r="B27" s="169" t="s">
        <v>66</v>
      </c>
      <c r="C27" s="165" t="s">
        <v>45</v>
      </c>
      <c r="D27" s="617">
        <f>'T-1'!N30-'T-6 (six mth)'!H30</f>
        <v>19.46694486600002</v>
      </c>
      <c r="E27" s="617"/>
      <c r="F27" s="176"/>
      <c r="G27" s="409">
        <f>'T-1'!H30</f>
        <v>3142</v>
      </c>
      <c r="H27" s="409">
        <f>('T-1'!I30+'T-1'!L30)/2</f>
        <v>12097.149750000004</v>
      </c>
      <c r="I27" s="409">
        <f t="shared" si="9"/>
        <v>8955.1497500000041</v>
      </c>
      <c r="J27" s="618"/>
      <c r="K27" s="409">
        <f t="shared" ref="K27:K34" si="10">570+20+30</f>
        <v>620</v>
      </c>
      <c r="L27" s="165"/>
      <c r="M27" s="409">
        <v>20</v>
      </c>
      <c r="N27" s="409">
        <v>15</v>
      </c>
      <c r="O27" s="175"/>
      <c r="P27" s="175"/>
      <c r="Q27" s="175"/>
      <c r="R27" s="409">
        <f t="shared" si="2"/>
        <v>626.07698581181171</v>
      </c>
      <c r="S27" s="174"/>
      <c r="T27" s="174"/>
      <c r="U27" s="174">
        <f>(D27*K27/10)-(0*1*20)/10</f>
        <v>1206.9505816920014</v>
      </c>
      <c r="V27" s="1059">
        <f t="shared" si="5"/>
        <v>11.830034775000003</v>
      </c>
      <c r="W27" s="1059"/>
      <c r="X27" s="1059">
        <f t="shared" si="6"/>
        <v>1218.7806164670014</v>
      </c>
      <c r="Y27" s="1059"/>
      <c r="Z27" s="619">
        <f t="shared" si="3"/>
        <v>626.07698581181171</v>
      </c>
      <c r="AA27" s="614"/>
      <c r="AB27" s="174"/>
      <c r="AC27" s="424">
        <f t="shared" si="7"/>
        <v>1218.7806164670014</v>
      </c>
      <c r="AD27" s="425"/>
      <c r="AE27" s="313">
        <v>0.04</v>
      </c>
      <c r="AF27" s="817">
        <f t="shared" si="8"/>
        <v>48.278023267680055</v>
      </c>
      <c r="AG27" s="816">
        <f t="shared" si="4"/>
        <v>628.55698581181173</v>
      </c>
      <c r="AH27" s="814"/>
      <c r="AI27" s="174"/>
      <c r="AJ27" s="817"/>
      <c r="AK27" s="817"/>
      <c r="AL27" s="817">
        <f t="shared" si="0"/>
        <v>1218.7806164670014</v>
      </c>
      <c r="AM27" s="817"/>
      <c r="AN27" s="455"/>
    </row>
    <row r="28" spans="1:40" ht="16.5">
      <c r="A28" s="814">
        <v>7</v>
      </c>
      <c r="B28" s="169" t="s">
        <v>182</v>
      </c>
      <c r="C28" s="165" t="s">
        <v>45</v>
      </c>
      <c r="D28" s="617">
        <f>'T-1'!N31-'T-6 (six mth)'!H31</f>
        <v>9.9250798125999999</v>
      </c>
      <c r="E28" s="617"/>
      <c r="F28" s="176"/>
      <c r="G28" s="409">
        <f>'T-1'!H31</f>
        <v>3845</v>
      </c>
      <c r="H28" s="409">
        <f>('T-1'!I31+'T-1'!L31)/2</f>
        <v>38244.266569999992</v>
      </c>
      <c r="I28" s="409">
        <f t="shared" si="9"/>
        <v>34399.266569999992</v>
      </c>
      <c r="J28" s="618"/>
      <c r="K28" s="409">
        <f t="shared" si="10"/>
        <v>620</v>
      </c>
      <c r="L28" s="165"/>
      <c r="M28" s="409">
        <v>80</v>
      </c>
      <c r="N28" s="409">
        <v>35</v>
      </c>
      <c r="O28" s="175"/>
      <c r="P28" s="175"/>
      <c r="Q28" s="175"/>
      <c r="R28" s="409">
        <f t="shared" si="2"/>
        <v>709.83147892051466</v>
      </c>
      <c r="S28" s="174"/>
      <c r="T28" s="174"/>
      <c r="U28" s="174">
        <f>(D28*K28/10)-(0.768*1*20)/10</f>
        <v>613.81894838120013</v>
      </c>
      <c r="V28" s="1059">
        <f t="shared" si="5"/>
        <v>90.694459796999993</v>
      </c>
      <c r="W28" s="1059"/>
      <c r="X28" s="1059">
        <f t="shared" si="6"/>
        <v>704.51340817820017</v>
      </c>
      <c r="Y28" s="1059">
        <v>0.1</v>
      </c>
      <c r="Z28" s="619">
        <f t="shared" si="3"/>
        <v>705.43245535351286</v>
      </c>
      <c r="AA28" s="614">
        <f>(4366066/1000000)*1</f>
        <v>4.366066</v>
      </c>
      <c r="AB28" s="174">
        <f>AA28*Y28*10</f>
        <v>4.366066</v>
      </c>
      <c r="AC28" s="424">
        <f t="shared" si="7"/>
        <v>700.14734217820012</v>
      </c>
      <c r="AD28" s="425"/>
      <c r="AE28" s="313">
        <v>0.05</v>
      </c>
      <c r="AF28" s="817">
        <f t="shared" si="8"/>
        <v>30.690947419060009</v>
      </c>
      <c r="AG28" s="816">
        <f t="shared" si="4"/>
        <v>708.52471738047382</v>
      </c>
      <c r="AH28" s="814"/>
      <c r="AI28" s="174"/>
      <c r="AJ28" s="817"/>
      <c r="AK28" s="817"/>
      <c r="AL28" s="817">
        <f t="shared" si="0"/>
        <v>700.14734217820012</v>
      </c>
      <c r="AM28" s="817"/>
      <c r="AN28" s="455"/>
    </row>
    <row r="29" spans="1:40" ht="16.5">
      <c r="A29" s="814">
        <v>8</v>
      </c>
      <c r="B29" s="169" t="s">
        <v>183</v>
      </c>
      <c r="C29" s="165" t="s">
        <v>45</v>
      </c>
      <c r="D29" s="617">
        <f>'T-1'!N32-'T-6 (six mth)'!H32</f>
        <v>33.673566004000001</v>
      </c>
      <c r="E29" s="617"/>
      <c r="F29" s="614"/>
      <c r="G29" s="409">
        <f>'T-1'!H32</f>
        <v>1428</v>
      </c>
      <c r="H29" s="409">
        <f>('T-1'!I32+'T-1'!L32)/2</f>
        <v>69331.362999999983</v>
      </c>
      <c r="I29" s="409">
        <f t="shared" si="9"/>
        <v>67903.362999999983</v>
      </c>
      <c r="J29" s="618"/>
      <c r="K29" s="409">
        <f t="shared" si="10"/>
        <v>620</v>
      </c>
      <c r="L29" s="165"/>
      <c r="M29" s="409">
        <v>100</v>
      </c>
      <c r="N29" s="409">
        <v>80</v>
      </c>
      <c r="O29" s="175"/>
      <c r="P29" s="175"/>
      <c r="Q29" s="175"/>
      <c r="R29" s="409">
        <f t="shared" si="2"/>
        <v>716.12469981989739</v>
      </c>
      <c r="S29" s="174"/>
      <c r="T29" s="174"/>
      <c r="U29" s="174">
        <f>(D29*K29/10)-(5.409*1*20)/10</f>
        <v>2076.9430922480001</v>
      </c>
      <c r="V29" s="1059">
        <f t="shared" si="5"/>
        <v>334.50414239999992</v>
      </c>
      <c r="W29" s="1059"/>
      <c r="X29" s="1059">
        <f t="shared" si="6"/>
        <v>2411.4472346480002</v>
      </c>
      <c r="Y29" s="1059"/>
      <c r="Z29" s="619">
        <f>(AC29-AH29)/D29*10</f>
        <v>708.96345282169841</v>
      </c>
      <c r="AA29" s="614"/>
      <c r="AB29" s="817"/>
      <c r="AC29" s="424">
        <f t="shared" si="7"/>
        <v>2411.4472346480002</v>
      </c>
      <c r="AD29" s="425"/>
      <c r="AE29" s="313">
        <v>0.08</v>
      </c>
      <c r="AF29" s="817">
        <f t="shared" si="8"/>
        <v>166.15544737984001</v>
      </c>
      <c r="AG29" s="816">
        <f t="shared" si="4"/>
        <v>713.89775194998504</v>
      </c>
      <c r="AH29" s="1384">
        <f t="shared" ref="AH29:AH34" si="11">X29*1%</f>
        <v>24.114472346480003</v>
      </c>
      <c r="AI29" s="174"/>
      <c r="AJ29" s="817"/>
      <c r="AK29" s="817"/>
      <c r="AL29" s="817">
        <f t="shared" si="0"/>
        <v>2387.3327623015202</v>
      </c>
      <c r="AM29" s="817"/>
      <c r="AN29" s="455"/>
    </row>
    <row r="30" spans="1:40" ht="18" customHeight="1">
      <c r="A30" s="814">
        <v>9</v>
      </c>
      <c r="B30" s="169" t="s">
        <v>294</v>
      </c>
      <c r="C30" s="165" t="s">
        <v>45</v>
      </c>
      <c r="D30" s="617">
        <f>'T-1'!N33-'T-6 (six mth)'!H33</f>
        <v>32.04233175280001</v>
      </c>
      <c r="E30" s="617"/>
      <c r="F30" s="818"/>
      <c r="G30" s="409">
        <f>'T-1'!H33</f>
        <v>12484</v>
      </c>
      <c r="H30" s="409">
        <f>('T-1'!I33+'T-1'!L33)/2</f>
        <v>36099.347999999984</v>
      </c>
      <c r="I30" s="816">
        <f t="shared" si="9"/>
        <v>23615.347999999984</v>
      </c>
      <c r="J30" s="1388"/>
      <c r="K30" s="409">
        <f t="shared" si="10"/>
        <v>620</v>
      </c>
      <c r="L30" s="165"/>
      <c r="M30" s="409">
        <v>50</v>
      </c>
      <c r="N30" s="409">
        <v>50</v>
      </c>
      <c r="O30" s="814"/>
      <c r="P30" s="814"/>
      <c r="Q30" s="1389"/>
      <c r="R30" s="409">
        <f t="shared" si="2"/>
        <v>652.78476885216708</v>
      </c>
      <c r="S30" s="174"/>
      <c r="T30" s="174"/>
      <c r="U30" s="174">
        <f>(D30*K30/10)-((1.555+0.069)*1*20)/10</f>
        <v>1983.3765686736006</v>
      </c>
      <c r="V30" s="1059">
        <f t="shared" si="5"/>
        <v>108.29804399999995</v>
      </c>
      <c r="W30" s="1386"/>
      <c r="X30" s="1059">
        <f t="shared" si="6"/>
        <v>2091.6746126736007</v>
      </c>
      <c r="Y30" s="1386" t="s">
        <v>30</v>
      </c>
      <c r="Z30" s="619">
        <f>(AC30-AH30)/D30*10</f>
        <v>646.2569211636453</v>
      </c>
      <c r="AA30" s="818"/>
      <c r="AB30" s="817"/>
      <c r="AC30" s="424">
        <f t="shared" si="7"/>
        <v>2091.6746126736007</v>
      </c>
      <c r="AD30" s="425"/>
      <c r="AE30" s="313">
        <v>0.04</v>
      </c>
      <c r="AF30" s="817">
        <f t="shared" si="8"/>
        <v>79.335062746944018</v>
      </c>
      <c r="AG30" s="816">
        <f t="shared" si="4"/>
        <v>648.73286652739091</v>
      </c>
      <c r="AH30" s="1384">
        <f t="shared" si="11"/>
        <v>20.916746126736008</v>
      </c>
      <c r="AI30" s="817">
        <f>(T30+U30)*0%</f>
        <v>0</v>
      </c>
      <c r="AJ30" s="817">
        <f>(T30+U30)*0%</f>
        <v>0</v>
      </c>
      <c r="AK30" s="817">
        <f>(T30+U30)*0%</f>
        <v>0</v>
      </c>
      <c r="AL30" s="817">
        <f t="shared" si="0"/>
        <v>2070.7578665468645</v>
      </c>
      <c r="AM30" s="817"/>
      <c r="AN30" s="455"/>
    </row>
    <row r="31" spans="1:40" ht="18" customHeight="1">
      <c r="A31" s="814">
        <v>10</v>
      </c>
      <c r="B31" s="819" t="s">
        <v>295</v>
      </c>
      <c r="C31" s="165"/>
      <c r="D31" s="617">
        <f>'T-1'!N34-'T-6 (six mth)'!H34</f>
        <v>32.494209236699994</v>
      </c>
      <c r="E31" s="617"/>
      <c r="F31" s="818"/>
      <c r="G31" s="409">
        <f>'T-1'!H34</f>
        <v>4559</v>
      </c>
      <c r="H31" s="409">
        <f>('T-1'!I34+'T-1'!L34)/2</f>
        <v>29897.452099999973</v>
      </c>
      <c r="I31" s="816">
        <f t="shared" si="9"/>
        <v>25338.452099999973</v>
      </c>
      <c r="J31" s="1388"/>
      <c r="K31" s="409">
        <f t="shared" si="10"/>
        <v>620</v>
      </c>
      <c r="L31" s="165"/>
      <c r="M31" s="409">
        <v>50</v>
      </c>
      <c r="N31" s="409">
        <v>50</v>
      </c>
      <c r="O31" s="814"/>
      <c r="P31" s="814"/>
      <c r="Q31" s="1389"/>
      <c r="R31" s="409">
        <f t="shared" si="2"/>
        <v>647.13971454347541</v>
      </c>
      <c r="S31" s="174"/>
      <c r="T31" s="174"/>
      <c r="U31" s="174">
        <f>(D31*K31/10)-(0.752*1*20)/10</f>
        <v>2013.1369726753999</v>
      </c>
      <c r="V31" s="1059">
        <f t="shared" si="5"/>
        <v>89.692356299999915</v>
      </c>
      <c r="W31" s="1386"/>
      <c r="X31" s="1059">
        <f>SUM(T31:W31)</f>
        <v>2102.8293289753997</v>
      </c>
      <c r="Y31" s="1386">
        <v>0.1</v>
      </c>
      <c r="Z31" s="619">
        <f>AC31/D31*10</f>
        <v>646.42113758627329</v>
      </c>
      <c r="AA31" s="614">
        <f>(2334959/1000000)*1</f>
        <v>2.334959</v>
      </c>
      <c r="AB31" s="174">
        <f>AA31*Y31*10</f>
        <v>2.334959</v>
      </c>
      <c r="AC31" s="424">
        <f>X31-AB31</f>
        <v>2100.4943699753999</v>
      </c>
      <c r="AD31" s="425"/>
      <c r="AE31" s="313">
        <v>0</v>
      </c>
      <c r="AF31" s="817">
        <f t="shared" si="8"/>
        <v>0</v>
      </c>
      <c r="AG31" s="816">
        <f t="shared" si="4"/>
        <v>646.42113758627329</v>
      </c>
      <c r="AH31" s="817"/>
      <c r="AI31" s="817"/>
      <c r="AJ31" s="817"/>
      <c r="AK31" s="817"/>
      <c r="AL31" s="817">
        <f t="shared" si="0"/>
        <v>2100.4943699753999</v>
      </c>
      <c r="AM31" s="817"/>
      <c r="AN31" s="455"/>
    </row>
    <row r="32" spans="1:40" ht="18" customHeight="1">
      <c r="A32" s="814">
        <v>11</v>
      </c>
      <c r="B32" s="819" t="s">
        <v>296</v>
      </c>
      <c r="C32" s="165"/>
      <c r="D32" s="617">
        <f>'T-1'!N35-'T-6 (six mth)'!H35</f>
        <v>1.7633050999999997</v>
      </c>
      <c r="E32" s="617"/>
      <c r="F32" s="818"/>
      <c r="G32" s="409">
        <f>'T-1'!H35</f>
        <v>19</v>
      </c>
      <c r="H32" s="409">
        <f>('T-1'!I35+'T-1'!L35)/2</f>
        <v>1558.77</v>
      </c>
      <c r="I32" s="816"/>
      <c r="J32" s="1388">
        <v>200</v>
      </c>
      <c r="K32" s="409">
        <f t="shared" si="10"/>
        <v>620</v>
      </c>
      <c r="L32" s="814"/>
      <c r="M32" s="820"/>
      <c r="N32" s="820"/>
      <c r="O32" s="820">
        <v>30</v>
      </c>
      <c r="P32" s="1384"/>
      <c r="Q32" s="1389"/>
      <c r="R32" s="409">
        <f t="shared" si="2"/>
        <v>698.07152602235431</v>
      </c>
      <c r="S32" s="177">
        <v>0.8</v>
      </c>
      <c r="T32" s="817">
        <f>(H32*J32*S32*6)/100000</f>
        <v>14.964192000000002</v>
      </c>
      <c r="U32" s="174">
        <f>(D32*K32/10)-(0.616*1*20)/10</f>
        <v>108.09291619999999</v>
      </c>
      <c r="V32" s="1386"/>
      <c r="W32" s="1386">
        <f>(O32*G32*6)/100000</f>
        <v>3.4200000000000001E-2</v>
      </c>
      <c r="X32" s="1059">
        <f>SUM(T32:W32)</f>
        <v>123.09130819999999</v>
      </c>
      <c r="Y32" s="1386">
        <v>0.1</v>
      </c>
      <c r="Z32" s="619">
        <f>(AC32-AH32)/D32*10</f>
        <v>688.25488633816121</v>
      </c>
      <c r="AA32" s="614">
        <f>(500060/1000000)*1</f>
        <v>0.50005999999999995</v>
      </c>
      <c r="AB32" s="174">
        <f>AA32*Y32*10</f>
        <v>0.50005999999999995</v>
      </c>
      <c r="AC32" s="424">
        <f>X32-AB32</f>
        <v>122.59124819999998</v>
      </c>
      <c r="AD32" s="425"/>
      <c r="AE32" s="313">
        <v>0</v>
      </c>
      <c r="AF32" s="817">
        <f t="shared" si="8"/>
        <v>0</v>
      </c>
      <c r="AG32" s="816">
        <f t="shared" si="4"/>
        <v>688.25488633816121</v>
      </c>
      <c r="AH32" s="1384">
        <f t="shared" si="11"/>
        <v>1.2309130819999998</v>
      </c>
      <c r="AI32" s="817">
        <f>(T32+U32)*0%</f>
        <v>0</v>
      </c>
      <c r="AJ32" s="817">
        <f>(T32+U32)*0%</f>
        <v>0</v>
      </c>
      <c r="AK32" s="817">
        <f>(T32+U32)*0%</f>
        <v>0</v>
      </c>
      <c r="AL32" s="817">
        <f t="shared" si="0"/>
        <v>121.36033511799998</v>
      </c>
      <c r="AM32" s="817"/>
      <c r="AN32" s="455"/>
    </row>
    <row r="33" spans="1:40" ht="18" customHeight="1">
      <c r="A33" s="814">
        <v>12</v>
      </c>
      <c r="B33" s="814" t="s">
        <v>297</v>
      </c>
      <c r="C33" s="165" t="s">
        <v>45</v>
      </c>
      <c r="D33" s="617">
        <f>'T-1'!N36-'T-6 (six mth)'!H36</f>
        <v>1.9475250599999994E-2</v>
      </c>
      <c r="E33" s="617"/>
      <c r="F33" s="818"/>
      <c r="G33" s="409">
        <f>'T-1'!H36</f>
        <v>2</v>
      </c>
      <c r="H33" s="409">
        <f>('T-1'!I36+'T-1'!L36)/2</f>
        <v>321.5</v>
      </c>
      <c r="I33" s="816"/>
      <c r="J33" s="1388">
        <v>200</v>
      </c>
      <c r="K33" s="409">
        <f t="shared" si="10"/>
        <v>620</v>
      </c>
      <c r="L33" s="814"/>
      <c r="M33" s="820"/>
      <c r="N33" s="820"/>
      <c r="O33" s="820">
        <v>30</v>
      </c>
      <c r="P33" s="1384"/>
      <c r="Q33" s="1389"/>
      <c r="R33" s="409">
        <f t="shared" si="2"/>
        <v>2181.9824681485743</v>
      </c>
      <c r="S33" s="174">
        <v>0.8</v>
      </c>
      <c r="T33" s="817">
        <f>(H33*J33*S33*6)/100000</f>
        <v>3.0863999999999998</v>
      </c>
      <c r="U33" s="174">
        <f>(D33*K33/10)-(0.024*1*20)/10</f>
        <v>1.1594655371999996</v>
      </c>
      <c r="V33" s="1386"/>
      <c r="W33" s="1386">
        <f>(O33*G33*6)/100000</f>
        <v>3.5999999999999999E-3</v>
      </c>
      <c r="X33" s="1059">
        <f>SUM(T33:W33)</f>
        <v>4.249465537199999</v>
      </c>
      <c r="Y33" s="1386"/>
      <c r="Z33" s="619">
        <f>(AC33-AH33)/D33*10</f>
        <v>2160.1626434670889</v>
      </c>
      <c r="AA33" s="818"/>
      <c r="AB33" s="817"/>
      <c r="AC33" s="424">
        <f>X33-AB33</f>
        <v>4.249465537199999</v>
      </c>
      <c r="AD33" s="425"/>
      <c r="AE33" s="313">
        <v>0.04</v>
      </c>
      <c r="AF33" s="817">
        <f t="shared" si="8"/>
        <v>4.6378621487999983E-2</v>
      </c>
      <c r="AG33" s="816">
        <f t="shared" si="4"/>
        <v>2162.5440568024324</v>
      </c>
      <c r="AH33" s="1384">
        <f t="shared" si="11"/>
        <v>4.2494655371999993E-2</v>
      </c>
      <c r="AI33" s="817">
        <f>(T33+U33)*0%</f>
        <v>0</v>
      </c>
      <c r="AJ33" s="817">
        <f>(T33+U33)*0%</f>
        <v>0</v>
      </c>
      <c r="AK33" s="817">
        <f>(T33+U33)*0%</f>
        <v>0</v>
      </c>
      <c r="AL33" s="817">
        <f t="shared" si="0"/>
        <v>4.2069708818279992</v>
      </c>
      <c r="AM33" s="817"/>
      <c r="AN33" s="455"/>
    </row>
    <row r="34" spans="1:40" ht="18" customHeight="1">
      <c r="A34" s="814">
        <v>13</v>
      </c>
      <c r="B34" s="814" t="s">
        <v>73</v>
      </c>
      <c r="C34" s="165" t="s">
        <v>45</v>
      </c>
      <c r="D34" s="617">
        <f>'T-1'!N37-'T-6 (six mth)'!H37</f>
        <v>0</v>
      </c>
      <c r="E34" s="617"/>
      <c r="F34" s="818"/>
      <c r="G34" s="409">
        <f>'T-1'!H37</f>
        <v>0</v>
      </c>
      <c r="H34" s="409">
        <f>('T-1'!I37+'T-1'!L37)/2</f>
        <v>0</v>
      </c>
      <c r="I34" s="816"/>
      <c r="J34" s="1388">
        <v>200</v>
      </c>
      <c r="K34" s="409">
        <f t="shared" si="10"/>
        <v>620</v>
      </c>
      <c r="L34" s="814"/>
      <c r="M34" s="820"/>
      <c r="N34" s="820"/>
      <c r="O34" s="820">
        <v>30</v>
      </c>
      <c r="P34" s="1384"/>
      <c r="Q34" s="1389"/>
      <c r="R34" s="409" t="e">
        <f t="shared" si="2"/>
        <v>#DIV/0!</v>
      </c>
      <c r="S34" s="174">
        <v>0.8</v>
      </c>
      <c r="T34" s="817">
        <f>(H34*J34*S34*6)/100000</f>
        <v>0</v>
      </c>
      <c r="U34" s="174">
        <f>(D34*K34/10)-(0*1*20)/10</f>
        <v>0</v>
      </c>
      <c r="V34" s="1386"/>
      <c r="W34" s="1386">
        <f>(O34*G34*6)/100000</f>
        <v>0</v>
      </c>
      <c r="X34" s="1059">
        <f>SUM(T34:W34)</f>
        <v>0</v>
      </c>
      <c r="Y34" s="1386"/>
      <c r="Z34" s="619" t="e">
        <f>(AC34-AH34)/D34*10</f>
        <v>#DIV/0!</v>
      </c>
      <c r="AA34" s="818"/>
      <c r="AB34" s="817"/>
      <c r="AC34" s="424">
        <f>X34-AB34</f>
        <v>0</v>
      </c>
      <c r="AD34" s="425"/>
      <c r="AE34" s="313">
        <v>0.08</v>
      </c>
      <c r="AF34" s="817">
        <f t="shared" si="8"/>
        <v>0</v>
      </c>
      <c r="AG34" s="816" t="e">
        <f t="shared" si="4"/>
        <v>#DIV/0!</v>
      </c>
      <c r="AH34" s="1384">
        <f t="shared" si="11"/>
        <v>0</v>
      </c>
      <c r="AI34" s="817"/>
      <c r="AJ34" s="817">
        <f>(T34+U34)*0%</f>
        <v>0</v>
      </c>
      <c r="AK34" s="817">
        <f t="shared" ref="AK34" si="12">(T34+U34)*1.5%</f>
        <v>0</v>
      </c>
      <c r="AL34" s="817">
        <f t="shared" si="0"/>
        <v>0</v>
      </c>
      <c r="AM34" s="817"/>
      <c r="AN34" s="455"/>
    </row>
    <row r="35" spans="1:40" ht="18" customHeight="1">
      <c r="A35" s="814"/>
      <c r="B35" s="100" t="s">
        <v>298</v>
      </c>
      <c r="C35" s="5"/>
      <c r="D35" s="1390">
        <f>SUM(D24:D34)+D23+D17</f>
        <v>1419.1934945003391</v>
      </c>
      <c r="E35" s="1390"/>
      <c r="F35" s="1390">
        <f>SUM(F24:F34)+F23+F17</f>
        <v>0</v>
      </c>
      <c r="G35" s="1391">
        <f>SUM(G24:G34)+G23+G17</f>
        <v>2222942</v>
      </c>
      <c r="H35" s="1391">
        <f>SUM(H24:H34)+H23+H17</f>
        <v>2697687.2314000009</v>
      </c>
      <c r="I35" s="1391">
        <f>SUM(I24:I34)+I23+I17</f>
        <v>1263986.49342</v>
      </c>
      <c r="J35" s="821"/>
      <c r="K35" s="822"/>
      <c r="L35" s="823"/>
      <c r="M35" s="821"/>
      <c r="N35" s="821"/>
      <c r="O35" s="821"/>
      <c r="P35" s="823"/>
      <c r="Q35" s="823"/>
      <c r="R35" s="112">
        <f t="shared" si="2"/>
        <v>539.43740781817144</v>
      </c>
      <c r="S35" s="174"/>
      <c r="T35" s="822">
        <f>SUM(T24:T34)+T23+T17</f>
        <v>673.54819200000009</v>
      </c>
      <c r="U35" s="822">
        <f>SUM(U24:U34)+U23+U17</f>
        <v>72223.537307811508</v>
      </c>
      <c r="V35" s="1392">
        <f>SUM(V24:V34)+V23+V17</f>
        <v>3659.4826867560005</v>
      </c>
      <c r="W35" s="1392">
        <f>SUM(W24:W34)+W23+W17</f>
        <v>3.78E-2</v>
      </c>
      <c r="X35" s="1392">
        <f>SUM(X24:X34)+X23+X17</f>
        <v>76556.60598656752</v>
      </c>
      <c r="Y35" s="1392"/>
      <c r="Z35" s="241">
        <f>(AC35-AH35-AI35+AJ35)/D35*10</f>
        <v>532.52795139771411</v>
      </c>
      <c r="AA35" s="1390">
        <f>SUM(AA24:AA34)+AA23+AA17</f>
        <v>452.69928499999997</v>
      </c>
      <c r="AB35" s="823">
        <f>SUM(AB24:AB34)+AB23+AB17</f>
        <v>452.69928500000003</v>
      </c>
      <c r="AC35" s="1393">
        <f>SUM(AC24:AC34)+AC23+AC17</f>
        <v>76103.90670156751</v>
      </c>
      <c r="AD35" s="823"/>
      <c r="AE35" s="172"/>
      <c r="AF35" s="822">
        <f>SUM(AF24:AF34)+AF23+AF17</f>
        <v>2828.8085086242477</v>
      </c>
      <c r="AG35" s="1391">
        <f t="shared" si="4"/>
        <v>534.52120215568789</v>
      </c>
      <c r="AH35" s="823">
        <f>SUM(AH24:AH34)+AH23+AH17</f>
        <v>527.88627524466153</v>
      </c>
      <c r="AI35" s="823">
        <f>SUM(AI24:AI34)+AI23+AI17</f>
        <v>0</v>
      </c>
      <c r="AJ35" s="822">
        <f>SUM(AJ24:AJ34)+AJ23+AJ17</f>
        <v>0</v>
      </c>
      <c r="AK35" s="822">
        <f>SUM(AK24:AK34)+AK23+AK17</f>
        <v>0</v>
      </c>
      <c r="AL35" s="822">
        <f>SUM(AL24:AL34)+AL23+AL17</f>
        <v>76056.677603617354</v>
      </c>
      <c r="AM35" s="822"/>
      <c r="AN35" s="455"/>
    </row>
    <row r="36" spans="1:40" ht="18" customHeight="1">
      <c r="A36" s="814"/>
      <c r="B36" s="100" t="s">
        <v>299</v>
      </c>
      <c r="C36" s="1394"/>
      <c r="D36" s="1395"/>
      <c r="E36" s="1395"/>
      <c r="F36" s="818"/>
      <c r="G36" s="816"/>
      <c r="H36" s="816"/>
      <c r="I36" s="816"/>
      <c r="J36" s="1388"/>
      <c r="K36" s="817"/>
      <c r="L36" s="824"/>
      <c r="M36" s="820"/>
      <c r="N36" s="820"/>
      <c r="O36" s="820"/>
      <c r="P36" s="1384"/>
      <c r="Q36" s="1394"/>
      <c r="R36" s="816"/>
      <c r="S36" s="817"/>
      <c r="T36" s="817"/>
      <c r="U36" s="817"/>
      <c r="V36" s="1386"/>
      <c r="W36" s="1386"/>
      <c r="X36" s="1386"/>
      <c r="Y36" s="1386"/>
      <c r="Z36" s="820"/>
      <c r="AA36" s="818"/>
      <c r="AB36" s="817"/>
      <c r="AC36" s="1396"/>
      <c r="AD36" s="1384"/>
      <c r="AE36" s="172"/>
      <c r="AF36" s="817"/>
      <c r="AG36" s="817"/>
      <c r="AH36" s="817"/>
      <c r="AI36" s="817"/>
      <c r="AJ36" s="817"/>
      <c r="AK36" s="817"/>
      <c r="AL36" s="817"/>
      <c r="AM36" s="817"/>
      <c r="AN36" s="455"/>
    </row>
    <row r="37" spans="1:40" ht="18" customHeight="1">
      <c r="A37" s="814">
        <v>14</v>
      </c>
      <c r="B37" s="814" t="s">
        <v>300</v>
      </c>
      <c r="C37" s="819" t="s">
        <v>77</v>
      </c>
      <c r="D37" s="617">
        <f>'T-1'!M40-'T-6 (six mth)'!H40</f>
        <v>5.5743477400000003</v>
      </c>
      <c r="E37" s="617">
        <f>D37-F37</f>
        <v>5.5743477400000003</v>
      </c>
      <c r="F37" s="818"/>
      <c r="G37" s="409">
        <f>'T-1'!H40</f>
        <v>28</v>
      </c>
      <c r="H37" s="409">
        <f>('T-1'!I40+'T-1'!L40)/2</f>
        <v>9588.0277777777774</v>
      </c>
      <c r="I37" s="816">
        <f>H37-G37</f>
        <v>9560.0277777777774</v>
      </c>
      <c r="J37" s="1388">
        <v>20</v>
      </c>
      <c r="K37" s="405">
        <f>440+20+30</f>
        <v>490</v>
      </c>
      <c r="L37" s="817"/>
      <c r="M37" s="820"/>
      <c r="N37" s="820"/>
      <c r="O37" s="820">
        <v>250</v>
      </c>
      <c r="P37" s="1384"/>
      <c r="Q37" s="1389"/>
      <c r="R37" s="409">
        <f>X37/D37*10</f>
        <v>504.30774272674518</v>
      </c>
      <c r="S37" s="174"/>
      <c r="T37" s="817">
        <f>(H37*J37*6)/100000</f>
        <v>11.505633333333336</v>
      </c>
      <c r="U37" s="817">
        <f>(D37*K37/10)-((1.975*1*20)/10)</f>
        <v>269.19303926000003</v>
      </c>
      <c r="V37" s="1386"/>
      <c r="W37" s="1386">
        <f t="shared" ref="W37:W52" si="13">(O37*G37*6)/100000</f>
        <v>0.42</v>
      </c>
      <c r="X37" s="1059">
        <f t="shared" ref="X37:X51" si="14">SUM(T37:W37)</f>
        <v>281.11867259333337</v>
      </c>
      <c r="Y37" s="1386">
        <v>0.1</v>
      </c>
      <c r="Z37" s="619">
        <f>(AC37-AH37-AI37+AJ37)/D37*10</f>
        <v>496.37366647910875</v>
      </c>
      <c r="AA37" s="614">
        <f>4.42273*1</f>
        <v>4.4227299999999996</v>
      </c>
      <c r="AB37" s="174">
        <f>AA37*Y37*10</f>
        <v>4.4227299999999996</v>
      </c>
      <c r="AC37" s="424">
        <f t="shared" ref="AC37:AC51" si="15">X37-AB37</f>
        <v>276.69594259333337</v>
      </c>
      <c r="AD37" s="425"/>
      <c r="AE37" s="313">
        <v>0.08</v>
      </c>
      <c r="AF37" s="817">
        <f t="shared" ref="AF37:AF52" si="16">AE37*U37</f>
        <v>21.535443140800002</v>
      </c>
      <c r="AG37" s="816">
        <f>AF37/D37+Z37</f>
        <v>500.2369782323866</v>
      </c>
      <c r="AH37" s="817"/>
      <c r="AI37" s="817">
        <f>(T37+U37)*0%</f>
        <v>0</v>
      </c>
      <c r="AJ37" s="817">
        <f t="shared" ref="AJ37:AJ51" si="17">(T37+U37)*0%</f>
        <v>0</v>
      </c>
      <c r="AK37" s="817">
        <f>(T37+U37)*0%</f>
        <v>0</v>
      </c>
      <c r="AL37" s="817">
        <f t="shared" ref="AL37:AL52" si="18">AC37-AH37+AI37+AJ37-AK37</f>
        <v>276.69594259333337</v>
      </c>
      <c r="AM37" s="817"/>
      <c r="AN37" s="455"/>
    </row>
    <row r="38" spans="1:40" ht="18" customHeight="1">
      <c r="A38" s="814">
        <v>15</v>
      </c>
      <c r="B38" s="169" t="s">
        <v>63</v>
      </c>
      <c r="C38" s="819" t="s">
        <v>77</v>
      </c>
      <c r="D38" s="617">
        <f>'T-1'!M41-'T-6 (six mth)'!H41-'T-6 (six mth)'!H67</f>
        <v>35.248785670000004</v>
      </c>
      <c r="E38" s="617">
        <f t="shared" ref="E38:E40" si="19">D38-F38</f>
        <v>35.248785670000004</v>
      </c>
      <c r="F38" s="818"/>
      <c r="G38" s="409">
        <f>'T-1'!H41</f>
        <v>34</v>
      </c>
      <c r="H38" s="409">
        <f>('T-1'!I41+'T-1'!L41)/2</f>
        <v>114853.72222222222</v>
      </c>
      <c r="I38" s="816">
        <f>H38-G38</f>
        <v>114819.72222222222</v>
      </c>
      <c r="J38" s="1388">
        <v>30</v>
      </c>
      <c r="K38" s="816">
        <v>140</v>
      </c>
      <c r="L38" s="814"/>
      <c r="M38" s="820"/>
      <c r="N38" s="820"/>
      <c r="O38" s="820">
        <v>250</v>
      </c>
      <c r="P38" s="1384"/>
      <c r="Q38" s="1389"/>
      <c r="R38" s="409">
        <f>X38/D38*10</f>
        <v>196.3749066025627</v>
      </c>
      <c r="S38" s="174"/>
      <c r="T38" s="817">
        <f>(H38*J38*6)/100000</f>
        <v>206.73670000000001</v>
      </c>
      <c r="U38" s="817">
        <f>(D38*K38/10)-((4.266*1*20)/10)</f>
        <v>484.9509993800001</v>
      </c>
      <c r="V38" s="1386"/>
      <c r="W38" s="1386">
        <f t="shared" si="13"/>
        <v>0.51</v>
      </c>
      <c r="X38" s="1059">
        <f t="shared" si="14"/>
        <v>692.19769938000013</v>
      </c>
      <c r="Y38" s="1386">
        <v>0.1</v>
      </c>
      <c r="Z38" s="619">
        <f>AC38/D38*10</f>
        <v>194.44240315016788</v>
      </c>
      <c r="AA38" s="614">
        <f>6.81184*1</f>
        <v>6.8118400000000001</v>
      </c>
      <c r="AB38" s="174">
        <f>AA38*Y38*10</f>
        <v>6.8118400000000001</v>
      </c>
      <c r="AC38" s="424">
        <f t="shared" si="15"/>
        <v>685.38585938000017</v>
      </c>
      <c r="AD38" s="425"/>
      <c r="AE38" s="313">
        <v>0.02</v>
      </c>
      <c r="AF38" s="817">
        <f t="shared" si="16"/>
        <v>9.6990199876000016</v>
      </c>
      <c r="AG38" s="817"/>
      <c r="AH38" s="817"/>
      <c r="AI38" s="817">
        <f>(T38+U38)*0%</f>
        <v>0</v>
      </c>
      <c r="AJ38" s="817">
        <f t="shared" si="17"/>
        <v>0</v>
      </c>
      <c r="AK38" s="817">
        <f t="shared" ref="AK38" si="20">(T38+U38)*0%</f>
        <v>0</v>
      </c>
      <c r="AL38" s="817">
        <f t="shared" si="18"/>
        <v>685.38585938000017</v>
      </c>
      <c r="AM38" s="817"/>
      <c r="AN38" s="455"/>
    </row>
    <row r="39" spans="1:40" ht="18" customHeight="1">
      <c r="A39" s="814">
        <v>16</v>
      </c>
      <c r="B39" s="169" t="s">
        <v>64</v>
      </c>
      <c r="C39" s="819" t="s">
        <v>77</v>
      </c>
      <c r="D39" s="617">
        <f>'T-1'!M42-'T-6 (six mth)'!H42</f>
        <v>2.2465835000000003</v>
      </c>
      <c r="E39" s="617">
        <f t="shared" si="19"/>
        <v>2.2465835000000003</v>
      </c>
      <c r="F39" s="818"/>
      <c r="G39" s="409">
        <f>'T-1'!H42</f>
        <v>7</v>
      </c>
      <c r="H39" s="409">
        <f>('T-1'!I42+'T-1'!L42)/2</f>
        <v>1666.8</v>
      </c>
      <c r="I39" s="816">
        <f>H39-G39</f>
        <v>1659.8</v>
      </c>
      <c r="J39" s="1388">
        <v>30</v>
      </c>
      <c r="K39" s="816">
        <v>150</v>
      </c>
      <c r="L39" s="814"/>
      <c r="M39" s="820"/>
      <c r="N39" s="820"/>
      <c r="O39" s="820">
        <v>250</v>
      </c>
      <c r="P39" s="1384"/>
      <c r="Q39" s="1389"/>
      <c r="R39" s="409">
        <f>X39/D39*10</f>
        <v>158.50731788958652</v>
      </c>
      <c r="S39" s="174"/>
      <c r="T39" s="817">
        <f>(H39*J39*6)/100000</f>
        <v>3.0002399999999998</v>
      </c>
      <c r="U39" s="817">
        <f>(D39*K39/10)-((0.597*1*20)/10)</f>
        <v>32.504752500000002</v>
      </c>
      <c r="V39" s="1386"/>
      <c r="W39" s="1386">
        <f t="shared" si="13"/>
        <v>0.105</v>
      </c>
      <c r="X39" s="1059">
        <f>SUM(T39:W39)</f>
        <v>35.609992499999997</v>
      </c>
      <c r="Y39" s="1386">
        <v>0.1</v>
      </c>
      <c r="Z39" s="619">
        <f>AC39/D39*10</f>
        <v>151.79922090587772</v>
      </c>
      <c r="AA39" s="614">
        <f>1.50703*1</f>
        <v>1.5070300000000001</v>
      </c>
      <c r="AB39" s="174">
        <f>AA39*Y39*10</f>
        <v>1.5070300000000003</v>
      </c>
      <c r="AC39" s="424">
        <f>X39-AB39</f>
        <v>34.102962499999997</v>
      </c>
      <c r="AD39" s="425"/>
      <c r="AE39" s="313">
        <v>0.02</v>
      </c>
      <c r="AF39" s="817">
        <f t="shared" si="16"/>
        <v>0.65009505000000001</v>
      </c>
      <c r="AG39" s="816"/>
      <c r="AH39" s="817"/>
      <c r="AI39" s="817"/>
      <c r="AJ39" s="817">
        <f t="shared" si="17"/>
        <v>0</v>
      </c>
      <c r="AK39" s="817">
        <f>(T39+U39)*0%</f>
        <v>0</v>
      </c>
      <c r="AL39" s="817">
        <f t="shared" si="18"/>
        <v>34.102962499999997</v>
      </c>
      <c r="AM39" s="817"/>
      <c r="AN39" s="455"/>
    </row>
    <row r="40" spans="1:40" ht="18" customHeight="1">
      <c r="A40" s="814">
        <v>17</v>
      </c>
      <c r="B40" s="169" t="s">
        <v>65</v>
      </c>
      <c r="C40" s="819" t="s">
        <v>77</v>
      </c>
      <c r="D40" s="617">
        <f>'T-1'!M43-'T-6 (six mth)'!H43</f>
        <v>3.6974629999999991</v>
      </c>
      <c r="E40" s="617">
        <f t="shared" si="19"/>
        <v>3.6974629999999991</v>
      </c>
      <c r="F40" s="818"/>
      <c r="G40" s="409">
        <f>'T-1'!H43</f>
        <v>14</v>
      </c>
      <c r="H40" s="409">
        <f>('T-1'!I43+'T-1'!L43)/2</f>
        <v>2926.8</v>
      </c>
      <c r="I40" s="816">
        <f>H40-G40</f>
        <v>2912.8</v>
      </c>
      <c r="J40" s="1388">
        <v>50</v>
      </c>
      <c r="K40" s="816">
        <f>410+20+30</f>
        <v>460</v>
      </c>
      <c r="L40" s="814"/>
      <c r="M40" s="820"/>
      <c r="N40" s="820"/>
      <c r="O40" s="820">
        <v>250</v>
      </c>
      <c r="P40" s="1384"/>
      <c r="Q40" s="1389"/>
      <c r="R40" s="409">
        <f>X40/D40*10</f>
        <v>481.54017497943858</v>
      </c>
      <c r="S40" s="174"/>
      <c r="T40" s="817">
        <f>(H40*J40*6)/100000</f>
        <v>8.7804000000000002</v>
      </c>
      <c r="U40" s="817">
        <f>(D40*K40/10)-((0.513*1*20)/10)</f>
        <v>169.05729799999995</v>
      </c>
      <c r="V40" s="1386"/>
      <c r="W40" s="1386">
        <f t="shared" si="13"/>
        <v>0.21</v>
      </c>
      <c r="X40" s="1059">
        <f>SUM(T40:W40)</f>
        <v>178.04769799999994</v>
      </c>
      <c r="Y40" s="1386"/>
      <c r="Z40" s="619">
        <f>AC40/D40*10</f>
        <v>481.54017497943858</v>
      </c>
      <c r="AA40" s="614"/>
      <c r="AB40" s="817"/>
      <c r="AC40" s="424">
        <f>X40-AB40</f>
        <v>178.04769799999994</v>
      </c>
      <c r="AD40" s="425"/>
      <c r="AE40" s="313">
        <v>0.02</v>
      </c>
      <c r="AF40" s="817">
        <f t="shared" si="16"/>
        <v>3.3811459599999991</v>
      </c>
      <c r="AG40" s="816">
        <f t="shared" ref="AG40:AG53" si="21">AF40/D40+Z40</f>
        <v>482.4546252281632</v>
      </c>
      <c r="AH40" s="817">
        <f>X40*1%</f>
        <v>1.7804769799999995</v>
      </c>
      <c r="AI40" s="817"/>
      <c r="AJ40" s="817">
        <f t="shared" si="17"/>
        <v>0</v>
      </c>
      <c r="AK40" s="817">
        <f>(T40+U40)*0%</f>
        <v>0</v>
      </c>
      <c r="AL40" s="817">
        <f t="shared" si="18"/>
        <v>176.26722101999994</v>
      </c>
      <c r="AM40" s="817"/>
      <c r="AN40" s="455"/>
    </row>
    <row r="41" spans="1:40" ht="18" customHeight="1">
      <c r="A41" s="814">
        <v>18</v>
      </c>
      <c r="B41" s="814" t="s">
        <v>78</v>
      </c>
      <c r="C41" s="819" t="s">
        <v>77</v>
      </c>
      <c r="D41" s="617">
        <f>'T-1'!M44-'T-6 (six mth)'!H44</f>
        <v>17.441474529000001</v>
      </c>
      <c r="E41" s="617">
        <f t="shared" ref="E41:E52" si="22">D41-F41</f>
        <v>17.232176834652002</v>
      </c>
      <c r="F41" s="818">
        <f>D41*1.2%</f>
        <v>0.20929769434800002</v>
      </c>
      <c r="G41" s="409">
        <f>'T-1'!H44</f>
        <v>64</v>
      </c>
      <c r="H41" s="409">
        <f>('T-1'!I44+'T-1'!L44)/2</f>
        <v>27034.666666666664</v>
      </c>
      <c r="I41" s="816"/>
      <c r="J41" s="1388">
        <v>250</v>
      </c>
      <c r="K41" s="816">
        <f t="shared" ref="K41:K50" si="23">535+20+30</f>
        <v>585</v>
      </c>
      <c r="L41" s="819">
        <f t="shared" ref="L41:L50" si="24">425+20+30</f>
        <v>475</v>
      </c>
      <c r="M41" s="820"/>
      <c r="N41" s="820"/>
      <c r="O41" s="820">
        <v>250</v>
      </c>
      <c r="P41" s="1384"/>
      <c r="Q41" s="1389"/>
      <c r="R41" s="409">
        <f>X41/D41*10</f>
        <v>766.43289710741874</v>
      </c>
      <c r="S41" s="174">
        <v>0.8</v>
      </c>
      <c r="T41" s="817">
        <f t="shared" ref="T41:T50" si="25">(H41*J41*S41*6)/100000</f>
        <v>324.416</v>
      </c>
      <c r="U41" s="817">
        <f>((E41*K41+F41*L41)/10)-((3.314*1*20)/10)</f>
        <v>1011.395985308672</v>
      </c>
      <c r="V41" s="1386"/>
      <c r="W41" s="1386">
        <f t="shared" si="13"/>
        <v>0.96</v>
      </c>
      <c r="X41" s="1059">
        <f>SUM(T41:W41)</f>
        <v>1336.7719853086721</v>
      </c>
      <c r="Y41" s="1386"/>
      <c r="Z41" s="619">
        <f>(AC41-AH41-AI41+AJ41)/D41*10</f>
        <v>758.76856813634447</v>
      </c>
      <c r="AA41" s="818"/>
      <c r="AB41" s="817"/>
      <c r="AC41" s="424">
        <f t="shared" si="15"/>
        <v>1336.7719853086721</v>
      </c>
      <c r="AD41" s="425"/>
      <c r="AE41" s="313">
        <v>0.08</v>
      </c>
      <c r="AF41" s="817">
        <f t="shared" si="16"/>
        <v>80.911678824693766</v>
      </c>
      <c r="AG41" s="816">
        <f t="shared" si="21"/>
        <v>763.40760703699254</v>
      </c>
      <c r="AH41" s="817">
        <f>X41*1%</f>
        <v>13.367719853086722</v>
      </c>
      <c r="AI41" s="817">
        <f>(T41+U41)*0%</f>
        <v>0</v>
      </c>
      <c r="AJ41" s="817">
        <f t="shared" si="17"/>
        <v>0</v>
      </c>
      <c r="AK41" s="817">
        <f>(T41+U41)*0%</f>
        <v>0</v>
      </c>
      <c r="AL41" s="817">
        <f t="shared" si="18"/>
        <v>1323.4042654555853</v>
      </c>
      <c r="AM41" s="817"/>
      <c r="AN41" s="455"/>
    </row>
    <row r="42" spans="1:40" ht="18" customHeight="1">
      <c r="A42" s="814">
        <v>19</v>
      </c>
      <c r="B42" s="814" t="s">
        <v>301</v>
      </c>
      <c r="C42" s="819" t="s">
        <v>77</v>
      </c>
      <c r="D42" s="617">
        <f>'T-1'!M45-'T-6 (six mth)'!H45</f>
        <v>9.8612000000000005E-2</v>
      </c>
      <c r="E42" s="617">
        <f t="shared" si="22"/>
        <v>8.7764680000000012E-2</v>
      </c>
      <c r="F42" s="818">
        <f>D42*11%</f>
        <v>1.0847320000000001E-2</v>
      </c>
      <c r="G42" s="409">
        <f>'T-1'!H45</f>
        <v>2</v>
      </c>
      <c r="H42" s="409">
        <f>('T-1'!I45+'T-1'!L45)/2</f>
        <v>358.5</v>
      </c>
      <c r="I42" s="816"/>
      <c r="J42" s="1388">
        <v>250</v>
      </c>
      <c r="K42" s="816">
        <f t="shared" si="23"/>
        <v>585</v>
      </c>
      <c r="L42" s="819">
        <f t="shared" si="24"/>
        <v>475</v>
      </c>
      <c r="M42" s="820"/>
      <c r="N42" s="820"/>
      <c r="O42" s="820">
        <v>250</v>
      </c>
      <c r="P42" s="1384"/>
      <c r="Q42" s="814"/>
      <c r="R42" s="409"/>
      <c r="S42" s="174">
        <v>0.8</v>
      </c>
      <c r="T42" s="817">
        <f t="shared" si="25"/>
        <v>4.3019999999999996</v>
      </c>
      <c r="U42" s="817">
        <f>((E42*K42+F42*L42)/10)-((0*1*20)/10)</f>
        <v>5.6494814800000004</v>
      </c>
      <c r="V42" s="1386"/>
      <c r="W42" s="1386">
        <f t="shared" si="13"/>
        <v>0.03</v>
      </c>
      <c r="X42" s="1059">
        <f t="shared" si="14"/>
        <v>9.9814814799999994</v>
      </c>
      <c r="Y42" s="1386"/>
      <c r="Z42" s="613"/>
      <c r="AA42" s="614">
        <f>D42*0%</f>
        <v>0</v>
      </c>
      <c r="AB42" s="817"/>
      <c r="AC42" s="424">
        <f t="shared" si="15"/>
        <v>9.9814814799999994</v>
      </c>
      <c r="AD42" s="425"/>
      <c r="AE42" s="313">
        <v>0.08</v>
      </c>
      <c r="AF42" s="817">
        <f t="shared" si="16"/>
        <v>0.45195851840000006</v>
      </c>
      <c r="AG42" s="816">
        <f t="shared" si="21"/>
        <v>4.5832000000000006</v>
      </c>
      <c r="AH42" s="817"/>
      <c r="AI42" s="817"/>
      <c r="AJ42" s="817">
        <f t="shared" si="17"/>
        <v>0</v>
      </c>
      <c r="AK42" s="817">
        <f>(T42+U42)*0%</f>
        <v>0</v>
      </c>
      <c r="AL42" s="817">
        <f t="shared" si="18"/>
        <v>9.9814814799999994</v>
      </c>
      <c r="AM42" s="817"/>
      <c r="AN42" s="455"/>
    </row>
    <row r="43" spans="1:40" ht="18" customHeight="1">
      <c r="A43" s="814">
        <v>20</v>
      </c>
      <c r="B43" s="814" t="s">
        <v>302</v>
      </c>
      <c r="C43" s="819" t="s">
        <v>77</v>
      </c>
      <c r="D43" s="617">
        <f>'T-1'!M46-'T-6 (six mth)'!H46</f>
        <v>77.330420625000002</v>
      </c>
      <c r="E43" s="617">
        <f t="shared" si="22"/>
        <v>68.824074356250009</v>
      </c>
      <c r="F43" s="818">
        <f>D43*11%</f>
        <v>8.5063462687500007</v>
      </c>
      <c r="G43" s="409">
        <f>'T-1'!H46</f>
        <v>172</v>
      </c>
      <c r="H43" s="409">
        <f>('T-1'!I46+'T-1'!L46)/2</f>
        <v>63223.935555555552</v>
      </c>
      <c r="I43" s="816"/>
      <c r="J43" s="1388">
        <v>250</v>
      </c>
      <c r="K43" s="816">
        <f t="shared" si="23"/>
        <v>585</v>
      </c>
      <c r="L43" s="819">
        <f t="shared" si="24"/>
        <v>475</v>
      </c>
      <c r="M43" s="820"/>
      <c r="N43" s="820"/>
      <c r="O43" s="820">
        <v>250</v>
      </c>
      <c r="P43" s="1384"/>
      <c r="Q43" s="1389"/>
      <c r="R43" s="409">
        <f t="shared" ref="R43:R53" si="26">X43/D43*10</f>
        <v>666.85180070076945</v>
      </c>
      <c r="S43" s="174">
        <v>0.8</v>
      </c>
      <c r="T43" s="817">
        <f t="shared" si="25"/>
        <v>758.68722666666667</v>
      </c>
      <c r="U43" s="817">
        <f>((E43*K43+F43*L43)/10)-((17.367*1*20)/10)</f>
        <v>4395.5257976062503</v>
      </c>
      <c r="V43" s="1386"/>
      <c r="W43" s="1386">
        <f t="shared" si="13"/>
        <v>2.58</v>
      </c>
      <c r="X43" s="1059">
        <f>SUM(T43:W43)</f>
        <v>5156.7930242729171</v>
      </c>
      <c r="Y43" s="1386"/>
      <c r="Z43" s="619">
        <f>(AC43-AH43-AI43+AJ43)/D43*10</f>
        <v>660.18328269376184</v>
      </c>
      <c r="AA43" s="818"/>
      <c r="AB43" s="817"/>
      <c r="AC43" s="424">
        <f>X43-AB43</f>
        <v>5156.7930242729171</v>
      </c>
      <c r="AD43" s="425"/>
      <c r="AE43" s="313">
        <v>0.08</v>
      </c>
      <c r="AF43" s="817">
        <f t="shared" si="16"/>
        <v>351.64206380850004</v>
      </c>
      <c r="AG43" s="816">
        <f t="shared" si="21"/>
        <v>664.73054961622859</v>
      </c>
      <c r="AH43" s="815">
        <f>X43*1%</f>
        <v>51.567930242729176</v>
      </c>
      <c r="AI43" s="817">
        <f>(T43+U43)*0%</f>
        <v>0</v>
      </c>
      <c r="AJ43" s="817">
        <f t="shared" si="17"/>
        <v>0</v>
      </c>
      <c r="AK43" s="817">
        <f>(T43+U43)*0%</f>
        <v>0</v>
      </c>
      <c r="AL43" s="817">
        <f t="shared" si="18"/>
        <v>5105.2250940301883</v>
      </c>
      <c r="AM43" s="817"/>
      <c r="AN43" s="455"/>
    </row>
    <row r="44" spans="1:40" ht="18" customHeight="1">
      <c r="A44" s="814">
        <v>21</v>
      </c>
      <c r="B44" s="814" t="s">
        <v>303</v>
      </c>
      <c r="C44" s="819" t="s">
        <v>77</v>
      </c>
      <c r="D44" s="617">
        <f>'T-1'!M47-'T-6 (six mth)'!H47</f>
        <v>0</v>
      </c>
      <c r="E44" s="617">
        <f t="shared" si="22"/>
        <v>0</v>
      </c>
      <c r="F44" s="818"/>
      <c r="G44" s="409">
        <f>'T-1'!H47</f>
        <v>0</v>
      </c>
      <c r="H44" s="409">
        <f>('T-1'!I47+'T-1'!L47)/2</f>
        <v>0</v>
      </c>
      <c r="I44" s="816"/>
      <c r="J44" s="1388">
        <v>150</v>
      </c>
      <c r="K44" s="816">
        <f t="shared" si="23"/>
        <v>585</v>
      </c>
      <c r="L44" s="819">
        <f t="shared" si="24"/>
        <v>475</v>
      </c>
      <c r="M44" s="820"/>
      <c r="N44" s="820"/>
      <c r="O44" s="820">
        <v>250</v>
      </c>
      <c r="P44" s="1384"/>
      <c r="Q44" s="814"/>
      <c r="R44" s="409" t="e">
        <f t="shared" si="26"/>
        <v>#DIV/0!</v>
      </c>
      <c r="S44" s="174">
        <v>0.8</v>
      </c>
      <c r="T44" s="817">
        <f t="shared" si="25"/>
        <v>0</v>
      </c>
      <c r="U44" s="817">
        <f>((E44*K44+F44*L44)/10)-((0*1*20)/10)</f>
        <v>0</v>
      </c>
      <c r="V44" s="1386"/>
      <c r="W44" s="1386">
        <f t="shared" si="13"/>
        <v>0</v>
      </c>
      <c r="X44" s="1059">
        <f t="shared" si="14"/>
        <v>0</v>
      </c>
      <c r="Y44" s="1386"/>
      <c r="Z44" s="619" t="e">
        <f>AC44/D44*10</f>
        <v>#DIV/0!</v>
      </c>
      <c r="AA44" s="818"/>
      <c r="AB44" s="817"/>
      <c r="AC44" s="424">
        <f t="shared" si="15"/>
        <v>0</v>
      </c>
      <c r="AD44" s="425"/>
      <c r="AE44" s="313">
        <v>0.08</v>
      </c>
      <c r="AF44" s="817">
        <f t="shared" si="16"/>
        <v>0</v>
      </c>
      <c r="AG44" s="816" t="e">
        <f t="shared" si="21"/>
        <v>#DIV/0!</v>
      </c>
      <c r="AH44" s="817"/>
      <c r="AI44" s="817"/>
      <c r="AJ44" s="817">
        <f t="shared" si="17"/>
        <v>0</v>
      </c>
      <c r="AK44" s="817">
        <f t="shared" ref="AK44" si="27">(T44+U44)*1.5%</f>
        <v>0</v>
      </c>
      <c r="AL44" s="817">
        <f t="shared" si="18"/>
        <v>0</v>
      </c>
      <c r="AM44" s="817"/>
      <c r="AN44" s="455"/>
    </row>
    <row r="45" spans="1:40" ht="18" customHeight="1">
      <c r="A45" s="814">
        <v>22</v>
      </c>
      <c r="B45" s="814" t="s">
        <v>192</v>
      </c>
      <c r="C45" s="819" t="s">
        <v>77</v>
      </c>
      <c r="D45" s="617">
        <f>'T-1'!M48-'T-6 (six mth)'!H48</f>
        <v>20.76428078</v>
      </c>
      <c r="E45" s="617">
        <f t="shared" si="22"/>
        <v>17.441995855199998</v>
      </c>
      <c r="F45" s="818">
        <f>D45*16%</f>
        <v>3.3222849247999999</v>
      </c>
      <c r="G45" s="409">
        <f>'T-1'!H48</f>
        <v>46</v>
      </c>
      <c r="H45" s="409">
        <f>('T-1'!I48+'T-1'!L48)/2</f>
        <v>15956.472222222221</v>
      </c>
      <c r="I45" s="816"/>
      <c r="J45" s="1388">
        <v>250</v>
      </c>
      <c r="K45" s="816">
        <f t="shared" si="23"/>
        <v>585</v>
      </c>
      <c r="L45" s="819">
        <f t="shared" si="24"/>
        <v>475</v>
      </c>
      <c r="M45" s="820"/>
      <c r="N45" s="820"/>
      <c r="O45" s="820">
        <v>250</v>
      </c>
      <c r="P45" s="1384"/>
      <c r="Q45" s="1389"/>
      <c r="R45" s="409">
        <f t="shared" si="26"/>
        <v>655.21410182157388</v>
      </c>
      <c r="S45" s="174">
        <v>0.8</v>
      </c>
      <c r="T45" s="817">
        <f t="shared" si="25"/>
        <v>191.47766666666664</v>
      </c>
      <c r="U45" s="817">
        <f>((E45*K45+F45*L45)/10)-((4.914*1*20)/10)</f>
        <v>1168.3372914572001</v>
      </c>
      <c r="V45" s="1386"/>
      <c r="W45" s="1386">
        <f t="shared" si="13"/>
        <v>0.69</v>
      </c>
      <c r="X45" s="1059">
        <f t="shared" si="14"/>
        <v>1360.5049581238668</v>
      </c>
      <c r="Y45" s="1386">
        <v>0.1</v>
      </c>
      <c r="Z45" s="619">
        <f t="shared" ref="Z45:Z53" si="28">(AC45-AH45-AI45+AJ45)/D45*10</f>
        <v>647.6962687954117</v>
      </c>
      <c r="AA45" s="614">
        <f>2.00519*1</f>
        <v>2.0051899999999998</v>
      </c>
      <c r="AB45" s="174">
        <f>AA45*Y45*10</f>
        <v>2.0051899999999998</v>
      </c>
      <c r="AC45" s="424">
        <f t="shared" si="15"/>
        <v>1358.4997681238667</v>
      </c>
      <c r="AD45" s="425"/>
      <c r="AE45" s="313">
        <v>0</v>
      </c>
      <c r="AF45" s="817">
        <f t="shared" si="16"/>
        <v>0</v>
      </c>
      <c r="AG45" s="816">
        <f t="shared" si="21"/>
        <v>647.6962687954117</v>
      </c>
      <c r="AH45" s="817">
        <f>X45*1%</f>
        <v>13.605049581238669</v>
      </c>
      <c r="AI45" s="817">
        <f t="shared" ref="AI45:AI51" si="29">(T45+U45)*0%</f>
        <v>0</v>
      </c>
      <c r="AJ45" s="817">
        <f t="shared" si="17"/>
        <v>0</v>
      </c>
      <c r="AK45" s="817">
        <f t="shared" ref="AK45:AK52" si="30">(T45+U45)*0%</f>
        <v>0</v>
      </c>
      <c r="AL45" s="817">
        <f t="shared" si="18"/>
        <v>1344.894718542628</v>
      </c>
      <c r="AM45" s="817"/>
      <c r="AN45" s="455"/>
    </row>
    <row r="46" spans="1:40" ht="18" customHeight="1">
      <c r="A46" s="814">
        <v>23</v>
      </c>
      <c r="B46" s="814" t="s">
        <v>73</v>
      </c>
      <c r="C46" s="819" t="s">
        <v>77</v>
      </c>
      <c r="D46" s="617">
        <f>'T-1'!M49-'T-6 (six mth)'!H49/0.96</f>
        <v>468.64602077853237</v>
      </c>
      <c r="E46" s="617">
        <f t="shared" si="22"/>
        <v>398.34911766175253</v>
      </c>
      <c r="F46" s="818">
        <f>D46*15%</f>
        <v>70.296903116779859</v>
      </c>
      <c r="G46" s="409">
        <f>'T-1'!H49</f>
        <v>702</v>
      </c>
      <c r="H46" s="409">
        <f>('T-1'!I49+'T-1'!L49)/2</f>
        <v>334087.9255555555</v>
      </c>
      <c r="I46" s="816"/>
      <c r="J46" s="1388">
        <v>250</v>
      </c>
      <c r="K46" s="816">
        <f t="shared" si="23"/>
        <v>585</v>
      </c>
      <c r="L46" s="819">
        <f t="shared" si="24"/>
        <v>475</v>
      </c>
      <c r="M46" s="820"/>
      <c r="N46" s="820"/>
      <c r="O46" s="820">
        <v>250</v>
      </c>
      <c r="P46" s="1384"/>
      <c r="Q46" s="1389"/>
      <c r="R46" s="409">
        <f t="shared" si="26"/>
        <v>648.19292261272835</v>
      </c>
      <c r="S46" s="174">
        <v>0.8</v>
      </c>
      <c r="T46" s="817">
        <f t="shared" si="25"/>
        <v>4009.0551066666662</v>
      </c>
      <c r="U46" s="817">
        <f>((E46*K46+F46*L46)/10)-((142.404*1*20)/10)</f>
        <v>26357.718281259564</v>
      </c>
      <c r="V46" s="1386"/>
      <c r="W46" s="1386">
        <f t="shared" si="13"/>
        <v>10.53</v>
      </c>
      <c r="X46" s="1059">
        <f t="shared" si="14"/>
        <v>30377.303387926229</v>
      </c>
      <c r="Y46" s="1386"/>
      <c r="Z46" s="619">
        <f t="shared" si="28"/>
        <v>641.71099338660099</v>
      </c>
      <c r="AA46" s="818"/>
      <c r="AB46" s="817"/>
      <c r="AC46" s="424">
        <f t="shared" si="15"/>
        <v>30377.303387926229</v>
      </c>
      <c r="AD46" s="425"/>
      <c r="AE46" s="313">
        <v>0.08</v>
      </c>
      <c r="AF46" s="817">
        <f t="shared" si="16"/>
        <v>2108.6174625007652</v>
      </c>
      <c r="AG46" s="816">
        <f t="shared" si="21"/>
        <v>646.21037537003883</v>
      </c>
      <c r="AH46" s="817">
        <f>(X46*1%)</f>
        <v>303.7730338792623</v>
      </c>
      <c r="AI46" s="817">
        <f t="shared" si="29"/>
        <v>0</v>
      </c>
      <c r="AJ46" s="817">
        <f t="shared" si="17"/>
        <v>0</v>
      </c>
      <c r="AK46" s="817">
        <f t="shared" si="30"/>
        <v>0</v>
      </c>
      <c r="AL46" s="817">
        <f t="shared" si="18"/>
        <v>30073.530354046969</v>
      </c>
      <c r="AM46" s="817"/>
      <c r="AN46" s="455"/>
    </row>
    <row r="47" spans="1:40" ht="18" customHeight="1">
      <c r="A47" s="814">
        <v>24</v>
      </c>
      <c r="B47" s="62" t="s">
        <v>2128</v>
      </c>
      <c r="C47" s="819" t="s">
        <v>77</v>
      </c>
      <c r="D47" s="617">
        <f>'T-1'!M50-'T-6 (six mth)'!H50/0.96</f>
        <v>5.2083333333333339</v>
      </c>
      <c r="E47" s="617">
        <f t="shared" si="22"/>
        <v>5.2083333333333339</v>
      </c>
      <c r="F47" s="818">
        <v>0</v>
      </c>
      <c r="G47" s="409"/>
      <c r="H47" s="409"/>
      <c r="I47" s="816"/>
      <c r="J47" s="1388"/>
      <c r="K47" s="816">
        <v>430</v>
      </c>
      <c r="L47" s="819"/>
      <c r="M47" s="820"/>
      <c r="N47" s="820"/>
      <c r="O47" s="820"/>
      <c r="P47" s="1384"/>
      <c r="Q47" s="1389"/>
      <c r="R47" s="409">
        <f t="shared" si="26"/>
        <v>430</v>
      </c>
      <c r="S47" s="174"/>
      <c r="T47" s="817"/>
      <c r="U47" s="817">
        <f>((E47*K47+F47*L47)/10)</f>
        <v>223.95833333333334</v>
      </c>
      <c r="V47" s="1386"/>
      <c r="W47" s="1386"/>
      <c r="X47" s="1059">
        <f t="shared" si="14"/>
        <v>223.95833333333334</v>
      </c>
      <c r="Y47" s="1386"/>
      <c r="Z47" s="619">
        <f t="shared" si="28"/>
        <v>430</v>
      </c>
      <c r="AA47" s="818"/>
      <c r="AB47" s="817"/>
      <c r="AC47" s="424">
        <f t="shared" si="15"/>
        <v>223.95833333333334</v>
      </c>
      <c r="AD47" s="425"/>
      <c r="AE47" s="313">
        <v>0.08</v>
      </c>
      <c r="AF47" s="817">
        <f t="shared" si="16"/>
        <v>17.916666666666668</v>
      </c>
      <c r="AG47" s="816">
        <f t="shared" si="21"/>
        <v>433.44</v>
      </c>
      <c r="AH47" s="817"/>
      <c r="AI47" s="817"/>
      <c r="AJ47" s="817"/>
      <c r="AK47" s="817"/>
      <c r="AL47" s="817">
        <f t="shared" si="18"/>
        <v>223.95833333333334</v>
      </c>
      <c r="AM47" s="817"/>
      <c r="AN47" s="455"/>
    </row>
    <row r="48" spans="1:40" ht="18" customHeight="1">
      <c r="A48" s="814">
        <v>25</v>
      </c>
      <c r="B48" s="814" t="s">
        <v>83</v>
      </c>
      <c r="C48" s="819" t="s">
        <v>77</v>
      </c>
      <c r="D48" s="617">
        <f>'T-1'!M51-'T-6 (six mth)'!H51/0.9831</f>
        <v>301.67242803377076</v>
      </c>
      <c r="E48" s="617">
        <f t="shared" si="22"/>
        <v>220.22087246465264</v>
      </c>
      <c r="F48" s="818">
        <f>D48*27%</f>
        <v>81.451555569118113</v>
      </c>
      <c r="G48" s="409">
        <f>'T-1'!H51</f>
        <v>13</v>
      </c>
      <c r="H48" s="409">
        <f>('T-1'!I51+'T-1'!L51)/2</f>
        <v>93397.5</v>
      </c>
      <c r="I48" s="816"/>
      <c r="J48" s="1388">
        <v>250</v>
      </c>
      <c r="K48" s="816">
        <f t="shared" si="23"/>
        <v>585</v>
      </c>
      <c r="L48" s="819">
        <f t="shared" si="24"/>
        <v>475</v>
      </c>
      <c r="M48" s="820"/>
      <c r="N48" s="820"/>
      <c r="O48" s="820">
        <v>250</v>
      </c>
      <c r="P48" s="1384"/>
      <c r="Q48" s="814"/>
      <c r="R48" s="409">
        <f t="shared" si="26"/>
        <v>587.67866338552687</v>
      </c>
      <c r="S48" s="174">
        <v>0.8</v>
      </c>
      <c r="T48" s="817">
        <f t="shared" si="25"/>
        <v>1120.77</v>
      </c>
      <c r="U48" s="817">
        <f>((E48*K48+F48*L48)/10)-((72.095*1*20)/10)</f>
        <v>16607.679928715293</v>
      </c>
      <c r="V48" s="1386"/>
      <c r="W48" s="1386">
        <f t="shared" si="13"/>
        <v>0.19500000000000001</v>
      </c>
      <c r="X48" s="1059">
        <f t="shared" si="14"/>
        <v>17728.644928715294</v>
      </c>
      <c r="Y48" s="1386"/>
      <c r="Z48" s="619">
        <f t="shared" si="28"/>
        <v>581.80187675167167</v>
      </c>
      <c r="AA48" s="818"/>
      <c r="AB48" s="817"/>
      <c r="AC48" s="424">
        <f t="shared" si="15"/>
        <v>17728.644928715294</v>
      </c>
      <c r="AD48" s="425"/>
      <c r="AE48" s="313">
        <v>0.08</v>
      </c>
      <c r="AF48" s="817">
        <f t="shared" si="16"/>
        <v>1328.6143942972235</v>
      </c>
      <c r="AG48" s="816">
        <f t="shared" si="21"/>
        <v>586.20603924990462</v>
      </c>
      <c r="AH48" s="817">
        <f>(X48*1%)</f>
        <v>177.28644928715295</v>
      </c>
      <c r="AI48" s="817">
        <f t="shared" si="29"/>
        <v>0</v>
      </c>
      <c r="AJ48" s="817">
        <f t="shared" si="17"/>
        <v>0</v>
      </c>
      <c r="AK48" s="817">
        <f t="shared" si="30"/>
        <v>0</v>
      </c>
      <c r="AL48" s="817">
        <f t="shared" si="18"/>
        <v>17551.358479428141</v>
      </c>
      <c r="AM48" s="817"/>
      <c r="AN48" s="455"/>
    </row>
    <row r="49" spans="1:40" ht="18" customHeight="1">
      <c r="A49" s="814">
        <v>26</v>
      </c>
      <c r="B49" s="814" t="s">
        <v>93</v>
      </c>
      <c r="C49" s="819" t="s">
        <v>77</v>
      </c>
      <c r="D49" s="617">
        <f>'T-1'!M52-'T-6 (six mth)'!H52/0.9883</f>
        <v>85.842476980673879</v>
      </c>
      <c r="E49" s="617">
        <f t="shared" si="22"/>
        <v>64.381857735505406</v>
      </c>
      <c r="F49" s="818">
        <f>D49*25%</f>
        <v>21.46061924516847</v>
      </c>
      <c r="G49" s="409">
        <f>'T-1'!H52</f>
        <v>4</v>
      </c>
      <c r="H49" s="409">
        <f>('T-1'!I52+'T-1'!L52)/2</f>
        <v>29500</v>
      </c>
      <c r="I49" s="816"/>
      <c r="J49" s="1388">
        <v>250</v>
      </c>
      <c r="K49" s="816">
        <f t="shared" si="23"/>
        <v>585</v>
      </c>
      <c r="L49" s="819">
        <f t="shared" si="24"/>
        <v>475</v>
      </c>
      <c r="M49" s="820"/>
      <c r="N49" s="820"/>
      <c r="O49" s="820">
        <v>250</v>
      </c>
      <c r="P49" s="1384"/>
      <c r="Q49" s="814"/>
      <c r="R49" s="409">
        <f t="shared" si="26"/>
        <v>594.42926988481122</v>
      </c>
      <c r="S49" s="174">
        <v>0.8</v>
      </c>
      <c r="T49" s="817">
        <f t="shared" si="25"/>
        <v>354</v>
      </c>
      <c r="U49" s="817">
        <f>((E49*K49+F49*L49)/10)-((18.525*1*20)/10)</f>
        <v>4748.6680916725682</v>
      </c>
      <c r="V49" s="1386"/>
      <c r="W49" s="1386">
        <f t="shared" si="13"/>
        <v>0.06</v>
      </c>
      <c r="X49" s="1059">
        <f t="shared" si="14"/>
        <v>5102.7280916725686</v>
      </c>
      <c r="Y49" s="1386"/>
      <c r="Z49" s="619">
        <f t="shared" si="28"/>
        <v>588.48497718596309</v>
      </c>
      <c r="AA49" s="818"/>
      <c r="AB49" s="817"/>
      <c r="AC49" s="424">
        <f t="shared" si="15"/>
        <v>5102.7280916725686</v>
      </c>
      <c r="AD49" s="425"/>
      <c r="AE49" s="313">
        <v>0.08</v>
      </c>
      <c r="AF49" s="817">
        <f t="shared" si="16"/>
        <v>379.89344733380545</v>
      </c>
      <c r="AG49" s="816">
        <f t="shared" si="21"/>
        <v>592.91044882536289</v>
      </c>
      <c r="AH49" s="817">
        <f>(X49*1%)</f>
        <v>51.027280916725687</v>
      </c>
      <c r="AI49" s="817">
        <f t="shared" si="29"/>
        <v>0</v>
      </c>
      <c r="AJ49" s="817">
        <f t="shared" si="17"/>
        <v>0</v>
      </c>
      <c r="AK49" s="817">
        <f t="shared" si="30"/>
        <v>0</v>
      </c>
      <c r="AL49" s="817">
        <f t="shared" si="18"/>
        <v>5051.7008107558431</v>
      </c>
      <c r="AM49" s="817"/>
      <c r="AN49" s="455"/>
    </row>
    <row r="50" spans="1:40" ht="18" customHeight="1">
      <c r="A50" s="814">
        <v>27</v>
      </c>
      <c r="B50" s="814" t="s">
        <v>85</v>
      </c>
      <c r="C50" s="819" t="s">
        <v>77</v>
      </c>
      <c r="D50" s="617">
        <f>'T-1'!M53-'T-6 (six mth)'!H53</f>
        <v>0</v>
      </c>
      <c r="E50" s="617">
        <f t="shared" si="22"/>
        <v>0</v>
      </c>
      <c r="F50" s="818">
        <f>D50*0%</f>
        <v>0</v>
      </c>
      <c r="G50" s="409">
        <f>'T-1'!H53</f>
        <v>0</v>
      </c>
      <c r="H50" s="409">
        <f>('T-1'!I53+'T-1'!L53)/2</f>
        <v>0</v>
      </c>
      <c r="I50" s="816"/>
      <c r="J50" s="1388">
        <v>250</v>
      </c>
      <c r="K50" s="816">
        <f t="shared" si="23"/>
        <v>585</v>
      </c>
      <c r="L50" s="819">
        <f t="shared" si="24"/>
        <v>475</v>
      </c>
      <c r="M50" s="820"/>
      <c r="N50" s="820"/>
      <c r="O50" s="820">
        <v>250</v>
      </c>
      <c r="P50" s="1384"/>
      <c r="Q50" s="1389"/>
      <c r="R50" s="409" t="e">
        <f t="shared" si="26"/>
        <v>#DIV/0!</v>
      </c>
      <c r="S50" s="174">
        <v>0.8</v>
      </c>
      <c r="T50" s="817">
        <f t="shared" si="25"/>
        <v>0</v>
      </c>
      <c r="U50" s="817">
        <f>(E50*K50+F50*L50)/10-((0*1*20)/10)</f>
        <v>0</v>
      </c>
      <c r="V50" s="1386"/>
      <c r="W50" s="1386">
        <f t="shared" si="13"/>
        <v>0</v>
      </c>
      <c r="X50" s="1059">
        <f t="shared" si="14"/>
        <v>0</v>
      </c>
      <c r="Y50" s="1386"/>
      <c r="Z50" s="619" t="e">
        <f t="shared" si="28"/>
        <v>#DIV/0!</v>
      </c>
      <c r="AA50" s="818"/>
      <c r="AB50" s="817"/>
      <c r="AC50" s="424">
        <f t="shared" si="15"/>
        <v>0</v>
      </c>
      <c r="AD50" s="425"/>
      <c r="AE50" s="313">
        <v>0</v>
      </c>
      <c r="AF50" s="817">
        <f t="shared" si="16"/>
        <v>0</v>
      </c>
      <c r="AG50" s="816" t="e">
        <f t="shared" si="21"/>
        <v>#DIV/0!</v>
      </c>
      <c r="AH50" s="817">
        <f>X50*1%</f>
        <v>0</v>
      </c>
      <c r="AI50" s="817">
        <f t="shared" si="29"/>
        <v>0</v>
      </c>
      <c r="AJ50" s="817">
        <f t="shared" si="17"/>
        <v>0</v>
      </c>
      <c r="AK50" s="817">
        <f t="shared" si="30"/>
        <v>0</v>
      </c>
      <c r="AL50" s="817">
        <f t="shared" si="18"/>
        <v>0</v>
      </c>
      <c r="AM50" s="817"/>
      <c r="AN50" s="455"/>
    </row>
    <row r="51" spans="1:40" ht="18" customHeight="1">
      <c r="A51" s="814">
        <v>28</v>
      </c>
      <c r="B51" s="814" t="s">
        <v>304</v>
      </c>
      <c r="C51" s="819" t="s">
        <v>77</v>
      </c>
      <c r="D51" s="617">
        <f>'T-1'!M54</f>
        <v>0</v>
      </c>
      <c r="E51" s="617">
        <f t="shared" si="22"/>
        <v>0</v>
      </c>
      <c r="F51" s="818"/>
      <c r="G51" s="409">
        <f>'T-1'!H54</f>
        <v>0</v>
      </c>
      <c r="H51" s="409">
        <f>('T-1'!I54+'T-1'!L54)/2</f>
        <v>0</v>
      </c>
      <c r="I51" s="816"/>
      <c r="J51" s="1388">
        <v>0</v>
      </c>
      <c r="K51" s="816">
        <f>730+20+30</f>
        <v>780</v>
      </c>
      <c r="L51" s="817"/>
      <c r="M51" s="820"/>
      <c r="N51" s="820"/>
      <c r="O51" s="820">
        <v>250</v>
      </c>
      <c r="P51" s="1384"/>
      <c r="Q51" s="1389"/>
      <c r="R51" s="409" t="e">
        <f t="shared" si="26"/>
        <v>#DIV/0!</v>
      </c>
      <c r="S51" s="174"/>
      <c r="T51" s="817"/>
      <c r="U51" s="817">
        <f>(E51*K51+F51*L51)/10-(0*1*20/10)</f>
        <v>0</v>
      </c>
      <c r="V51" s="1386"/>
      <c r="W51" s="1386">
        <f t="shared" si="13"/>
        <v>0</v>
      </c>
      <c r="X51" s="1059">
        <f t="shared" si="14"/>
        <v>0</v>
      </c>
      <c r="Y51" s="1386"/>
      <c r="Z51" s="619" t="e">
        <f t="shared" si="28"/>
        <v>#DIV/0!</v>
      </c>
      <c r="AA51" s="818"/>
      <c r="AB51" s="817"/>
      <c r="AC51" s="424">
        <f t="shared" si="15"/>
        <v>0</v>
      </c>
      <c r="AD51" s="425"/>
      <c r="AE51" s="313">
        <v>0.08</v>
      </c>
      <c r="AF51" s="817">
        <f t="shared" si="16"/>
        <v>0</v>
      </c>
      <c r="AG51" s="816" t="e">
        <f t="shared" si="21"/>
        <v>#DIV/0!</v>
      </c>
      <c r="AH51" s="817">
        <f t="shared" ref="AH51:AH52" si="31">X51*1%</f>
        <v>0</v>
      </c>
      <c r="AI51" s="817">
        <f t="shared" si="29"/>
        <v>0</v>
      </c>
      <c r="AJ51" s="817">
        <f t="shared" si="17"/>
        <v>0</v>
      </c>
      <c r="AK51" s="817">
        <f t="shared" si="30"/>
        <v>0</v>
      </c>
      <c r="AL51" s="817">
        <f t="shared" si="18"/>
        <v>0</v>
      </c>
      <c r="AM51" s="817"/>
      <c r="AN51" s="455"/>
    </row>
    <row r="52" spans="1:40" ht="18" customHeight="1">
      <c r="A52" s="814">
        <v>29</v>
      </c>
      <c r="B52" s="814" t="s">
        <v>87</v>
      </c>
      <c r="C52" s="819" t="s">
        <v>77</v>
      </c>
      <c r="D52" s="617">
        <f>'T-1'!M55-'T-6 (six mth)'!H55</f>
        <v>1.1901999999999995</v>
      </c>
      <c r="E52" s="617">
        <f t="shared" si="22"/>
        <v>1.1901999999999995</v>
      </c>
      <c r="F52" s="818"/>
      <c r="G52" s="409">
        <f>'T-1'!H55</f>
        <v>0</v>
      </c>
      <c r="H52" s="409">
        <f>('T-1'!I55+'T-1'!L55)/2</f>
        <v>0</v>
      </c>
      <c r="I52" s="816"/>
      <c r="J52" s="1388">
        <v>0</v>
      </c>
      <c r="K52" s="816">
        <f>440+20+30</f>
        <v>490</v>
      </c>
      <c r="L52" s="817"/>
      <c r="M52" s="820"/>
      <c r="N52" s="820"/>
      <c r="O52" s="820"/>
      <c r="P52" s="1384"/>
      <c r="Q52" s="100"/>
      <c r="R52" s="409">
        <f t="shared" si="26"/>
        <v>490</v>
      </c>
      <c r="S52" s="174"/>
      <c r="T52" s="817"/>
      <c r="U52" s="817">
        <f>(E52*K52+F52*L52)/10</f>
        <v>58.319799999999972</v>
      </c>
      <c r="V52" s="1386"/>
      <c r="W52" s="1386">
        <f t="shared" si="13"/>
        <v>0</v>
      </c>
      <c r="X52" s="1059">
        <f>SUM(T52:W52)</f>
        <v>58.319799999999972</v>
      </c>
      <c r="Y52" s="1386"/>
      <c r="Z52" s="619">
        <f t="shared" si="28"/>
        <v>485.09999999999997</v>
      </c>
      <c r="AA52" s="818"/>
      <c r="AB52" s="817"/>
      <c r="AC52" s="424">
        <f>X52-AB52</f>
        <v>58.319799999999972</v>
      </c>
      <c r="AD52" s="425"/>
      <c r="AE52" s="313">
        <v>0.08</v>
      </c>
      <c r="AF52" s="817">
        <f t="shared" si="16"/>
        <v>4.6655839999999982</v>
      </c>
      <c r="AG52" s="816">
        <f t="shared" si="21"/>
        <v>489.02</v>
      </c>
      <c r="AH52" s="817">
        <f t="shared" si="31"/>
        <v>0.58319799999999977</v>
      </c>
      <c r="AI52" s="817"/>
      <c r="AJ52" s="817"/>
      <c r="AK52" s="817">
        <f t="shared" si="30"/>
        <v>0</v>
      </c>
      <c r="AL52" s="817">
        <f t="shared" si="18"/>
        <v>57.736601999999969</v>
      </c>
      <c r="AM52" s="817"/>
      <c r="AN52" s="455"/>
    </row>
    <row r="53" spans="1:40" ht="18" customHeight="1">
      <c r="A53" s="814"/>
      <c r="B53" s="100" t="s">
        <v>305</v>
      </c>
      <c r="C53" s="455"/>
      <c r="D53" s="1390">
        <f t="shared" ref="D53:I53" si="32">SUM(D37:D52)</f>
        <v>1024.9614269703102</v>
      </c>
      <c r="E53" s="1390">
        <f t="shared" si="32"/>
        <v>839.70357283134592</v>
      </c>
      <c r="F53" s="1390">
        <f t="shared" si="32"/>
        <v>185.25785413896443</v>
      </c>
      <c r="G53" s="1391">
        <f t="shared" si="32"/>
        <v>1086</v>
      </c>
      <c r="H53" s="1391">
        <f t="shared" si="32"/>
        <v>692594.35</v>
      </c>
      <c r="I53" s="1391">
        <f t="shared" si="32"/>
        <v>128952.35</v>
      </c>
      <c r="J53" s="821"/>
      <c r="K53" s="822"/>
      <c r="L53" s="822"/>
      <c r="M53" s="821"/>
      <c r="N53" s="821"/>
      <c r="O53" s="821"/>
      <c r="P53" s="823"/>
      <c r="Q53" s="827"/>
      <c r="R53" s="112">
        <f t="shared" si="26"/>
        <v>610.18862181159773</v>
      </c>
      <c r="S53" s="174"/>
      <c r="T53" s="822">
        <f>SUM(T37:T52)</f>
        <v>6992.7309733333332</v>
      </c>
      <c r="U53" s="822">
        <f>SUM(U37:U52)</f>
        <v>55532.959079972883</v>
      </c>
      <c r="V53" s="1392">
        <f>SUM(V37:V52)</f>
        <v>0</v>
      </c>
      <c r="W53" s="1392">
        <f>SUM(W37:W52)</f>
        <v>16.289999999999996</v>
      </c>
      <c r="X53" s="1392">
        <f>SUM(X37:X52)</f>
        <v>62541.980053306208</v>
      </c>
      <c r="Y53" s="1392"/>
      <c r="Z53" s="241">
        <f t="shared" si="28"/>
        <v>604.06411885741602</v>
      </c>
      <c r="AA53" s="1390">
        <f>SUM(AA37:AA52)</f>
        <v>14.746790000000001</v>
      </c>
      <c r="AB53" s="822">
        <f>SUM(AB37:AB52)</f>
        <v>14.746790000000001</v>
      </c>
      <c r="AC53" s="1393">
        <f>SUM(AC37:AC52)</f>
        <v>62527.233263306218</v>
      </c>
      <c r="AD53" s="823"/>
      <c r="AE53" s="172"/>
      <c r="AF53" s="822">
        <f>SUM(AF37:AF52)</f>
        <v>4307.9789600884551</v>
      </c>
      <c r="AG53" s="1391">
        <f t="shared" si="21"/>
        <v>608.26718333060546</v>
      </c>
      <c r="AH53" s="823">
        <f>SUM(AH37:AH52)</f>
        <v>612.99113874019554</v>
      </c>
      <c r="AI53" s="822">
        <f>SUM(AI37:AI52)</f>
        <v>0</v>
      </c>
      <c r="AJ53" s="822">
        <f>SUM(AJ37:AJ52)</f>
        <v>0</v>
      </c>
      <c r="AK53" s="822">
        <f>SUM(AK37:AK52)</f>
        <v>0</v>
      </c>
      <c r="AL53" s="822">
        <f>SUM(AL37:AL52)</f>
        <v>61914.242124566023</v>
      </c>
      <c r="AM53" s="822"/>
      <c r="AN53" s="455"/>
    </row>
    <row r="54" spans="1:40" ht="18" customHeight="1">
      <c r="A54" s="814"/>
      <c r="B54" s="100" t="s">
        <v>306</v>
      </c>
      <c r="C54" s="100"/>
      <c r="D54" s="1397"/>
      <c r="E54" s="1397"/>
      <c r="F54" s="818"/>
      <c r="G54" s="816"/>
      <c r="H54" s="816"/>
      <c r="I54" s="816"/>
      <c r="J54" s="1388"/>
      <c r="K54" s="817"/>
      <c r="L54" s="817"/>
      <c r="M54" s="820"/>
      <c r="N54" s="820"/>
      <c r="O54" s="820"/>
      <c r="P54" s="1384"/>
      <c r="Q54" s="100"/>
      <c r="R54" s="409"/>
      <c r="S54" s="174"/>
      <c r="T54" s="817"/>
      <c r="U54" s="817"/>
      <c r="V54" s="1386"/>
      <c r="W54" s="1386"/>
      <c r="X54" s="1386"/>
      <c r="Y54" s="1386"/>
      <c r="Z54" s="820"/>
      <c r="AA54" s="818"/>
      <c r="AB54" s="817"/>
      <c r="AC54" s="1396"/>
      <c r="AD54" s="1384"/>
      <c r="AE54" s="172"/>
      <c r="AF54" s="817"/>
      <c r="AG54" s="817"/>
      <c r="AH54" s="817"/>
      <c r="AI54" s="817"/>
      <c r="AJ54" s="817"/>
      <c r="AK54" s="817"/>
      <c r="AL54" s="817"/>
      <c r="AM54" s="817"/>
      <c r="AN54" s="455"/>
    </row>
    <row r="55" spans="1:40" ht="18" customHeight="1">
      <c r="A55" s="814">
        <v>30</v>
      </c>
      <c r="B55" s="814" t="s">
        <v>90</v>
      </c>
      <c r="C55" s="819" t="s">
        <v>91</v>
      </c>
      <c r="D55" s="617">
        <f>'T-1'!M59-'T-6 (six mth)'!H58/0.97</f>
        <v>0</v>
      </c>
      <c r="E55" s="617">
        <f t="shared" ref="E55:E65" si="33">D55-F55</f>
        <v>0</v>
      </c>
      <c r="F55" s="818">
        <f>D55*0.37%</f>
        <v>0</v>
      </c>
      <c r="G55" s="409">
        <f>'T-1'!H59*0</f>
        <v>0</v>
      </c>
      <c r="H55" s="409">
        <f>('T-1'!I59+'T-1'!L59)/2*0</f>
        <v>0</v>
      </c>
      <c r="I55" s="816"/>
      <c r="J55" s="1388">
        <v>250</v>
      </c>
      <c r="K55" s="816">
        <f t="shared" ref="K55:K62" si="34">530+20+30</f>
        <v>580</v>
      </c>
      <c r="L55" s="816">
        <f t="shared" ref="L55:L62" si="35">420+20+30</f>
        <v>470</v>
      </c>
      <c r="M55" s="820"/>
      <c r="N55" s="820"/>
      <c r="O55" s="820">
        <v>700</v>
      </c>
      <c r="P55" s="1384"/>
      <c r="Q55" s="814"/>
      <c r="R55" s="409" t="e">
        <f t="shared" ref="R55:R62" si="36">X55/D55*10</f>
        <v>#DIV/0!</v>
      </c>
      <c r="S55" s="174">
        <v>0.8</v>
      </c>
      <c r="T55" s="817">
        <f t="shared" ref="T55:T63" si="37">(H55*J55*S55*6)/100000</f>
        <v>0</v>
      </c>
      <c r="U55" s="817">
        <f>(E55*K55+F55*L55)/10</f>
        <v>0</v>
      </c>
      <c r="V55" s="1386"/>
      <c r="W55" s="1386">
        <f t="shared" ref="W55:W65" si="38">(O55*G55*6)/100000</f>
        <v>0</v>
      </c>
      <c r="X55" s="1059">
        <f t="shared" ref="X55:X65" si="39">SUM(T55:W55)</f>
        <v>0</v>
      </c>
      <c r="Y55" s="1386"/>
      <c r="Z55" s="619" t="e">
        <f t="shared" ref="Z55:Z67" si="40">(AC55-AH55-AI55+AJ55)/D55*10</f>
        <v>#DIV/0!</v>
      </c>
      <c r="AA55" s="818"/>
      <c r="AB55" s="817"/>
      <c r="AC55" s="424">
        <f t="shared" ref="AC55:AC65" si="41">X55-AB55</f>
        <v>0</v>
      </c>
      <c r="AD55" s="425"/>
      <c r="AE55" s="313">
        <v>0.09</v>
      </c>
      <c r="AF55" s="817">
        <f t="shared" ref="AF55:AF65" si="42">AE55*U55</f>
        <v>0</v>
      </c>
      <c r="AG55" s="816" t="e">
        <f t="shared" ref="AG55:AG67" si="43">AF55/D55+Z55</f>
        <v>#DIV/0!</v>
      </c>
      <c r="AH55" s="817">
        <f>X55*1%</f>
        <v>0</v>
      </c>
      <c r="AI55" s="817">
        <f t="shared" ref="AI55:AI63" si="44">(T55+U55)*0%</f>
        <v>0</v>
      </c>
      <c r="AJ55" s="817">
        <f t="shared" ref="AJ55:AJ63" si="45">(T55+U55)*0%</f>
        <v>0</v>
      </c>
      <c r="AK55" s="817">
        <f t="shared" ref="AK55:AK64" si="46">(T55+U55)*0%</f>
        <v>0</v>
      </c>
      <c r="AL55" s="817">
        <f t="shared" ref="AL55:AL64" si="47">AC55-AH55+AI55+AJ55-AK55</f>
        <v>0</v>
      </c>
      <c r="AM55" s="817"/>
      <c r="AN55" s="455"/>
    </row>
    <row r="56" spans="1:40" ht="18" customHeight="1">
      <c r="A56" s="814">
        <v>31</v>
      </c>
      <c r="B56" s="814" t="s">
        <v>73</v>
      </c>
      <c r="C56" s="819" t="s">
        <v>91</v>
      </c>
      <c r="D56" s="617">
        <f>'T-1'!M60-'T-6 (six mth)'!H59/0.9768</f>
        <v>148.04990262080267</v>
      </c>
      <c r="E56" s="617">
        <f t="shared" si="33"/>
        <v>118.43992209664214</v>
      </c>
      <c r="F56" s="818">
        <f>D56*20%</f>
        <v>29.609980524160534</v>
      </c>
      <c r="G56" s="409">
        <f>'T-1'!H60</f>
        <v>10</v>
      </c>
      <c r="H56" s="409">
        <f>('T-1'!I60+'T-1'!L60)/2</f>
        <v>135250</v>
      </c>
      <c r="I56" s="816"/>
      <c r="J56" s="1388">
        <v>250</v>
      </c>
      <c r="K56" s="816">
        <f t="shared" si="34"/>
        <v>580</v>
      </c>
      <c r="L56" s="816">
        <f t="shared" si="35"/>
        <v>470</v>
      </c>
      <c r="M56" s="820"/>
      <c r="N56" s="820"/>
      <c r="O56" s="820">
        <v>700</v>
      </c>
      <c r="P56" s="1384"/>
      <c r="Q56" s="1398"/>
      <c r="R56" s="409">
        <f t="shared" si="36"/>
        <v>661.90104773928158</v>
      </c>
      <c r="S56" s="174">
        <v>0.8</v>
      </c>
      <c r="T56" s="817">
        <f t="shared" si="37"/>
        <v>1623</v>
      </c>
      <c r="U56" s="817">
        <f>(E56*K56+F56*L56)/10-((42.583*1*20)/10)</f>
        <v>8176.0185662407903</v>
      </c>
      <c r="V56" s="1386"/>
      <c r="W56" s="1386">
        <f t="shared" si="38"/>
        <v>0.42</v>
      </c>
      <c r="X56" s="1059">
        <f t="shared" si="39"/>
        <v>9799.4385662407894</v>
      </c>
      <c r="Y56" s="1386"/>
      <c r="Z56" s="619">
        <f t="shared" si="40"/>
        <v>655.2820372618886</v>
      </c>
      <c r="AA56" s="818"/>
      <c r="AB56" s="817"/>
      <c r="AC56" s="424">
        <f t="shared" si="41"/>
        <v>9799.4385662407894</v>
      </c>
      <c r="AD56" s="425"/>
      <c r="AE56" s="313">
        <v>0.09</v>
      </c>
      <c r="AF56" s="817">
        <f t="shared" si="42"/>
        <v>735.84167096167107</v>
      </c>
      <c r="AG56" s="816">
        <f t="shared" si="43"/>
        <v>660.25226458345844</v>
      </c>
      <c r="AH56" s="817">
        <f t="shared" ref="AH56:AH64" si="48">X56*1%</f>
        <v>97.994385662407893</v>
      </c>
      <c r="AI56" s="817">
        <f t="shared" si="44"/>
        <v>0</v>
      </c>
      <c r="AJ56" s="817">
        <f t="shared" si="45"/>
        <v>0</v>
      </c>
      <c r="AK56" s="817">
        <f t="shared" si="46"/>
        <v>0</v>
      </c>
      <c r="AL56" s="817">
        <f t="shared" si="47"/>
        <v>9701.4441805783808</v>
      </c>
      <c r="AM56" s="817"/>
      <c r="AN56" s="455"/>
    </row>
    <row r="57" spans="1:40" ht="18" customHeight="1">
      <c r="A57" s="814">
        <v>32</v>
      </c>
      <c r="B57" s="62" t="s">
        <v>2128</v>
      </c>
      <c r="C57" s="819" t="s">
        <v>91</v>
      </c>
      <c r="D57" s="617">
        <f>'T-1'!M61-'T-6 (six mth)'!H60/0.9768</f>
        <v>88.042588042588051</v>
      </c>
      <c r="E57" s="617">
        <f t="shared" si="33"/>
        <v>88.042588042588051</v>
      </c>
      <c r="F57" s="818"/>
      <c r="G57" s="409"/>
      <c r="H57" s="409"/>
      <c r="I57" s="816"/>
      <c r="J57" s="1388"/>
      <c r="K57" s="816">
        <v>430</v>
      </c>
      <c r="L57" s="816"/>
      <c r="M57" s="820"/>
      <c r="N57" s="820"/>
      <c r="O57" s="820"/>
      <c r="P57" s="1384"/>
      <c r="Q57" s="1398"/>
      <c r="R57" s="409">
        <f t="shared" si="36"/>
        <v>430.00000000000006</v>
      </c>
      <c r="S57" s="174"/>
      <c r="T57" s="817"/>
      <c r="U57" s="817">
        <f>(E57*K57+F57*L57)/10</f>
        <v>3785.8312858312866</v>
      </c>
      <c r="V57" s="1386"/>
      <c r="W57" s="1386"/>
      <c r="X57" s="1059">
        <f t="shared" si="39"/>
        <v>3785.8312858312866</v>
      </c>
      <c r="Y57" s="1386"/>
      <c r="Z57" s="619">
        <f t="shared" si="40"/>
        <v>430.00000000000006</v>
      </c>
      <c r="AA57" s="818"/>
      <c r="AB57" s="817"/>
      <c r="AC57" s="424">
        <f t="shared" si="41"/>
        <v>3785.8312858312866</v>
      </c>
      <c r="AD57" s="425"/>
      <c r="AE57" s="313">
        <v>0.09</v>
      </c>
      <c r="AF57" s="817">
        <f t="shared" si="42"/>
        <v>340.72481572481576</v>
      </c>
      <c r="AG57" s="816">
        <f t="shared" si="43"/>
        <v>433.87000000000006</v>
      </c>
      <c r="AH57" s="817"/>
      <c r="AI57" s="817"/>
      <c r="AJ57" s="817"/>
      <c r="AK57" s="817"/>
      <c r="AL57" s="817">
        <f t="shared" si="47"/>
        <v>3785.8312858312866</v>
      </c>
      <c r="AM57" s="817"/>
      <c r="AN57" s="455"/>
    </row>
    <row r="58" spans="1:40" ht="18" customHeight="1">
      <c r="A58" s="814">
        <v>33</v>
      </c>
      <c r="B58" s="814" t="s">
        <v>85</v>
      </c>
      <c r="C58" s="819" t="s">
        <v>91</v>
      </c>
      <c r="D58" s="617">
        <f>'T-1'!M62-'T-6 (six mth)'!H61/0.962</f>
        <v>411.93006237006227</v>
      </c>
      <c r="E58" s="617">
        <f t="shared" si="33"/>
        <v>405.29798836590425</v>
      </c>
      <c r="F58" s="818">
        <f>D58*1.61%</f>
        <v>6.6320740041580022</v>
      </c>
      <c r="G58" s="409">
        <f>'T-1'!H62</f>
        <v>18</v>
      </c>
      <c r="H58" s="409">
        <f>('T-1'!I62+'T-1'!L62)/2</f>
        <v>261750</v>
      </c>
      <c r="I58" s="816"/>
      <c r="J58" s="1388">
        <v>250</v>
      </c>
      <c r="K58" s="816">
        <f t="shared" si="34"/>
        <v>580</v>
      </c>
      <c r="L58" s="816">
        <f t="shared" si="35"/>
        <v>470</v>
      </c>
      <c r="M58" s="820"/>
      <c r="N58" s="820"/>
      <c r="O58" s="820">
        <v>700</v>
      </c>
      <c r="P58" s="1384"/>
      <c r="Q58" s="1389"/>
      <c r="R58" s="409">
        <f t="shared" si="36"/>
        <v>654.49816039882433</v>
      </c>
      <c r="S58" s="174">
        <v>0.8</v>
      </c>
      <c r="T58" s="817">
        <f t="shared" si="37"/>
        <v>3141</v>
      </c>
      <c r="U58" s="817">
        <f>(E58*K58+F58*L58)/10-((0*1*20)/10)</f>
        <v>23818.990803417873</v>
      </c>
      <c r="V58" s="1386"/>
      <c r="W58" s="1386">
        <f t="shared" si="38"/>
        <v>0.75600000000000001</v>
      </c>
      <c r="X58" s="1059">
        <f t="shared" si="39"/>
        <v>26960.746803417875</v>
      </c>
      <c r="Y58" s="1386"/>
      <c r="Z58" s="619">
        <f t="shared" si="40"/>
        <v>647.95317879483616</v>
      </c>
      <c r="AA58" s="818"/>
      <c r="AB58" s="817"/>
      <c r="AC58" s="424">
        <f t="shared" si="41"/>
        <v>26960.746803417875</v>
      </c>
      <c r="AD58" s="425"/>
      <c r="AE58" s="313">
        <v>0</v>
      </c>
      <c r="AF58" s="817">
        <f t="shared" si="42"/>
        <v>0</v>
      </c>
      <c r="AG58" s="816">
        <f t="shared" si="43"/>
        <v>647.95317879483616</v>
      </c>
      <c r="AH58" s="817">
        <f t="shared" si="48"/>
        <v>269.60746803417874</v>
      </c>
      <c r="AI58" s="817">
        <f t="shared" si="44"/>
        <v>0</v>
      </c>
      <c r="AJ58" s="817">
        <f t="shared" si="45"/>
        <v>0</v>
      </c>
      <c r="AK58" s="817">
        <f t="shared" si="46"/>
        <v>0</v>
      </c>
      <c r="AL58" s="817">
        <f t="shared" si="47"/>
        <v>26691.139335383697</v>
      </c>
      <c r="AM58" s="817"/>
      <c r="AN58" s="455"/>
    </row>
    <row r="59" spans="1:40" ht="18" customHeight="1">
      <c r="A59" s="814">
        <v>34</v>
      </c>
      <c r="B59" s="814" t="s">
        <v>92</v>
      </c>
      <c r="C59" s="819" t="s">
        <v>91</v>
      </c>
      <c r="D59" s="617">
        <f>'T-1'!M63-'T-6 (six mth)'!H62/0.9311</f>
        <v>370.56705724411989</v>
      </c>
      <c r="E59" s="617">
        <f t="shared" si="33"/>
        <v>296.45364579529593</v>
      </c>
      <c r="F59" s="818">
        <f>D59*20%</f>
        <v>74.113411448823982</v>
      </c>
      <c r="G59" s="409">
        <f>'T-1'!H63</f>
        <v>3</v>
      </c>
      <c r="H59" s="409">
        <f>('T-1'!I63+'T-1'!L63)/2</f>
        <v>248556</v>
      </c>
      <c r="I59" s="816"/>
      <c r="J59" s="1388">
        <v>250</v>
      </c>
      <c r="K59" s="816">
        <f t="shared" si="34"/>
        <v>580</v>
      </c>
      <c r="L59" s="816">
        <f t="shared" si="35"/>
        <v>470</v>
      </c>
      <c r="M59" s="820"/>
      <c r="N59" s="820"/>
      <c r="O59" s="820">
        <v>700</v>
      </c>
      <c r="P59" s="1384"/>
      <c r="Q59" s="1389"/>
      <c r="R59" s="409">
        <f t="shared" si="36"/>
        <v>633.56208640951525</v>
      </c>
      <c r="S59" s="174">
        <v>0.8</v>
      </c>
      <c r="T59" s="817">
        <f t="shared" si="37"/>
        <v>2982.672</v>
      </c>
      <c r="U59" s="817">
        <f>(E59*K59+F59*L59)/10-((91.358*1*20)/10)</f>
        <v>20494.92579422189</v>
      </c>
      <c r="V59" s="1386"/>
      <c r="W59" s="1386">
        <f t="shared" si="38"/>
        <v>0.126</v>
      </c>
      <c r="X59" s="1059">
        <f t="shared" si="39"/>
        <v>23477.723794221889</v>
      </c>
      <c r="Y59" s="1386"/>
      <c r="Z59" s="619">
        <f t="shared" si="40"/>
        <v>627.22646554542007</v>
      </c>
      <c r="AA59" s="818"/>
      <c r="AB59" s="817"/>
      <c r="AC59" s="424">
        <f t="shared" si="41"/>
        <v>23477.723794221889</v>
      </c>
      <c r="AD59" s="425"/>
      <c r="AE59" s="313">
        <v>0.09</v>
      </c>
      <c r="AF59" s="817">
        <f t="shared" si="42"/>
        <v>1844.54332147997</v>
      </c>
      <c r="AG59" s="816">
        <f t="shared" si="43"/>
        <v>632.20408912372113</v>
      </c>
      <c r="AH59" s="817">
        <f t="shared" si="48"/>
        <v>234.7772379422189</v>
      </c>
      <c r="AI59" s="817">
        <f t="shared" si="44"/>
        <v>0</v>
      </c>
      <c r="AJ59" s="817">
        <f t="shared" si="45"/>
        <v>0</v>
      </c>
      <c r="AK59" s="817">
        <f t="shared" si="46"/>
        <v>0</v>
      </c>
      <c r="AL59" s="817">
        <f t="shared" si="47"/>
        <v>23242.946556279669</v>
      </c>
      <c r="AM59" s="817"/>
      <c r="AN59" s="455"/>
    </row>
    <row r="60" spans="1:40" ht="18" customHeight="1">
      <c r="A60" s="814">
        <v>35</v>
      </c>
      <c r="B60" s="814" t="s">
        <v>83</v>
      </c>
      <c r="C60" s="819" t="s">
        <v>91</v>
      </c>
      <c r="D60" s="617">
        <f>'T-1'!M64-'T-6 (six mth)'!H63/0.9727</f>
        <v>241.60621338542228</v>
      </c>
      <c r="E60" s="617">
        <f t="shared" si="33"/>
        <v>193.28497070833782</v>
      </c>
      <c r="F60" s="818">
        <f>D60*20%</f>
        <v>48.321242677084456</v>
      </c>
      <c r="G60" s="409">
        <f>'T-1'!H64</f>
        <v>6</v>
      </c>
      <c r="H60" s="409">
        <f>('T-1'!I64+'T-1'!L64)/2</f>
        <v>492375.5</v>
      </c>
      <c r="I60" s="816"/>
      <c r="J60" s="1388">
        <v>250</v>
      </c>
      <c r="K60" s="816">
        <f t="shared" si="34"/>
        <v>580</v>
      </c>
      <c r="L60" s="816">
        <f t="shared" si="35"/>
        <v>470</v>
      </c>
      <c r="M60" s="820"/>
      <c r="N60" s="820"/>
      <c r="O60" s="820">
        <v>700</v>
      </c>
      <c r="P60" s="1384"/>
      <c r="Q60" s="1389"/>
      <c r="R60" s="409">
        <f t="shared" si="36"/>
        <v>802.24024189255579</v>
      </c>
      <c r="S60" s="174">
        <v>0.8</v>
      </c>
      <c r="T60" s="817">
        <f t="shared" si="37"/>
        <v>5908.5060000000003</v>
      </c>
      <c r="U60" s="817">
        <f>(E60*K60+F60*L60)/10-(3.881*1*20)/10</f>
        <v>13473.864706906561</v>
      </c>
      <c r="V60" s="1386"/>
      <c r="W60" s="1386">
        <f t="shared" si="38"/>
        <v>0.252</v>
      </c>
      <c r="X60" s="1059">
        <f t="shared" si="39"/>
        <v>19382.622706906561</v>
      </c>
      <c r="Y60" s="1386"/>
      <c r="Z60" s="619">
        <f t="shared" si="40"/>
        <v>794.21783947363019</v>
      </c>
      <c r="AA60" s="818"/>
      <c r="AB60" s="817"/>
      <c r="AC60" s="424">
        <f t="shared" si="41"/>
        <v>19382.622706906561</v>
      </c>
      <c r="AD60" s="425"/>
      <c r="AE60" s="313">
        <v>0.09</v>
      </c>
      <c r="AF60" s="817">
        <f t="shared" si="42"/>
        <v>1212.6478236215905</v>
      </c>
      <c r="AG60" s="816">
        <f t="shared" si="43"/>
        <v>799.23694807448021</v>
      </c>
      <c r="AH60" s="817">
        <f t="shared" si="48"/>
        <v>193.82622706906562</v>
      </c>
      <c r="AI60" s="817">
        <f t="shared" si="44"/>
        <v>0</v>
      </c>
      <c r="AJ60" s="817">
        <f t="shared" si="45"/>
        <v>0</v>
      </c>
      <c r="AK60" s="817">
        <f t="shared" si="46"/>
        <v>0</v>
      </c>
      <c r="AL60" s="817">
        <f t="shared" si="47"/>
        <v>19188.796479837496</v>
      </c>
      <c r="AM60" s="817"/>
      <c r="AN60" s="455"/>
    </row>
    <row r="61" spans="1:40" ht="18" customHeight="1">
      <c r="A61" s="814">
        <v>36</v>
      </c>
      <c r="B61" s="62" t="s">
        <v>2129</v>
      </c>
      <c r="C61" s="819" t="s">
        <v>91</v>
      </c>
      <c r="D61" s="617">
        <f>'T-1'!M65-'T-6 (six mth)'!H64/0.9727</f>
        <v>1633.5972036599155</v>
      </c>
      <c r="E61" s="617">
        <f t="shared" si="33"/>
        <v>1633.5972036599155</v>
      </c>
      <c r="F61" s="818"/>
      <c r="G61" s="409"/>
      <c r="H61" s="409"/>
      <c r="I61" s="816"/>
      <c r="J61" s="1388"/>
      <c r="K61" s="816">
        <v>475</v>
      </c>
      <c r="L61" s="816"/>
      <c r="M61" s="820"/>
      <c r="N61" s="820"/>
      <c r="O61" s="820"/>
      <c r="P61" s="1384"/>
      <c r="Q61" s="1389"/>
      <c r="R61" s="409">
        <f t="shared" si="36"/>
        <v>475</v>
      </c>
      <c r="S61" s="174"/>
      <c r="T61" s="817"/>
      <c r="U61" s="817">
        <f>(E61*K61+F61*L61)/10</f>
        <v>77595.867173845982</v>
      </c>
      <c r="V61" s="1386"/>
      <c r="W61" s="1386"/>
      <c r="X61" s="1059">
        <f t="shared" si="39"/>
        <v>77595.867173845982</v>
      </c>
      <c r="Y61" s="1386"/>
      <c r="Z61" s="619">
        <f t="shared" si="40"/>
        <v>475</v>
      </c>
      <c r="AA61" s="818"/>
      <c r="AB61" s="817"/>
      <c r="AC61" s="424">
        <f t="shared" si="41"/>
        <v>77595.867173845982</v>
      </c>
      <c r="AD61" s="425"/>
      <c r="AE61" s="313">
        <v>0.09</v>
      </c>
      <c r="AF61" s="817">
        <f t="shared" ref="AF61" si="49">AE61*U61</f>
        <v>6983.6280456461382</v>
      </c>
      <c r="AG61" s="816">
        <f t="shared" ref="AG61" si="50">AF61/D61+Z61</f>
        <v>479.27499999999998</v>
      </c>
      <c r="AH61" s="817"/>
      <c r="AI61" s="817"/>
      <c r="AJ61" s="817"/>
      <c r="AK61" s="817"/>
      <c r="AL61" s="817">
        <f t="shared" si="47"/>
        <v>77595.867173845982</v>
      </c>
      <c r="AM61" s="817"/>
      <c r="AN61" s="455"/>
    </row>
    <row r="62" spans="1:40" ht="18" customHeight="1">
      <c r="A62" s="814">
        <v>37</v>
      </c>
      <c r="B62" s="814" t="s">
        <v>93</v>
      </c>
      <c r="C62" s="819" t="s">
        <v>91</v>
      </c>
      <c r="D62" s="617">
        <f>'T-1'!M66-'T-6 (six mth)'!H65/0.992</f>
        <v>3.6171124999999997</v>
      </c>
      <c r="E62" s="617">
        <f t="shared" si="33"/>
        <v>3.6171124999999997</v>
      </c>
      <c r="F62" s="818">
        <f>D62*0%</f>
        <v>0</v>
      </c>
      <c r="G62" s="409">
        <f>'T-1'!H66</f>
        <v>1</v>
      </c>
      <c r="H62" s="409">
        <f>('T-1'!I66+'T-1'!L66)/2</f>
        <v>5000</v>
      </c>
      <c r="I62" s="816"/>
      <c r="J62" s="1388">
        <v>250</v>
      </c>
      <c r="K62" s="816">
        <f t="shared" si="34"/>
        <v>580</v>
      </c>
      <c r="L62" s="816">
        <f t="shared" si="35"/>
        <v>470</v>
      </c>
      <c r="M62" s="820"/>
      <c r="N62" s="820"/>
      <c r="O62" s="820">
        <v>700</v>
      </c>
      <c r="P62" s="1384"/>
      <c r="Q62" s="1389"/>
      <c r="R62" s="409">
        <f t="shared" si="36"/>
        <v>741.65933462119301</v>
      </c>
      <c r="S62" s="174">
        <v>0.8</v>
      </c>
      <c r="T62" s="817">
        <f t="shared" si="37"/>
        <v>60</v>
      </c>
      <c r="U62" s="817">
        <f>((E62*K62+F62*L62)/10)-((0.784*1*20)/10)</f>
        <v>208.22452499999997</v>
      </c>
      <c r="V62" s="1386"/>
      <c r="W62" s="1386">
        <f t="shared" si="38"/>
        <v>4.2000000000000003E-2</v>
      </c>
      <c r="X62" s="1059">
        <f t="shared" si="39"/>
        <v>268.26652499999994</v>
      </c>
      <c r="Y62" s="1386"/>
      <c r="Z62" s="619">
        <f t="shared" si="40"/>
        <v>734.24274127498097</v>
      </c>
      <c r="AA62" s="818"/>
      <c r="AB62" s="817"/>
      <c r="AC62" s="424">
        <f t="shared" si="41"/>
        <v>268.26652499999994</v>
      </c>
      <c r="AD62" s="425"/>
      <c r="AE62" s="313">
        <v>0.09</v>
      </c>
      <c r="AF62" s="817">
        <f t="shared" si="42"/>
        <v>18.740207249999997</v>
      </c>
      <c r="AG62" s="816">
        <f t="shared" si="43"/>
        <v>739.423726729539</v>
      </c>
      <c r="AH62" s="817">
        <f t="shared" si="48"/>
        <v>2.6826652499999994</v>
      </c>
      <c r="AI62" s="817">
        <f t="shared" si="44"/>
        <v>0</v>
      </c>
      <c r="AJ62" s="817">
        <f t="shared" si="45"/>
        <v>0</v>
      </c>
      <c r="AK62" s="817">
        <f t="shared" si="46"/>
        <v>0</v>
      </c>
      <c r="AL62" s="817">
        <f t="shared" si="47"/>
        <v>265.58385974999993</v>
      </c>
      <c r="AM62" s="817"/>
      <c r="AN62" s="455"/>
    </row>
    <row r="63" spans="1:40" ht="18" customHeight="1">
      <c r="A63" s="814">
        <v>38</v>
      </c>
      <c r="B63" s="814" t="s">
        <v>304</v>
      </c>
      <c r="C63" s="819" t="s">
        <v>91</v>
      </c>
      <c r="D63" s="617">
        <f>'T-1'!M67-'T-6 (six mth)'!H66/0.9522</f>
        <v>0.83679899180844242</v>
      </c>
      <c r="E63" s="617">
        <f t="shared" si="33"/>
        <v>0.83679899180844242</v>
      </c>
      <c r="F63" s="818"/>
      <c r="G63" s="409">
        <f>'T-1'!H67</f>
        <v>1</v>
      </c>
      <c r="H63" s="409">
        <f>('T-1'!I67+'T-1'!L67)/2</f>
        <v>5000</v>
      </c>
      <c r="I63" s="816"/>
      <c r="J63" s="1388">
        <v>0</v>
      </c>
      <c r="K63" s="816">
        <f>720+20+30</f>
        <v>770</v>
      </c>
      <c r="L63" s="814"/>
      <c r="M63" s="820"/>
      <c r="N63" s="820"/>
      <c r="O63" s="820">
        <v>700</v>
      </c>
      <c r="P63" s="1384"/>
      <c r="Q63" s="814"/>
      <c r="R63" s="409"/>
      <c r="S63" s="174"/>
      <c r="T63" s="817">
        <f t="shared" si="37"/>
        <v>0</v>
      </c>
      <c r="U63" s="817">
        <f>(E63*K63+F63*L63)/10-((0*20*1/10))</f>
        <v>64.43352236925007</v>
      </c>
      <c r="V63" s="1386"/>
      <c r="W63" s="1386">
        <f t="shared" si="38"/>
        <v>4.2000000000000003E-2</v>
      </c>
      <c r="X63" s="1059">
        <f t="shared" si="39"/>
        <v>64.475522369250072</v>
      </c>
      <c r="Y63" s="1386"/>
      <c r="Z63" s="619">
        <f t="shared" si="40"/>
        <v>762.7968935240965</v>
      </c>
      <c r="AA63" s="818"/>
      <c r="AB63" s="817"/>
      <c r="AC63" s="424">
        <f t="shared" si="41"/>
        <v>64.475522369250072</v>
      </c>
      <c r="AD63" s="425"/>
      <c r="AE63" s="313">
        <v>0.09</v>
      </c>
      <c r="AF63" s="817">
        <f t="shared" si="42"/>
        <v>5.7990170132325058</v>
      </c>
      <c r="AG63" s="816">
        <f t="shared" si="43"/>
        <v>769.72689352409645</v>
      </c>
      <c r="AH63" s="817">
        <f t="shared" si="48"/>
        <v>0.64475522369250071</v>
      </c>
      <c r="AI63" s="817">
        <f t="shared" si="44"/>
        <v>0</v>
      </c>
      <c r="AJ63" s="817">
        <f t="shared" si="45"/>
        <v>0</v>
      </c>
      <c r="AK63" s="817">
        <f t="shared" si="46"/>
        <v>0</v>
      </c>
      <c r="AL63" s="817">
        <f t="shared" si="47"/>
        <v>63.830767145557573</v>
      </c>
      <c r="AM63" s="817"/>
      <c r="AN63" s="455"/>
    </row>
    <row r="64" spans="1:40" ht="18" customHeight="1">
      <c r="A64" s="814">
        <v>39</v>
      </c>
      <c r="B64" s="814" t="s">
        <v>87</v>
      </c>
      <c r="C64" s="819" t="s">
        <v>91</v>
      </c>
      <c r="D64" s="617">
        <f>'T-1'!M68-'T-6 (six mth)'!H68</f>
        <v>34.096348560000003</v>
      </c>
      <c r="E64" s="617">
        <f t="shared" si="33"/>
        <v>34.096348560000003</v>
      </c>
      <c r="F64" s="818"/>
      <c r="G64" s="409">
        <f>'T-1'!H68</f>
        <v>0</v>
      </c>
      <c r="H64" s="409">
        <f>('T-1'!I68+'T-1'!L68)/2</f>
        <v>0</v>
      </c>
      <c r="I64" s="816"/>
      <c r="J64" s="1388"/>
      <c r="K64" s="816">
        <f>435+20+30</f>
        <v>485</v>
      </c>
      <c r="L64" s="814"/>
      <c r="M64" s="814"/>
      <c r="N64" s="814"/>
      <c r="O64" s="820">
        <v>0</v>
      </c>
      <c r="P64" s="814"/>
      <c r="Q64" s="814"/>
      <c r="R64" s="409">
        <f>X64/D64*10</f>
        <v>485.00000000000006</v>
      </c>
      <c r="S64" s="174"/>
      <c r="T64" s="817"/>
      <c r="U64" s="817">
        <f>(E64*K64+F64*L64)/10</f>
        <v>1653.6729051600003</v>
      </c>
      <c r="V64" s="1386"/>
      <c r="W64" s="1386">
        <f t="shared" si="38"/>
        <v>0</v>
      </c>
      <c r="X64" s="1059">
        <f t="shared" si="39"/>
        <v>1653.6729051600003</v>
      </c>
      <c r="Y64" s="1386"/>
      <c r="Z64" s="619">
        <f t="shared" si="40"/>
        <v>480.15</v>
      </c>
      <c r="AA64" s="818"/>
      <c r="AB64" s="817"/>
      <c r="AC64" s="424">
        <f t="shared" si="41"/>
        <v>1653.6729051600003</v>
      </c>
      <c r="AD64" s="425"/>
      <c r="AE64" s="313">
        <v>0.09</v>
      </c>
      <c r="AF64" s="817">
        <f t="shared" si="42"/>
        <v>148.83056146440001</v>
      </c>
      <c r="AG64" s="816">
        <f t="shared" si="43"/>
        <v>484.51499999999999</v>
      </c>
      <c r="AH64" s="817">
        <f t="shared" si="48"/>
        <v>16.536729051600002</v>
      </c>
      <c r="AI64" s="817"/>
      <c r="AJ64" s="817"/>
      <c r="AK64" s="817">
        <f t="shared" si="46"/>
        <v>0</v>
      </c>
      <c r="AL64" s="817">
        <f t="shared" si="47"/>
        <v>1637.1361761084002</v>
      </c>
      <c r="AM64" s="817"/>
      <c r="AN64" s="455"/>
    </row>
    <row r="65" spans="1:40" ht="18" customHeight="1">
      <c r="A65" s="814">
        <v>40</v>
      </c>
      <c r="B65" s="814" t="s">
        <v>307</v>
      </c>
      <c r="C65" s="819" t="s">
        <v>91</v>
      </c>
      <c r="D65" s="617">
        <f>'T-1'!M69</f>
        <v>0</v>
      </c>
      <c r="E65" s="617">
        <f t="shared" si="33"/>
        <v>0</v>
      </c>
      <c r="F65" s="818"/>
      <c r="G65" s="409">
        <f>'T-1'!P69</f>
        <v>0</v>
      </c>
      <c r="H65" s="409">
        <f>'T-1'!Q69</f>
        <v>0</v>
      </c>
      <c r="I65" s="816"/>
      <c r="J65" s="817"/>
      <c r="K65" s="816"/>
      <c r="L65" s="814"/>
      <c r="M65" s="814"/>
      <c r="N65" s="814"/>
      <c r="O65" s="820"/>
      <c r="P65" s="1384"/>
      <c r="Q65" s="814"/>
      <c r="R65" s="409" t="e">
        <f>X65/D65*10</f>
        <v>#DIV/0!</v>
      </c>
      <c r="S65" s="174"/>
      <c r="T65" s="817"/>
      <c r="U65" s="817">
        <f>(E65*K65+F65*L65)/10</f>
        <v>0</v>
      </c>
      <c r="V65" s="1386"/>
      <c r="W65" s="1386">
        <f t="shared" si="38"/>
        <v>0</v>
      </c>
      <c r="X65" s="1059">
        <f t="shared" si="39"/>
        <v>0</v>
      </c>
      <c r="Y65" s="1386"/>
      <c r="Z65" s="619"/>
      <c r="AA65" s="818"/>
      <c r="AB65" s="817"/>
      <c r="AC65" s="424">
        <f t="shared" si="41"/>
        <v>0</v>
      </c>
      <c r="AD65" s="425"/>
      <c r="AE65" s="313">
        <v>0.09</v>
      </c>
      <c r="AF65" s="817">
        <f t="shared" si="42"/>
        <v>0</v>
      </c>
      <c r="AG65" s="816" t="e">
        <f t="shared" si="43"/>
        <v>#DIV/0!</v>
      </c>
      <c r="AH65" s="817"/>
      <c r="AI65" s="817"/>
      <c r="AJ65" s="817"/>
      <c r="AK65" s="817"/>
      <c r="AL65" s="817">
        <f>AC65-AH65+AI65+AJ65</f>
        <v>0</v>
      </c>
      <c r="AM65" s="817"/>
      <c r="AN65" s="455"/>
    </row>
    <row r="66" spans="1:40" ht="18" customHeight="1">
      <c r="A66" s="814"/>
      <c r="B66" s="100" t="s">
        <v>308</v>
      </c>
      <c r="C66" s="455"/>
      <c r="D66" s="1390">
        <f t="shared" ref="D66:I66" si="51">SUM(D55:D64)</f>
        <v>2932.3432873747192</v>
      </c>
      <c r="E66" s="1390">
        <f t="shared" si="51"/>
        <v>2773.666578720492</v>
      </c>
      <c r="F66" s="1390">
        <f t="shared" si="51"/>
        <v>158.67670865422696</v>
      </c>
      <c r="G66" s="1391">
        <f t="shared" si="51"/>
        <v>39</v>
      </c>
      <c r="H66" s="1391">
        <f t="shared" si="51"/>
        <v>1147931.5</v>
      </c>
      <c r="I66" s="1391">
        <f t="shared" si="51"/>
        <v>0</v>
      </c>
      <c r="J66" s="822"/>
      <c r="K66" s="827"/>
      <c r="L66" s="827"/>
      <c r="M66" s="827"/>
      <c r="N66" s="827"/>
      <c r="O66" s="100"/>
      <c r="P66" s="100"/>
      <c r="Q66" s="1360"/>
      <c r="R66" s="112">
        <f>X66/D66*10</f>
        <v>555.83071049268187</v>
      </c>
      <c r="S66" s="174"/>
      <c r="T66" s="822">
        <f>SUM(T55:T64)</f>
        <v>13715.178</v>
      </c>
      <c r="U66" s="822">
        <f>SUM(U55:U64)</f>
        <v>149271.82928299363</v>
      </c>
      <c r="V66" s="1392"/>
      <c r="W66" s="1392">
        <f>SUM(W55:W64)</f>
        <v>1.6380000000000001</v>
      </c>
      <c r="X66" s="1392">
        <f>SUM(X55:X64)</f>
        <v>162988.64528299365</v>
      </c>
      <c r="Y66" s="1392"/>
      <c r="Z66" s="241">
        <f t="shared" si="40"/>
        <v>553.04771618315885</v>
      </c>
      <c r="AA66" s="1390">
        <f>SUM(AA55:AA64)</f>
        <v>0</v>
      </c>
      <c r="AB66" s="823">
        <f>SUM(AB55:AB64)</f>
        <v>0</v>
      </c>
      <c r="AC66" s="1393">
        <f>SUM(AC55:AC64)</f>
        <v>162988.64528299365</v>
      </c>
      <c r="AD66" s="823"/>
      <c r="AE66" s="313"/>
      <c r="AF66" s="822">
        <f>SUM(AF55:AF64)</f>
        <v>11290.755463161819</v>
      </c>
      <c r="AG66" s="1391">
        <f t="shared" si="43"/>
        <v>556.89813694111524</v>
      </c>
      <c r="AH66" s="823">
        <f>SUM(AH55:AH64)</f>
        <v>816.06946823316366</v>
      </c>
      <c r="AI66" s="822">
        <f>SUM(AI55:AI64)</f>
        <v>0</v>
      </c>
      <c r="AJ66" s="822">
        <f>SUM(AJ55:AJ64)</f>
        <v>0</v>
      </c>
      <c r="AK66" s="822">
        <f>SUM(AK55:AK64)</f>
        <v>0</v>
      </c>
      <c r="AL66" s="822">
        <f>SUM(AL55:AL64)</f>
        <v>162172.57581476049</v>
      </c>
      <c r="AM66" s="822"/>
      <c r="AN66" s="455"/>
    </row>
    <row r="67" spans="1:40" ht="18" customHeight="1">
      <c r="A67" s="1751" t="s">
        <v>95</v>
      </c>
      <c r="B67" s="1751"/>
      <c r="C67" s="1751"/>
      <c r="D67" s="1390">
        <f t="shared" ref="D67:I67" si="52">D66+D53+D35</f>
        <v>5376.4982088453689</v>
      </c>
      <c r="E67" s="1399">
        <f t="shared" si="52"/>
        <v>3613.3701515518378</v>
      </c>
      <c r="F67" s="1399">
        <f t="shared" si="52"/>
        <v>343.93456279319139</v>
      </c>
      <c r="G67" s="1391">
        <f t="shared" si="52"/>
        <v>2224067</v>
      </c>
      <c r="H67" s="1391">
        <f t="shared" si="52"/>
        <v>4538213.0814000014</v>
      </c>
      <c r="I67" s="1391">
        <f t="shared" si="52"/>
        <v>1392938.84342</v>
      </c>
      <c r="J67" s="819"/>
      <c r="K67" s="819"/>
      <c r="L67" s="819"/>
      <c r="M67" s="819"/>
      <c r="N67" s="819"/>
      <c r="O67" s="819"/>
      <c r="P67" s="819"/>
      <c r="Q67" s="1360"/>
      <c r="R67" s="112">
        <f>X67/D67*10</f>
        <v>561.86614333075772</v>
      </c>
      <c r="S67" s="174"/>
      <c r="T67" s="822">
        <f>T66+T53+T35</f>
        <v>21381.45716533333</v>
      </c>
      <c r="U67" s="822">
        <f>U66+U53+U35</f>
        <v>277028.32567077799</v>
      </c>
      <c r="V67" s="1392">
        <f>V66+V53+V35</f>
        <v>3659.4826867560005</v>
      </c>
      <c r="W67" s="1392">
        <f>W66+W53+W35</f>
        <v>17.965799999999998</v>
      </c>
      <c r="X67" s="1392">
        <f>X66+X53+X35</f>
        <v>302087.23132286739</v>
      </c>
      <c r="Y67" s="1392"/>
      <c r="Z67" s="241">
        <f t="shared" si="40"/>
        <v>557.35690169606426</v>
      </c>
      <c r="AA67" s="1399">
        <f>AA66+AA53+AA35</f>
        <v>467.44607499999995</v>
      </c>
      <c r="AB67" s="822">
        <f>AB66+AB53+AB35</f>
        <v>467.44607500000001</v>
      </c>
      <c r="AC67" s="1400">
        <f>AC66+AC53+AC35</f>
        <v>301619.7852478674</v>
      </c>
      <c r="AD67" s="1401"/>
      <c r="AE67" s="1385"/>
      <c r="AF67" s="822">
        <f>AF66+AF53+AF35</f>
        <v>18427.542931874519</v>
      </c>
      <c r="AG67" s="1391">
        <f t="shared" si="43"/>
        <v>560.78432642793859</v>
      </c>
      <c r="AH67" s="1401">
        <f>AH66+AH53+AH35</f>
        <v>1956.9468822180206</v>
      </c>
      <c r="AI67" s="822">
        <f>AI66+AI53+AI35</f>
        <v>0</v>
      </c>
      <c r="AJ67" s="822">
        <f>AJ66+AJ53+AJ35</f>
        <v>0</v>
      </c>
      <c r="AK67" s="822">
        <f>AK66+AK53+AK35</f>
        <v>0</v>
      </c>
      <c r="AL67" s="822">
        <f>AL66+AL53+AL35</f>
        <v>300143.49554294389</v>
      </c>
      <c r="AM67" s="822"/>
      <c r="AN67" s="455"/>
    </row>
    <row r="68" spans="1:40" ht="15">
      <c r="C68" s="1402"/>
      <c r="D68" s="4"/>
      <c r="I68" s="223"/>
      <c r="L68" s="223"/>
      <c r="O68" s="455"/>
      <c r="P68" s="455"/>
      <c r="AJ68" s="506"/>
      <c r="AK68" s="506"/>
      <c r="AL68" s="312"/>
      <c r="AM68" s="506"/>
    </row>
    <row r="69" spans="1:40">
      <c r="D69" s="4"/>
      <c r="K69" s="8"/>
      <c r="AJ69" s="506"/>
      <c r="AK69" s="506"/>
      <c r="AL69" s="506"/>
      <c r="AM69" s="506"/>
    </row>
    <row r="70" spans="1:40" ht="15">
      <c r="O70" s="455"/>
      <c r="P70" s="455"/>
      <c r="AJ70" s="506"/>
      <c r="AK70" s="506"/>
      <c r="AL70" s="506"/>
      <c r="AM70" s="506"/>
    </row>
    <row r="71" spans="1:40" ht="15">
      <c r="O71" s="455"/>
      <c r="P71" s="455"/>
      <c r="AJ71" s="506"/>
      <c r="AK71" s="506"/>
      <c r="AL71" s="506"/>
      <c r="AM71" s="506"/>
    </row>
    <row r="72" spans="1:40" ht="15">
      <c r="O72" s="455"/>
      <c r="P72" s="455"/>
      <c r="AJ72" s="506"/>
      <c r="AK72" s="506"/>
      <c r="AL72" s="506"/>
      <c r="AM72" s="506"/>
    </row>
    <row r="73" spans="1:40" ht="15">
      <c r="O73" s="455"/>
      <c r="P73" s="455"/>
      <c r="AJ73" s="506"/>
      <c r="AK73" s="506"/>
      <c r="AL73" s="506"/>
      <c r="AM73" s="506"/>
    </row>
    <row r="74" spans="1:40" ht="15">
      <c r="O74" s="455"/>
      <c r="P74" s="455"/>
      <c r="AJ74" s="506"/>
      <c r="AK74" s="506"/>
      <c r="AL74" s="506"/>
      <c r="AM74" s="506"/>
    </row>
    <row r="75" spans="1:40" ht="15">
      <c r="O75" s="455"/>
      <c r="P75" s="455"/>
      <c r="AJ75" s="506"/>
      <c r="AK75" s="506"/>
      <c r="AL75" s="506"/>
      <c r="AM75" s="506"/>
    </row>
    <row r="76" spans="1:40" ht="15">
      <c r="O76" s="455"/>
      <c r="P76" s="455"/>
      <c r="AJ76" s="506"/>
      <c r="AK76" s="506"/>
      <c r="AL76" s="506"/>
      <c r="AM76" s="506"/>
    </row>
    <row r="77" spans="1:40">
      <c r="G77" s="2"/>
      <c r="H77" s="2"/>
      <c r="I77" s="2"/>
      <c r="J77" s="2"/>
      <c r="K77" s="2"/>
      <c r="L77" s="2"/>
      <c r="M77" s="2"/>
      <c r="N77" s="2"/>
      <c r="O77" s="2"/>
      <c r="P77" s="2"/>
      <c r="Q77" s="2"/>
      <c r="R77" s="2"/>
      <c r="S77" s="2"/>
      <c r="AJ77" s="506"/>
      <c r="AK77" s="506"/>
      <c r="AL77" s="506"/>
      <c r="AM77" s="506"/>
    </row>
    <row r="78" spans="1:40" ht="15">
      <c r="O78" s="1403"/>
      <c r="P78" s="1403"/>
      <c r="Q78" s="1403"/>
      <c r="R78" s="1403"/>
      <c r="S78" s="1403"/>
      <c r="AJ78" s="506"/>
      <c r="AK78" s="506"/>
      <c r="AL78" s="506"/>
      <c r="AM78" s="506"/>
    </row>
    <row r="79" spans="1:40" ht="15">
      <c r="O79" s="1403"/>
      <c r="P79" s="1403"/>
      <c r="Q79" s="1403"/>
      <c r="R79" s="1403"/>
      <c r="S79" s="1403"/>
      <c r="AJ79" s="506"/>
      <c r="AK79" s="506"/>
      <c r="AL79" s="506"/>
      <c r="AM79" s="506"/>
    </row>
    <row r="80" spans="1:40" ht="15">
      <c r="O80" s="455"/>
      <c r="P80" s="455"/>
      <c r="AJ80" s="506"/>
      <c r="AK80" s="506"/>
      <c r="AL80" s="506"/>
      <c r="AM80" s="506"/>
    </row>
    <row r="81" spans="7:39" ht="15">
      <c r="O81" s="455"/>
      <c r="P81" s="455"/>
      <c r="AJ81" s="506"/>
      <c r="AK81" s="506"/>
      <c r="AL81" s="506"/>
      <c r="AM81" s="506"/>
    </row>
    <row r="82" spans="7:39">
      <c r="G82" s="2"/>
      <c r="H82" s="2"/>
      <c r="I82" s="2"/>
      <c r="J82" s="2"/>
      <c r="K82" s="2"/>
      <c r="L82" s="2"/>
      <c r="M82" s="2"/>
      <c r="N82" s="2"/>
      <c r="O82" s="2"/>
      <c r="P82" s="2"/>
      <c r="Q82" s="2"/>
      <c r="R82" s="2"/>
      <c r="S82" s="2"/>
      <c r="AJ82" s="506"/>
      <c r="AK82" s="506"/>
      <c r="AL82" s="506"/>
      <c r="AM82" s="506"/>
    </row>
    <row r="83" spans="7:39" ht="15">
      <c r="O83" s="1403"/>
      <c r="P83" s="1403"/>
      <c r="Q83" s="1403"/>
      <c r="R83" s="1403"/>
      <c r="S83" s="1403"/>
      <c r="AJ83" s="506"/>
      <c r="AK83" s="506"/>
      <c r="AL83" s="506"/>
      <c r="AM83" s="506"/>
    </row>
    <row r="84" spans="7:39" ht="15">
      <c r="O84" s="1403"/>
      <c r="P84" s="1403"/>
      <c r="Q84" s="1403"/>
      <c r="R84" s="1403"/>
      <c r="S84" s="1403"/>
      <c r="AJ84" s="506"/>
      <c r="AK84" s="506"/>
      <c r="AL84" s="506"/>
      <c r="AM84" s="506"/>
    </row>
    <row r="85" spans="7:39">
      <c r="AJ85" s="506"/>
      <c r="AK85" s="506"/>
      <c r="AL85" s="506"/>
      <c r="AM85" s="506"/>
    </row>
    <row r="86" spans="7:39">
      <c r="AJ86" s="506"/>
      <c r="AK86" s="506"/>
      <c r="AL86" s="506"/>
      <c r="AM86" s="506"/>
    </row>
    <row r="87" spans="7:39">
      <c r="AJ87" s="506"/>
      <c r="AK87" s="506"/>
      <c r="AL87" s="506"/>
      <c r="AM87" s="506"/>
    </row>
    <row r="88" spans="7:39">
      <c r="AJ88" s="506"/>
      <c r="AK88" s="506"/>
      <c r="AL88" s="506"/>
      <c r="AM88" s="506"/>
    </row>
    <row r="89" spans="7:39">
      <c r="AJ89" s="506"/>
      <c r="AK89" s="506"/>
      <c r="AL89" s="506"/>
      <c r="AM89" s="506"/>
    </row>
    <row r="90" spans="7:39">
      <c r="AJ90" s="506"/>
      <c r="AK90" s="506"/>
      <c r="AL90" s="506"/>
      <c r="AM90" s="506"/>
    </row>
    <row r="91" spans="7:39">
      <c r="AJ91" s="506"/>
      <c r="AK91" s="506"/>
      <c r="AL91" s="506"/>
      <c r="AM91" s="506"/>
    </row>
    <row r="92" spans="7:39">
      <c r="AJ92" s="506"/>
      <c r="AK92" s="506"/>
      <c r="AL92" s="506"/>
      <c r="AM92" s="506"/>
    </row>
    <row r="93" spans="7:39">
      <c r="AJ93" s="506"/>
      <c r="AK93" s="506"/>
      <c r="AL93" s="506"/>
      <c r="AM93" s="506"/>
    </row>
  </sheetData>
  <mergeCells count="3">
    <mergeCell ref="A67:C67"/>
    <mergeCell ref="M7:N7"/>
    <mergeCell ref="P7:Q7"/>
  </mergeCells>
  <phoneticPr fontId="0" type="noConversion"/>
  <printOptions horizontalCentered="1" gridLines="1"/>
  <pageMargins left="0.23622047244094491" right="0" top="0.51181102362204722" bottom="0.51181102362204722" header="0" footer="0.19685039370078741"/>
  <pageSetup paperSize="9" scale="77" fitToWidth="15" fitToHeight="15" orientation="landscape" r:id="rId1"/>
  <headerFooter alignWithMargins="0">
    <oddFooter>&amp;R&amp;"Arial,Bold"&amp;12OERC FORM-&amp;A</oddFooter>
  </headerFooter>
  <rowBreaks count="2" manualBreakCount="2">
    <brk id="35" max="38" man="1"/>
    <brk id="53" max="38" man="1"/>
  </rowBreaks>
  <colBreaks count="3" manualBreakCount="3">
    <brk id="12" max="66" man="1"/>
    <brk id="21" max="66" man="1"/>
    <brk id="31" max="66"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N93"/>
  <sheetViews>
    <sheetView view="pageBreakPreview" zoomScale="90" zoomScaleNormal="75" zoomScaleSheetLayoutView="90" workbookViewId="0">
      <pane ySplit="7" topLeftCell="A57" activePane="bottomLeft" state="frozen"/>
      <selection activeCell="L45" sqref="L45"/>
      <selection pane="bottomLeft" activeCell="L45" sqref="L45"/>
    </sheetView>
  </sheetViews>
  <sheetFormatPr defaultColWidth="8.7109375" defaultRowHeight="12.75"/>
  <cols>
    <col min="1" max="1" width="3.5703125" customWidth="1"/>
    <col min="2" max="2" width="30" customWidth="1"/>
    <col min="3" max="3" width="10.85546875" customWidth="1"/>
    <col min="4" max="4" width="13.5703125" bestFit="1" customWidth="1"/>
    <col min="5" max="5" width="13.85546875" customWidth="1"/>
    <col min="6" max="6" width="11.28515625" customWidth="1"/>
    <col min="7" max="7" width="11.42578125" bestFit="1" customWidth="1"/>
    <col min="8" max="8" width="11.140625" bestFit="1" customWidth="1"/>
    <col min="9" max="9" width="10.42578125" customWidth="1"/>
    <col min="10" max="10" width="10" customWidth="1"/>
    <col min="11" max="11" width="11.85546875" customWidth="1"/>
    <col min="12" max="12" width="9.7109375" customWidth="1"/>
    <col min="13" max="13" width="8.42578125" customWidth="1"/>
    <col min="14" max="14" width="7.28515625" customWidth="1"/>
    <col min="15" max="15" width="10.140625" customWidth="1"/>
    <col min="16" max="16" width="12" customWidth="1"/>
    <col min="17" max="17" width="12.28515625" customWidth="1"/>
    <col min="18" max="18" width="9.28515625" customWidth="1"/>
    <col min="19" max="19" width="8.28515625" customWidth="1"/>
    <col min="20" max="20" width="16.85546875" bestFit="1" customWidth="1"/>
    <col min="21" max="21" width="12.28515625" customWidth="1"/>
    <col min="22" max="22" width="10.85546875" bestFit="1" customWidth="1"/>
    <col min="23" max="23" width="10.7109375" customWidth="1"/>
    <col min="24" max="24" width="12.28515625" customWidth="1"/>
    <col min="25" max="25" width="7.140625" style="703" customWidth="1"/>
    <col min="27" max="27" width="11.42578125" customWidth="1"/>
    <col min="28" max="28" width="8.5703125" customWidth="1"/>
    <col min="29" max="30" width="12.85546875" customWidth="1"/>
    <col min="31" max="31" width="7.7109375" customWidth="1"/>
    <col min="32" max="32" width="11.42578125" style="8" customWidth="1"/>
    <col min="33" max="34" width="10" customWidth="1"/>
    <col min="35" max="35" width="9.85546875" customWidth="1"/>
    <col min="36" max="37" width="10.5703125" customWidth="1"/>
    <col min="38" max="38" width="12.5703125" customWidth="1"/>
    <col min="39" max="39" width="10.5703125" customWidth="1"/>
  </cols>
  <sheetData>
    <row r="1" spans="1:40">
      <c r="B1" s="2" t="s">
        <v>106</v>
      </c>
      <c r="R1" s="4"/>
      <c r="S1" s="4"/>
      <c r="T1" s="9"/>
    </row>
    <row r="2" spans="1:40" ht="22.5" customHeight="1">
      <c r="B2" s="70" t="s">
        <v>309</v>
      </c>
    </row>
    <row r="3" spans="1:40" ht="18">
      <c r="B3" s="6" t="s">
        <v>310</v>
      </c>
    </row>
    <row r="4" spans="1:40">
      <c r="B4" s="2"/>
    </row>
    <row r="5" spans="1:40" ht="15.75">
      <c r="A5" s="1378">
        <v>1</v>
      </c>
      <c r="B5" s="1379">
        <v>2</v>
      </c>
      <c r="C5" s="1378">
        <v>3</v>
      </c>
      <c r="D5" s="1378">
        <v>4</v>
      </c>
      <c r="E5" s="1378">
        <v>5</v>
      </c>
      <c r="F5" s="1378">
        <v>6</v>
      </c>
      <c r="G5" s="1378">
        <v>7</v>
      </c>
      <c r="H5" s="1378">
        <v>8</v>
      </c>
      <c r="I5" s="1378">
        <v>9</v>
      </c>
      <c r="J5" s="1378">
        <v>10</v>
      </c>
      <c r="K5" s="1378">
        <v>11</v>
      </c>
      <c r="L5" s="1378">
        <v>12</v>
      </c>
      <c r="M5" s="1378">
        <v>13</v>
      </c>
      <c r="N5" s="1378">
        <v>14</v>
      </c>
      <c r="O5" s="1378">
        <v>15</v>
      </c>
      <c r="P5" s="1378">
        <v>16</v>
      </c>
      <c r="Q5" s="1378">
        <v>17</v>
      </c>
      <c r="R5" s="1378">
        <v>18</v>
      </c>
      <c r="S5" s="1378">
        <v>19</v>
      </c>
      <c r="T5" s="1378">
        <v>20</v>
      </c>
      <c r="U5" s="1378">
        <v>21</v>
      </c>
      <c r="V5" s="1378">
        <v>22</v>
      </c>
      <c r="W5" s="1378">
        <v>23</v>
      </c>
      <c r="X5" s="1378">
        <v>24</v>
      </c>
      <c r="Y5" s="1378">
        <v>25</v>
      </c>
      <c r="Z5" s="1378">
        <v>26</v>
      </c>
      <c r="AA5" s="1378">
        <v>27</v>
      </c>
      <c r="AB5" s="1378">
        <v>28</v>
      </c>
      <c r="AC5" s="1378">
        <v>29</v>
      </c>
      <c r="AD5" s="1378">
        <v>30</v>
      </c>
      <c r="AE5" s="1378">
        <v>31</v>
      </c>
      <c r="AF5" s="1378">
        <v>32</v>
      </c>
      <c r="AG5" s="1378">
        <v>33</v>
      </c>
      <c r="AH5" s="1378">
        <v>34</v>
      </c>
      <c r="AI5" s="1378">
        <v>35</v>
      </c>
      <c r="AJ5" s="1378">
        <v>36</v>
      </c>
      <c r="AK5" s="1378">
        <v>37</v>
      </c>
      <c r="AL5" s="1378">
        <v>37</v>
      </c>
      <c r="AM5" s="1378">
        <v>38</v>
      </c>
      <c r="AN5" s="455"/>
    </row>
    <row r="6" spans="1:40" ht="15.75">
      <c r="A6" s="1378"/>
      <c r="B6" s="1379"/>
      <c r="C6" s="1378"/>
      <c r="D6" s="1378"/>
      <c r="E6" s="1378"/>
      <c r="F6" s="1378"/>
      <c r="G6" s="1378"/>
      <c r="H6" s="1378"/>
      <c r="I6" s="1378"/>
      <c r="J6" s="1378"/>
      <c r="K6" s="1378"/>
      <c r="L6" s="1378"/>
      <c r="M6" s="1380"/>
      <c r="N6" s="1381"/>
      <c r="O6" s="1378"/>
      <c r="P6" s="1380"/>
      <c r="Q6" s="1381"/>
      <c r="R6" s="1378"/>
      <c r="S6" s="1378"/>
      <c r="T6" s="1378"/>
      <c r="U6" s="1378"/>
      <c r="V6" s="1378"/>
      <c r="W6" s="1378"/>
      <c r="X6" s="1378"/>
      <c r="Y6" s="1378"/>
      <c r="Z6" s="1378"/>
      <c r="AA6" s="1378"/>
      <c r="AB6" s="1378"/>
      <c r="AC6" s="1378"/>
      <c r="AD6" s="1378"/>
      <c r="AE6" s="1378"/>
      <c r="AF6" s="1378"/>
      <c r="AG6" s="1378"/>
      <c r="AH6" s="1378"/>
      <c r="AI6" s="1378"/>
      <c r="AJ6" s="1378"/>
      <c r="AK6" s="1378"/>
      <c r="AL6" s="1378"/>
      <c r="AM6" s="1378"/>
      <c r="AN6" s="455"/>
    </row>
    <row r="7" spans="1:40" s="1383" customFormat="1" ht="88.5" customHeight="1">
      <c r="A7" s="813" t="s">
        <v>235</v>
      </c>
      <c r="B7" s="1382" t="s">
        <v>311</v>
      </c>
      <c r="C7" s="813" t="s">
        <v>236</v>
      </c>
      <c r="D7" s="813" t="s">
        <v>312</v>
      </c>
      <c r="E7" s="813" t="s">
        <v>238</v>
      </c>
      <c r="F7" s="813" t="s">
        <v>239</v>
      </c>
      <c r="G7" s="813" t="s">
        <v>240</v>
      </c>
      <c r="H7" s="813" t="s">
        <v>241</v>
      </c>
      <c r="I7" s="813" t="s">
        <v>242</v>
      </c>
      <c r="J7" s="813" t="s">
        <v>243</v>
      </c>
      <c r="K7" s="813" t="s">
        <v>244</v>
      </c>
      <c r="L7" s="813" t="s">
        <v>313</v>
      </c>
      <c r="M7" s="1802" t="s">
        <v>246</v>
      </c>
      <c r="N7" s="1803"/>
      <c r="O7" s="813" t="s">
        <v>247</v>
      </c>
      <c r="P7" s="1802" t="s">
        <v>248</v>
      </c>
      <c r="Q7" s="1803"/>
      <c r="R7" s="813" t="s">
        <v>249</v>
      </c>
      <c r="S7" s="813" t="s">
        <v>250</v>
      </c>
      <c r="T7" s="813" t="s">
        <v>251</v>
      </c>
      <c r="U7" s="813" t="s">
        <v>252</v>
      </c>
      <c r="V7" s="813" t="s">
        <v>253</v>
      </c>
      <c r="W7" s="813" t="s">
        <v>254</v>
      </c>
      <c r="X7" s="813" t="s">
        <v>255</v>
      </c>
      <c r="Y7" s="813" t="s">
        <v>256</v>
      </c>
      <c r="Z7" s="813" t="s">
        <v>257</v>
      </c>
      <c r="AA7" s="813" t="s">
        <v>258</v>
      </c>
      <c r="AB7" s="813" t="s">
        <v>259</v>
      </c>
      <c r="AC7" s="813" t="s">
        <v>260</v>
      </c>
      <c r="AD7" s="813" t="s">
        <v>261</v>
      </c>
      <c r="AE7" s="813" t="s">
        <v>262</v>
      </c>
      <c r="AF7" s="813" t="s">
        <v>263</v>
      </c>
      <c r="AG7" s="813" t="s">
        <v>264</v>
      </c>
      <c r="AH7" s="813" t="s">
        <v>265</v>
      </c>
      <c r="AI7" s="813" t="s">
        <v>314</v>
      </c>
      <c r="AJ7" s="813" t="s">
        <v>267</v>
      </c>
      <c r="AK7" s="813" t="s">
        <v>268</v>
      </c>
      <c r="AL7" s="813" t="s">
        <v>315</v>
      </c>
      <c r="AM7" s="813" t="s">
        <v>270</v>
      </c>
    </row>
    <row r="8" spans="1:40" s="1383" customFormat="1" ht="44.25" customHeight="1">
      <c r="A8" s="813"/>
      <c r="B8" s="1382" t="s">
        <v>271</v>
      </c>
      <c r="C8" s="813"/>
      <c r="D8" s="813" t="s">
        <v>272</v>
      </c>
      <c r="E8" s="813" t="s">
        <v>272</v>
      </c>
      <c r="F8" s="813" t="s">
        <v>272</v>
      </c>
      <c r="G8" s="813" t="s">
        <v>273</v>
      </c>
      <c r="H8" s="813" t="s">
        <v>274</v>
      </c>
      <c r="I8" s="813" t="s">
        <v>275</v>
      </c>
      <c r="J8" s="813" t="s">
        <v>276</v>
      </c>
      <c r="K8" s="813" t="s">
        <v>277</v>
      </c>
      <c r="L8" s="813" t="s">
        <v>277</v>
      </c>
      <c r="M8" s="813" t="s">
        <v>278</v>
      </c>
      <c r="N8" s="813" t="s">
        <v>279</v>
      </c>
      <c r="O8" s="813" t="s">
        <v>280</v>
      </c>
      <c r="P8" s="813" t="s">
        <v>281</v>
      </c>
      <c r="Q8" s="813" t="s">
        <v>282</v>
      </c>
      <c r="R8" s="813" t="s">
        <v>283</v>
      </c>
      <c r="S8" s="813"/>
      <c r="T8" s="813" t="s">
        <v>284</v>
      </c>
      <c r="U8" s="813" t="s">
        <v>284</v>
      </c>
      <c r="V8" s="813" t="s">
        <v>284</v>
      </c>
      <c r="W8" s="813" t="s">
        <v>284</v>
      </c>
      <c r="X8" s="813" t="s">
        <v>284</v>
      </c>
      <c r="Y8" s="813" t="s">
        <v>285</v>
      </c>
      <c r="Z8" s="813" t="s">
        <v>283</v>
      </c>
      <c r="AA8" s="813" t="s">
        <v>286</v>
      </c>
      <c r="AB8" s="813" t="s">
        <v>284</v>
      </c>
      <c r="AC8" s="813" t="s">
        <v>284</v>
      </c>
      <c r="AD8" s="813" t="s">
        <v>287</v>
      </c>
      <c r="AE8" s="813" t="s">
        <v>288</v>
      </c>
      <c r="AF8" s="813" t="s">
        <v>284</v>
      </c>
      <c r="AG8" s="813" t="s">
        <v>289</v>
      </c>
      <c r="AH8" s="813" t="s">
        <v>284</v>
      </c>
      <c r="AI8" s="813" t="s">
        <v>284</v>
      </c>
      <c r="AJ8" s="813" t="s">
        <v>284</v>
      </c>
      <c r="AK8" s="813" t="s">
        <v>284</v>
      </c>
      <c r="AL8" s="813" t="s">
        <v>284</v>
      </c>
      <c r="AM8" s="813"/>
    </row>
    <row r="9" spans="1:40" ht="15.75">
      <c r="A9" s="814"/>
      <c r="B9" s="100" t="s">
        <v>42</v>
      </c>
      <c r="C9" s="100"/>
      <c r="D9" s="100"/>
      <c r="E9" s="100"/>
      <c r="F9" s="100"/>
      <c r="G9" s="100"/>
      <c r="H9" s="100"/>
      <c r="I9" s="100"/>
      <c r="J9" s="100"/>
      <c r="K9" s="100"/>
      <c r="L9" s="100"/>
      <c r="M9" s="100"/>
      <c r="N9" s="100"/>
      <c r="O9" s="100"/>
      <c r="P9" s="100"/>
      <c r="Q9" s="100"/>
      <c r="R9" s="814"/>
      <c r="S9" s="814"/>
      <c r="T9" s="814"/>
      <c r="U9" s="814"/>
      <c r="V9" s="814"/>
      <c r="W9" s="814"/>
      <c r="X9" s="814"/>
      <c r="Y9" s="1404"/>
      <c r="Z9" s="814"/>
      <c r="AA9" s="814"/>
      <c r="AB9" s="1384"/>
      <c r="AC9" s="814"/>
      <c r="AD9" s="814"/>
      <c r="AE9" s="814"/>
      <c r="AF9" s="819"/>
      <c r="AG9" s="814"/>
      <c r="AH9" s="1384"/>
      <c r="AI9" s="814"/>
      <c r="AJ9" s="814"/>
      <c r="AK9" s="814"/>
      <c r="AL9" s="814"/>
      <c r="AM9" s="814"/>
      <c r="AN9" s="455"/>
    </row>
    <row r="10" spans="1:40" ht="15">
      <c r="A10" s="814">
        <v>1</v>
      </c>
      <c r="B10" s="169" t="s">
        <v>44</v>
      </c>
      <c r="C10" s="165" t="s">
        <v>45</v>
      </c>
      <c r="D10" s="165"/>
      <c r="E10" s="165"/>
      <c r="F10" s="165"/>
      <c r="G10" s="409">
        <f>'T-1'!P13</f>
        <v>2001229</v>
      </c>
      <c r="H10" s="409">
        <f>'T-1'!Q13</f>
        <v>2224956.585</v>
      </c>
      <c r="I10" s="409">
        <f>(137960+197334)+(68760+76863)*2+(23983+7760)*3+(18212+6072)*4</f>
        <v>818905</v>
      </c>
      <c r="J10" s="175"/>
      <c r="K10" s="165"/>
      <c r="L10" s="165"/>
      <c r="M10" s="409">
        <v>20</v>
      </c>
      <c r="N10" s="409">
        <v>20</v>
      </c>
      <c r="O10" s="175"/>
      <c r="P10" s="175"/>
      <c r="Q10" s="175"/>
      <c r="R10" s="175"/>
      <c r="S10" s="38"/>
      <c r="T10" s="455"/>
      <c r="U10" s="1384"/>
      <c r="V10" s="613">
        <f>((H10-I10)*M10+I10*N10)*12/100000</f>
        <v>5339.8958040000007</v>
      </c>
      <c r="W10" s="613"/>
      <c r="X10" s="613">
        <f>SUM(T10:W10)</f>
        <v>5339.8958040000007</v>
      </c>
      <c r="Y10" s="1059">
        <v>0.1</v>
      </c>
      <c r="Z10" s="175"/>
      <c r="AA10" s="614">
        <f>(367528512)/1000000*2</f>
        <v>735.05702399999996</v>
      </c>
      <c r="AB10" s="174">
        <f>AA10*Y10*10</f>
        <v>735.05702400000007</v>
      </c>
      <c r="AC10" s="615">
        <f>X10-AB10</f>
        <v>4604.838780000001</v>
      </c>
      <c r="AD10" s="616"/>
      <c r="AE10" s="1385"/>
      <c r="AF10" s="819"/>
      <c r="AG10" s="814"/>
      <c r="AH10" s="1384"/>
      <c r="AI10" s="175"/>
      <c r="AJ10" s="814"/>
      <c r="AK10" s="814"/>
      <c r="AL10" s="1384">
        <f>AC10-AH10+AI10+AJ10-AK10</f>
        <v>4604.838780000001</v>
      </c>
      <c r="AM10" s="814"/>
      <c r="AN10" s="455"/>
    </row>
    <row r="11" spans="1:40" ht="15">
      <c r="A11" s="814" t="s">
        <v>290</v>
      </c>
      <c r="B11" s="169" t="s">
        <v>176</v>
      </c>
      <c r="C11" s="175"/>
      <c r="D11" s="617">
        <f>'T-1'!S14</f>
        <v>30</v>
      </c>
      <c r="E11" s="617"/>
      <c r="F11" s="176"/>
      <c r="G11" s="409">
        <f>'T-1'!P14</f>
        <v>126562</v>
      </c>
      <c r="H11" s="409">
        <f>'T-1'!Q14</f>
        <v>63281</v>
      </c>
      <c r="I11" s="409"/>
      <c r="J11" s="618">
        <v>80</v>
      </c>
      <c r="K11" s="165"/>
      <c r="L11" s="165"/>
      <c r="M11" s="409"/>
      <c r="N11" s="409"/>
      <c r="O11" s="175"/>
      <c r="P11" s="175"/>
      <c r="Q11" s="175"/>
      <c r="R11" s="613"/>
      <c r="S11" s="613"/>
      <c r="T11" s="613">
        <f>((J11*G11)*12)/100000</f>
        <v>1214.9952000000001</v>
      </c>
      <c r="U11" s="1384"/>
      <c r="V11" s="1384"/>
      <c r="W11" s="613"/>
      <c r="X11" s="613">
        <f>SUM(T11:W11)</f>
        <v>1214.9952000000001</v>
      </c>
      <c r="Y11" s="1059"/>
      <c r="Z11" s="619">
        <f>AC11/D11*10</f>
        <v>404.9984</v>
      </c>
      <c r="AA11" s="614"/>
      <c r="AB11" s="174"/>
      <c r="AC11" s="615">
        <f>X11-AB11</f>
        <v>1214.9952000000001</v>
      </c>
      <c r="AD11" s="616"/>
      <c r="AE11" s="1387">
        <v>0</v>
      </c>
      <c r="AF11" s="817">
        <f>AE11*D11</f>
        <v>0</v>
      </c>
      <c r="AG11" s="1384"/>
      <c r="AH11" s="1384"/>
      <c r="AI11" s="613"/>
      <c r="AJ11" s="814"/>
      <c r="AK11" s="814"/>
      <c r="AL11" s="1384">
        <f>AC11-AH11+AI11+AJ11-AK11</f>
        <v>1214.9952000000001</v>
      </c>
      <c r="AM11" s="814"/>
      <c r="AN11" s="455"/>
    </row>
    <row r="12" spans="1:40" ht="15">
      <c r="A12" s="814" t="s">
        <v>177</v>
      </c>
      <c r="B12" s="620" t="s">
        <v>50</v>
      </c>
      <c r="C12" s="175"/>
      <c r="D12" s="617"/>
      <c r="E12" s="617"/>
      <c r="F12" s="614"/>
      <c r="G12" s="409"/>
      <c r="H12" s="409"/>
      <c r="I12" s="409"/>
      <c r="J12" s="618"/>
      <c r="K12" s="165"/>
      <c r="L12" s="165"/>
      <c r="M12" s="409"/>
      <c r="N12" s="409"/>
      <c r="O12" s="175"/>
      <c r="P12" s="175"/>
      <c r="Q12" s="175"/>
      <c r="R12" s="613"/>
      <c r="S12" s="613"/>
      <c r="T12" s="613"/>
      <c r="U12" s="1384"/>
      <c r="V12" s="1384"/>
      <c r="W12" s="613"/>
      <c r="X12" s="613"/>
      <c r="Y12" s="1059"/>
      <c r="Z12" s="175"/>
      <c r="AA12" s="614"/>
      <c r="AB12" s="174"/>
      <c r="AC12" s="615"/>
      <c r="AD12" s="616"/>
      <c r="AE12" s="1387"/>
      <c r="AF12" s="817"/>
      <c r="AG12" s="814"/>
      <c r="AH12" s="1384"/>
      <c r="AI12" s="613"/>
      <c r="AJ12" s="814"/>
      <c r="AK12" s="814"/>
      <c r="AL12" s="814"/>
      <c r="AM12" s="814"/>
      <c r="AN12" s="455"/>
    </row>
    <row r="13" spans="1:40" ht="15">
      <c r="A13" s="814"/>
      <c r="B13" s="380" t="s">
        <v>178</v>
      </c>
      <c r="C13" s="175"/>
      <c r="D13" s="617">
        <f>'T-1'!S16</f>
        <v>234.28108676308557</v>
      </c>
      <c r="E13" s="617"/>
      <c r="F13" s="614"/>
      <c r="G13" s="409"/>
      <c r="H13" s="409"/>
      <c r="I13" s="409"/>
      <c r="J13" s="618"/>
      <c r="K13" s="409">
        <f>250+20+30</f>
        <v>300</v>
      </c>
      <c r="L13" s="165"/>
      <c r="M13" s="409"/>
      <c r="N13" s="409"/>
      <c r="O13" s="175"/>
      <c r="P13" s="175"/>
      <c r="Q13" s="175"/>
      <c r="R13" s="613"/>
      <c r="S13" s="613"/>
      <c r="T13" s="613"/>
      <c r="U13" s="174">
        <f>D13*K13/10</f>
        <v>7028.432602892567</v>
      </c>
      <c r="V13" s="613"/>
      <c r="W13" s="613"/>
      <c r="X13" s="613">
        <f>SUM(T13:W13)</f>
        <v>7028.432602892567</v>
      </c>
      <c r="Y13" s="1059"/>
      <c r="Z13" s="175"/>
      <c r="AA13" s="614"/>
      <c r="AB13" s="174"/>
      <c r="AC13" s="615">
        <f>X13-AB13</f>
        <v>7028.432602892567</v>
      </c>
      <c r="AD13" s="616"/>
      <c r="AE13" s="1387"/>
      <c r="AF13" s="817"/>
      <c r="AG13" s="814"/>
      <c r="AH13" s="1384"/>
      <c r="AI13" s="613"/>
      <c r="AJ13" s="814"/>
      <c r="AK13" s="814"/>
      <c r="AL13" s="1384">
        <f t="shared" ref="AL13:AL34" si="0">AC13-AH13+AI13+AJ13-AK13</f>
        <v>7028.432602892567</v>
      </c>
      <c r="AM13" s="814"/>
      <c r="AN13" s="455"/>
    </row>
    <row r="14" spans="1:40" ht="15">
      <c r="A14" s="814"/>
      <c r="B14" s="380" t="s">
        <v>53</v>
      </c>
      <c r="C14" s="175"/>
      <c r="D14" s="617">
        <f>'T-1'!S17</f>
        <v>802.16095838043941</v>
      </c>
      <c r="E14" s="617"/>
      <c r="F14" s="614"/>
      <c r="G14" s="409"/>
      <c r="H14" s="409"/>
      <c r="I14" s="409"/>
      <c r="J14" s="618"/>
      <c r="K14" s="409">
        <f>430+20+30</f>
        <v>480</v>
      </c>
      <c r="L14" s="165"/>
      <c r="M14" s="409"/>
      <c r="N14" s="409"/>
      <c r="O14" s="175"/>
      <c r="P14" s="175"/>
      <c r="Q14" s="175"/>
      <c r="R14" s="613"/>
      <c r="S14" s="613"/>
      <c r="T14" s="613"/>
      <c r="U14" s="174">
        <f>D14*K14/10</f>
        <v>38503.726002261086</v>
      </c>
      <c r="V14" s="613"/>
      <c r="W14" s="613"/>
      <c r="X14" s="613">
        <f>SUM(T14:W14)</f>
        <v>38503.726002261086</v>
      </c>
      <c r="Y14" s="1059"/>
      <c r="Z14" s="175"/>
      <c r="AA14" s="614"/>
      <c r="AB14" s="174"/>
      <c r="AC14" s="615">
        <f>X14-AB14</f>
        <v>38503.726002261086</v>
      </c>
      <c r="AD14" s="616"/>
      <c r="AE14" s="1387"/>
      <c r="AF14" s="817"/>
      <c r="AG14" s="814"/>
      <c r="AH14" s="1384"/>
      <c r="AI14" s="613"/>
      <c r="AJ14" s="814"/>
      <c r="AK14" s="814"/>
      <c r="AL14" s="1384">
        <f t="shared" si="0"/>
        <v>38503.726002261086</v>
      </c>
      <c r="AM14" s="814"/>
      <c r="AN14" s="455"/>
    </row>
    <row r="15" spans="1:40" ht="15">
      <c r="A15" s="814"/>
      <c r="B15" s="380" t="s">
        <v>54</v>
      </c>
      <c r="C15" s="175"/>
      <c r="D15" s="617">
        <f>'T-1'!S18</f>
        <v>487.97476563639441</v>
      </c>
      <c r="E15" s="617"/>
      <c r="F15" s="614"/>
      <c r="G15" s="409"/>
      <c r="H15" s="409"/>
      <c r="I15" s="409"/>
      <c r="J15" s="618"/>
      <c r="K15" s="409">
        <f>530+20+30</f>
        <v>580</v>
      </c>
      <c r="L15" s="165"/>
      <c r="M15" s="409"/>
      <c r="N15" s="409"/>
      <c r="O15" s="175"/>
      <c r="P15" s="175"/>
      <c r="Q15" s="175"/>
      <c r="R15" s="613"/>
      <c r="S15" s="613"/>
      <c r="T15" s="613"/>
      <c r="U15" s="174">
        <f>D15*K15/10</f>
        <v>28302.536406910873</v>
      </c>
      <c r="V15" s="613"/>
      <c r="W15" s="613"/>
      <c r="X15" s="613">
        <f>SUM(T15:W15)</f>
        <v>28302.536406910873</v>
      </c>
      <c r="Y15" s="1059"/>
      <c r="Z15" s="175"/>
      <c r="AA15" s="614"/>
      <c r="AB15" s="174"/>
      <c r="AC15" s="615">
        <f>X15-AB15</f>
        <v>28302.536406910873</v>
      </c>
      <c r="AD15" s="616"/>
      <c r="AE15" s="815"/>
      <c r="AF15" s="817"/>
      <c r="AG15" s="814"/>
      <c r="AH15" s="1384"/>
      <c r="AI15" s="613"/>
      <c r="AJ15" s="814"/>
      <c r="AK15" s="814"/>
      <c r="AL15" s="1384">
        <f t="shared" si="0"/>
        <v>28302.536406910873</v>
      </c>
      <c r="AM15" s="814"/>
      <c r="AN15" s="455"/>
    </row>
    <row r="16" spans="1:40" ht="16.5">
      <c r="A16" s="814"/>
      <c r="B16" s="380" t="s">
        <v>291</v>
      </c>
      <c r="C16" s="175"/>
      <c r="D16" s="617">
        <f>'T-1'!S19</f>
        <v>559.58318922008027</v>
      </c>
      <c r="E16" s="617"/>
      <c r="F16" s="614"/>
      <c r="G16" s="409"/>
      <c r="H16" s="409"/>
      <c r="I16" s="409"/>
      <c r="J16" s="618"/>
      <c r="K16" s="409">
        <f>570+20+30</f>
        <v>620</v>
      </c>
      <c r="L16" s="165"/>
      <c r="M16" s="409"/>
      <c r="N16" s="409"/>
      <c r="O16" s="175"/>
      <c r="P16" s="175"/>
      <c r="Q16" s="175"/>
      <c r="R16" s="613"/>
      <c r="S16" s="613"/>
      <c r="T16" s="613"/>
      <c r="U16" s="174">
        <f>(D16*K16/10)-((5.768*2*20)/10)</f>
        <v>34671.085731644976</v>
      </c>
      <c r="V16" s="613"/>
      <c r="W16" s="613"/>
      <c r="X16" s="613">
        <f>SUM(T16:W16)</f>
        <v>34671.085731644976</v>
      </c>
      <c r="Y16" s="1059"/>
      <c r="Z16" s="619"/>
      <c r="AA16" s="614"/>
      <c r="AB16" s="174"/>
      <c r="AC16" s="615">
        <f>X16-AB16</f>
        <v>34671.085731644976</v>
      </c>
      <c r="AD16" s="616"/>
      <c r="AE16" s="313">
        <v>0.04</v>
      </c>
      <c r="AF16" s="817">
        <f>AE16*SUM(U13:U16)</f>
        <v>4340.2312297483804</v>
      </c>
      <c r="AG16" s="1384"/>
      <c r="AH16" s="1384"/>
      <c r="AI16" s="613"/>
      <c r="AJ16" s="814"/>
      <c r="AK16" s="814"/>
      <c r="AL16" s="1384">
        <f t="shared" si="0"/>
        <v>34671.085731644976</v>
      </c>
      <c r="AM16" s="814"/>
      <c r="AN16" s="455"/>
    </row>
    <row r="17" spans="1:40" ht="16.5">
      <c r="A17" s="814"/>
      <c r="B17" s="379" t="s">
        <v>56</v>
      </c>
      <c r="C17" s="165"/>
      <c r="D17" s="240">
        <f>SUM(D10:D16)</f>
        <v>2113.9999999999995</v>
      </c>
      <c r="E17" s="240"/>
      <c r="F17" s="111"/>
      <c r="G17" s="112">
        <f>SUM(G10:G16)</f>
        <v>2127791</v>
      </c>
      <c r="H17" s="112">
        <f>SUM(H10:H16)</f>
        <v>2288237.585</v>
      </c>
      <c r="I17" s="112">
        <f>SUM(I10:I16)</f>
        <v>818905</v>
      </c>
      <c r="J17" s="618"/>
      <c r="K17" s="174"/>
      <c r="L17" s="165"/>
      <c r="M17" s="409"/>
      <c r="N17" s="409"/>
      <c r="O17" s="175"/>
      <c r="P17" s="175"/>
      <c r="Q17" s="175"/>
      <c r="R17" s="112">
        <f>(X17/D17)*10</f>
        <v>544.27943116229676</v>
      </c>
      <c r="S17" s="101"/>
      <c r="T17" s="242">
        <f>SUM(T10:T16)</f>
        <v>1214.9952000000001</v>
      </c>
      <c r="U17" s="101">
        <f>SUM(U10:U16)</f>
        <v>108505.7807437095</v>
      </c>
      <c r="V17" s="101">
        <f>SUM(V10:V16)</f>
        <v>5339.8958040000007</v>
      </c>
      <c r="W17" s="101">
        <f>SUM(W10:W16)</f>
        <v>0</v>
      </c>
      <c r="X17" s="101">
        <f>SUM(X10:X16)</f>
        <v>115060.67174770951</v>
      </c>
      <c r="Y17" s="1059"/>
      <c r="Z17" s="241">
        <f>AC17/D17*10</f>
        <v>540.80234022568357</v>
      </c>
      <c r="AA17" s="111">
        <f>SUM(AA10:AA16)</f>
        <v>735.05702399999996</v>
      </c>
      <c r="AB17" s="101">
        <f>SUM(AB10:AB16)</f>
        <v>735.05702400000007</v>
      </c>
      <c r="AC17" s="423">
        <f>SUM(AC10:AC16)</f>
        <v>114325.6147237095</v>
      </c>
      <c r="AD17" s="109"/>
      <c r="AE17" s="172"/>
      <c r="AF17" s="101">
        <f>SUM(AF10:AF16)</f>
        <v>4340.2312297483804</v>
      </c>
      <c r="AG17" s="816">
        <f>AF17/SUM(D13:D16)+Z17</f>
        <v>542.88498476970869</v>
      </c>
      <c r="AH17" s="1384">
        <f>X17*1%</f>
        <v>1150.6067174770951</v>
      </c>
      <c r="AI17" s="101">
        <f>SUM(AI10:AI16)</f>
        <v>0</v>
      </c>
      <c r="AJ17" s="101">
        <f>SUM(AJ10:AJ16)</f>
        <v>0</v>
      </c>
      <c r="AK17" s="101">
        <f>SUM(AK10:AK16)</f>
        <v>0</v>
      </c>
      <c r="AL17" s="101">
        <f>SUM(AL10:AL16)</f>
        <v>114325.6147237095</v>
      </c>
      <c r="AM17" s="101"/>
      <c r="AN17" s="455"/>
    </row>
    <row r="18" spans="1:40" ht="16.5">
      <c r="A18" s="814">
        <v>2</v>
      </c>
      <c r="B18" s="169" t="s">
        <v>292</v>
      </c>
      <c r="C18" s="165" t="s">
        <v>45</v>
      </c>
      <c r="D18" s="617"/>
      <c r="E18" s="617"/>
      <c r="F18" s="176"/>
      <c r="G18" s="409">
        <f>'T-1'!P26</f>
        <v>109931</v>
      </c>
      <c r="H18" s="409">
        <f>'T-1'!Q26</f>
        <v>326816.72036000103</v>
      </c>
      <c r="I18" s="409">
        <f>(9026+6272)+(4914+2743)*2+(1937+1008)*3+(7630+7745)*4</f>
        <v>100947</v>
      </c>
      <c r="J18" s="618"/>
      <c r="K18" s="174"/>
      <c r="L18" s="165"/>
      <c r="M18" s="409">
        <v>30</v>
      </c>
      <c r="N18" s="409">
        <v>30</v>
      </c>
      <c r="O18" s="175"/>
      <c r="P18" s="175"/>
      <c r="Q18" s="175"/>
      <c r="R18" s="409"/>
      <c r="S18" s="177"/>
      <c r="T18" s="815"/>
      <c r="U18" s="174"/>
      <c r="V18" s="613">
        <f>((H18-I18)*M18+I18*N18)*12/100000</f>
        <v>1176.5401932960037</v>
      </c>
      <c r="W18" s="613"/>
      <c r="X18" s="613">
        <f>SUM(T18:W18)</f>
        <v>1176.5401932960037</v>
      </c>
      <c r="Y18" s="1059">
        <v>0.1</v>
      </c>
      <c r="Z18" s="175"/>
      <c r="AA18" s="614">
        <f>(72486325)/1000000*2</f>
        <v>144.97264999999999</v>
      </c>
      <c r="AB18" s="174">
        <f>Y18*AA18*10</f>
        <v>144.97264999999999</v>
      </c>
      <c r="AC18" s="615">
        <f>X18-AB18</f>
        <v>1031.5675432960038</v>
      </c>
      <c r="AD18" s="616"/>
      <c r="AE18" s="172"/>
      <c r="AF18" s="817"/>
      <c r="AG18" s="817"/>
      <c r="AH18" s="1384"/>
      <c r="AI18" s="174"/>
      <c r="AJ18" s="817"/>
      <c r="AK18" s="817"/>
      <c r="AL18" s="1384">
        <f t="shared" si="0"/>
        <v>1031.5675432960038</v>
      </c>
      <c r="AM18" s="817"/>
      <c r="AN18" s="455"/>
    </row>
    <row r="19" spans="1:40" ht="16.5">
      <c r="A19" s="814"/>
      <c r="B19" s="169" t="s">
        <v>58</v>
      </c>
      <c r="C19" s="165"/>
      <c r="D19" s="617"/>
      <c r="E19" s="617"/>
      <c r="F19" s="176"/>
      <c r="G19" s="409"/>
      <c r="H19" s="409"/>
      <c r="I19" s="409"/>
      <c r="J19" s="618"/>
      <c r="K19" s="174"/>
      <c r="L19" s="165"/>
      <c r="M19" s="409"/>
      <c r="N19" s="409"/>
      <c r="O19" s="175"/>
      <c r="P19" s="175"/>
      <c r="Q19" s="175"/>
      <c r="R19" s="409"/>
      <c r="S19" s="174"/>
      <c r="T19" s="174"/>
      <c r="U19" s="174"/>
      <c r="V19" s="613"/>
      <c r="W19" s="613"/>
      <c r="X19" s="613"/>
      <c r="Y19" s="1059"/>
      <c r="Z19" s="175"/>
      <c r="AA19" s="614"/>
      <c r="AB19" s="174"/>
      <c r="AC19" s="615"/>
      <c r="AD19" s="616"/>
      <c r="AE19" s="172"/>
      <c r="AF19" s="817"/>
      <c r="AG19" s="817"/>
      <c r="AH19" s="1384"/>
      <c r="AI19" s="174"/>
      <c r="AJ19" s="817"/>
      <c r="AK19" s="817"/>
      <c r="AL19" s="817"/>
      <c r="AM19" s="817"/>
      <c r="AN19" s="455"/>
    </row>
    <row r="20" spans="1:40" ht="16.5">
      <c r="A20" s="814"/>
      <c r="B20" s="169" t="s">
        <v>59</v>
      </c>
      <c r="C20" s="165"/>
      <c r="D20" s="617">
        <f>'T-1'!S23</f>
        <v>18.211599113011367</v>
      </c>
      <c r="E20" s="617"/>
      <c r="F20" s="176"/>
      <c r="G20" s="409"/>
      <c r="H20" s="409"/>
      <c r="I20" s="409"/>
      <c r="J20" s="618"/>
      <c r="K20" s="409">
        <f>540+20+30</f>
        <v>590</v>
      </c>
      <c r="L20" s="165"/>
      <c r="M20" s="409"/>
      <c r="N20" s="409"/>
      <c r="O20" s="175"/>
      <c r="P20" s="175"/>
      <c r="Q20" s="175"/>
      <c r="R20" s="409"/>
      <c r="S20" s="174"/>
      <c r="T20" s="174"/>
      <c r="U20" s="174">
        <f>D20*K20/10</f>
        <v>1074.4843476676706</v>
      </c>
      <c r="V20" s="613"/>
      <c r="W20" s="613"/>
      <c r="X20" s="613">
        <f t="shared" ref="X20:X31" si="1">SUM(T20:W20)</f>
        <v>1074.4843476676706</v>
      </c>
      <c r="Y20" s="1059"/>
      <c r="Z20" s="175"/>
      <c r="AA20" s="614"/>
      <c r="AB20" s="174"/>
      <c r="AC20" s="615">
        <f>X20-AB20</f>
        <v>1074.4843476676706</v>
      </c>
      <c r="AD20" s="616"/>
      <c r="AE20" s="172"/>
      <c r="AF20" s="817"/>
      <c r="AG20" s="817"/>
      <c r="AH20" s="1384"/>
      <c r="AI20" s="174"/>
      <c r="AJ20" s="817"/>
      <c r="AK20" s="817"/>
      <c r="AL20" s="1384">
        <f t="shared" si="0"/>
        <v>1074.4843476676706</v>
      </c>
      <c r="AM20" s="817"/>
      <c r="AN20" s="455"/>
    </row>
    <row r="21" spans="1:40" ht="16.5">
      <c r="A21" s="814"/>
      <c r="B21" s="169" t="s">
        <v>60</v>
      </c>
      <c r="C21" s="175"/>
      <c r="D21" s="617">
        <f>'T-1'!S24</f>
        <v>52.271334690983096</v>
      </c>
      <c r="E21" s="617"/>
      <c r="F21" s="614"/>
      <c r="G21" s="409"/>
      <c r="H21" s="409"/>
      <c r="I21" s="409"/>
      <c r="J21" s="618"/>
      <c r="K21" s="409">
        <f>650+20+30</f>
        <v>700</v>
      </c>
      <c r="L21" s="165"/>
      <c r="M21" s="409"/>
      <c r="N21" s="409"/>
      <c r="O21" s="175"/>
      <c r="P21" s="175"/>
      <c r="Q21" s="175"/>
      <c r="R21" s="409"/>
      <c r="S21" s="174"/>
      <c r="T21" s="174"/>
      <c r="U21" s="174">
        <f>D21*K21/10</f>
        <v>3658.9934283688171</v>
      </c>
      <c r="V21" s="613"/>
      <c r="W21" s="613"/>
      <c r="X21" s="613">
        <f t="shared" si="1"/>
        <v>3658.9934283688171</v>
      </c>
      <c r="Y21" s="1059"/>
      <c r="Z21" s="175"/>
      <c r="AA21" s="614"/>
      <c r="AB21" s="174"/>
      <c r="AC21" s="615">
        <f>X21-AB21</f>
        <v>3658.9934283688171</v>
      </c>
      <c r="AD21" s="616"/>
      <c r="AE21" s="172"/>
      <c r="AF21" s="817"/>
      <c r="AG21" s="817"/>
      <c r="AH21" s="1384"/>
      <c r="AI21" s="174"/>
      <c r="AJ21" s="817"/>
      <c r="AK21" s="817"/>
      <c r="AL21" s="1384">
        <f t="shared" si="0"/>
        <v>3658.9934283688171</v>
      </c>
      <c r="AM21" s="817"/>
      <c r="AN21" s="455"/>
    </row>
    <row r="22" spans="1:40" ht="16.5">
      <c r="A22" s="814"/>
      <c r="B22" s="178" t="s">
        <v>61</v>
      </c>
      <c r="C22" s="165"/>
      <c r="D22" s="617">
        <f>'T-1'!S25</f>
        <v>394.5170661960056</v>
      </c>
      <c r="E22" s="617"/>
      <c r="F22" s="176"/>
      <c r="G22" s="409"/>
      <c r="H22" s="409"/>
      <c r="I22" s="409"/>
      <c r="J22" s="618"/>
      <c r="K22" s="409">
        <f>710+20+30</f>
        <v>760</v>
      </c>
      <c r="L22" s="165"/>
      <c r="M22" s="409"/>
      <c r="N22" s="409"/>
      <c r="O22" s="175"/>
      <c r="P22" s="175"/>
      <c r="Q22" s="175"/>
      <c r="R22" s="409"/>
      <c r="S22" s="174"/>
      <c r="T22" s="174"/>
      <c r="U22" s="174">
        <f>(D22*K22/10)-(13.996*2*20)/10</f>
        <v>29927.313030896425</v>
      </c>
      <c r="V22" s="613"/>
      <c r="W22" s="613"/>
      <c r="X22" s="613">
        <f t="shared" si="1"/>
        <v>29927.313030896425</v>
      </c>
      <c r="Y22" s="1059"/>
      <c r="Z22" s="175"/>
      <c r="AA22" s="614"/>
      <c r="AB22" s="174"/>
      <c r="AC22" s="615">
        <f>X22-AB22</f>
        <v>29927.313030896425</v>
      </c>
      <c r="AD22" s="616"/>
      <c r="AE22" s="172"/>
      <c r="AF22" s="815"/>
      <c r="AG22" s="817"/>
      <c r="AH22" s="1384"/>
      <c r="AI22" s="174"/>
      <c r="AJ22" s="817"/>
      <c r="AK22" s="817"/>
      <c r="AL22" s="1384">
        <f t="shared" si="0"/>
        <v>29927.313030896425</v>
      </c>
      <c r="AM22" s="817"/>
      <c r="AN22" s="455"/>
    </row>
    <row r="23" spans="1:40" ht="16.5">
      <c r="A23" s="814"/>
      <c r="B23" s="621" t="s">
        <v>293</v>
      </c>
      <c r="C23" s="175"/>
      <c r="D23" s="240">
        <f>SUM(D18:D22)</f>
        <v>465.00000000000006</v>
      </c>
      <c r="E23" s="240"/>
      <c r="F23" s="111"/>
      <c r="G23" s="112">
        <f>SUM(G18:G22)</f>
        <v>109931</v>
      </c>
      <c r="H23" s="112">
        <f>SUM(H18:H22)</f>
        <v>326816.72036000103</v>
      </c>
      <c r="I23" s="112">
        <f>SUM(I18:I22)</f>
        <v>100947</v>
      </c>
      <c r="J23" s="618"/>
      <c r="K23" s="174"/>
      <c r="L23" s="165"/>
      <c r="M23" s="409"/>
      <c r="N23" s="409"/>
      <c r="O23" s="175"/>
      <c r="P23" s="175"/>
      <c r="Q23" s="175"/>
      <c r="R23" s="409">
        <f t="shared" ref="R23:R35" si="2">X23/D23*10</f>
        <v>770.69529032750336</v>
      </c>
      <c r="S23" s="174"/>
      <c r="T23" s="101">
        <f>SUM(T18:T22)</f>
        <v>0</v>
      </c>
      <c r="U23" s="101">
        <f>SUM(U18:U22)</f>
        <v>34660.790806932913</v>
      </c>
      <c r="V23" s="101">
        <f>SUM(V18:V22)</f>
        <v>1176.5401932960037</v>
      </c>
      <c r="W23" s="101">
        <f>SUM(W18:W22)</f>
        <v>0</v>
      </c>
      <c r="X23" s="101">
        <f>SUM(X18:X22)</f>
        <v>35837.331000228914</v>
      </c>
      <c r="Y23" s="1059"/>
      <c r="Z23" s="619">
        <f t="shared" ref="Z23:Z34" si="3">AC23/D23*10</f>
        <v>767.57759892965407</v>
      </c>
      <c r="AA23" s="111">
        <f>SUM(AA18:AA22)</f>
        <v>144.97264999999999</v>
      </c>
      <c r="AB23" s="101">
        <f>SUM(AB18:AB22)</f>
        <v>144.97264999999999</v>
      </c>
      <c r="AC23" s="423">
        <f>SUM(AC18:AC22)</f>
        <v>35692.358350228918</v>
      </c>
      <c r="AD23" s="109"/>
      <c r="AE23" s="313">
        <v>0.04</v>
      </c>
      <c r="AF23" s="822">
        <f>AE23*SUM(U20:U22)</f>
        <v>1386.4316322773166</v>
      </c>
      <c r="AG23" s="816">
        <f t="shared" ref="AG23:AG35" si="4">AF23/D23+Z23</f>
        <v>770.55917233240098</v>
      </c>
      <c r="AH23" s="1384"/>
      <c r="AI23" s="101">
        <f>SUM(AI18:AI22)</f>
        <v>0</v>
      </c>
      <c r="AJ23" s="101">
        <f>SUM(AJ18:AJ22)</f>
        <v>0</v>
      </c>
      <c r="AK23" s="101">
        <f>SUM(AK18:AK22)</f>
        <v>0</v>
      </c>
      <c r="AL23" s="101">
        <f>SUM(AL18:AL22)</f>
        <v>35692.358350228918</v>
      </c>
      <c r="AM23" s="101"/>
      <c r="AN23" s="455"/>
    </row>
    <row r="24" spans="1:40" ht="16.5">
      <c r="A24" s="814">
        <v>3</v>
      </c>
      <c r="B24" s="169" t="s">
        <v>63</v>
      </c>
      <c r="C24" s="165" t="s">
        <v>45</v>
      </c>
      <c r="D24" s="617">
        <f>'T-1'!S27</f>
        <v>449.84899999999999</v>
      </c>
      <c r="E24" s="617"/>
      <c r="F24" s="176"/>
      <c r="G24" s="409">
        <f>'T-1'!P27</f>
        <v>90314</v>
      </c>
      <c r="H24" s="409">
        <f>'T-1'!Q27</f>
        <v>281444.22990000097</v>
      </c>
      <c r="I24" s="409">
        <f>6764+52054*2+6877*3+250*4+399*5+45*6+6066*7</f>
        <v>177230</v>
      </c>
      <c r="J24" s="618"/>
      <c r="K24" s="409">
        <v>150</v>
      </c>
      <c r="L24" s="165"/>
      <c r="M24" s="409">
        <v>20</v>
      </c>
      <c r="N24" s="409">
        <v>10</v>
      </c>
      <c r="O24" s="175"/>
      <c r="P24" s="175"/>
      <c r="Q24" s="175"/>
      <c r="R24" s="409">
        <f t="shared" si="2"/>
        <v>160.28029742780359</v>
      </c>
      <c r="S24" s="174"/>
      <c r="T24" s="174"/>
      <c r="U24" s="174">
        <f>(D24*K24/10)-(0.083*2*20)/10</f>
        <v>6747.4029999999984</v>
      </c>
      <c r="V24" s="613">
        <f>((H24-I24)*M24+I24*N24)*12/100000</f>
        <v>462.79015176000229</v>
      </c>
      <c r="W24" s="613"/>
      <c r="X24" s="613">
        <f t="shared" si="1"/>
        <v>7210.1931517600005</v>
      </c>
      <c r="Y24" s="1059">
        <v>0.1</v>
      </c>
      <c r="Z24" s="619">
        <f t="shared" si="3"/>
        <v>160.10949566988035</v>
      </c>
      <c r="AA24" s="614">
        <f>(3841750)/1000000*2</f>
        <v>7.6835000000000004</v>
      </c>
      <c r="AB24" s="174">
        <f>AA24*Y24*10</f>
        <v>7.6835000000000004</v>
      </c>
      <c r="AC24" s="424">
        <f t="shared" ref="AC24:AC30" si="5">X24-AB24</f>
        <v>7202.5096517600005</v>
      </c>
      <c r="AD24" s="425"/>
      <c r="AE24" s="313">
        <v>0.02</v>
      </c>
      <c r="AF24" s="817">
        <f t="shared" ref="AF24:AF34" si="6">AE24*U24</f>
        <v>134.94805999999997</v>
      </c>
      <c r="AG24" s="816">
        <f t="shared" si="4"/>
        <v>160.40948090937181</v>
      </c>
      <c r="AH24" s="1384"/>
      <c r="AI24" s="174"/>
      <c r="AJ24" s="817"/>
      <c r="AK24" s="817"/>
      <c r="AL24" s="1384">
        <f t="shared" si="0"/>
        <v>7202.5096517600005</v>
      </c>
      <c r="AM24" s="817"/>
      <c r="AN24" s="455"/>
    </row>
    <row r="25" spans="1:40" ht="16.5">
      <c r="A25" s="814">
        <v>4</v>
      </c>
      <c r="B25" s="169" t="s">
        <v>64</v>
      </c>
      <c r="C25" s="165" t="s">
        <v>45</v>
      </c>
      <c r="D25" s="617">
        <f>'T-1'!S28</f>
        <v>7.2</v>
      </c>
      <c r="E25" s="617"/>
      <c r="F25" s="176"/>
      <c r="G25" s="409">
        <f>'T-1'!P28</f>
        <v>551</v>
      </c>
      <c r="H25" s="409">
        <f>'T-1'!Q28</f>
        <v>5760.648000000002</v>
      </c>
      <c r="I25" s="409">
        <f t="shared" ref="I25:I31" si="7">H25-G25</f>
        <v>5209.648000000002</v>
      </c>
      <c r="J25" s="618"/>
      <c r="K25" s="409">
        <v>160</v>
      </c>
      <c r="L25" s="165"/>
      <c r="M25" s="409">
        <v>20</v>
      </c>
      <c r="N25" s="409">
        <v>10</v>
      </c>
      <c r="O25" s="175"/>
      <c r="P25" s="175"/>
      <c r="Q25" s="175"/>
      <c r="R25" s="409">
        <f t="shared" si="2"/>
        <v>169.58052444444445</v>
      </c>
      <c r="S25" s="174"/>
      <c r="T25" s="174"/>
      <c r="U25" s="174">
        <f>(D25*K25/10)-(0.169*2*20)/10</f>
        <v>114.524</v>
      </c>
      <c r="V25" s="613">
        <f>((H25-I25)*M25+I25*N25)*12/100000</f>
        <v>7.5739776000000028</v>
      </c>
      <c r="W25" s="613"/>
      <c r="X25" s="613">
        <f t="shared" si="1"/>
        <v>122.09797760000001</v>
      </c>
      <c r="Y25" s="1059">
        <v>0.1</v>
      </c>
      <c r="Z25" s="619">
        <f t="shared" si="3"/>
        <v>168.64578</v>
      </c>
      <c r="AA25" s="614">
        <f>(336508/1000000)*2</f>
        <v>0.67301599999999995</v>
      </c>
      <c r="AB25" s="174">
        <f>AA25*Y25*10</f>
        <v>0.67301600000000006</v>
      </c>
      <c r="AC25" s="424">
        <f t="shared" si="5"/>
        <v>121.4249616</v>
      </c>
      <c r="AD25" s="425"/>
      <c r="AE25" s="313">
        <v>0.02</v>
      </c>
      <c r="AF25" s="817">
        <f t="shared" si="6"/>
        <v>2.2904800000000001</v>
      </c>
      <c r="AG25" s="816">
        <f t="shared" si="4"/>
        <v>168.96390222222223</v>
      </c>
      <c r="AH25" s="1384"/>
      <c r="AI25" s="174"/>
      <c r="AJ25" s="817"/>
      <c r="AK25" s="817"/>
      <c r="AL25" s="1384">
        <f t="shared" si="0"/>
        <v>121.4249616</v>
      </c>
      <c r="AM25" s="817"/>
      <c r="AN25" s="455"/>
    </row>
    <row r="26" spans="1:40" ht="16.5">
      <c r="A26" s="814">
        <v>5</v>
      </c>
      <c r="B26" s="169" t="s">
        <v>65</v>
      </c>
      <c r="C26" s="165" t="s">
        <v>45</v>
      </c>
      <c r="D26" s="617">
        <f>'T-1'!S29</f>
        <v>3.6</v>
      </c>
      <c r="E26" s="617"/>
      <c r="F26" s="176"/>
      <c r="G26" s="409">
        <f>'T-1'!P29</f>
        <v>121</v>
      </c>
      <c r="H26" s="409">
        <f>'T-1'!Q29</f>
        <v>2253.3380000000002</v>
      </c>
      <c r="I26" s="409">
        <f t="shared" si="7"/>
        <v>2132.3380000000002</v>
      </c>
      <c r="J26" s="618"/>
      <c r="K26" s="409">
        <f>420+20+30</f>
        <v>470</v>
      </c>
      <c r="L26" s="165"/>
      <c r="M26" s="409">
        <v>80</v>
      </c>
      <c r="N26" s="409">
        <v>50</v>
      </c>
      <c r="O26" s="175"/>
      <c r="P26" s="175"/>
      <c r="Q26" s="175"/>
      <c r="R26" s="409">
        <f t="shared" si="2"/>
        <v>504.37674444444434</v>
      </c>
      <c r="S26" s="174"/>
      <c r="T26" s="174"/>
      <c r="U26" s="174">
        <f>(D26*K26/10)-(0.395*2*20)/10</f>
        <v>167.61999999999998</v>
      </c>
      <c r="V26" s="613">
        <f t="shared" ref="V26:V31" si="8">((H26-I26)*M26+I26*N26)*12/100000</f>
        <v>13.955628000000001</v>
      </c>
      <c r="W26" s="613"/>
      <c r="X26" s="613">
        <f t="shared" si="1"/>
        <v>181.57562799999997</v>
      </c>
      <c r="Y26" s="1059">
        <v>0.1</v>
      </c>
      <c r="Z26" s="619">
        <f t="shared" si="3"/>
        <v>497.12616111111106</v>
      </c>
      <c r="AA26" s="614">
        <f>(1305105/1000000)*2</f>
        <v>2.6102099999999999</v>
      </c>
      <c r="AB26" s="174">
        <f>AA26*Y26*10</f>
        <v>2.6102099999999999</v>
      </c>
      <c r="AC26" s="424">
        <f t="shared" si="5"/>
        <v>178.96541799999997</v>
      </c>
      <c r="AD26" s="425"/>
      <c r="AE26" s="313">
        <v>0.02</v>
      </c>
      <c r="AF26" s="817">
        <f t="shared" si="6"/>
        <v>3.3523999999999994</v>
      </c>
      <c r="AG26" s="816">
        <f t="shared" si="4"/>
        <v>498.05738333333329</v>
      </c>
      <c r="AH26" s="1384">
        <f>X26*1%</f>
        <v>1.8157562799999998</v>
      </c>
      <c r="AI26" s="174"/>
      <c r="AJ26" s="817"/>
      <c r="AK26" s="817"/>
      <c r="AL26" s="1384">
        <f t="shared" si="0"/>
        <v>177.14966171999998</v>
      </c>
      <c r="AM26" s="817"/>
      <c r="AN26" s="455"/>
    </row>
    <row r="27" spans="1:40" ht="16.5">
      <c r="A27" s="814">
        <v>6</v>
      </c>
      <c r="B27" s="169" t="s">
        <v>66</v>
      </c>
      <c r="C27" s="165" t="s">
        <v>45</v>
      </c>
      <c r="D27" s="617">
        <f>'T-1'!S30</f>
        <v>45</v>
      </c>
      <c r="E27" s="617"/>
      <c r="F27" s="176"/>
      <c r="G27" s="409">
        <f>'T-1'!P30</f>
        <v>3335</v>
      </c>
      <c r="H27" s="409">
        <f>'T-1'!Q30</f>
        <v>12649.890000000001</v>
      </c>
      <c r="I27" s="409">
        <f t="shared" si="7"/>
        <v>9314.8900000000012</v>
      </c>
      <c r="J27" s="618"/>
      <c r="K27" s="409">
        <f>570+20+30</f>
        <v>620</v>
      </c>
      <c r="L27" s="165"/>
      <c r="M27" s="409">
        <v>20</v>
      </c>
      <c r="N27" s="409">
        <v>15</v>
      </c>
      <c r="O27" s="175"/>
      <c r="P27" s="175"/>
      <c r="Q27" s="175"/>
      <c r="R27" s="409">
        <f t="shared" si="2"/>
        <v>625.50462266666659</v>
      </c>
      <c r="S27" s="174"/>
      <c r="T27" s="174"/>
      <c r="U27" s="174">
        <f>(D27*K27/10)-(0*2*20)/10</f>
        <v>2790</v>
      </c>
      <c r="V27" s="613">
        <f t="shared" si="8"/>
        <v>24.770802000000003</v>
      </c>
      <c r="W27" s="613"/>
      <c r="X27" s="613">
        <f t="shared" si="1"/>
        <v>2814.770802</v>
      </c>
      <c r="Y27" s="1059"/>
      <c r="Z27" s="619">
        <f t="shared" si="3"/>
        <v>625.50462266666659</v>
      </c>
      <c r="AA27" s="614"/>
      <c r="AB27" s="174"/>
      <c r="AC27" s="424">
        <f t="shared" si="5"/>
        <v>2814.770802</v>
      </c>
      <c r="AD27" s="425"/>
      <c r="AE27" s="313">
        <v>0.04</v>
      </c>
      <c r="AF27" s="817">
        <f t="shared" si="6"/>
        <v>111.60000000000001</v>
      </c>
      <c r="AG27" s="816">
        <f t="shared" si="4"/>
        <v>627.98462266666661</v>
      </c>
      <c r="AH27" s="1384"/>
      <c r="AI27" s="174"/>
      <c r="AJ27" s="817"/>
      <c r="AK27" s="817"/>
      <c r="AL27" s="1384">
        <f t="shared" si="0"/>
        <v>2814.770802</v>
      </c>
      <c r="AM27" s="817"/>
      <c r="AN27" s="455"/>
    </row>
    <row r="28" spans="1:40" ht="16.5">
      <c r="A28" s="814">
        <v>7</v>
      </c>
      <c r="B28" s="169" t="s">
        <v>182</v>
      </c>
      <c r="C28" s="165" t="s">
        <v>45</v>
      </c>
      <c r="D28" s="617">
        <f>'T-1'!S31</f>
        <v>22</v>
      </c>
      <c r="E28" s="617"/>
      <c r="F28" s="176"/>
      <c r="G28" s="409">
        <f>'T-1'!P31</f>
        <v>3836</v>
      </c>
      <c r="H28" s="409">
        <f>'T-1'!Q31</f>
        <v>38302.333820000043</v>
      </c>
      <c r="I28" s="409">
        <f t="shared" si="7"/>
        <v>34466.333820000043</v>
      </c>
      <c r="J28" s="618"/>
      <c r="K28" s="409">
        <f t="shared" ref="K28:K34" si="9">570+20+30</f>
        <v>620</v>
      </c>
      <c r="L28" s="165"/>
      <c r="M28" s="409">
        <v>80</v>
      </c>
      <c r="N28" s="409">
        <v>35</v>
      </c>
      <c r="O28" s="175"/>
      <c r="P28" s="175"/>
      <c r="Q28" s="175"/>
      <c r="R28" s="409">
        <f t="shared" si="2"/>
        <v>701.14191002000007</v>
      </c>
      <c r="S28" s="174"/>
      <c r="T28" s="174"/>
      <c r="U28" s="174">
        <f>(D28*K28/10)-(0.768*2*20)/10</f>
        <v>1360.9280000000001</v>
      </c>
      <c r="V28" s="613">
        <f t="shared" si="8"/>
        <v>181.58420204400016</v>
      </c>
      <c r="W28" s="613"/>
      <c r="X28" s="613">
        <f t="shared" si="1"/>
        <v>1542.5122020440003</v>
      </c>
      <c r="Y28" s="1059">
        <v>0.1</v>
      </c>
      <c r="Z28" s="619">
        <f t="shared" si="3"/>
        <v>697.17275911090928</v>
      </c>
      <c r="AA28" s="614">
        <f>(4366066/1000000)*2</f>
        <v>8.732132</v>
      </c>
      <c r="AB28" s="174">
        <f>AA28*Y28*10</f>
        <v>8.732132</v>
      </c>
      <c r="AC28" s="424">
        <f t="shared" si="5"/>
        <v>1533.7800700440002</v>
      </c>
      <c r="AD28" s="425"/>
      <c r="AE28" s="313">
        <v>0.05</v>
      </c>
      <c r="AF28" s="817">
        <f t="shared" si="6"/>
        <v>68.046400000000006</v>
      </c>
      <c r="AG28" s="816">
        <f t="shared" si="4"/>
        <v>700.26577729272742</v>
      </c>
      <c r="AH28" s="1384"/>
      <c r="AI28" s="174"/>
      <c r="AJ28" s="817"/>
      <c r="AK28" s="817"/>
      <c r="AL28" s="1384">
        <f t="shared" si="0"/>
        <v>1533.7800700440002</v>
      </c>
      <c r="AM28" s="817"/>
      <c r="AN28" s="455"/>
    </row>
    <row r="29" spans="1:40" ht="16.5">
      <c r="A29" s="814">
        <v>8</v>
      </c>
      <c r="B29" s="169" t="s">
        <v>183</v>
      </c>
      <c r="C29" s="165" t="s">
        <v>45</v>
      </c>
      <c r="D29" s="617">
        <f>'T-1'!S32</f>
        <v>69</v>
      </c>
      <c r="E29" s="617"/>
      <c r="F29" s="614"/>
      <c r="G29" s="409">
        <f>'T-1'!P32</f>
        <v>1432</v>
      </c>
      <c r="H29" s="409">
        <f>'T-1'!Q32</f>
        <v>68866.452999999907</v>
      </c>
      <c r="I29" s="409">
        <f t="shared" si="7"/>
        <v>67434.452999999907</v>
      </c>
      <c r="J29" s="618"/>
      <c r="K29" s="409">
        <f t="shared" si="9"/>
        <v>620</v>
      </c>
      <c r="L29" s="165"/>
      <c r="M29" s="409">
        <v>100</v>
      </c>
      <c r="N29" s="409">
        <v>80</v>
      </c>
      <c r="O29" s="175"/>
      <c r="P29" s="175"/>
      <c r="Q29" s="175"/>
      <c r="R29" s="409">
        <f t="shared" si="2"/>
        <v>713.17663026086939</v>
      </c>
      <c r="S29" s="174"/>
      <c r="T29" s="174"/>
      <c r="U29" s="174">
        <f>(D29*K29/10)-(5.409*2*20)/10</f>
        <v>4256.3639999999996</v>
      </c>
      <c r="V29" s="613">
        <f t="shared" si="8"/>
        <v>664.55474879999917</v>
      </c>
      <c r="W29" s="613"/>
      <c r="X29" s="613">
        <f t="shared" si="1"/>
        <v>4920.9187487999989</v>
      </c>
      <c r="Y29" s="1059"/>
      <c r="Z29" s="619">
        <f t="shared" si="3"/>
        <v>713.17663026086939</v>
      </c>
      <c r="AA29" s="614"/>
      <c r="AB29" s="817"/>
      <c r="AC29" s="424">
        <f t="shared" si="5"/>
        <v>4920.9187487999989</v>
      </c>
      <c r="AD29" s="425"/>
      <c r="AE29" s="313">
        <v>0.08</v>
      </c>
      <c r="AF29" s="817">
        <f t="shared" si="6"/>
        <v>340.50912</v>
      </c>
      <c r="AG29" s="816">
        <f t="shared" si="4"/>
        <v>718.11154504347803</v>
      </c>
      <c r="AH29" s="1384">
        <f>X29*1%</f>
        <v>49.209187487999991</v>
      </c>
      <c r="AI29" s="174"/>
      <c r="AJ29" s="817"/>
      <c r="AK29" s="817"/>
      <c r="AL29" s="1384">
        <f t="shared" si="0"/>
        <v>4871.7095613119991</v>
      </c>
      <c r="AM29" s="817"/>
      <c r="AN29" s="455"/>
    </row>
    <row r="30" spans="1:40" ht="18" customHeight="1">
      <c r="A30" s="814">
        <v>9</v>
      </c>
      <c r="B30" s="169" t="s">
        <v>294</v>
      </c>
      <c r="C30" s="165" t="s">
        <v>45</v>
      </c>
      <c r="D30" s="617">
        <f>'T-1'!S33</f>
        <v>68</v>
      </c>
      <c r="E30" s="617"/>
      <c r="F30" s="818"/>
      <c r="G30" s="409">
        <f>'T-1'!P33</f>
        <v>13459</v>
      </c>
      <c r="H30" s="409">
        <f>'T-1'!Q33</f>
        <v>38216.792999999961</v>
      </c>
      <c r="I30" s="816">
        <f t="shared" si="7"/>
        <v>24757.792999999961</v>
      </c>
      <c r="J30" s="1388"/>
      <c r="K30" s="409">
        <f t="shared" si="9"/>
        <v>620</v>
      </c>
      <c r="L30" s="165"/>
      <c r="M30" s="409">
        <v>50</v>
      </c>
      <c r="N30" s="409">
        <v>50</v>
      </c>
      <c r="O30" s="814"/>
      <c r="P30" s="814"/>
      <c r="Q30" s="1389"/>
      <c r="R30" s="409">
        <f t="shared" si="2"/>
        <v>652.76540558823513</v>
      </c>
      <c r="S30" s="174"/>
      <c r="T30" s="174"/>
      <c r="U30" s="174">
        <f>(D30*K30/10)-((1.555+0.069)*2*20)/10</f>
        <v>4209.5039999999999</v>
      </c>
      <c r="V30" s="613">
        <f t="shared" si="8"/>
        <v>229.30075799999975</v>
      </c>
      <c r="W30" s="1384"/>
      <c r="X30" s="613">
        <f t="shared" si="1"/>
        <v>4438.8047579999993</v>
      </c>
      <c r="Y30" s="1386" t="s">
        <v>30</v>
      </c>
      <c r="Z30" s="619">
        <f t="shared" si="3"/>
        <v>652.76540558823513</v>
      </c>
      <c r="AA30" s="818"/>
      <c r="AB30" s="817"/>
      <c r="AC30" s="424">
        <f t="shared" si="5"/>
        <v>4438.8047579999993</v>
      </c>
      <c r="AD30" s="425"/>
      <c r="AE30" s="313">
        <v>0.04</v>
      </c>
      <c r="AF30" s="817">
        <f t="shared" si="6"/>
        <v>168.38015999999999</v>
      </c>
      <c r="AG30" s="816">
        <f t="shared" si="4"/>
        <v>655.24158441176451</v>
      </c>
      <c r="AH30" s="1384">
        <f>X30*1%</f>
        <v>44.388047579999991</v>
      </c>
      <c r="AI30" s="817">
        <f>(T30+U30)*0%</f>
        <v>0</v>
      </c>
      <c r="AJ30" s="817">
        <f>(T30+U30)*0%</f>
        <v>0</v>
      </c>
      <c r="AK30" s="817">
        <f>(T30+U30)*0%</f>
        <v>0</v>
      </c>
      <c r="AL30" s="1384">
        <f t="shared" si="0"/>
        <v>4394.4167104199996</v>
      </c>
      <c r="AM30" s="817"/>
      <c r="AN30" s="455"/>
    </row>
    <row r="31" spans="1:40" ht="18" customHeight="1">
      <c r="A31" s="814">
        <v>10</v>
      </c>
      <c r="B31" s="819" t="s">
        <v>295</v>
      </c>
      <c r="C31" s="165" t="s">
        <v>45</v>
      </c>
      <c r="D31" s="617">
        <f>'T-1'!S34</f>
        <v>65</v>
      </c>
      <c r="E31" s="617"/>
      <c r="F31" s="818"/>
      <c r="G31" s="409">
        <f>'T-1'!P34</f>
        <v>4762</v>
      </c>
      <c r="H31" s="409">
        <f>'T-1'!Q34</f>
        <v>32493.4045999999</v>
      </c>
      <c r="I31" s="816">
        <f t="shared" si="7"/>
        <v>27731.4045999999</v>
      </c>
      <c r="J31" s="1388"/>
      <c r="K31" s="409">
        <f t="shared" si="9"/>
        <v>620</v>
      </c>
      <c r="L31" s="165"/>
      <c r="M31" s="409">
        <v>50</v>
      </c>
      <c r="N31" s="409">
        <v>50</v>
      </c>
      <c r="O31" s="814"/>
      <c r="P31" s="814"/>
      <c r="Q31" s="1389"/>
      <c r="R31" s="409">
        <f t="shared" si="2"/>
        <v>649.5311427076922</v>
      </c>
      <c r="S31" s="174"/>
      <c r="T31" s="174"/>
      <c r="U31" s="174">
        <f>(D31*K31/10)-(0.752*2*20)/10</f>
        <v>4026.9920000000002</v>
      </c>
      <c r="V31" s="613">
        <f t="shared" si="8"/>
        <v>194.96042759999943</v>
      </c>
      <c r="W31" s="817">
        <f>(O31*G31*12)/100000</f>
        <v>0</v>
      </c>
      <c r="X31" s="613">
        <f t="shared" si="1"/>
        <v>4221.9524275999993</v>
      </c>
      <c r="Y31" s="1386">
        <v>0.1</v>
      </c>
      <c r="Z31" s="619">
        <f t="shared" si="3"/>
        <v>648.81269378461536</v>
      </c>
      <c r="AA31" s="614">
        <f>(2334959/1000000)*2</f>
        <v>4.669918</v>
      </c>
      <c r="AB31" s="622">
        <f>AA31*Y31*10</f>
        <v>4.669918</v>
      </c>
      <c r="AC31" s="424">
        <f>X31-AB31</f>
        <v>4217.2825095999997</v>
      </c>
      <c r="AD31" s="425"/>
      <c r="AE31" s="313">
        <v>0</v>
      </c>
      <c r="AF31" s="817">
        <f t="shared" si="6"/>
        <v>0</v>
      </c>
      <c r="AG31" s="816">
        <f t="shared" si="4"/>
        <v>648.81269378461536</v>
      </c>
      <c r="AH31" s="817"/>
      <c r="AI31" s="817"/>
      <c r="AJ31" s="817"/>
      <c r="AK31" s="817"/>
      <c r="AL31" s="1384">
        <f t="shared" si="0"/>
        <v>4217.2825095999997</v>
      </c>
      <c r="AM31" s="817"/>
      <c r="AN31" s="455"/>
    </row>
    <row r="32" spans="1:40" ht="18" customHeight="1">
      <c r="A32" s="814">
        <v>11</v>
      </c>
      <c r="B32" s="819" t="s">
        <v>296</v>
      </c>
      <c r="C32" s="165" t="s">
        <v>45</v>
      </c>
      <c r="D32" s="617">
        <f>'T-1'!S35</f>
        <v>5.2</v>
      </c>
      <c r="E32" s="617"/>
      <c r="F32" s="402"/>
      <c r="G32" s="409">
        <f>'T-1'!P35</f>
        <v>25</v>
      </c>
      <c r="H32" s="409">
        <f>'T-1'!Q35</f>
        <v>422.58</v>
      </c>
      <c r="I32" s="816"/>
      <c r="J32" s="1388">
        <v>200</v>
      </c>
      <c r="K32" s="409">
        <f t="shared" si="9"/>
        <v>620</v>
      </c>
      <c r="L32" s="814"/>
      <c r="M32" s="820"/>
      <c r="N32" s="820"/>
      <c r="O32" s="820">
        <v>30</v>
      </c>
      <c r="P32" s="1384"/>
      <c r="Q32" s="1389"/>
      <c r="R32" s="409">
        <f t="shared" si="2"/>
        <v>631.03756923076912</v>
      </c>
      <c r="S32" s="177">
        <v>0.8</v>
      </c>
      <c r="T32" s="817">
        <f>(H32*J32*S32*12)/100000</f>
        <v>8.1135360000000016</v>
      </c>
      <c r="U32" s="174">
        <f>(D32*K32/10)-(0.616*2*20)/10</f>
        <v>319.93599999999998</v>
      </c>
      <c r="V32" s="1384"/>
      <c r="W32" s="817">
        <f>(O32*G32*12)/100000</f>
        <v>0.09</v>
      </c>
      <c r="X32" s="613">
        <f>SUM(T32:W32)</f>
        <v>328.13953599999996</v>
      </c>
      <c r="Y32" s="1386">
        <v>0.1</v>
      </c>
      <c r="Z32" s="619">
        <f t="shared" si="3"/>
        <v>629.11426153846151</v>
      </c>
      <c r="AA32" s="614">
        <f>(500060/1000000)*2</f>
        <v>1.0001199999999999</v>
      </c>
      <c r="AB32" s="622">
        <f>AA32*Y32*10</f>
        <v>1.0001199999999999</v>
      </c>
      <c r="AC32" s="424">
        <f>X32-AB32</f>
        <v>327.13941599999998</v>
      </c>
      <c r="AD32" s="425"/>
      <c r="AE32" s="313">
        <v>0</v>
      </c>
      <c r="AF32" s="817">
        <f t="shared" si="6"/>
        <v>0</v>
      </c>
      <c r="AG32" s="816">
        <f t="shared" si="4"/>
        <v>629.11426153846151</v>
      </c>
      <c r="AH32" s="1384">
        <f>X32*1%</f>
        <v>3.2813953599999999</v>
      </c>
      <c r="AI32" s="817">
        <f>(T32+U32)*0%</f>
        <v>0</v>
      </c>
      <c r="AJ32" s="817">
        <f>(T32+U32)*0%</f>
        <v>0</v>
      </c>
      <c r="AK32" s="817">
        <f>(T32+U32)*0%</f>
        <v>0</v>
      </c>
      <c r="AL32" s="1384">
        <f t="shared" si="0"/>
        <v>323.85802064000001</v>
      </c>
      <c r="AM32" s="817"/>
      <c r="AN32" s="455"/>
    </row>
    <row r="33" spans="1:40" ht="18" customHeight="1">
      <c r="A33" s="814">
        <v>12</v>
      </c>
      <c r="B33" s="814" t="s">
        <v>297</v>
      </c>
      <c r="C33" s="165" t="s">
        <v>45</v>
      </c>
      <c r="D33" s="617">
        <f>'T-1'!S36</f>
        <v>0.151</v>
      </c>
      <c r="E33" s="617"/>
      <c r="F33" s="818"/>
      <c r="G33" s="409">
        <f>'T-1'!P36</f>
        <v>2</v>
      </c>
      <c r="H33" s="409">
        <f>'T-1'!Q36</f>
        <v>320</v>
      </c>
      <c r="I33" s="816"/>
      <c r="J33" s="1388">
        <v>200</v>
      </c>
      <c r="K33" s="409">
        <f t="shared" si="9"/>
        <v>620</v>
      </c>
      <c r="L33" s="814"/>
      <c r="M33" s="820"/>
      <c r="N33" s="820"/>
      <c r="O33" s="820">
        <v>30</v>
      </c>
      <c r="P33" s="1384"/>
      <c r="Q33" s="1389"/>
      <c r="R33" s="409">
        <f t="shared" si="2"/>
        <v>1021.0066225165563</v>
      </c>
      <c r="S33" s="174">
        <v>0.8</v>
      </c>
      <c r="T33" s="817">
        <f>(H33*J33*S33*12)/100000</f>
        <v>6.1440000000000001</v>
      </c>
      <c r="U33" s="174">
        <f>(D33*K33/10)-(0.024*2*20)/10</f>
        <v>9.2659999999999982</v>
      </c>
      <c r="V33" s="1384"/>
      <c r="W33" s="817">
        <f>(O33*G33*12)/100000</f>
        <v>7.1999999999999998E-3</v>
      </c>
      <c r="X33" s="613">
        <f>SUM(T33:W33)</f>
        <v>15.417199999999998</v>
      </c>
      <c r="Y33" s="1386"/>
      <c r="Z33" s="619">
        <f t="shared" si="3"/>
        <v>1021.0066225165563</v>
      </c>
      <c r="AA33" s="818"/>
      <c r="AB33" s="817"/>
      <c r="AC33" s="424">
        <f>X33-AB33</f>
        <v>15.417199999999998</v>
      </c>
      <c r="AD33" s="425"/>
      <c r="AE33" s="313">
        <v>0.04</v>
      </c>
      <c r="AF33" s="817">
        <f t="shared" si="6"/>
        <v>0.37063999999999991</v>
      </c>
      <c r="AG33" s="816">
        <f t="shared" si="4"/>
        <v>1023.4611920529801</v>
      </c>
      <c r="AH33" s="1384">
        <f>X33*1%</f>
        <v>0.15417199999999998</v>
      </c>
      <c r="AI33" s="817">
        <f>(T33+U33)*0%</f>
        <v>0</v>
      </c>
      <c r="AJ33" s="817">
        <f>(T33+U33)*0%</f>
        <v>0</v>
      </c>
      <c r="AK33" s="817">
        <f>(T33+U33)*0%</f>
        <v>0</v>
      </c>
      <c r="AL33" s="1384">
        <f t="shared" si="0"/>
        <v>15.263027999999998</v>
      </c>
      <c r="AM33" s="817"/>
      <c r="AN33" s="455"/>
    </row>
    <row r="34" spans="1:40" ht="18" customHeight="1">
      <c r="A34" s="814">
        <v>13</v>
      </c>
      <c r="B34" s="814" t="s">
        <v>73</v>
      </c>
      <c r="C34" s="165" t="s">
        <v>45</v>
      </c>
      <c r="D34" s="617">
        <f>'T-1'!S37</f>
        <v>0</v>
      </c>
      <c r="E34" s="617"/>
      <c r="F34" s="818"/>
      <c r="G34" s="409">
        <f>'T-1'!P37</f>
        <v>0</v>
      </c>
      <c r="H34" s="409">
        <f>'T-1'!Q37</f>
        <v>0</v>
      </c>
      <c r="I34" s="816"/>
      <c r="J34" s="1388">
        <v>200</v>
      </c>
      <c r="K34" s="409">
        <f t="shared" si="9"/>
        <v>620</v>
      </c>
      <c r="L34" s="814"/>
      <c r="M34" s="820"/>
      <c r="N34" s="820"/>
      <c r="O34" s="820">
        <v>30</v>
      </c>
      <c r="P34" s="1384"/>
      <c r="Q34" s="1389"/>
      <c r="R34" s="409" t="e">
        <f t="shared" si="2"/>
        <v>#DIV/0!</v>
      </c>
      <c r="S34" s="174">
        <v>0.8</v>
      </c>
      <c r="T34" s="817">
        <f>(H34*J34*S34*12)/100000</f>
        <v>0</v>
      </c>
      <c r="U34" s="174">
        <f>(D34*K34/10)-(0*2*10)/10</f>
        <v>0</v>
      </c>
      <c r="V34" s="1384"/>
      <c r="W34" s="817">
        <f>(O34*G34*12)/100000</f>
        <v>0</v>
      </c>
      <c r="X34" s="613">
        <f>SUM(T34:W34)</f>
        <v>0</v>
      </c>
      <c r="Y34" s="1386"/>
      <c r="Z34" s="619" t="e">
        <f t="shared" si="3"/>
        <v>#DIV/0!</v>
      </c>
      <c r="AA34" s="818"/>
      <c r="AB34" s="817"/>
      <c r="AC34" s="424">
        <f>X34-AB34</f>
        <v>0</v>
      </c>
      <c r="AD34" s="425"/>
      <c r="AE34" s="313">
        <v>0.08</v>
      </c>
      <c r="AF34" s="817">
        <f t="shared" si="6"/>
        <v>0</v>
      </c>
      <c r="AG34" s="816" t="e">
        <f t="shared" si="4"/>
        <v>#DIV/0!</v>
      </c>
      <c r="AH34" s="1384">
        <f>X34*1%</f>
        <v>0</v>
      </c>
      <c r="AI34" s="817"/>
      <c r="AJ34" s="817">
        <f>(T34+U34)*0%</f>
        <v>0</v>
      </c>
      <c r="AK34" s="817">
        <f t="shared" ref="AK34" si="10">(T34+U34)*1.5%</f>
        <v>0</v>
      </c>
      <c r="AL34" s="1384">
        <f t="shared" si="0"/>
        <v>0</v>
      </c>
      <c r="AM34" s="817"/>
      <c r="AN34" s="455"/>
    </row>
    <row r="35" spans="1:40" ht="18" customHeight="1">
      <c r="A35" s="814"/>
      <c r="B35" s="100" t="s">
        <v>298</v>
      </c>
      <c r="C35" s="5"/>
      <c r="D35" s="1390">
        <f t="shared" ref="D35:I35" si="11">SUM(D24:D34)+D23+D17</f>
        <v>3313.9999999999995</v>
      </c>
      <c r="E35" s="1390">
        <f t="shared" si="11"/>
        <v>0</v>
      </c>
      <c r="F35" s="1390">
        <f t="shared" si="11"/>
        <v>0</v>
      </c>
      <c r="G35" s="821">
        <f t="shared" si="11"/>
        <v>2355559</v>
      </c>
      <c r="H35" s="821">
        <f t="shared" si="11"/>
        <v>3095783.975680002</v>
      </c>
      <c r="I35" s="821">
        <f t="shared" si="11"/>
        <v>1268128.8604199998</v>
      </c>
      <c r="J35" s="821"/>
      <c r="K35" s="822"/>
      <c r="L35" s="823"/>
      <c r="M35" s="821"/>
      <c r="N35" s="821"/>
      <c r="O35" s="821"/>
      <c r="P35" s="823"/>
      <c r="Q35" s="823"/>
      <c r="R35" s="112">
        <f t="shared" si="2"/>
        <v>533.17557386765975</v>
      </c>
      <c r="S35" s="174"/>
      <c r="T35" s="822">
        <f>SUM(T24:T34)+T23+T17</f>
        <v>1229.2527360000001</v>
      </c>
      <c r="U35" s="822">
        <f>SUM(U24:U34)+U23+U17</f>
        <v>167169.10855064241</v>
      </c>
      <c r="V35" s="822">
        <f>SUM(V24:V34)+V23+V17</f>
        <v>8295.9266931000057</v>
      </c>
      <c r="W35" s="822">
        <f>SUM(W24:W34)+W23+W17</f>
        <v>9.7199999999999995E-2</v>
      </c>
      <c r="X35" s="822">
        <f>SUM(X24:X34)+X23+X17</f>
        <v>176694.38517974241</v>
      </c>
      <c r="Y35" s="1392"/>
      <c r="Z35" s="241">
        <f>(AC35-AH35-AI35+AJ35)/D35*10</f>
        <v>526.67329913565879</v>
      </c>
      <c r="AA35" s="1405">
        <f>SUM(AA24:AA34)+AA23+AA17</f>
        <v>905.39856999999995</v>
      </c>
      <c r="AB35" s="822">
        <f>SUM(AB24:AB34)+AB23+AB17</f>
        <v>905.39857000000006</v>
      </c>
      <c r="AC35" s="1406">
        <f>SUM(AC24:AC34)+AC23+AC17</f>
        <v>175788.98660974239</v>
      </c>
      <c r="AD35" s="822"/>
      <c r="AE35" s="172"/>
      <c r="AF35" s="822">
        <f>SUM(AF24:AF34)+AF23+AF17</f>
        <v>6556.1601220256971</v>
      </c>
      <c r="AG35" s="1391">
        <f t="shared" si="4"/>
        <v>528.65162144164117</v>
      </c>
      <c r="AH35" s="822">
        <f>SUM(AH24:AH34)+AH23+AH17</f>
        <v>1249.455276185095</v>
      </c>
      <c r="AI35" s="822">
        <f>SUM(AI24:AI34)+AI23+AI17</f>
        <v>0</v>
      </c>
      <c r="AJ35" s="822">
        <f>SUM(AJ24:AJ34)+AJ23+AJ17</f>
        <v>0</v>
      </c>
      <c r="AK35" s="822">
        <f>SUM(AK24:AK34)+AK23+AK17</f>
        <v>0</v>
      </c>
      <c r="AL35" s="822">
        <f>SUM(AL24:AL34)+AL23+AL17</f>
        <v>175690.13805103442</v>
      </c>
      <c r="AM35" s="822"/>
      <c r="AN35" s="455"/>
    </row>
    <row r="36" spans="1:40" ht="18" customHeight="1">
      <c r="A36" s="814"/>
      <c r="B36" s="100" t="s">
        <v>299</v>
      </c>
      <c r="C36" s="1394"/>
      <c r="D36" s="1395"/>
      <c r="E36" s="1395"/>
      <c r="F36" s="818"/>
      <c r="G36" s="816"/>
      <c r="H36" s="816"/>
      <c r="I36" s="816"/>
      <c r="J36" s="1388"/>
      <c r="K36" s="817"/>
      <c r="L36" s="824"/>
      <c r="M36" s="820"/>
      <c r="N36" s="820"/>
      <c r="O36" s="820"/>
      <c r="P36" s="1384"/>
      <c r="Q36" s="1394"/>
      <c r="R36" s="816"/>
      <c r="S36" s="817"/>
      <c r="T36" s="817"/>
      <c r="U36" s="817"/>
      <c r="V36" s="1384"/>
      <c r="W36" s="817"/>
      <c r="X36" s="1384"/>
      <c r="Y36" s="1386"/>
      <c r="Z36" s="820"/>
      <c r="AA36" s="818"/>
      <c r="AB36" s="817"/>
      <c r="AC36" s="1396"/>
      <c r="AD36" s="1384"/>
      <c r="AE36" s="172"/>
      <c r="AF36" s="817"/>
      <c r="AG36" s="817"/>
      <c r="AH36" s="817"/>
      <c r="AI36" s="817"/>
      <c r="AJ36" s="817"/>
      <c r="AK36" s="817"/>
      <c r="AL36" s="817"/>
      <c r="AM36" s="817"/>
      <c r="AN36" s="455"/>
    </row>
    <row r="37" spans="1:40" ht="18" customHeight="1">
      <c r="A37" s="814">
        <v>14</v>
      </c>
      <c r="B37" s="814" t="s">
        <v>300</v>
      </c>
      <c r="C37" s="819" t="s">
        <v>77</v>
      </c>
      <c r="D37" s="617">
        <f>'T-1'!R40</f>
        <v>14.5</v>
      </c>
      <c r="E37" s="617">
        <f>D37</f>
        <v>14.5</v>
      </c>
      <c r="F37" s="818"/>
      <c r="G37" s="409">
        <f>'T-1'!P40</f>
        <v>28</v>
      </c>
      <c r="H37" s="409">
        <f>'T-1'!Q40</f>
        <v>9795.7777777777792</v>
      </c>
      <c r="I37" s="816">
        <f>H37-G37</f>
        <v>9767.7777777777792</v>
      </c>
      <c r="J37" s="1388">
        <v>20</v>
      </c>
      <c r="K37" s="405">
        <f>440+20+30</f>
        <v>490</v>
      </c>
      <c r="L37" s="817"/>
      <c r="M37" s="820"/>
      <c r="N37" s="820"/>
      <c r="O37" s="820">
        <v>250</v>
      </c>
      <c r="P37" s="1384"/>
      <c r="Q37" s="1389"/>
      <c r="R37" s="409">
        <f t="shared" ref="R37:R53" si="12">X37/D37*10</f>
        <v>501.34473563218393</v>
      </c>
      <c r="S37" s="174"/>
      <c r="T37" s="817">
        <f>(H37*J37*12)/100000</f>
        <v>23.509866666666671</v>
      </c>
      <c r="U37" s="817">
        <f>(D37*K37/10)-((1.975*2*20)/10)</f>
        <v>702.6</v>
      </c>
      <c r="V37" s="1384"/>
      <c r="W37" s="817">
        <f t="shared" ref="W37:W52" si="13">(O37*G37*12)/100000</f>
        <v>0.84</v>
      </c>
      <c r="X37" s="613">
        <f>SUM(T37:W37)</f>
        <v>726.94986666666671</v>
      </c>
      <c r="Y37" s="1386">
        <v>0.1</v>
      </c>
      <c r="Z37" s="619">
        <f t="shared" ref="Z37:Z53" si="14">(AC37-AH37-AI37+AJ37)/D37*10</f>
        <v>495.24441839080458</v>
      </c>
      <c r="AA37" s="614">
        <f>4.42273*2</f>
        <v>8.8454599999999992</v>
      </c>
      <c r="AB37" s="174">
        <f>AA37*Y37*10</f>
        <v>8.8454599999999992</v>
      </c>
      <c r="AC37" s="424">
        <f>X37-AB37</f>
        <v>718.1044066666667</v>
      </c>
      <c r="AD37" s="425"/>
      <c r="AE37" s="313">
        <v>0.08</v>
      </c>
      <c r="AF37" s="817">
        <f t="shared" ref="AF37:AF52" si="15">AE37*U37</f>
        <v>56.208000000000006</v>
      </c>
      <c r="AG37" s="816">
        <f>AF37/D37+Z37</f>
        <v>499.12083218390802</v>
      </c>
      <c r="AH37" s="817"/>
      <c r="AI37" s="817">
        <f>(T37+U37)*0%</f>
        <v>0</v>
      </c>
      <c r="AJ37" s="817">
        <f t="shared" ref="AJ37:AJ51" si="16">(T37+U37)*0%</f>
        <v>0</v>
      </c>
      <c r="AK37" s="817">
        <f t="shared" ref="AK37:AK43" si="17">(T37+U37)*0%</f>
        <v>0</v>
      </c>
      <c r="AL37" s="1384">
        <f t="shared" ref="AL37:AL52" si="18">AC37-AH37+AI37+AJ37-AK37</f>
        <v>718.1044066666667</v>
      </c>
      <c r="AM37" s="817"/>
      <c r="AN37" s="455"/>
    </row>
    <row r="38" spans="1:40" ht="18" customHeight="1">
      <c r="A38" s="814">
        <v>15</v>
      </c>
      <c r="B38" s="814" t="s">
        <v>63</v>
      </c>
      <c r="C38" s="819" t="s">
        <v>77</v>
      </c>
      <c r="D38" s="617">
        <f>'T-1'!R41</f>
        <v>60</v>
      </c>
      <c r="E38" s="617">
        <f t="shared" ref="E38:E39" si="19">D38</f>
        <v>60</v>
      </c>
      <c r="F38" s="818"/>
      <c r="G38" s="409">
        <f>'T-1'!P41</f>
        <v>37</v>
      </c>
      <c r="H38" s="409">
        <f>'T-1'!Q41</f>
        <v>124968.22222222222</v>
      </c>
      <c r="I38" s="816">
        <f>H38-G38</f>
        <v>124931.22222222222</v>
      </c>
      <c r="J38" s="1388">
        <v>30</v>
      </c>
      <c r="K38" s="816">
        <v>140</v>
      </c>
      <c r="L38" s="814"/>
      <c r="M38" s="820"/>
      <c r="N38" s="820"/>
      <c r="O38" s="820">
        <v>250</v>
      </c>
      <c r="P38" s="1384"/>
      <c r="Q38" s="1389"/>
      <c r="R38" s="409">
        <f t="shared" si="12"/>
        <v>212.3486</v>
      </c>
      <c r="S38" s="174"/>
      <c r="T38" s="817">
        <f>(H38*J38*12)/100000</f>
        <v>449.88560000000001</v>
      </c>
      <c r="U38" s="817">
        <f>(D38*K38/10)-((4.226*2*20)/10)</f>
        <v>823.096</v>
      </c>
      <c r="V38" s="1384"/>
      <c r="W38" s="817">
        <f t="shared" si="13"/>
        <v>1.1100000000000001</v>
      </c>
      <c r="X38" s="613">
        <f t="shared" ref="X38:X52" si="20">SUM(T38:W38)</f>
        <v>1274.0916</v>
      </c>
      <c r="Y38" s="1407">
        <v>0.1</v>
      </c>
      <c r="Z38" s="619">
        <f t="shared" si="14"/>
        <v>210.07798666666667</v>
      </c>
      <c r="AA38" s="614">
        <f>6.81184*2</f>
        <v>13.62368</v>
      </c>
      <c r="AB38" s="174">
        <f t="shared" ref="AB38:AB39" si="21">AA38*Y38*10</f>
        <v>13.62368</v>
      </c>
      <c r="AC38" s="424">
        <f t="shared" ref="AC38:AC51" si="22">X38-AB38</f>
        <v>1260.46792</v>
      </c>
      <c r="AD38" s="425"/>
      <c r="AE38" s="313">
        <v>0.02</v>
      </c>
      <c r="AF38" s="817">
        <f t="shared" si="15"/>
        <v>16.461919999999999</v>
      </c>
      <c r="AG38" s="817"/>
      <c r="AH38" s="817"/>
      <c r="AI38" s="817">
        <f>(T38+U38)*0%</f>
        <v>0</v>
      </c>
      <c r="AJ38" s="817">
        <f t="shared" si="16"/>
        <v>0</v>
      </c>
      <c r="AK38" s="817">
        <f t="shared" si="17"/>
        <v>0</v>
      </c>
      <c r="AL38" s="1384">
        <f t="shared" si="18"/>
        <v>1260.46792</v>
      </c>
      <c r="AM38" s="817"/>
      <c r="AN38" s="455"/>
    </row>
    <row r="39" spans="1:40" ht="18" customHeight="1">
      <c r="A39" s="814">
        <v>16</v>
      </c>
      <c r="B39" s="814" t="s">
        <v>64</v>
      </c>
      <c r="C39" s="819" t="s">
        <v>77</v>
      </c>
      <c r="D39" s="617">
        <f>'T-1'!R42</f>
        <v>5</v>
      </c>
      <c r="E39" s="617">
        <f t="shared" si="19"/>
        <v>5</v>
      </c>
      <c r="F39" s="818"/>
      <c r="G39" s="409">
        <f>'T-1'!P42</f>
        <v>7</v>
      </c>
      <c r="H39" s="409">
        <f>'T-1'!Q42</f>
        <v>1666.8</v>
      </c>
      <c r="I39" s="816">
        <f>H39-G39</f>
        <v>1659.8</v>
      </c>
      <c r="J39" s="1388">
        <v>30</v>
      </c>
      <c r="K39" s="816">
        <v>150</v>
      </c>
      <c r="L39" s="814"/>
      <c r="M39" s="820"/>
      <c r="N39" s="820"/>
      <c r="O39" s="820">
        <v>250</v>
      </c>
      <c r="P39" s="1384"/>
      <c r="Q39" s="1389"/>
      <c r="R39" s="409">
        <f t="shared" si="12"/>
        <v>157.69295999999997</v>
      </c>
      <c r="S39" s="174"/>
      <c r="T39" s="817">
        <f>(H39*J39*12)/100000</f>
        <v>6.0004799999999996</v>
      </c>
      <c r="U39" s="817">
        <f>(D39*K39/10)-((0.591*2*20)/10)</f>
        <v>72.635999999999996</v>
      </c>
      <c r="V39" s="1384"/>
      <c r="W39" s="817">
        <f t="shared" si="13"/>
        <v>0.21</v>
      </c>
      <c r="X39" s="613">
        <f>SUM(T39:W39)</f>
        <v>78.846479999999985</v>
      </c>
      <c r="Y39" s="1407">
        <v>0.1</v>
      </c>
      <c r="Z39" s="619">
        <f t="shared" si="14"/>
        <v>151.66483999999997</v>
      </c>
      <c r="AA39" s="614">
        <f>1.50703*2</f>
        <v>3.0140600000000002</v>
      </c>
      <c r="AB39" s="174">
        <f t="shared" si="21"/>
        <v>3.0140600000000006</v>
      </c>
      <c r="AC39" s="424">
        <f>X39-AB39</f>
        <v>75.832419999999985</v>
      </c>
      <c r="AD39" s="425"/>
      <c r="AE39" s="313">
        <v>0.02</v>
      </c>
      <c r="AF39" s="817">
        <f t="shared" si="15"/>
        <v>1.45272</v>
      </c>
      <c r="AG39" s="817"/>
      <c r="AH39" s="817"/>
      <c r="AI39" s="817"/>
      <c r="AJ39" s="817">
        <f t="shared" si="16"/>
        <v>0</v>
      </c>
      <c r="AK39" s="817">
        <f t="shared" si="17"/>
        <v>0</v>
      </c>
      <c r="AL39" s="1384">
        <f t="shared" si="18"/>
        <v>75.832419999999985</v>
      </c>
      <c r="AM39" s="817"/>
      <c r="AN39" s="455"/>
    </row>
    <row r="40" spans="1:40" ht="18" customHeight="1">
      <c r="A40" s="814">
        <v>17</v>
      </c>
      <c r="B40" s="814" t="s">
        <v>65</v>
      </c>
      <c r="C40" s="819" t="s">
        <v>77</v>
      </c>
      <c r="D40" s="617">
        <f>'T-1'!R43</f>
        <v>7.2</v>
      </c>
      <c r="E40" s="617">
        <f>D40</f>
        <v>7.2</v>
      </c>
      <c r="F40" s="818"/>
      <c r="G40" s="409">
        <f>'T-1'!P43</f>
        <v>14</v>
      </c>
      <c r="H40" s="409">
        <f>'T-1'!Q43</f>
        <v>2926.8</v>
      </c>
      <c r="I40" s="816">
        <f>H40-G40</f>
        <v>2912.8</v>
      </c>
      <c r="J40" s="1388">
        <v>50</v>
      </c>
      <c r="K40" s="816">
        <f>410+20+30</f>
        <v>460</v>
      </c>
      <c r="L40" s="814"/>
      <c r="M40" s="820"/>
      <c r="N40" s="820"/>
      <c r="O40" s="820">
        <v>250</v>
      </c>
      <c r="P40" s="1384"/>
      <c r="Q40" s="1389"/>
      <c r="R40" s="409">
        <f t="shared" si="12"/>
        <v>482.12333333333333</v>
      </c>
      <c r="S40" s="174"/>
      <c r="T40" s="817">
        <f>(H40*J40*12)/100000</f>
        <v>17.5608</v>
      </c>
      <c r="U40" s="817">
        <f>(D40*K40/10)-((0.513*2*20)/10)</f>
        <v>329.14799999999997</v>
      </c>
      <c r="V40" s="1384"/>
      <c r="W40" s="817">
        <f t="shared" si="13"/>
        <v>0.42</v>
      </c>
      <c r="X40" s="613">
        <f>SUM(T40:W40)</f>
        <v>347.12880000000001</v>
      </c>
      <c r="Y40" s="1407"/>
      <c r="Z40" s="619">
        <f t="shared" si="14"/>
        <v>477.3021</v>
      </c>
      <c r="AA40" s="818"/>
      <c r="AB40" s="817"/>
      <c r="AC40" s="424">
        <f>X40-AB40</f>
        <v>347.12880000000001</v>
      </c>
      <c r="AD40" s="425"/>
      <c r="AE40" s="313">
        <v>0.02</v>
      </c>
      <c r="AF40" s="817">
        <f t="shared" si="15"/>
        <v>6.5829599999999999</v>
      </c>
      <c r="AG40" s="817"/>
      <c r="AH40" s="817">
        <f>X40*1%</f>
        <v>3.4712880000000004</v>
      </c>
      <c r="AI40" s="817"/>
      <c r="AJ40" s="817">
        <f t="shared" si="16"/>
        <v>0</v>
      </c>
      <c r="AK40" s="817">
        <f t="shared" si="17"/>
        <v>0</v>
      </c>
      <c r="AL40" s="1384">
        <f t="shared" si="18"/>
        <v>343.657512</v>
      </c>
      <c r="AM40" s="817"/>
      <c r="AN40" s="455"/>
    </row>
    <row r="41" spans="1:40" ht="18" customHeight="1">
      <c r="A41" s="814">
        <v>18</v>
      </c>
      <c r="B41" s="814" t="s">
        <v>78</v>
      </c>
      <c r="C41" s="819" t="s">
        <v>77</v>
      </c>
      <c r="D41" s="617">
        <f>'T-1'!R44</f>
        <v>36</v>
      </c>
      <c r="E41" s="617">
        <f>D41-F41</f>
        <v>35.567999999999998</v>
      </c>
      <c r="F41" s="818">
        <f>D41*1.2%</f>
        <v>0.432</v>
      </c>
      <c r="G41" s="409">
        <f>'T-1'!P44</f>
        <v>71</v>
      </c>
      <c r="H41" s="409">
        <f>'T-1'!Q44</f>
        <v>28783</v>
      </c>
      <c r="I41" s="816"/>
      <c r="J41" s="1388">
        <v>250</v>
      </c>
      <c r="K41" s="816">
        <f>535+20+30</f>
        <v>585</v>
      </c>
      <c r="L41" s="819">
        <f>425+20+30</f>
        <v>475</v>
      </c>
      <c r="M41" s="820"/>
      <c r="N41" s="820"/>
      <c r="O41" s="820">
        <v>250</v>
      </c>
      <c r="P41" s="1384"/>
      <c r="Q41" s="1389"/>
      <c r="R41" s="409">
        <f t="shared" si="12"/>
        <v>772.47611111111109</v>
      </c>
      <c r="S41" s="174">
        <v>0.8</v>
      </c>
      <c r="T41" s="817">
        <f>(H41*J41*S41*12)/100000</f>
        <v>690.79200000000003</v>
      </c>
      <c r="U41" s="817">
        <f>((E41*K41+F41*L41)/10)-((3.314*2*20)/10)</f>
        <v>2087.9920000000002</v>
      </c>
      <c r="V41" s="1384"/>
      <c r="W41" s="817">
        <f t="shared" si="13"/>
        <v>2.13</v>
      </c>
      <c r="X41" s="613">
        <f>SUM(T41:W41)</f>
        <v>2780.9140000000002</v>
      </c>
      <c r="Y41" s="1407"/>
      <c r="Z41" s="619">
        <f t="shared" si="14"/>
        <v>764.75135000000012</v>
      </c>
      <c r="AA41" s="818"/>
      <c r="AB41" s="817"/>
      <c r="AC41" s="424">
        <f t="shared" si="22"/>
        <v>2780.9140000000002</v>
      </c>
      <c r="AD41" s="425"/>
      <c r="AE41" s="313">
        <v>0.08</v>
      </c>
      <c r="AF41" s="817">
        <f t="shared" si="15"/>
        <v>167.03936000000002</v>
      </c>
      <c r="AG41" s="816">
        <f t="shared" ref="AG41:AG53" si="23">AF41/D41+Z41</f>
        <v>769.39133222222233</v>
      </c>
      <c r="AH41" s="817">
        <f>X41*1%</f>
        <v>27.809140000000003</v>
      </c>
      <c r="AI41" s="817">
        <f>(T41+U41)*0%</f>
        <v>0</v>
      </c>
      <c r="AJ41" s="817">
        <f t="shared" si="16"/>
        <v>0</v>
      </c>
      <c r="AK41" s="817">
        <f t="shared" si="17"/>
        <v>0</v>
      </c>
      <c r="AL41" s="1384">
        <f t="shared" si="18"/>
        <v>2753.1048600000004</v>
      </c>
      <c r="AM41" s="817"/>
      <c r="AN41" s="455"/>
    </row>
    <row r="42" spans="1:40" ht="18" customHeight="1">
      <c r="A42" s="814">
        <v>19</v>
      </c>
      <c r="B42" s="814" t="s">
        <v>316</v>
      </c>
      <c r="C42" s="819" t="s">
        <v>77</v>
      </c>
      <c r="D42" s="617">
        <f>'T-1'!R45</f>
        <v>0.1</v>
      </c>
      <c r="E42" s="617">
        <f>D42-F42</f>
        <v>0.1</v>
      </c>
      <c r="F42" s="818"/>
      <c r="G42" s="409">
        <f>'T-1'!P45</f>
        <v>1</v>
      </c>
      <c r="H42" s="409">
        <f>'T-1'!Q45</f>
        <v>150</v>
      </c>
      <c r="I42" s="816"/>
      <c r="J42" s="1388">
        <v>250</v>
      </c>
      <c r="K42" s="816">
        <f t="shared" ref="K42:K50" si="24">535+20+30</f>
        <v>585</v>
      </c>
      <c r="L42" s="819">
        <f t="shared" ref="L42:L50" si="25">425+20+30</f>
        <v>475</v>
      </c>
      <c r="M42" s="820"/>
      <c r="N42" s="820"/>
      <c r="O42" s="820">
        <v>250</v>
      </c>
      <c r="P42" s="1384"/>
      <c r="Q42" s="814"/>
      <c r="R42" s="409">
        <f t="shared" si="12"/>
        <v>947.99999999999977</v>
      </c>
      <c r="S42" s="174">
        <v>0.8</v>
      </c>
      <c r="T42" s="817">
        <f t="shared" ref="T42:T50" si="26">(H42*J42*S42*12)/100000</f>
        <v>3.6</v>
      </c>
      <c r="U42" s="817">
        <f>((E42*K42+F42*L42)/10)-((0*2*20)/10)</f>
        <v>5.85</v>
      </c>
      <c r="V42" s="1384"/>
      <c r="W42" s="817">
        <f t="shared" si="13"/>
        <v>0.03</v>
      </c>
      <c r="X42" s="613">
        <f>SUM(T42:W42)</f>
        <v>9.4799999999999986</v>
      </c>
      <c r="Y42" s="1407">
        <v>0.1</v>
      </c>
      <c r="Z42" s="619">
        <f t="shared" si="14"/>
        <v>947.99999999999977</v>
      </c>
      <c r="AA42" s="818"/>
      <c r="AB42" s="817"/>
      <c r="AC42" s="424">
        <f t="shared" si="22"/>
        <v>9.4799999999999986</v>
      </c>
      <c r="AD42" s="425"/>
      <c r="AE42" s="313">
        <v>0.08</v>
      </c>
      <c r="AF42" s="817">
        <f t="shared" si="15"/>
        <v>0.46799999999999997</v>
      </c>
      <c r="AG42" s="816">
        <f t="shared" si="23"/>
        <v>952.67999999999972</v>
      </c>
      <c r="AH42" s="817"/>
      <c r="AI42" s="817"/>
      <c r="AJ42" s="817">
        <f t="shared" si="16"/>
        <v>0</v>
      </c>
      <c r="AK42" s="817">
        <f t="shared" si="17"/>
        <v>0</v>
      </c>
      <c r="AL42" s="1384">
        <f t="shared" si="18"/>
        <v>9.4799999999999986</v>
      </c>
      <c r="AM42" s="817"/>
      <c r="AN42" s="455"/>
    </row>
    <row r="43" spans="1:40" ht="18" customHeight="1">
      <c r="A43" s="814">
        <v>20</v>
      </c>
      <c r="B43" s="814" t="s">
        <v>302</v>
      </c>
      <c r="C43" s="819" t="s">
        <v>77</v>
      </c>
      <c r="D43" s="617">
        <f>'T-1'!R46</f>
        <v>168</v>
      </c>
      <c r="E43" s="617">
        <f>D43-F43</f>
        <v>149.52000000000001</v>
      </c>
      <c r="F43" s="818">
        <f>D43*11%</f>
        <v>18.48</v>
      </c>
      <c r="G43" s="409">
        <f>'T-1'!P46</f>
        <v>198</v>
      </c>
      <c r="H43" s="409">
        <f>'T-1'!Q46</f>
        <v>66392.602222222224</v>
      </c>
      <c r="I43" s="816"/>
      <c r="J43" s="1388">
        <v>250</v>
      </c>
      <c r="K43" s="816">
        <f t="shared" si="24"/>
        <v>585</v>
      </c>
      <c r="L43" s="819">
        <f t="shared" si="25"/>
        <v>475</v>
      </c>
      <c r="M43" s="820"/>
      <c r="N43" s="820"/>
      <c r="O43" s="820">
        <v>250</v>
      </c>
      <c r="P43" s="1384"/>
      <c r="Q43" s="1389"/>
      <c r="R43" s="409">
        <f t="shared" si="12"/>
        <v>663.96514603174614</v>
      </c>
      <c r="S43" s="174">
        <v>0.8</v>
      </c>
      <c r="T43" s="817">
        <f t="shared" si="26"/>
        <v>1593.4224533333334</v>
      </c>
      <c r="U43" s="817">
        <f>((E43*K43+F43*L43)/10)-((17.367*2*20)/10)</f>
        <v>9555.2520000000004</v>
      </c>
      <c r="V43" s="1384"/>
      <c r="W43" s="817">
        <f t="shared" si="13"/>
        <v>5.94</v>
      </c>
      <c r="X43" s="613">
        <f>SUM(T43:W43)</f>
        <v>11154.614453333334</v>
      </c>
      <c r="Y43" s="1407"/>
      <c r="Z43" s="619">
        <f t="shared" si="14"/>
        <v>657.32549457142864</v>
      </c>
      <c r="AA43" s="818"/>
      <c r="AB43" s="817"/>
      <c r="AC43" s="424">
        <f>X43-AB43</f>
        <v>11154.614453333334</v>
      </c>
      <c r="AD43" s="425"/>
      <c r="AE43" s="313">
        <v>0.08</v>
      </c>
      <c r="AF43" s="817">
        <f t="shared" si="15"/>
        <v>764.42016000000001</v>
      </c>
      <c r="AG43" s="816">
        <f t="shared" si="23"/>
        <v>661.87561457142863</v>
      </c>
      <c r="AH43" s="817">
        <f>X43*1%</f>
        <v>111.54614453333333</v>
      </c>
      <c r="AI43" s="817">
        <f>(T43+U43)*0%</f>
        <v>0</v>
      </c>
      <c r="AJ43" s="817">
        <f t="shared" si="16"/>
        <v>0</v>
      </c>
      <c r="AK43" s="817">
        <f t="shared" si="17"/>
        <v>0</v>
      </c>
      <c r="AL43" s="1384">
        <f t="shared" si="18"/>
        <v>11043.068308800001</v>
      </c>
      <c r="AM43" s="817"/>
      <c r="AN43" s="455"/>
    </row>
    <row r="44" spans="1:40" ht="18" customHeight="1">
      <c r="A44" s="814">
        <v>21</v>
      </c>
      <c r="B44" s="814" t="s">
        <v>303</v>
      </c>
      <c r="C44" s="819" t="s">
        <v>77</v>
      </c>
      <c r="D44" s="617">
        <f>'T-1'!R47</f>
        <v>0</v>
      </c>
      <c r="E44" s="617"/>
      <c r="F44" s="818"/>
      <c r="G44" s="409">
        <f>'T-1'!P47</f>
        <v>0</v>
      </c>
      <c r="H44" s="409">
        <f>'T-1'!Q47</f>
        <v>0</v>
      </c>
      <c r="I44" s="816"/>
      <c r="J44" s="1388">
        <v>150</v>
      </c>
      <c r="K44" s="816">
        <f t="shared" si="24"/>
        <v>585</v>
      </c>
      <c r="L44" s="819">
        <f t="shared" si="25"/>
        <v>475</v>
      </c>
      <c r="M44" s="820"/>
      <c r="N44" s="820"/>
      <c r="O44" s="820">
        <v>250</v>
      </c>
      <c r="P44" s="1384"/>
      <c r="Q44" s="814"/>
      <c r="R44" s="409" t="e">
        <f t="shared" si="12"/>
        <v>#DIV/0!</v>
      </c>
      <c r="S44" s="174">
        <v>0.8</v>
      </c>
      <c r="T44" s="817">
        <f t="shared" si="26"/>
        <v>0</v>
      </c>
      <c r="U44" s="817">
        <f>((E44*K44+F44*L44)/10)-((0*2*20)/10)</f>
        <v>0</v>
      </c>
      <c r="V44" s="1384"/>
      <c r="W44" s="817">
        <f t="shared" si="13"/>
        <v>0</v>
      </c>
      <c r="X44" s="613">
        <f t="shared" si="20"/>
        <v>0</v>
      </c>
      <c r="Y44" s="1407"/>
      <c r="Z44" s="619" t="e">
        <f t="shared" si="14"/>
        <v>#DIV/0!</v>
      </c>
      <c r="AA44" s="818"/>
      <c r="AB44" s="817"/>
      <c r="AC44" s="424">
        <f t="shared" si="22"/>
        <v>0</v>
      </c>
      <c r="AD44" s="425"/>
      <c r="AE44" s="313">
        <v>0.08</v>
      </c>
      <c r="AF44" s="817">
        <f t="shared" si="15"/>
        <v>0</v>
      </c>
      <c r="AG44" s="816" t="e">
        <f t="shared" si="23"/>
        <v>#DIV/0!</v>
      </c>
      <c r="AH44" s="817"/>
      <c r="AI44" s="817"/>
      <c r="AJ44" s="817">
        <f t="shared" si="16"/>
        <v>0</v>
      </c>
      <c r="AK44" s="817">
        <f t="shared" ref="AK44" si="27">(T44+U44)*1.5%</f>
        <v>0</v>
      </c>
      <c r="AL44" s="1384">
        <f t="shared" si="18"/>
        <v>0</v>
      </c>
      <c r="AM44" s="817"/>
      <c r="AN44" s="455"/>
    </row>
    <row r="45" spans="1:40" ht="18" customHeight="1">
      <c r="A45" s="814">
        <v>22</v>
      </c>
      <c r="B45" s="814" t="s">
        <v>192</v>
      </c>
      <c r="C45" s="819" t="s">
        <v>77</v>
      </c>
      <c r="D45" s="617">
        <f>'T-1'!R48</f>
        <v>43</v>
      </c>
      <c r="E45" s="617">
        <f t="shared" ref="E45:E52" si="28">D45-F45</f>
        <v>36.119999999999997</v>
      </c>
      <c r="F45" s="818">
        <f>D45*16%</f>
        <v>6.88</v>
      </c>
      <c r="G45" s="409">
        <f>'T-1'!P48</f>
        <v>51</v>
      </c>
      <c r="H45" s="409">
        <f>'T-1'!Q48</f>
        <v>17630.888888888887</v>
      </c>
      <c r="I45" s="816"/>
      <c r="J45" s="1388">
        <v>250</v>
      </c>
      <c r="K45" s="816">
        <f t="shared" si="24"/>
        <v>585</v>
      </c>
      <c r="L45" s="819">
        <f t="shared" si="25"/>
        <v>475</v>
      </c>
      <c r="M45" s="820"/>
      <c r="N45" s="820"/>
      <c r="O45" s="820">
        <v>250</v>
      </c>
      <c r="P45" s="1384"/>
      <c r="Q45" s="1389"/>
      <c r="R45" s="409">
        <f t="shared" si="12"/>
        <v>661.58961240310077</v>
      </c>
      <c r="S45" s="174">
        <v>0.8</v>
      </c>
      <c r="T45" s="817">
        <f t="shared" si="26"/>
        <v>423.14133333333336</v>
      </c>
      <c r="U45" s="817">
        <f>((E45*K45+F45*L45)/10)-((4.914*2*20)/10)</f>
        <v>2420.1639999999998</v>
      </c>
      <c r="V45" s="1384"/>
      <c r="W45" s="817">
        <f t="shared" si="13"/>
        <v>1.53</v>
      </c>
      <c r="X45" s="613">
        <f t="shared" si="20"/>
        <v>2844.8353333333334</v>
      </c>
      <c r="Y45" s="1407">
        <v>0.1</v>
      </c>
      <c r="Z45" s="619">
        <f t="shared" si="14"/>
        <v>654.04106976744185</v>
      </c>
      <c r="AA45" s="614">
        <f>2.00519*2</f>
        <v>4.0103799999999996</v>
      </c>
      <c r="AB45" s="174">
        <f>AA45*Y45*10</f>
        <v>4.0103799999999996</v>
      </c>
      <c r="AC45" s="424">
        <f t="shared" si="22"/>
        <v>2840.8249533333333</v>
      </c>
      <c r="AD45" s="425"/>
      <c r="AE45" s="313">
        <v>0</v>
      </c>
      <c r="AF45" s="817">
        <f t="shared" si="15"/>
        <v>0</v>
      </c>
      <c r="AG45" s="816">
        <f t="shared" si="23"/>
        <v>654.04106976744185</v>
      </c>
      <c r="AH45" s="817">
        <f t="shared" ref="AH45:AH52" si="29">X45*1%</f>
        <v>28.448353333333333</v>
      </c>
      <c r="AI45" s="817">
        <f>(T45+U45)*0%</f>
        <v>0</v>
      </c>
      <c r="AJ45" s="817">
        <f t="shared" si="16"/>
        <v>0</v>
      </c>
      <c r="AK45" s="817">
        <f t="shared" ref="AK45:AK52" si="30">(T45+U45)*0%</f>
        <v>0</v>
      </c>
      <c r="AL45" s="1384">
        <f t="shared" si="18"/>
        <v>2812.3766000000001</v>
      </c>
      <c r="AM45" s="817"/>
      <c r="AN45" s="455"/>
    </row>
    <row r="46" spans="1:40" ht="18" customHeight="1">
      <c r="A46" s="814">
        <v>23</v>
      </c>
      <c r="B46" s="814" t="s">
        <v>73</v>
      </c>
      <c r="C46" s="819" t="s">
        <v>77</v>
      </c>
      <c r="D46" s="617">
        <f>'T-1'!R49</f>
        <v>1026.0416666666667</v>
      </c>
      <c r="E46" s="617">
        <f t="shared" si="28"/>
        <v>872.13541666666674</v>
      </c>
      <c r="F46" s="818">
        <f>D46*15%</f>
        <v>153.90625</v>
      </c>
      <c r="G46" s="409">
        <f>'T-1'!P49</f>
        <v>734</v>
      </c>
      <c r="H46" s="409">
        <f>'T-1'!Q49</f>
        <v>345528.72222222219</v>
      </c>
      <c r="I46" s="816"/>
      <c r="J46" s="1388">
        <v>250</v>
      </c>
      <c r="K46" s="816">
        <f t="shared" si="24"/>
        <v>585</v>
      </c>
      <c r="L46" s="819">
        <f t="shared" si="25"/>
        <v>475</v>
      </c>
      <c r="M46" s="820"/>
      <c r="N46" s="820"/>
      <c r="O46" s="820">
        <v>250</v>
      </c>
      <c r="P46" s="1384"/>
      <c r="Q46" s="1389"/>
      <c r="R46" s="409">
        <f t="shared" si="12"/>
        <v>643.98517360406095</v>
      </c>
      <c r="S46" s="174">
        <v>0.8</v>
      </c>
      <c r="T46" s="817">
        <f t="shared" si="26"/>
        <v>8292.6893333333337</v>
      </c>
      <c r="U46" s="817">
        <f>((E46*K46+F46*L46)/10)-((142.404*2*20)/10)</f>
        <v>57760.852749999998</v>
      </c>
      <c r="V46" s="1384"/>
      <c r="W46" s="817">
        <f t="shared" si="13"/>
        <v>22.02</v>
      </c>
      <c r="X46" s="613">
        <f t="shared" si="20"/>
        <v>66075.562083333338</v>
      </c>
      <c r="Y46" s="1407"/>
      <c r="Z46" s="619">
        <f t="shared" si="14"/>
        <v>637.54532186802032</v>
      </c>
      <c r="AA46" s="818"/>
      <c r="AB46" s="817"/>
      <c r="AC46" s="424">
        <f t="shared" si="22"/>
        <v>66075.562083333338</v>
      </c>
      <c r="AD46" s="425"/>
      <c r="AE46" s="313">
        <v>0.08</v>
      </c>
      <c r="AF46" s="817">
        <f t="shared" si="15"/>
        <v>4620.8682200000003</v>
      </c>
      <c r="AG46" s="816">
        <f t="shared" si="23"/>
        <v>642.04890916873103</v>
      </c>
      <c r="AH46" s="817">
        <f t="shared" si="29"/>
        <v>660.75562083333341</v>
      </c>
      <c r="AI46" s="817">
        <f>(T46+U46)*0%</f>
        <v>0</v>
      </c>
      <c r="AJ46" s="817">
        <f t="shared" si="16"/>
        <v>0</v>
      </c>
      <c r="AK46" s="817">
        <f t="shared" si="30"/>
        <v>0</v>
      </c>
      <c r="AL46" s="1384">
        <f t="shared" si="18"/>
        <v>65414.806462500004</v>
      </c>
      <c r="AM46" s="817"/>
      <c r="AN46" s="455"/>
    </row>
    <row r="47" spans="1:40" ht="18" customHeight="1">
      <c r="A47" s="814">
        <v>24</v>
      </c>
      <c r="B47" s="62" t="s">
        <v>2128</v>
      </c>
      <c r="C47" s="819" t="s">
        <v>77</v>
      </c>
      <c r="D47" s="617">
        <f>'T-1'!R50</f>
        <v>15.625</v>
      </c>
      <c r="E47" s="617">
        <f t="shared" si="28"/>
        <v>15.625</v>
      </c>
      <c r="F47" s="818"/>
      <c r="G47" s="409"/>
      <c r="H47" s="409"/>
      <c r="I47" s="816"/>
      <c r="J47" s="1388"/>
      <c r="K47" s="816">
        <v>430</v>
      </c>
      <c r="L47" s="819"/>
      <c r="M47" s="820"/>
      <c r="N47" s="820"/>
      <c r="O47" s="820"/>
      <c r="P47" s="1384"/>
      <c r="Q47" s="1389"/>
      <c r="R47" s="409">
        <f t="shared" si="12"/>
        <v>430</v>
      </c>
      <c r="S47" s="174"/>
      <c r="T47" s="817"/>
      <c r="U47" s="817">
        <f>((E47*K47+F47*L47)/10)</f>
        <v>671.875</v>
      </c>
      <c r="V47" s="1384"/>
      <c r="W47" s="817"/>
      <c r="X47" s="613">
        <f t="shared" si="20"/>
        <v>671.875</v>
      </c>
      <c r="Y47" s="1407"/>
      <c r="Z47" s="619">
        <f t="shared" si="14"/>
        <v>430</v>
      </c>
      <c r="AA47" s="818"/>
      <c r="AB47" s="817"/>
      <c r="AC47" s="424">
        <f t="shared" si="22"/>
        <v>671.875</v>
      </c>
      <c r="AD47" s="425"/>
      <c r="AE47" s="313">
        <v>0.08</v>
      </c>
      <c r="AF47" s="817">
        <f t="shared" ref="AF47" si="31">AE47*U47</f>
        <v>53.75</v>
      </c>
      <c r="AG47" s="816">
        <f t="shared" ref="AG47" si="32">AF47/D47+Z47</f>
        <v>433.44</v>
      </c>
      <c r="AH47" s="817"/>
      <c r="AI47" s="817"/>
      <c r="AJ47" s="817"/>
      <c r="AK47" s="817"/>
      <c r="AL47" s="1384">
        <f t="shared" si="18"/>
        <v>671.875</v>
      </c>
      <c r="AM47" s="817"/>
      <c r="AN47" s="455"/>
    </row>
    <row r="48" spans="1:40" ht="18" customHeight="1">
      <c r="A48" s="814">
        <v>25</v>
      </c>
      <c r="B48" s="814" t="s">
        <v>83</v>
      </c>
      <c r="C48" s="819" t="s">
        <v>77</v>
      </c>
      <c r="D48" s="617">
        <f>'T-1'!R51</f>
        <v>620.48621706845699</v>
      </c>
      <c r="E48" s="617">
        <f t="shared" si="28"/>
        <v>452.95493845997362</v>
      </c>
      <c r="F48" s="818">
        <f>D48*27%</f>
        <v>167.5312786084834</v>
      </c>
      <c r="G48" s="409">
        <f>'T-1'!P51</f>
        <v>13</v>
      </c>
      <c r="H48" s="409">
        <f>'T-1'!Q51</f>
        <v>95550</v>
      </c>
      <c r="I48" s="816"/>
      <c r="J48" s="1388">
        <v>250</v>
      </c>
      <c r="K48" s="816">
        <f t="shared" si="24"/>
        <v>585</v>
      </c>
      <c r="L48" s="819">
        <f t="shared" si="25"/>
        <v>475</v>
      </c>
      <c r="M48" s="820"/>
      <c r="N48" s="820"/>
      <c r="O48" s="820">
        <v>250</v>
      </c>
      <c r="P48" s="1384"/>
      <c r="Q48" s="814"/>
      <c r="R48" s="409">
        <f t="shared" si="12"/>
        <v>587.61675329508205</v>
      </c>
      <c r="S48" s="174">
        <v>0.8</v>
      </c>
      <c r="T48" s="817">
        <f t="shared" si="26"/>
        <v>2293.1999999999998</v>
      </c>
      <c r="U48" s="817">
        <f>((E48*K48+F48*L48)/10)-((72.095*2*20)/10)</f>
        <v>34167.219633811423</v>
      </c>
      <c r="V48" s="1384"/>
      <c r="W48" s="817">
        <f t="shared" si="13"/>
        <v>0.39</v>
      </c>
      <c r="X48" s="613">
        <f t="shared" si="20"/>
        <v>36460.809633811419</v>
      </c>
      <c r="Y48" s="1407"/>
      <c r="Z48" s="619">
        <f t="shared" si="14"/>
        <v>581.7405857621311</v>
      </c>
      <c r="AA48" s="818"/>
      <c r="AB48" s="817"/>
      <c r="AC48" s="424">
        <f t="shared" si="22"/>
        <v>36460.809633811419</v>
      </c>
      <c r="AD48" s="425"/>
      <c r="AE48" s="313">
        <v>0.08</v>
      </c>
      <c r="AF48" s="817">
        <f t="shared" si="15"/>
        <v>2733.377570704914</v>
      </c>
      <c r="AG48" s="816">
        <f t="shared" si="23"/>
        <v>586.14580459780325</v>
      </c>
      <c r="AH48" s="817">
        <f t="shared" si="29"/>
        <v>364.60809633811419</v>
      </c>
      <c r="AI48" s="817">
        <f>(T48+U48)*0%</f>
        <v>0</v>
      </c>
      <c r="AJ48" s="817">
        <f t="shared" si="16"/>
        <v>0</v>
      </c>
      <c r="AK48" s="817">
        <f t="shared" si="30"/>
        <v>0</v>
      </c>
      <c r="AL48" s="1384">
        <f t="shared" si="18"/>
        <v>36096.201537473302</v>
      </c>
      <c r="AM48" s="817"/>
      <c r="AN48" s="455"/>
    </row>
    <row r="49" spans="1:40" ht="18" customHeight="1">
      <c r="A49" s="814">
        <v>26</v>
      </c>
      <c r="B49" s="814" t="s">
        <v>93</v>
      </c>
      <c r="C49" s="819" t="s">
        <v>77</v>
      </c>
      <c r="D49" s="617">
        <f>'T-1'!R52</f>
        <v>177.0717393503997</v>
      </c>
      <c r="E49" s="617">
        <f t="shared" si="28"/>
        <v>132.80380451279979</v>
      </c>
      <c r="F49" s="818">
        <f>D49*25%</f>
        <v>44.267934837599924</v>
      </c>
      <c r="G49" s="409">
        <f>'T-1'!P52</f>
        <v>4</v>
      </c>
      <c r="H49" s="409">
        <f>'T-1'!Q52</f>
        <v>29500</v>
      </c>
      <c r="I49" s="816"/>
      <c r="J49" s="1388">
        <v>250</v>
      </c>
      <c r="K49" s="816">
        <f t="shared" si="24"/>
        <v>585</v>
      </c>
      <c r="L49" s="819">
        <f t="shared" si="25"/>
        <v>475</v>
      </c>
      <c r="M49" s="820"/>
      <c r="N49" s="820"/>
      <c r="O49" s="820">
        <v>250</v>
      </c>
      <c r="P49" s="1384"/>
      <c r="Q49" s="814"/>
      <c r="R49" s="409">
        <f t="shared" si="12"/>
        <v>593.30582662857148</v>
      </c>
      <c r="S49" s="174">
        <v>0.8</v>
      </c>
      <c r="T49" s="817">
        <f t="shared" si="26"/>
        <v>708</v>
      </c>
      <c r="U49" s="817">
        <f>((E49*K49+F49*L49)/10)-((18.525*2*20)/10)</f>
        <v>9797.6494687847826</v>
      </c>
      <c r="V49" s="1384"/>
      <c r="W49" s="817">
        <f t="shared" si="13"/>
        <v>0.12</v>
      </c>
      <c r="X49" s="613">
        <f t="shared" si="20"/>
        <v>10505.769468784783</v>
      </c>
      <c r="Y49" s="1407"/>
      <c r="Z49" s="619">
        <f t="shared" si="14"/>
        <v>587.3727683622858</v>
      </c>
      <c r="AA49" s="818"/>
      <c r="AB49" s="817"/>
      <c r="AC49" s="424">
        <f t="shared" si="22"/>
        <v>10505.769468784783</v>
      </c>
      <c r="AD49" s="425"/>
      <c r="AE49" s="313">
        <v>0.08</v>
      </c>
      <c r="AF49" s="817">
        <f t="shared" si="15"/>
        <v>783.81195750278266</v>
      </c>
      <c r="AG49" s="816">
        <f t="shared" si="23"/>
        <v>591.79929040571437</v>
      </c>
      <c r="AH49" s="817">
        <f t="shared" si="29"/>
        <v>105.05769468784784</v>
      </c>
      <c r="AI49" s="817">
        <f>(T49+U49)*0%</f>
        <v>0</v>
      </c>
      <c r="AJ49" s="817">
        <f t="shared" si="16"/>
        <v>0</v>
      </c>
      <c r="AK49" s="817">
        <f t="shared" si="30"/>
        <v>0</v>
      </c>
      <c r="AL49" s="1384">
        <f t="shared" si="18"/>
        <v>10400.711774096935</v>
      </c>
      <c r="AM49" s="817"/>
      <c r="AN49" s="455"/>
    </row>
    <row r="50" spans="1:40" ht="18" customHeight="1">
      <c r="A50" s="814">
        <v>27</v>
      </c>
      <c r="B50" s="814" t="s">
        <v>85</v>
      </c>
      <c r="C50" s="819" t="s">
        <v>77</v>
      </c>
      <c r="D50" s="617">
        <f>'T-1'!R53</f>
        <v>9.9999999999999995E-7</v>
      </c>
      <c r="E50" s="617">
        <f t="shared" si="28"/>
        <v>9.9999999999999995E-7</v>
      </c>
      <c r="F50" s="818">
        <f>D50*0%</f>
        <v>0</v>
      </c>
      <c r="G50" s="409">
        <f>'T-1'!P53</f>
        <v>0</v>
      </c>
      <c r="H50" s="409">
        <f>'T-1'!Q53</f>
        <v>0</v>
      </c>
      <c r="I50" s="816"/>
      <c r="J50" s="1388">
        <v>250</v>
      </c>
      <c r="K50" s="816">
        <f t="shared" si="24"/>
        <v>585</v>
      </c>
      <c r="L50" s="819">
        <f t="shared" si="25"/>
        <v>475</v>
      </c>
      <c r="M50" s="820"/>
      <c r="N50" s="820"/>
      <c r="O50" s="820">
        <v>250</v>
      </c>
      <c r="P50" s="1384"/>
      <c r="Q50" s="1389"/>
      <c r="R50" s="409">
        <f t="shared" si="12"/>
        <v>585</v>
      </c>
      <c r="S50" s="174">
        <v>0.8</v>
      </c>
      <c r="T50" s="817">
        <f t="shared" si="26"/>
        <v>0</v>
      </c>
      <c r="U50" s="817">
        <f>(E50*K50+F50*L50)/10-((0*2*20)/10)</f>
        <v>5.8499999999999999E-5</v>
      </c>
      <c r="V50" s="1384"/>
      <c r="W50" s="817">
        <f t="shared" si="13"/>
        <v>0</v>
      </c>
      <c r="X50" s="613">
        <f t="shared" si="20"/>
        <v>5.8499999999999999E-5</v>
      </c>
      <c r="Y50" s="1407"/>
      <c r="Z50" s="619">
        <f t="shared" si="14"/>
        <v>569.90699999999993</v>
      </c>
      <c r="AA50" s="818"/>
      <c r="AB50" s="817"/>
      <c r="AC50" s="424">
        <f t="shared" si="22"/>
        <v>5.8499999999999999E-5</v>
      </c>
      <c r="AD50" s="425"/>
      <c r="AE50" s="313">
        <v>0</v>
      </c>
      <c r="AF50" s="817">
        <f t="shared" si="15"/>
        <v>0</v>
      </c>
      <c r="AG50" s="816">
        <f t="shared" si="23"/>
        <v>569.90699999999993</v>
      </c>
      <c r="AH50" s="817">
        <f t="shared" si="29"/>
        <v>5.8500000000000001E-7</v>
      </c>
      <c r="AI50" s="817">
        <f>(T50+U50)*1.58%</f>
        <v>9.2430000000000009E-7</v>
      </c>
      <c r="AJ50" s="817">
        <f t="shared" si="16"/>
        <v>0</v>
      </c>
      <c r="AK50" s="817">
        <f t="shared" si="30"/>
        <v>0</v>
      </c>
      <c r="AL50" s="1384">
        <f t="shared" si="18"/>
        <v>5.8839299999999998E-5</v>
      </c>
      <c r="AM50" s="817"/>
      <c r="AN50" s="455"/>
    </row>
    <row r="51" spans="1:40" ht="18" customHeight="1">
      <c r="A51" s="814">
        <v>28</v>
      </c>
      <c r="B51" s="814" t="s">
        <v>304</v>
      </c>
      <c r="C51" s="819" t="s">
        <v>77</v>
      </c>
      <c r="D51" s="617">
        <f>'T-1'!R54</f>
        <v>0</v>
      </c>
      <c r="E51" s="617">
        <f t="shared" si="28"/>
        <v>0</v>
      </c>
      <c r="F51" s="818"/>
      <c r="G51" s="409">
        <f>'T-1'!P54</f>
        <v>0</v>
      </c>
      <c r="H51" s="409">
        <f>'T-1'!Q54</f>
        <v>0</v>
      </c>
      <c r="I51" s="816"/>
      <c r="J51" s="1388">
        <v>0</v>
      </c>
      <c r="K51" s="816">
        <f>730+20+30</f>
        <v>780</v>
      </c>
      <c r="L51" s="817"/>
      <c r="M51" s="820"/>
      <c r="N51" s="820"/>
      <c r="O51" s="820">
        <v>250</v>
      </c>
      <c r="P51" s="1384"/>
      <c r="Q51" s="1389"/>
      <c r="R51" s="409" t="e">
        <f t="shared" si="12"/>
        <v>#DIV/0!</v>
      </c>
      <c r="S51" s="174"/>
      <c r="T51" s="817"/>
      <c r="U51" s="817">
        <f>(E51*K51+F51*L51)/10-(0*2*20/10)</f>
        <v>0</v>
      </c>
      <c r="V51" s="1384"/>
      <c r="W51" s="817">
        <f t="shared" si="13"/>
        <v>0</v>
      </c>
      <c r="X51" s="613">
        <f t="shared" si="20"/>
        <v>0</v>
      </c>
      <c r="Y51" s="1407"/>
      <c r="Z51" s="619" t="e">
        <f t="shared" si="14"/>
        <v>#DIV/0!</v>
      </c>
      <c r="AA51" s="818"/>
      <c r="AB51" s="817"/>
      <c r="AC51" s="424">
        <f t="shared" si="22"/>
        <v>0</v>
      </c>
      <c r="AD51" s="425"/>
      <c r="AE51" s="313">
        <v>0.08</v>
      </c>
      <c r="AF51" s="817">
        <f t="shared" si="15"/>
        <v>0</v>
      </c>
      <c r="AG51" s="816" t="e">
        <f t="shared" si="23"/>
        <v>#DIV/0!</v>
      </c>
      <c r="AH51" s="817">
        <f t="shared" si="29"/>
        <v>0</v>
      </c>
      <c r="AI51" s="817">
        <f>(T51+U51)*0%</f>
        <v>0</v>
      </c>
      <c r="AJ51" s="817">
        <f t="shared" si="16"/>
        <v>0</v>
      </c>
      <c r="AK51" s="817">
        <f t="shared" si="30"/>
        <v>0</v>
      </c>
      <c r="AL51" s="1384">
        <f t="shared" si="18"/>
        <v>0</v>
      </c>
      <c r="AM51" s="817"/>
      <c r="AN51" s="455"/>
    </row>
    <row r="52" spans="1:40" ht="18" customHeight="1">
      <c r="A52" s="814">
        <v>29</v>
      </c>
      <c r="B52" s="814" t="s">
        <v>87</v>
      </c>
      <c r="C52" s="819" t="s">
        <v>77</v>
      </c>
      <c r="D52" s="617">
        <f>'T-1'!R55</f>
        <v>4.2</v>
      </c>
      <c r="E52" s="617">
        <f t="shared" si="28"/>
        <v>4.2</v>
      </c>
      <c r="F52" s="818"/>
      <c r="G52" s="409">
        <f>'T-1'!P55</f>
        <v>0</v>
      </c>
      <c r="H52" s="409">
        <f>'T-1'!Q55</f>
        <v>0</v>
      </c>
      <c r="I52" s="816"/>
      <c r="J52" s="1388">
        <v>0</v>
      </c>
      <c r="K52" s="816">
        <f>440+20+30</f>
        <v>490</v>
      </c>
      <c r="L52" s="817"/>
      <c r="M52" s="820"/>
      <c r="N52" s="820"/>
      <c r="O52" s="820">
        <v>0</v>
      </c>
      <c r="P52" s="1384"/>
      <c r="Q52" s="100"/>
      <c r="R52" s="409">
        <f t="shared" si="12"/>
        <v>490</v>
      </c>
      <c r="S52" s="174"/>
      <c r="T52" s="817"/>
      <c r="U52" s="817">
        <f>(E52*K52+F52*L52)/10</f>
        <v>205.8</v>
      </c>
      <c r="V52" s="1384"/>
      <c r="W52" s="817">
        <f t="shared" si="13"/>
        <v>0</v>
      </c>
      <c r="X52" s="613">
        <f t="shared" si="20"/>
        <v>205.8</v>
      </c>
      <c r="Y52" s="1407"/>
      <c r="Z52" s="619">
        <f t="shared" si="14"/>
        <v>485.1</v>
      </c>
      <c r="AA52" s="818"/>
      <c r="AB52" s="817"/>
      <c r="AC52" s="424">
        <f>X52-AB52</f>
        <v>205.8</v>
      </c>
      <c r="AD52" s="425"/>
      <c r="AE52" s="313">
        <v>0.08</v>
      </c>
      <c r="AF52" s="817">
        <f t="shared" si="15"/>
        <v>16.464000000000002</v>
      </c>
      <c r="AG52" s="816">
        <f t="shared" si="23"/>
        <v>489.02000000000004</v>
      </c>
      <c r="AH52" s="817">
        <f t="shared" si="29"/>
        <v>2.0580000000000003</v>
      </c>
      <c r="AI52" s="817"/>
      <c r="AJ52" s="817"/>
      <c r="AK52" s="817">
        <f t="shared" si="30"/>
        <v>0</v>
      </c>
      <c r="AL52" s="1384">
        <f t="shared" si="18"/>
        <v>203.74200000000002</v>
      </c>
      <c r="AM52" s="817"/>
      <c r="AN52" s="455"/>
    </row>
    <row r="53" spans="1:40" ht="18" customHeight="1">
      <c r="A53" s="814"/>
      <c r="B53" s="100" t="s">
        <v>305</v>
      </c>
      <c r="C53" s="455"/>
      <c r="D53" s="1390">
        <f t="shared" ref="D53:I53" si="33">SUM(D37:D52)</f>
        <v>2177.2246240855229</v>
      </c>
      <c r="E53" s="1390">
        <f t="shared" si="33"/>
        <v>1785.7271606394404</v>
      </c>
      <c r="F53" s="1390">
        <f t="shared" ref="F53" si="34">SUM(F37:F52)</f>
        <v>391.49746344608332</v>
      </c>
      <c r="G53" s="1391">
        <f t="shared" si="33"/>
        <v>1158</v>
      </c>
      <c r="H53" s="1391">
        <f t="shared" si="33"/>
        <v>722892.81333333324</v>
      </c>
      <c r="I53" s="1391">
        <f t="shared" si="33"/>
        <v>139271.59999999998</v>
      </c>
      <c r="J53" s="821"/>
      <c r="K53" s="822"/>
      <c r="L53" s="822"/>
      <c r="M53" s="821"/>
      <c r="N53" s="821"/>
      <c r="O53" s="821"/>
      <c r="P53" s="823"/>
      <c r="Q53" s="827"/>
      <c r="R53" s="112">
        <f t="shared" si="12"/>
        <v>611.49720292954555</v>
      </c>
      <c r="S53" s="174"/>
      <c r="T53" s="822">
        <f>SUM(T37:T52)</f>
        <v>14501.801866666669</v>
      </c>
      <c r="U53" s="822">
        <f>SUM(U37:U52)</f>
        <v>118600.1349110962</v>
      </c>
      <c r="V53" s="823">
        <f>SUM(V37:V52)</f>
        <v>0</v>
      </c>
      <c r="W53" s="822">
        <f>SUM(W37:W52)</f>
        <v>34.739999999999995</v>
      </c>
      <c r="X53" s="823">
        <f>SUM(X37:X52)</f>
        <v>133136.67677776286</v>
      </c>
      <c r="Y53" s="1408"/>
      <c r="Z53" s="241">
        <f t="shared" si="14"/>
        <v>605.3735907652964</v>
      </c>
      <c r="AA53" s="1390">
        <f>SUM(AA37:AA52)</f>
        <v>29.493580000000001</v>
      </c>
      <c r="AB53" s="822">
        <f>SUM(AB37:AB52)</f>
        <v>29.493580000000001</v>
      </c>
      <c r="AC53" s="1393">
        <f>SUM(AC37:AC52)</f>
        <v>133107.18319776285</v>
      </c>
      <c r="AD53" s="823"/>
      <c r="AE53" s="172"/>
      <c r="AF53" s="822">
        <f>SUM(AF37:AF52)</f>
        <v>9220.9048682076973</v>
      </c>
      <c r="AG53" s="1391">
        <f t="shared" si="23"/>
        <v>609.6087554636016</v>
      </c>
      <c r="AH53" s="823">
        <f>SUM(AH37:AH52)</f>
        <v>1303.7543383109619</v>
      </c>
      <c r="AI53" s="822">
        <f>SUM(AI37:AI52)</f>
        <v>9.2430000000000009E-7</v>
      </c>
      <c r="AJ53" s="822">
        <f>SUM(AJ37:AJ52)</f>
        <v>0</v>
      </c>
      <c r="AK53" s="822">
        <f>SUM(AK37:AK52)</f>
        <v>0</v>
      </c>
      <c r="AL53" s="822">
        <f>SUM(AL37:AL52)</f>
        <v>131803.42886037621</v>
      </c>
      <c r="AM53" s="822"/>
      <c r="AN53" s="455"/>
    </row>
    <row r="54" spans="1:40" ht="18" customHeight="1">
      <c r="A54" s="814"/>
      <c r="B54" s="100" t="s">
        <v>306</v>
      </c>
      <c r="C54" s="100"/>
      <c r="D54" s="1397"/>
      <c r="E54" s="1397"/>
      <c r="F54" s="818"/>
      <c r="G54" s="816"/>
      <c r="H54" s="816"/>
      <c r="I54" s="816"/>
      <c r="J54" s="1388"/>
      <c r="K54" s="817"/>
      <c r="L54" s="817"/>
      <c r="M54" s="820"/>
      <c r="N54" s="820"/>
      <c r="O54" s="820"/>
      <c r="P54" s="1384"/>
      <c r="Q54" s="100"/>
      <c r="R54" s="409"/>
      <c r="S54" s="174"/>
      <c r="T54" s="817"/>
      <c r="U54" s="817"/>
      <c r="V54" s="1384"/>
      <c r="W54" s="817"/>
      <c r="X54" s="1384"/>
      <c r="Y54" s="1409"/>
      <c r="Z54" s="820"/>
      <c r="AA54" s="818"/>
      <c r="AB54" s="817"/>
      <c r="AC54" s="1396"/>
      <c r="AD54" s="1384"/>
      <c r="AE54" s="172"/>
      <c r="AF54" s="817"/>
      <c r="AG54" s="817"/>
      <c r="AH54" s="817"/>
      <c r="AI54" s="817"/>
      <c r="AJ54" s="817"/>
      <c r="AK54" s="817"/>
      <c r="AL54" s="817"/>
      <c r="AM54" s="817"/>
      <c r="AN54" s="455"/>
    </row>
    <row r="55" spans="1:40" ht="18" customHeight="1">
      <c r="A55" s="814">
        <v>30</v>
      </c>
      <c r="B55" s="814" t="s">
        <v>90</v>
      </c>
      <c r="C55" s="819" t="s">
        <v>91</v>
      </c>
      <c r="D55" s="617">
        <f>'T-1'!R59</f>
        <v>0</v>
      </c>
      <c r="E55" s="617">
        <f t="shared" ref="E55:E65" si="35">D55-F55</f>
        <v>0</v>
      </c>
      <c r="F55" s="818">
        <f>D55*0.37%</f>
        <v>0</v>
      </c>
      <c r="G55" s="409">
        <f>'T-1'!P59</f>
        <v>0</v>
      </c>
      <c r="H55" s="409">
        <f>'T-1'!Q59</f>
        <v>0</v>
      </c>
      <c r="I55" s="816"/>
      <c r="J55" s="1388">
        <v>250</v>
      </c>
      <c r="K55" s="816">
        <f>530+20+30</f>
        <v>580</v>
      </c>
      <c r="L55" s="816">
        <f>420+20+30</f>
        <v>470</v>
      </c>
      <c r="M55" s="820"/>
      <c r="N55" s="820"/>
      <c r="O55" s="820">
        <v>700</v>
      </c>
      <c r="P55" s="1384"/>
      <c r="Q55" s="814"/>
      <c r="R55" s="409"/>
      <c r="S55" s="174"/>
      <c r="T55" s="817"/>
      <c r="U55" s="817"/>
      <c r="V55" s="1384"/>
      <c r="W55" s="817"/>
      <c r="X55" s="613"/>
      <c r="Y55" s="1407"/>
      <c r="Z55" s="619"/>
      <c r="AA55" s="818"/>
      <c r="AB55" s="817"/>
      <c r="AC55" s="424"/>
      <c r="AD55" s="425"/>
      <c r="AE55" s="313"/>
      <c r="AF55" s="817"/>
      <c r="AG55" s="816"/>
      <c r="AH55" s="817"/>
      <c r="AI55" s="817"/>
      <c r="AJ55" s="817"/>
      <c r="AK55" s="817"/>
      <c r="AL55" s="1384"/>
      <c r="AM55" s="817"/>
      <c r="AN55" s="455"/>
    </row>
    <row r="56" spans="1:40" ht="18" customHeight="1">
      <c r="A56" s="814">
        <v>31</v>
      </c>
      <c r="B56" s="814" t="s">
        <v>73</v>
      </c>
      <c r="C56" s="819" t="s">
        <v>91</v>
      </c>
      <c r="D56" s="617">
        <f>'T-1'!R60</f>
        <v>358.31285831285834</v>
      </c>
      <c r="E56" s="617">
        <f t="shared" si="35"/>
        <v>329.64782964782967</v>
      </c>
      <c r="F56" s="818">
        <f>D56*8%</f>
        <v>28.665028665028668</v>
      </c>
      <c r="G56" s="409">
        <f>'T-1'!P60</f>
        <v>14</v>
      </c>
      <c r="H56" s="409">
        <f>'T-1'!Q60</f>
        <v>226750</v>
      </c>
      <c r="I56" s="816"/>
      <c r="J56" s="1388">
        <v>250</v>
      </c>
      <c r="K56" s="816">
        <f t="shared" ref="K56:K62" si="36">530+20+30</f>
        <v>580</v>
      </c>
      <c r="L56" s="816">
        <f t="shared" ref="L56:L62" si="37">420+20+30</f>
        <v>470</v>
      </c>
      <c r="M56" s="820"/>
      <c r="N56" s="820"/>
      <c r="O56" s="820">
        <v>700</v>
      </c>
      <c r="P56" s="1384"/>
      <c r="Q56" s="1398"/>
      <c r="R56" s="409">
        <f t="shared" ref="R56:R62" si="38">X56/D56*10</f>
        <v>718.35754340571441</v>
      </c>
      <c r="S56" s="174">
        <v>0.8</v>
      </c>
      <c r="T56" s="817">
        <f t="shared" ref="T56:T63" si="39">(H56*J56*S56*12)/100000</f>
        <v>5442</v>
      </c>
      <c r="U56" s="817">
        <f>(E56*K56+F56*L56)/10-((42.583*2*20)/10)</f>
        <v>20296.498466830471</v>
      </c>
      <c r="V56" s="1384"/>
      <c r="W56" s="817">
        <f t="shared" ref="W56:W65" si="40">(O56*G56*12)/100000</f>
        <v>1.1759999999999999</v>
      </c>
      <c r="X56" s="613">
        <f t="shared" ref="X56:X65" si="41">SUM(T56:W56)</f>
        <v>25739.674466830471</v>
      </c>
      <c r="Y56" s="1407"/>
      <c r="Z56" s="619">
        <f t="shared" ref="Z56:Z64" si="42">(AC56-AH56-AI56+AJ56)/D56*10</f>
        <v>711.17396797165725</v>
      </c>
      <c r="AA56" s="818"/>
      <c r="AB56" s="817"/>
      <c r="AC56" s="424">
        <f t="shared" ref="AC56:AC65" si="43">X56-AB56</f>
        <v>25739.674466830471</v>
      </c>
      <c r="AD56" s="425"/>
      <c r="AE56" s="313">
        <v>0.09</v>
      </c>
      <c r="AF56" s="817">
        <f t="shared" ref="AF56:AF65" si="44">AE56*U56</f>
        <v>1826.6848620147423</v>
      </c>
      <c r="AG56" s="816">
        <f t="shared" ref="AG56:AG67" si="45">AF56/D56+Z56</f>
        <v>716.27198446656007</v>
      </c>
      <c r="AH56" s="817">
        <f t="shared" ref="AH56:AH64" si="46">X56*1%</f>
        <v>257.39674466830473</v>
      </c>
      <c r="AI56" s="817">
        <f t="shared" ref="AI56:AI63" si="47">(T56+U56)*0%</f>
        <v>0</v>
      </c>
      <c r="AJ56" s="817">
        <f t="shared" ref="AJ56:AJ63" si="48">(T56+U56)*0%</f>
        <v>0</v>
      </c>
      <c r="AK56" s="817">
        <f t="shared" ref="AK56:AK64" si="49">(T56+U56)*0%</f>
        <v>0</v>
      </c>
      <c r="AL56" s="1384">
        <f t="shared" ref="AL56:AL65" si="50">AC56-AH56+AI56+AJ56-AK56</f>
        <v>25482.277722162165</v>
      </c>
      <c r="AM56" s="817"/>
      <c r="AN56" s="455"/>
    </row>
    <row r="57" spans="1:40" ht="18" customHeight="1">
      <c r="A57" s="814">
        <v>32</v>
      </c>
      <c r="B57" s="62" t="s">
        <v>2128</v>
      </c>
      <c r="C57" s="819" t="s">
        <v>91</v>
      </c>
      <c r="D57" s="617">
        <f>'T-1'!R61</f>
        <v>153.56265356265357</v>
      </c>
      <c r="E57" s="617">
        <f t="shared" si="35"/>
        <v>153.56265356265357</v>
      </c>
      <c r="F57" s="818"/>
      <c r="G57" s="409"/>
      <c r="H57" s="409"/>
      <c r="I57" s="816"/>
      <c r="J57" s="1388"/>
      <c r="K57" s="816">
        <v>430</v>
      </c>
      <c r="L57" s="816"/>
      <c r="M57" s="820"/>
      <c r="N57" s="820"/>
      <c r="O57" s="820"/>
      <c r="P57" s="1384"/>
      <c r="Q57" s="1398"/>
      <c r="R57" s="409">
        <f t="shared" si="38"/>
        <v>430.00000000000006</v>
      </c>
      <c r="S57" s="174"/>
      <c r="T57" s="817"/>
      <c r="U57" s="817">
        <f>(E57*K57+F57*L57)/10</f>
        <v>6603.1941031941042</v>
      </c>
      <c r="V57" s="1384"/>
      <c r="W57" s="817"/>
      <c r="X57" s="613">
        <f t="shared" si="41"/>
        <v>6603.1941031941042</v>
      </c>
      <c r="Y57" s="1407"/>
      <c r="Z57" s="619">
        <f t="shared" si="42"/>
        <v>430.00000000000006</v>
      </c>
      <c r="AA57" s="818"/>
      <c r="AB57" s="817"/>
      <c r="AC57" s="424">
        <f t="shared" si="43"/>
        <v>6603.1941031941042</v>
      </c>
      <c r="AD57" s="425"/>
      <c r="AE57" s="313">
        <v>0.09</v>
      </c>
      <c r="AF57" s="817">
        <f t="shared" ref="AF57" si="51">AE57*U57</f>
        <v>594.28746928746932</v>
      </c>
      <c r="AG57" s="816">
        <f t="shared" ref="AG57" si="52">AF57/D57+Z57</f>
        <v>433.87000000000006</v>
      </c>
      <c r="AH57" s="817"/>
      <c r="AI57" s="817"/>
      <c r="AJ57" s="817"/>
      <c r="AK57" s="817"/>
      <c r="AL57" s="1384">
        <f t="shared" si="50"/>
        <v>6603.1941031941042</v>
      </c>
      <c r="AM57" s="817"/>
      <c r="AN57" s="455"/>
    </row>
    <row r="58" spans="1:40" ht="18" customHeight="1">
      <c r="A58" s="814">
        <v>33</v>
      </c>
      <c r="B58" s="814" t="s">
        <v>85</v>
      </c>
      <c r="C58" s="819" t="s">
        <v>91</v>
      </c>
      <c r="D58" s="617">
        <f>'T-1'!R62</f>
        <v>878.37837837837844</v>
      </c>
      <c r="E58" s="617">
        <f t="shared" si="35"/>
        <v>843.24324324324334</v>
      </c>
      <c r="F58" s="818">
        <f>D58*4%</f>
        <v>35.135135135135137</v>
      </c>
      <c r="G58" s="409">
        <f>'T-1'!P62</f>
        <v>18</v>
      </c>
      <c r="H58" s="409">
        <f>'T-1'!Q62</f>
        <v>276000</v>
      </c>
      <c r="I58" s="816"/>
      <c r="J58" s="1388">
        <v>250</v>
      </c>
      <c r="K58" s="816">
        <f t="shared" si="36"/>
        <v>580</v>
      </c>
      <c r="L58" s="816">
        <f t="shared" si="37"/>
        <v>470</v>
      </c>
      <c r="M58" s="820"/>
      <c r="N58" s="820"/>
      <c r="O58" s="820">
        <v>700</v>
      </c>
      <c r="P58" s="1384"/>
      <c r="Q58" s="1389"/>
      <c r="R58" s="409">
        <f t="shared" si="38"/>
        <v>651.02890584615375</v>
      </c>
      <c r="S58" s="174">
        <v>0.8</v>
      </c>
      <c r="T58" s="817">
        <f t="shared" si="39"/>
        <v>6624</v>
      </c>
      <c r="U58" s="817">
        <f>(E58*K58+F58*L58)/10-((0*2*20)/10)</f>
        <v>50559.45945945946</v>
      </c>
      <c r="V58" s="1384"/>
      <c r="W58" s="817">
        <f t="shared" si="40"/>
        <v>1.512</v>
      </c>
      <c r="X58" s="613">
        <f t="shared" si="41"/>
        <v>57184.971459459462</v>
      </c>
      <c r="Y58" s="1407"/>
      <c r="Z58" s="619">
        <f t="shared" si="42"/>
        <v>644.51861678769228</v>
      </c>
      <c r="AA58" s="818"/>
      <c r="AB58" s="817"/>
      <c r="AC58" s="424">
        <f t="shared" si="43"/>
        <v>57184.971459459462</v>
      </c>
      <c r="AD58" s="425"/>
      <c r="AE58" s="313">
        <v>0</v>
      </c>
      <c r="AF58" s="817">
        <f t="shared" si="44"/>
        <v>0</v>
      </c>
      <c r="AG58" s="816">
        <f t="shared" si="45"/>
        <v>644.51861678769228</v>
      </c>
      <c r="AH58" s="817">
        <f t="shared" si="46"/>
        <v>571.84971459459462</v>
      </c>
      <c r="AI58" s="817">
        <f t="shared" si="47"/>
        <v>0</v>
      </c>
      <c r="AJ58" s="817">
        <f t="shared" si="48"/>
        <v>0</v>
      </c>
      <c r="AK58" s="817">
        <f t="shared" si="49"/>
        <v>0</v>
      </c>
      <c r="AL58" s="1384">
        <f t="shared" si="50"/>
        <v>56613.121744864868</v>
      </c>
      <c r="AM58" s="817"/>
      <c r="AN58" s="455"/>
    </row>
    <row r="59" spans="1:40" ht="18" customHeight="1">
      <c r="A59" s="814">
        <v>34</v>
      </c>
      <c r="B59" s="814" t="s">
        <v>92</v>
      </c>
      <c r="C59" s="819" t="s">
        <v>91</v>
      </c>
      <c r="D59" s="617">
        <f>'T-1'!R63</f>
        <v>698.09902266136828</v>
      </c>
      <c r="E59" s="617">
        <f t="shared" si="35"/>
        <v>698.09902266136828</v>
      </c>
      <c r="F59" s="818">
        <f>D59*0%</f>
        <v>0</v>
      </c>
      <c r="G59" s="409">
        <f>'T-1'!P63</f>
        <v>3</v>
      </c>
      <c r="H59" s="409">
        <f>'T-1'!Q63</f>
        <v>248556</v>
      </c>
      <c r="I59" s="816"/>
      <c r="J59" s="1388">
        <v>250</v>
      </c>
      <c r="K59" s="816">
        <f t="shared" si="36"/>
        <v>580</v>
      </c>
      <c r="L59" s="816">
        <f t="shared" si="37"/>
        <v>470</v>
      </c>
      <c r="M59" s="820"/>
      <c r="N59" s="820"/>
      <c r="O59" s="820">
        <v>700</v>
      </c>
      <c r="P59" s="1384"/>
      <c r="Q59" s="1389"/>
      <c r="R59" s="409">
        <f t="shared" si="38"/>
        <v>660.22019539076928</v>
      </c>
      <c r="S59" s="174">
        <v>0.8</v>
      </c>
      <c r="T59" s="817">
        <f t="shared" si="39"/>
        <v>5965.3440000000001</v>
      </c>
      <c r="U59" s="817">
        <f>((E59*K59+F59*L59)/10)-((91.358*2*20)/10)</f>
        <v>40124.311314359358</v>
      </c>
      <c r="V59" s="1384"/>
      <c r="W59" s="817">
        <f t="shared" si="40"/>
        <v>0.252</v>
      </c>
      <c r="X59" s="613">
        <f t="shared" si="41"/>
        <v>46089.907314359356</v>
      </c>
      <c r="Y59" s="1407"/>
      <c r="Z59" s="619">
        <f t="shared" si="42"/>
        <v>653.61799343686141</v>
      </c>
      <c r="AA59" s="818"/>
      <c r="AB59" s="817"/>
      <c r="AC59" s="424">
        <f t="shared" si="43"/>
        <v>46089.907314359356</v>
      </c>
      <c r="AD59" s="425"/>
      <c r="AE59" s="313">
        <v>0.09</v>
      </c>
      <c r="AF59" s="817">
        <f t="shared" si="44"/>
        <v>3611.1880182923419</v>
      </c>
      <c r="AG59" s="816">
        <f t="shared" si="45"/>
        <v>658.79088138121836</v>
      </c>
      <c r="AH59" s="817">
        <f t="shared" si="46"/>
        <v>460.89907314359357</v>
      </c>
      <c r="AI59" s="817">
        <f t="shared" si="47"/>
        <v>0</v>
      </c>
      <c r="AJ59" s="817">
        <f t="shared" si="48"/>
        <v>0</v>
      </c>
      <c r="AK59" s="817">
        <f t="shared" si="49"/>
        <v>0</v>
      </c>
      <c r="AL59" s="1384">
        <f t="shared" si="50"/>
        <v>45629.008241215764</v>
      </c>
      <c r="AM59" s="817"/>
      <c r="AN59" s="455"/>
    </row>
    <row r="60" spans="1:40" ht="18" customHeight="1">
      <c r="A60" s="814">
        <v>35</v>
      </c>
      <c r="B60" s="814" t="s">
        <v>83</v>
      </c>
      <c r="C60" s="819" t="s">
        <v>91</v>
      </c>
      <c r="D60" s="617">
        <f>'T-1'!R64</f>
        <v>995.68212192865224</v>
      </c>
      <c r="E60" s="617">
        <f t="shared" si="35"/>
        <v>916.02755217436004</v>
      </c>
      <c r="F60" s="818">
        <f>D60*8%</f>
        <v>79.654569754292183</v>
      </c>
      <c r="G60" s="409">
        <f>'T-1'!P64</f>
        <v>7</v>
      </c>
      <c r="H60" s="409">
        <f>'T-1'!Q64</f>
        <v>725501</v>
      </c>
      <c r="I60" s="816"/>
      <c r="J60" s="1388">
        <v>250</v>
      </c>
      <c r="K60" s="816">
        <f t="shared" si="36"/>
        <v>580</v>
      </c>
      <c r="L60" s="816">
        <f t="shared" si="37"/>
        <v>470</v>
      </c>
      <c r="M60" s="820"/>
      <c r="N60" s="820"/>
      <c r="O60" s="820">
        <v>700</v>
      </c>
      <c r="P60" s="1384"/>
      <c r="Q60" s="1389"/>
      <c r="R60" s="409">
        <f t="shared" si="38"/>
        <v>745.9253226391329</v>
      </c>
      <c r="S60" s="174">
        <v>0.8</v>
      </c>
      <c r="T60" s="817">
        <f t="shared" si="39"/>
        <v>17412.024000000001</v>
      </c>
      <c r="U60" s="817">
        <f>(E60*K60+F60*L60)/10-(3.881*2*20)/10</f>
        <v>56857.838804564628</v>
      </c>
      <c r="V60" s="1384"/>
      <c r="W60" s="817">
        <f t="shared" si="40"/>
        <v>0.58799999999999997</v>
      </c>
      <c r="X60" s="613">
        <f t="shared" si="41"/>
        <v>74270.450804564636</v>
      </c>
      <c r="Y60" s="1407"/>
      <c r="Z60" s="619">
        <f t="shared" si="42"/>
        <v>738.4660694127416</v>
      </c>
      <c r="AA60" s="818"/>
      <c r="AB60" s="817"/>
      <c r="AC60" s="424">
        <f t="shared" si="43"/>
        <v>74270.450804564636</v>
      </c>
      <c r="AD60" s="425"/>
      <c r="AE60" s="313">
        <v>0.09</v>
      </c>
      <c r="AF60" s="817">
        <f t="shared" si="44"/>
        <v>5117.2054924108161</v>
      </c>
      <c r="AG60" s="816">
        <f t="shared" si="45"/>
        <v>743.60546619381341</v>
      </c>
      <c r="AH60" s="817">
        <f t="shared" si="46"/>
        <v>742.70450804564632</v>
      </c>
      <c r="AI60" s="817">
        <f t="shared" si="47"/>
        <v>0</v>
      </c>
      <c r="AJ60" s="817">
        <f t="shared" si="48"/>
        <v>0</v>
      </c>
      <c r="AK60" s="817">
        <f t="shared" si="49"/>
        <v>0</v>
      </c>
      <c r="AL60" s="1384">
        <f t="shared" si="50"/>
        <v>73527.746296518992</v>
      </c>
      <c r="AM60" s="817"/>
      <c r="AN60" s="455"/>
    </row>
    <row r="61" spans="1:40" ht="18" customHeight="1">
      <c r="A61" s="814">
        <v>36</v>
      </c>
      <c r="B61" s="62" t="s">
        <v>2129</v>
      </c>
      <c r="C61" s="819" t="s">
        <v>91</v>
      </c>
      <c r="D61" s="617">
        <f>'T-1'!R65</f>
        <v>2056.1324149275215</v>
      </c>
      <c r="E61" s="617">
        <f t="shared" si="35"/>
        <v>2056.1324149275215</v>
      </c>
      <c r="F61" s="818"/>
      <c r="G61" s="409"/>
      <c r="H61" s="409"/>
      <c r="I61" s="816"/>
      <c r="J61" s="1388"/>
      <c r="K61" s="816">
        <v>475</v>
      </c>
      <c r="L61" s="816"/>
      <c r="M61" s="820"/>
      <c r="N61" s="820"/>
      <c r="O61" s="820"/>
      <c r="P61" s="1384"/>
      <c r="Q61" s="1389"/>
      <c r="R61" s="409">
        <f t="shared" si="38"/>
        <v>475.00000000000006</v>
      </c>
      <c r="S61" s="174"/>
      <c r="T61" s="817"/>
      <c r="U61" s="817">
        <f>(E61*K61+F61*L61)/10</f>
        <v>97666.289709057281</v>
      </c>
      <c r="V61" s="1384"/>
      <c r="W61" s="817"/>
      <c r="X61" s="613">
        <f t="shared" si="41"/>
        <v>97666.289709057281</v>
      </c>
      <c r="Y61" s="1407"/>
      <c r="Z61" s="619">
        <f t="shared" si="42"/>
        <v>475.00000000000006</v>
      </c>
      <c r="AA61" s="818"/>
      <c r="AB61" s="817"/>
      <c r="AC61" s="424">
        <f t="shared" si="43"/>
        <v>97666.289709057281</v>
      </c>
      <c r="AD61" s="425"/>
      <c r="AE61" s="313">
        <v>0.09</v>
      </c>
      <c r="AF61" s="817">
        <f t="shared" ref="AF61" si="53">AE61*U61</f>
        <v>8789.9660738151542</v>
      </c>
      <c r="AG61" s="816">
        <f t="shared" ref="AG61" si="54">AF61/D61+Z61</f>
        <v>479.27500000000003</v>
      </c>
      <c r="AH61" s="817"/>
      <c r="AI61" s="817"/>
      <c r="AJ61" s="817"/>
      <c r="AK61" s="817"/>
      <c r="AL61" s="1384">
        <f t="shared" si="50"/>
        <v>97666.289709057281</v>
      </c>
      <c r="AM61" s="817"/>
      <c r="AN61" s="455"/>
    </row>
    <row r="62" spans="1:40" ht="18" customHeight="1">
      <c r="A62" s="814">
        <v>37</v>
      </c>
      <c r="B62" s="814" t="s">
        <v>93</v>
      </c>
      <c r="C62" s="819" t="s">
        <v>91</v>
      </c>
      <c r="D62" s="617">
        <f>'T-1'!R66</f>
        <v>7.560483870967742</v>
      </c>
      <c r="E62" s="617">
        <f t="shared" si="35"/>
        <v>7.560483870967742</v>
      </c>
      <c r="F62" s="818">
        <f>D62*0%</f>
        <v>0</v>
      </c>
      <c r="G62" s="409">
        <f>'T-1'!P66</f>
        <v>1</v>
      </c>
      <c r="H62" s="409">
        <f>'T-1'!Q66</f>
        <v>5000</v>
      </c>
      <c r="I62" s="816"/>
      <c r="J62" s="1388">
        <v>250</v>
      </c>
      <c r="K62" s="816">
        <f t="shared" si="36"/>
        <v>580</v>
      </c>
      <c r="L62" s="816">
        <f t="shared" si="37"/>
        <v>470</v>
      </c>
      <c r="M62" s="820"/>
      <c r="N62" s="820"/>
      <c r="O62" s="820">
        <v>700</v>
      </c>
      <c r="P62" s="1384"/>
      <c r="Q62" s="1389"/>
      <c r="R62" s="409">
        <f t="shared" si="38"/>
        <v>734.68322133333334</v>
      </c>
      <c r="S62" s="174">
        <v>0.8</v>
      </c>
      <c r="T62" s="817">
        <f t="shared" si="39"/>
        <v>120</v>
      </c>
      <c r="U62" s="817">
        <f>((E62*K62+F62*L62)/10)-((0.784*2*20)/10)</f>
        <v>435.37206451612906</v>
      </c>
      <c r="V62" s="1384"/>
      <c r="W62" s="817">
        <f t="shared" si="40"/>
        <v>8.4000000000000005E-2</v>
      </c>
      <c r="X62" s="613">
        <f t="shared" si="41"/>
        <v>555.456064516129</v>
      </c>
      <c r="Y62" s="1407"/>
      <c r="Z62" s="619">
        <f t="shared" si="42"/>
        <v>727.33638912000004</v>
      </c>
      <c r="AA62" s="818"/>
      <c r="AB62" s="817"/>
      <c r="AC62" s="424">
        <f t="shared" si="43"/>
        <v>555.456064516129</v>
      </c>
      <c r="AD62" s="425"/>
      <c r="AE62" s="313">
        <v>0.09</v>
      </c>
      <c r="AF62" s="817">
        <f t="shared" si="44"/>
        <v>39.183485806451614</v>
      </c>
      <c r="AG62" s="816">
        <f t="shared" si="45"/>
        <v>732.51905817600004</v>
      </c>
      <c r="AH62" s="817">
        <f t="shared" si="46"/>
        <v>5.5545606451612901</v>
      </c>
      <c r="AI62" s="817">
        <f t="shared" si="47"/>
        <v>0</v>
      </c>
      <c r="AJ62" s="817">
        <f t="shared" si="48"/>
        <v>0</v>
      </c>
      <c r="AK62" s="817">
        <f t="shared" si="49"/>
        <v>0</v>
      </c>
      <c r="AL62" s="1384">
        <f t="shared" si="50"/>
        <v>549.90150387096776</v>
      </c>
      <c r="AM62" s="817"/>
      <c r="AN62" s="455"/>
    </row>
    <row r="63" spans="1:40" ht="18" customHeight="1">
      <c r="A63" s="814">
        <v>38</v>
      </c>
      <c r="B63" s="814" t="s">
        <v>304</v>
      </c>
      <c r="C63" s="819" t="s">
        <v>91</v>
      </c>
      <c r="D63" s="617">
        <f>'T-1'!R67</f>
        <v>2.1003990758244067</v>
      </c>
      <c r="E63" s="617">
        <f t="shared" si="35"/>
        <v>2.1003990758244067</v>
      </c>
      <c r="F63" s="818"/>
      <c r="G63" s="409">
        <f>'T-1'!P67</f>
        <v>1</v>
      </c>
      <c r="H63" s="409">
        <f>'T-1'!Q67</f>
        <v>5000</v>
      </c>
      <c r="I63" s="816"/>
      <c r="J63" s="1388">
        <v>0</v>
      </c>
      <c r="K63" s="816">
        <f>720+20+30</f>
        <v>770</v>
      </c>
      <c r="L63" s="814"/>
      <c r="M63" s="820"/>
      <c r="N63" s="820"/>
      <c r="O63" s="820">
        <v>700</v>
      </c>
      <c r="P63" s="1384"/>
      <c r="Q63" s="814"/>
      <c r="R63" s="409"/>
      <c r="S63" s="174"/>
      <c r="T63" s="817">
        <f t="shared" si="39"/>
        <v>0</v>
      </c>
      <c r="U63" s="817">
        <f>(E63*K63+F63*L63)/10-(0*2*20/10)</f>
        <v>161.73072883847931</v>
      </c>
      <c r="V63" s="1384"/>
      <c r="W63" s="817">
        <f t="shared" si="40"/>
        <v>8.4000000000000005E-2</v>
      </c>
      <c r="X63" s="613">
        <f t="shared" si="41"/>
        <v>161.81472883847931</v>
      </c>
      <c r="Y63" s="1407"/>
      <c r="Z63" s="619">
        <f t="shared" si="42"/>
        <v>762.69592476000003</v>
      </c>
      <c r="AA63" s="818"/>
      <c r="AB63" s="817"/>
      <c r="AC63" s="424">
        <f t="shared" si="43"/>
        <v>161.81472883847931</v>
      </c>
      <c r="AD63" s="425"/>
      <c r="AE63" s="313">
        <v>0.09</v>
      </c>
      <c r="AF63" s="817">
        <f t="shared" si="44"/>
        <v>14.555765595463138</v>
      </c>
      <c r="AG63" s="816">
        <f t="shared" si="45"/>
        <v>769.62592475999998</v>
      </c>
      <c r="AH63" s="817">
        <f t="shared" si="46"/>
        <v>1.6181472883847932</v>
      </c>
      <c r="AI63" s="817">
        <f t="shared" si="47"/>
        <v>0</v>
      </c>
      <c r="AJ63" s="817">
        <f t="shared" si="48"/>
        <v>0</v>
      </c>
      <c r="AK63" s="817">
        <f t="shared" si="49"/>
        <v>0</v>
      </c>
      <c r="AL63" s="1384">
        <f t="shared" si="50"/>
        <v>160.19658155009452</v>
      </c>
      <c r="AM63" s="817"/>
      <c r="AN63" s="455"/>
    </row>
    <row r="64" spans="1:40" ht="18" customHeight="1">
      <c r="A64" s="814">
        <v>39</v>
      </c>
      <c r="B64" s="814" t="s">
        <v>87</v>
      </c>
      <c r="C64" s="819" t="s">
        <v>91</v>
      </c>
      <c r="D64" s="617">
        <f>'T-1'!R68</f>
        <v>72</v>
      </c>
      <c r="E64" s="617">
        <f t="shared" si="35"/>
        <v>72</v>
      </c>
      <c r="F64" s="818"/>
      <c r="G64" s="409">
        <f>'T-1'!P68</f>
        <v>0</v>
      </c>
      <c r="H64" s="409">
        <f>'T-1'!Q68</f>
        <v>0</v>
      </c>
      <c r="I64" s="816"/>
      <c r="J64" s="1388"/>
      <c r="K64" s="816">
        <f>435+20+30</f>
        <v>485</v>
      </c>
      <c r="L64" s="814"/>
      <c r="M64" s="814"/>
      <c r="N64" s="814"/>
      <c r="O64" s="820">
        <v>0</v>
      </c>
      <c r="P64" s="814"/>
      <c r="Q64" s="814"/>
      <c r="R64" s="409">
        <f>X64/D64*10</f>
        <v>485</v>
      </c>
      <c r="S64" s="174"/>
      <c r="T64" s="817"/>
      <c r="U64" s="817">
        <f>(E64*K64+F64*L64)/10</f>
        <v>3492</v>
      </c>
      <c r="V64" s="1384"/>
      <c r="W64" s="817">
        <f t="shared" si="40"/>
        <v>0</v>
      </c>
      <c r="X64" s="613">
        <f t="shared" si="41"/>
        <v>3492</v>
      </c>
      <c r="Y64" s="1407"/>
      <c r="Z64" s="619">
        <f t="shared" si="42"/>
        <v>480.15</v>
      </c>
      <c r="AA64" s="818"/>
      <c r="AB64" s="817"/>
      <c r="AC64" s="424">
        <f t="shared" si="43"/>
        <v>3492</v>
      </c>
      <c r="AD64" s="425"/>
      <c r="AE64" s="313">
        <v>0.09</v>
      </c>
      <c r="AF64" s="817">
        <f t="shared" si="44"/>
        <v>314.27999999999997</v>
      </c>
      <c r="AG64" s="816">
        <f t="shared" si="45"/>
        <v>484.51499999999999</v>
      </c>
      <c r="AH64" s="817">
        <f t="shared" si="46"/>
        <v>34.92</v>
      </c>
      <c r="AI64" s="817"/>
      <c r="AJ64" s="817"/>
      <c r="AK64" s="817">
        <f t="shared" si="49"/>
        <v>0</v>
      </c>
      <c r="AL64" s="1384">
        <f t="shared" si="50"/>
        <v>3457.08</v>
      </c>
      <c r="AM64" s="817"/>
      <c r="AN64" s="455"/>
    </row>
    <row r="65" spans="1:40" ht="18" customHeight="1">
      <c r="A65" s="814">
        <v>40</v>
      </c>
      <c r="B65" s="814" t="s">
        <v>307</v>
      </c>
      <c r="C65" s="819" t="s">
        <v>91</v>
      </c>
      <c r="D65" s="617">
        <f>'T-1'!R69</f>
        <v>0</v>
      </c>
      <c r="E65" s="617">
        <f t="shared" si="35"/>
        <v>0</v>
      </c>
      <c r="F65" s="818"/>
      <c r="G65" s="409">
        <f>'T-1'!P69</f>
        <v>0</v>
      </c>
      <c r="H65" s="409">
        <f>'T-1'!Q69</f>
        <v>0</v>
      </c>
      <c r="I65" s="816"/>
      <c r="J65" s="817"/>
      <c r="K65" s="816"/>
      <c r="L65" s="814"/>
      <c r="M65" s="814"/>
      <c r="N65" s="814"/>
      <c r="O65" s="820"/>
      <c r="P65" s="1384"/>
      <c r="Q65" s="814"/>
      <c r="R65" s="409" t="e">
        <f>X65/D65*10</f>
        <v>#DIV/0!</v>
      </c>
      <c r="S65" s="174"/>
      <c r="T65" s="817"/>
      <c r="U65" s="817">
        <f>(E65*K65+F65*L65)/10</f>
        <v>0</v>
      </c>
      <c r="V65" s="1384"/>
      <c r="W65" s="817">
        <f t="shared" si="40"/>
        <v>0</v>
      </c>
      <c r="X65" s="613">
        <f t="shared" si="41"/>
        <v>0</v>
      </c>
      <c r="Y65" s="1407"/>
      <c r="Z65" s="619"/>
      <c r="AA65" s="818"/>
      <c r="AB65" s="817"/>
      <c r="AC65" s="424">
        <f t="shared" si="43"/>
        <v>0</v>
      </c>
      <c r="AD65" s="425"/>
      <c r="AE65" s="313">
        <v>0.09</v>
      </c>
      <c r="AF65" s="817">
        <f t="shared" si="44"/>
        <v>0</v>
      </c>
      <c r="AG65" s="816" t="e">
        <f t="shared" si="45"/>
        <v>#DIV/0!</v>
      </c>
      <c r="AH65" s="817"/>
      <c r="AI65" s="817"/>
      <c r="AJ65" s="817"/>
      <c r="AK65" s="817"/>
      <c r="AL65" s="1384">
        <f t="shared" si="50"/>
        <v>0</v>
      </c>
      <c r="AM65" s="817"/>
      <c r="AN65" s="455"/>
    </row>
    <row r="66" spans="1:40" ht="18" customHeight="1">
      <c r="A66" s="814"/>
      <c r="B66" s="100" t="s">
        <v>308</v>
      </c>
      <c r="C66" s="455"/>
      <c r="D66" s="1390">
        <f t="shared" ref="D66:I66" si="55">SUM(D55:D65)</f>
        <v>5221.8283327182244</v>
      </c>
      <c r="E66" s="1390">
        <f t="shared" si="55"/>
        <v>5078.3735991637686</v>
      </c>
      <c r="F66" s="1390">
        <f t="shared" si="55"/>
        <v>143.45473355445597</v>
      </c>
      <c r="G66" s="1391">
        <f t="shared" si="55"/>
        <v>44</v>
      </c>
      <c r="H66" s="1391">
        <f t="shared" si="55"/>
        <v>1486807</v>
      </c>
      <c r="I66" s="1391">
        <f t="shared" si="55"/>
        <v>0</v>
      </c>
      <c r="J66" s="822"/>
      <c r="K66" s="827"/>
      <c r="L66" s="827"/>
      <c r="M66" s="827"/>
      <c r="N66" s="827"/>
      <c r="O66" s="100"/>
      <c r="P66" s="100"/>
      <c r="Q66" s="1360"/>
      <c r="R66" s="112">
        <f>X66/D66*10</f>
        <v>597.03946354845266</v>
      </c>
      <c r="S66" s="174"/>
      <c r="T66" s="822">
        <f>SUM(T55:T65)</f>
        <v>35563.368000000002</v>
      </c>
      <c r="U66" s="822">
        <f>SUM(U55:U65)</f>
        <v>276196.69465081993</v>
      </c>
      <c r="V66" s="823"/>
      <c r="W66" s="822">
        <f>SUM(W55:W65)</f>
        <v>3.6959999999999997</v>
      </c>
      <c r="X66" s="823">
        <f>SUM(X55:X65)</f>
        <v>311763.75865081995</v>
      </c>
      <c r="Y66" s="1408"/>
      <c r="Z66" s="241">
        <f>(AC66-AH66-AI66+AJ66)/D66*10</f>
        <v>593.06586921294991</v>
      </c>
      <c r="AA66" s="1390">
        <f>SUM(AA55:AA65)</f>
        <v>0</v>
      </c>
      <c r="AB66" s="823">
        <f>SUM(AB55:AB65)</f>
        <v>0</v>
      </c>
      <c r="AC66" s="1393">
        <f>SUM(AC55:AC65)</f>
        <v>311763.75865081995</v>
      </c>
      <c r="AD66" s="823"/>
      <c r="AE66" s="313"/>
      <c r="AF66" s="822">
        <f>SUM(AF55:AF65)</f>
        <v>20307.351167222434</v>
      </c>
      <c r="AG66" s="1391">
        <f t="shared" si="45"/>
        <v>596.95480425127425</v>
      </c>
      <c r="AH66" s="823">
        <f>SUM(AH55:AH65)</f>
        <v>2074.9427483856853</v>
      </c>
      <c r="AI66" s="822">
        <f>SUM(AI55:AI65)</f>
        <v>0</v>
      </c>
      <c r="AJ66" s="822">
        <f>SUM(AJ55:AJ65)</f>
        <v>0</v>
      </c>
      <c r="AK66" s="822">
        <f>SUM(AK55:AK64)</f>
        <v>0</v>
      </c>
      <c r="AL66" s="822">
        <f>SUM(AL55:AL65)</f>
        <v>309688.81590243429</v>
      </c>
      <c r="AM66" s="822"/>
      <c r="AN66" s="455"/>
    </row>
    <row r="67" spans="1:40" ht="18" customHeight="1">
      <c r="A67" s="1751" t="s">
        <v>95</v>
      </c>
      <c r="B67" s="1751"/>
      <c r="C67" s="1751"/>
      <c r="D67" s="1390">
        <f t="shared" ref="D67:I67" si="56">D66+D53+D35</f>
        <v>10713.052956803747</v>
      </c>
      <c r="E67" s="1399">
        <f t="shared" si="56"/>
        <v>6864.1007598032093</v>
      </c>
      <c r="F67" s="1399">
        <f t="shared" si="56"/>
        <v>534.95219700053929</v>
      </c>
      <c r="G67" s="1391">
        <f t="shared" si="56"/>
        <v>2356761</v>
      </c>
      <c r="H67" s="1391">
        <f t="shared" si="56"/>
        <v>5305483.7890133355</v>
      </c>
      <c r="I67" s="1391">
        <f t="shared" si="56"/>
        <v>1407400.4604199999</v>
      </c>
      <c r="J67" s="819"/>
      <c r="K67" s="819"/>
      <c r="L67" s="819"/>
      <c r="M67" s="819"/>
      <c r="N67" s="819"/>
      <c r="O67" s="819"/>
      <c r="P67" s="819"/>
      <c r="Q67" s="1360"/>
      <c r="R67" s="112">
        <f>X67/D67*10</f>
        <v>580.22192470686616</v>
      </c>
      <c r="S67" s="174"/>
      <c r="T67" s="822">
        <f>T66+T53+T35</f>
        <v>51294.422602666673</v>
      </c>
      <c r="U67" s="822">
        <f>U66+U53+U35</f>
        <v>561965.93811255856</v>
      </c>
      <c r="V67" s="1401">
        <f>V66+V53+V35</f>
        <v>8295.9266931000057</v>
      </c>
      <c r="W67" s="822">
        <f>W66+W53+W35</f>
        <v>38.533199999999994</v>
      </c>
      <c r="X67" s="1401">
        <f>X66+X53+X35</f>
        <v>621594.8206083253</v>
      </c>
      <c r="Y67" s="1408"/>
      <c r="Z67" s="241">
        <f>(AC67-AH67-AI67+AJ67)/D67*10</f>
        <v>575.02915236061062</v>
      </c>
      <c r="AA67" s="1399">
        <f>AA66+AA53+AA35</f>
        <v>934.8921499999999</v>
      </c>
      <c r="AB67" s="822">
        <f>AB66+AB53+AB35</f>
        <v>934.89215000000002</v>
      </c>
      <c r="AC67" s="1400">
        <f>AC66+AC53+AC35</f>
        <v>620659.92845832522</v>
      </c>
      <c r="AD67" s="1401"/>
      <c r="AE67" s="1385"/>
      <c r="AF67" s="822">
        <f>AF66+AF53+AF35</f>
        <v>36084.416157455831</v>
      </c>
      <c r="AG67" s="1391">
        <f t="shared" si="45"/>
        <v>578.39741874582796</v>
      </c>
      <c r="AH67" s="1401">
        <f>AH66+AH53+AH35</f>
        <v>4628.1523628817422</v>
      </c>
      <c r="AI67" s="822">
        <f>AI66+AI53+AI35</f>
        <v>9.2430000000000009E-7</v>
      </c>
      <c r="AJ67" s="822">
        <f>AJ66+AJ53+AJ35</f>
        <v>0</v>
      </c>
      <c r="AK67" s="822">
        <f>AK66+AK53+AK35</f>
        <v>0</v>
      </c>
      <c r="AL67" s="822">
        <f>AL66+AL53+AL35</f>
        <v>617182.38281384495</v>
      </c>
      <c r="AM67" s="822"/>
      <c r="AN67" s="455"/>
    </row>
    <row r="68" spans="1:40" ht="15">
      <c r="I68" s="223"/>
      <c r="L68" s="223"/>
      <c r="O68" s="455"/>
      <c r="P68" s="455"/>
      <c r="AJ68" s="506"/>
      <c r="AK68" s="506"/>
      <c r="AL68" s="506"/>
      <c r="AM68" s="506"/>
    </row>
    <row r="69" spans="1:40">
      <c r="K69" s="8"/>
      <c r="AJ69" s="506"/>
      <c r="AK69" s="506"/>
      <c r="AL69" s="506"/>
      <c r="AM69" s="506"/>
    </row>
    <row r="70" spans="1:40" ht="15">
      <c r="O70" s="455"/>
      <c r="P70" s="455"/>
      <c r="AJ70" s="506"/>
      <c r="AK70" s="506"/>
      <c r="AL70" s="506"/>
      <c r="AM70" s="506"/>
    </row>
    <row r="71" spans="1:40" ht="15">
      <c r="O71" s="455"/>
      <c r="P71" s="455"/>
      <c r="AJ71" s="506"/>
      <c r="AK71" s="506"/>
      <c r="AL71" s="506"/>
      <c r="AM71" s="506"/>
    </row>
    <row r="72" spans="1:40" ht="15">
      <c r="O72" s="455"/>
      <c r="P72" s="455"/>
      <c r="AJ72" s="506"/>
      <c r="AK72" s="506"/>
      <c r="AL72" s="506"/>
      <c r="AM72" s="506"/>
    </row>
    <row r="73" spans="1:40" ht="15">
      <c r="O73" s="455"/>
      <c r="P73" s="455"/>
      <c r="AJ73" s="506"/>
      <c r="AK73" s="506"/>
      <c r="AL73" s="506"/>
      <c r="AM73" s="506"/>
    </row>
    <row r="74" spans="1:40" ht="15">
      <c r="O74" s="455"/>
      <c r="P74" s="455"/>
      <c r="AJ74" s="506"/>
      <c r="AK74" s="506"/>
      <c r="AL74" s="506"/>
      <c r="AM74" s="506"/>
    </row>
    <row r="75" spans="1:40" ht="15">
      <c r="O75" s="455"/>
      <c r="P75" s="455"/>
      <c r="AJ75" s="506"/>
      <c r="AK75" s="506"/>
      <c r="AL75" s="506"/>
      <c r="AM75" s="506"/>
    </row>
    <row r="76" spans="1:40" ht="15">
      <c r="O76" s="455"/>
      <c r="P76" s="455"/>
      <c r="AJ76" s="506"/>
      <c r="AK76" s="506"/>
      <c r="AL76" s="506"/>
      <c r="AM76" s="506"/>
    </row>
    <row r="77" spans="1:40">
      <c r="G77" s="2"/>
      <c r="H77" s="2"/>
      <c r="I77" s="2"/>
      <c r="J77" s="2"/>
      <c r="K77" s="2"/>
      <c r="L77" s="2"/>
      <c r="M77" s="2"/>
      <c r="N77" s="2"/>
      <c r="O77" s="2"/>
      <c r="P77" s="2"/>
      <c r="Q77" s="2"/>
      <c r="R77" s="2"/>
      <c r="S77" s="2"/>
      <c r="AJ77" s="506"/>
      <c r="AK77" s="506"/>
      <c r="AL77" s="506"/>
      <c r="AM77" s="506"/>
    </row>
    <row r="78" spans="1:40" ht="15">
      <c r="O78" s="1403"/>
      <c r="P78" s="1403"/>
      <c r="Q78" s="1403"/>
      <c r="R78" s="1403"/>
      <c r="S78" s="1403"/>
      <c r="AJ78" s="506"/>
      <c r="AK78" s="506"/>
      <c r="AL78" s="506"/>
      <c r="AM78" s="506"/>
    </row>
    <row r="79" spans="1:40" ht="15">
      <c r="O79" s="1403"/>
      <c r="P79" s="1403"/>
      <c r="Q79" s="1403"/>
      <c r="R79" s="1403"/>
      <c r="S79" s="1403"/>
      <c r="AJ79" s="506"/>
      <c r="AK79" s="506"/>
      <c r="AL79" s="506"/>
      <c r="AM79" s="506"/>
    </row>
    <row r="80" spans="1:40" ht="15">
      <c r="O80" s="455"/>
      <c r="P80" s="455"/>
      <c r="AJ80" s="506"/>
      <c r="AK80" s="506"/>
      <c r="AL80" s="506"/>
      <c r="AM80" s="506"/>
    </row>
    <row r="81" spans="7:39" ht="15">
      <c r="O81" s="455"/>
      <c r="P81" s="455"/>
      <c r="AJ81" s="506"/>
      <c r="AK81" s="506"/>
      <c r="AL81" s="506"/>
      <c r="AM81" s="506"/>
    </row>
    <row r="82" spans="7:39">
      <c r="G82" s="2"/>
      <c r="H82" s="2"/>
      <c r="I82" s="2"/>
      <c r="J82" s="2"/>
      <c r="K82" s="2"/>
      <c r="L82" s="2"/>
      <c r="M82" s="2"/>
      <c r="N82" s="2"/>
      <c r="O82" s="2"/>
      <c r="P82" s="2"/>
      <c r="Q82" s="2"/>
      <c r="R82" s="2"/>
      <c r="S82" s="2"/>
      <c r="AJ82" s="506"/>
      <c r="AK82" s="506"/>
      <c r="AL82" s="506"/>
      <c r="AM82" s="506"/>
    </row>
    <row r="83" spans="7:39" ht="15">
      <c r="O83" s="1403"/>
      <c r="P83" s="1403"/>
      <c r="Q83" s="1403"/>
      <c r="R83" s="1403"/>
      <c r="S83" s="1403"/>
      <c r="AJ83" s="506"/>
      <c r="AK83" s="506"/>
      <c r="AL83" s="506"/>
      <c r="AM83" s="506"/>
    </row>
    <row r="84" spans="7:39" ht="15">
      <c r="O84" s="1403"/>
      <c r="P84" s="1403"/>
      <c r="Q84" s="1403"/>
      <c r="R84" s="1403"/>
      <c r="S84" s="1403"/>
      <c r="AJ84" s="506"/>
      <c r="AK84" s="506"/>
      <c r="AL84" s="506"/>
      <c r="AM84" s="506"/>
    </row>
    <row r="85" spans="7:39">
      <c r="AJ85" s="506"/>
      <c r="AK85" s="506"/>
      <c r="AL85" s="506"/>
      <c r="AM85" s="506"/>
    </row>
    <row r="86" spans="7:39">
      <c r="AJ86" s="506"/>
      <c r="AK86" s="506"/>
      <c r="AL86" s="506"/>
      <c r="AM86" s="506"/>
    </row>
    <row r="87" spans="7:39">
      <c r="AJ87" s="506"/>
      <c r="AK87" s="506"/>
      <c r="AL87" s="506"/>
      <c r="AM87" s="506"/>
    </row>
    <row r="88" spans="7:39">
      <c r="AJ88" s="506"/>
      <c r="AK88" s="506"/>
      <c r="AL88" s="506"/>
      <c r="AM88" s="506"/>
    </row>
    <row r="89" spans="7:39">
      <c r="AJ89" s="506"/>
      <c r="AK89" s="506"/>
      <c r="AL89" s="506"/>
      <c r="AM89" s="506"/>
    </row>
    <row r="90" spans="7:39">
      <c r="AJ90" s="506"/>
      <c r="AK90" s="506"/>
      <c r="AL90" s="506"/>
      <c r="AM90" s="506"/>
    </row>
    <row r="91" spans="7:39">
      <c r="AJ91" s="506"/>
      <c r="AK91" s="506"/>
      <c r="AL91" s="506"/>
      <c r="AM91" s="506"/>
    </row>
    <row r="92" spans="7:39">
      <c r="AJ92" s="506"/>
      <c r="AK92" s="506"/>
      <c r="AL92" s="506"/>
      <c r="AM92" s="506"/>
    </row>
    <row r="93" spans="7:39">
      <c r="AJ93" s="506"/>
      <c r="AK93" s="506"/>
      <c r="AL93" s="506"/>
      <c r="AM93" s="506"/>
    </row>
  </sheetData>
  <mergeCells count="3">
    <mergeCell ref="A67:C67"/>
    <mergeCell ref="M7:N7"/>
    <mergeCell ref="P7:Q7"/>
  </mergeCells>
  <phoneticPr fontId="0" type="noConversion"/>
  <printOptions horizontalCentered="1" gridLines="1"/>
  <pageMargins left="0.23622047244094491" right="0" top="0.23622047244094491" bottom="0.74803149606299213" header="0" footer="0"/>
  <pageSetup paperSize="9" scale="75" fitToWidth="6" fitToHeight="6" orientation="landscape" r:id="rId1"/>
  <headerFooter alignWithMargins="0">
    <oddFooter xml:space="preserve">&amp;R&amp;"Arial,Bold"&amp;12OERC FORM-&amp;A
&amp;"Arial,Regular"&amp;10
</oddFooter>
  </headerFooter>
  <rowBreaks count="2" manualBreakCount="2">
    <brk id="35" max="39" man="1"/>
    <brk id="53" max="39"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BX99"/>
  <sheetViews>
    <sheetView view="pageBreakPreview" zoomScale="86" zoomScaleNormal="75" zoomScaleSheetLayoutView="86" workbookViewId="0">
      <pane xSplit="4" ySplit="6" topLeftCell="BM58" activePane="bottomRight" state="frozen"/>
      <selection activeCell="L45" sqref="L45"/>
      <selection pane="topRight" activeCell="L45" sqref="L45"/>
      <selection pane="bottomLeft" activeCell="L45" sqref="L45"/>
      <selection pane="bottomRight" activeCell="L45" sqref="L45"/>
    </sheetView>
  </sheetViews>
  <sheetFormatPr defaultColWidth="14.7109375" defaultRowHeight="15"/>
  <cols>
    <col min="1" max="1" width="5.7109375" style="38" customWidth="1"/>
    <col min="2" max="2" width="31" style="38" customWidth="1"/>
    <col min="3" max="3" width="11.28515625" style="38" customWidth="1"/>
    <col min="4" max="4" width="11.7109375" style="38" customWidth="1"/>
    <col min="5" max="5" width="11.42578125" style="38" bestFit="1" customWidth="1"/>
    <col min="6" max="9" width="11.42578125" style="38" customWidth="1"/>
    <col min="10" max="10" width="9" style="38" customWidth="1"/>
    <col min="11" max="11" width="10.42578125" style="38" customWidth="1"/>
    <col min="12" max="12" width="11.5703125" style="38" customWidth="1"/>
    <col min="13" max="13" width="9" style="38" customWidth="1"/>
    <col min="14" max="14" width="8.85546875" style="38" customWidth="1"/>
    <col min="15" max="15" width="12.28515625" style="38" customWidth="1"/>
    <col min="16" max="16" width="9.85546875" style="38" customWidth="1"/>
    <col min="17" max="17" width="8.28515625" style="38" customWidth="1"/>
    <col min="18" max="18" width="9.140625" style="38" customWidth="1"/>
    <col min="19" max="19" width="8.5703125" style="38" customWidth="1"/>
    <col min="20" max="20" width="11.5703125" style="38" customWidth="1"/>
    <col min="21" max="24" width="12.28515625" style="38" customWidth="1"/>
    <col min="25" max="25" width="11.5703125" style="38" customWidth="1"/>
    <col min="26" max="26" width="10.42578125" style="38" customWidth="1"/>
    <col min="27" max="27" width="13" style="38" customWidth="1"/>
    <col min="28" max="28" width="11" style="38" customWidth="1"/>
    <col min="29" max="29" width="13" style="38" customWidth="1"/>
    <col min="30" max="30" width="10" style="38" customWidth="1"/>
    <col min="31" max="31" width="9.5703125" style="38" customWidth="1"/>
    <col min="32" max="33" width="9.7109375" style="38" customWidth="1"/>
    <col min="34" max="34" width="12.85546875" style="38" customWidth="1"/>
    <col min="35" max="35" width="10.28515625" style="38" customWidth="1"/>
    <col min="36" max="36" width="9.140625" style="38" customWidth="1"/>
    <col min="37" max="37" width="9.7109375" style="38" customWidth="1"/>
    <col min="38" max="38" width="8" style="38" customWidth="1"/>
    <col min="39" max="39" width="9.5703125" style="38" customWidth="1"/>
    <col min="40" max="40" width="10.85546875" style="38" customWidth="1"/>
    <col min="41" max="41" width="8.7109375" style="38" customWidth="1"/>
    <col min="42" max="42" width="8.42578125" style="38" customWidth="1"/>
    <col min="43" max="43" width="11.28515625" style="38" customWidth="1"/>
    <col min="44" max="44" width="10.7109375" style="38" customWidth="1"/>
    <col min="45" max="45" width="11.7109375" style="38" customWidth="1"/>
    <col min="46" max="46" width="12.42578125" style="38" customWidth="1"/>
    <col min="47" max="47" width="13.42578125" style="38" customWidth="1"/>
    <col min="48" max="48" width="11.5703125" style="38" customWidth="1"/>
    <col min="49" max="49" width="13.42578125" style="38" customWidth="1"/>
    <col min="50" max="50" width="11.42578125" style="38" customWidth="1"/>
    <col min="51" max="51" width="11.85546875" style="38" customWidth="1"/>
    <col min="52" max="52" width="11.140625" style="38" customWidth="1"/>
    <col min="53" max="53" width="12.140625" style="38" customWidth="1"/>
    <col min="54" max="54" width="13.42578125" style="38" customWidth="1"/>
    <col min="55" max="55" width="13.140625" style="38" customWidth="1"/>
    <col min="56" max="56" width="11.5703125" style="38" customWidth="1"/>
    <col min="57" max="57" width="12.140625" style="38" customWidth="1"/>
    <col min="58" max="64" width="9.7109375" style="38" customWidth="1"/>
    <col min="65" max="65" width="10.5703125" style="38" customWidth="1"/>
    <col min="66" max="66" width="10.28515625" style="38" customWidth="1"/>
    <col min="67" max="68" width="12.42578125" style="38" customWidth="1"/>
    <col min="69" max="69" width="13.140625" style="38" customWidth="1"/>
    <col min="70" max="70" width="9.42578125" style="38" customWidth="1"/>
    <col min="71" max="71" width="11.42578125" style="38" customWidth="1"/>
    <col min="72" max="72" width="11.85546875" style="38" customWidth="1"/>
    <col min="73" max="73" width="13.7109375" style="38" customWidth="1"/>
    <col min="74" max="74" width="12.42578125" style="38" customWidth="1"/>
    <col min="75" max="75" width="10.7109375" style="38" customWidth="1"/>
    <col min="76" max="76" width="14.42578125" style="38" customWidth="1"/>
    <col min="77" max="16384" width="14.7109375" style="38"/>
  </cols>
  <sheetData>
    <row r="1" spans="1:76" ht="18">
      <c r="B1" s="59" t="s">
        <v>106</v>
      </c>
      <c r="F1" s="40"/>
      <c r="AL1" s="40" t="s">
        <v>0</v>
      </c>
      <c r="AM1" s="65" t="s">
        <v>317</v>
      </c>
      <c r="BB1" s="40"/>
      <c r="BC1" s="65"/>
      <c r="BV1" s="40"/>
      <c r="BW1" s="65"/>
    </row>
    <row r="2" spans="1:76" ht="18">
      <c r="B2" s="59" t="s">
        <v>318</v>
      </c>
      <c r="F2" s="40"/>
      <c r="K2" s="41"/>
      <c r="AD2" s="449"/>
      <c r="AL2" s="40"/>
      <c r="AM2" s="65"/>
      <c r="BB2" s="40"/>
      <c r="BC2" s="65"/>
      <c r="BV2" s="40"/>
      <c r="BW2" s="65"/>
    </row>
    <row r="3" spans="1:76" ht="30">
      <c r="B3" s="6" t="s">
        <v>319</v>
      </c>
      <c r="C3"/>
      <c r="D3"/>
      <c r="E3"/>
      <c r="F3" s="6"/>
      <c r="G3" s="41"/>
      <c r="H3" s="41"/>
      <c r="I3" s="41"/>
      <c r="J3" s="41"/>
      <c r="K3" s="41"/>
      <c r="L3" s="41"/>
      <c r="M3" s="41"/>
      <c r="N3" s="41"/>
      <c r="O3" s="41"/>
      <c r="P3" s="41"/>
      <c r="Q3" s="41"/>
      <c r="R3" s="41"/>
      <c r="S3" s="41"/>
      <c r="T3" s="163"/>
      <c r="U3" s="41"/>
      <c r="V3" s="41"/>
      <c r="W3" s="41"/>
      <c r="X3" s="41"/>
      <c r="Y3" s="41"/>
      <c r="Z3" s="41"/>
      <c r="AA3" s="41"/>
      <c r="AB3" s="41"/>
      <c r="AC3" s="41"/>
      <c r="AD3" s="41"/>
      <c r="AE3" s="41"/>
      <c r="AF3" s="41"/>
      <c r="AG3" s="41"/>
      <c r="AH3" s="41"/>
      <c r="AI3" s="41"/>
      <c r="AJ3" s="41"/>
      <c r="AK3" s="41"/>
      <c r="AL3" s="41"/>
      <c r="AM3" s="41"/>
      <c r="AN3" s="163"/>
      <c r="AO3" s="163"/>
      <c r="AP3" s="41"/>
      <c r="AQ3" s="41"/>
      <c r="AR3" s="41"/>
      <c r="AS3" s="41"/>
      <c r="AT3" s="41"/>
      <c r="AU3" s="41"/>
      <c r="AV3" s="41"/>
      <c r="AW3" s="41"/>
      <c r="AX3" s="41"/>
      <c r="AY3" s="41"/>
      <c r="AZ3" s="41"/>
      <c r="BA3" s="41"/>
      <c r="BB3" s="41"/>
      <c r="BC3"/>
      <c r="BD3" s="41"/>
      <c r="BE3" s="41"/>
      <c r="BF3" s="41"/>
      <c r="BG3" s="41"/>
      <c r="BH3" s="41"/>
      <c r="BI3" s="41"/>
      <c r="BJ3" s="41"/>
      <c r="BK3" s="41"/>
      <c r="BL3" s="41"/>
      <c r="BM3" s="41"/>
      <c r="BN3" s="41"/>
      <c r="BO3" s="41"/>
      <c r="BP3" s="41"/>
      <c r="BQ3" s="41"/>
      <c r="BR3" s="41"/>
      <c r="BS3" s="41"/>
      <c r="BT3" s="41"/>
      <c r="BU3" s="41"/>
      <c r="BV3" s="41"/>
      <c r="BW3" s="41"/>
      <c r="BX3" s="41"/>
    </row>
    <row r="4" spans="1:76" ht="20.100000000000001" customHeight="1">
      <c r="A4" s="623">
        <v>1</v>
      </c>
      <c r="B4" s="56">
        <v>2</v>
      </c>
      <c r="C4" s="56">
        <v>3</v>
      </c>
      <c r="D4" s="56">
        <v>4</v>
      </c>
      <c r="E4" s="56">
        <v>5</v>
      </c>
      <c r="F4" s="56">
        <v>6</v>
      </c>
      <c r="G4" s="56">
        <v>7</v>
      </c>
      <c r="H4" s="56">
        <v>8</v>
      </c>
      <c r="I4" s="56">
        <v>9</v>
      </c>
      <c r="J4" s="56">
        <v>10</v>
      </c>
      <c r="K4" s="56">
        <v>11</v>
      </c>
      <c r="L4" s="56">
        <v>12</v>
      </c>
      <c r="M4" s="56">
        <v>13</v>
      </c>
      <c r="N4" s="56">
        <v>14</v>
      </c>
      <c r="O4" s="56">
        <v>15</v>
      </c>
      <c r="P4" s="56">
        <v>16</v>
      </c>
      <c r="Q4" s="56">
        <v>17</v>
      </c>
      <c r="R4" s="56">
        <v>18</v>
      </c>
      <c r="S4" s="56">
        <v>19</v>
      </c>
      <c r="T4" s="56">
        <v>20</v>
      </c>
      <c r="U4" s="56">
        <v>21</v>
      </c>
      <c r="V4" s="56">
        <v>22</v>
      </c>
      <c r="W4" s="56">
        <v>23</v>
      </c>
      <c r="X4" s="56">
        <v>24</v>
      </c>
      <c r="Y4" s="56">
        <v>25</v>
      </c>
      <c r="Z4" s="56">
        <v>26</v>
      </c>
      <c r="AA4" s="56">
        <v>27</v>
      </c>
      <c r="AB4" s="56">
        <v>28</v>
      </c>
      <c r="AC4" s="56">
        <v>29</v>
      </c>
      <c r="AD4" s="56">
        <v>30</v>
      </c>
      <c r="AE4" s="56">
        <v>31</v>
      </c>
      <c r="AF4" s="56">
        <v>32</v>
      </c>
      <c r="AG4" s="56">
        <v>33</v>
      </c>
      <c r="AH4" s="56">
        <v>34</v>
      </c>
      <c r="AI4" s="56">
        <v>35</v>
      </c>
      <c r="AJ4" s="56">
        <v>36</v>
      </c>
      <c r="AK4" s="56">
        <v>37</v>
      </c>
      <c r="AL4" s="56">
        <v>38</v>
      </c>
      <c r="AM4" s="56">
        <v>39</v>
      </c>
      <c r="AN4" s="56">
        <v>40</v>
      </c>
      <c r="AO4" s="56">
        <v>41</v>
      </c>
      <c r="AP4" s="56">
        <v>42</v>
      </c>
      <c r="AQ4" s="56">
        <v>43</v>
      </c>
      <c r="AR4" s="56">
        <v>44</v>
      </c>
      <c r="AS4" s="56">
        <v>45</v>
      </c>
      <c r="AT4" s="56">
        <v>46</v>
      </c>
      <c r="AU4" s="56">
        <v>47</v>
      </c>
      <c r="AV4" s="56">
        <v>48</v>
      </c>
      <c r="AW4" s="56">
        <v>49</v>
      </c>
      <c r="AX4" s="56">
        <v>50</v>
      </c>
      <c r="AY4" s="56">
        <v>51</v>
      </c>
      <c r="AZ4" s="56">
        <v>52</v>
      </c>
      <c r="BA4" s="56">
        <v>53</v>
      </c>
      <c r="BB4" s="56">
        <v>54</v>
      </c>
      <c r="BC4" s="56">
        <v>55</v>
      </c>
      <c r="BD4" s="56">
        <v>56</v>
      </c>
      <c r="BE4" s="56">
        <v>57</v>
      </c>
      <c r="BF4" s="56">
        <v>58</v>
      </c>
      <c r="BG4" s="56">
        <v>59</v>
      </c>
      <c r="BH4" s="56">
        <v>60</v>
      </c>
      <c r="BI4" s="56">
        <v>61</v>
      </c>
      <c r="BJ4" s="56">
        <v>62</v>
      </c>
      <c r="BK4" s="56">
        <v>63</v>
      </c>
      <c r="BL4" s="56">
        <v>64</v>
      </c>
      <c r="BM4" s="56">
        <v>65</v>
      </c>
      <c r="BN4" s="56">
        <v>66</v>
      </c>
      <c r="BO4" s="56">
        <v>67</v>
      </c>
      <c r="BP4" s="56">
        <v>68</v>
      </c>
      <c r="BQ4" s="56">
        <v>69</v>
      </c>
      <c r="BR4" s="56">
        <v>70</v>
      </c>
      <c r="BS4" s="56">
        <v>71</v>
      </c>
      <c r="BT4" s="56">
        <v>72</v>
      </c>
      <c r="BU4" s="56">
        <v>73</v>
      </c>
      <c r="BV4" s="56">
        <v>74</v>
      </c>
      <c r="BW4" s="56">
        <v>75</v>
      </c>
      <c r="BX4" s="56">
        <v>76</v>
      </c>
    </row>
    <row r="5" spans="1:76" ht="20.100000000000001" customHeight="1">
      <c r="A5" s="624"/>
      <c r="B5" s="625"/>
      <c r="C5" s="626"/>
      <c r="D5" s="626"/>
      <c r="E5" s="626"/>
      <c r="F5" s="626"/>
      <c r="G5" s="626"/>
      <c r="H5" s="626"/>
      <c r="I5" s="626"/>
      <c r="J5" s="246" t="s">
        <v>320</v>
      </c>
      <c r="K5" s="246" t="s">
        <v>320</v>
      </c>
      <c r="L5" s="246" t="s">
        <v>320</v>
      </c>
      <c r="M5" s="246" t="s">
        <v>320</v>
      </c>
      <c r="N5" s="246" t="s">
        <v>320</v>
      </c>
      <c r="O5" s="246" t="s">
        <v>320</v>
      </c>
      <c r="P5" s="246" t="s">
        <v>320</v>
      </c>
      <c r="Q5" s="246" t="s">
        <v>320</v>
      </c>
      <c r="R5" s="246" t="s">
        <v>320</v>
      </c>
      <c r="S5" s="246" t="s">
        <v>320</v>
      </c>
      <c r="T5" s="246" t="s">
        <v>320</v>
      </c>
      <c r="U5" s="246" t="s">
        <v>320</v>
      </c>
      <c r="V5" s="246" t="s">
        <v>320</v>
      </c>
      <c r="W5" s="246" t="s">
        <v>320</v>
      </c>
      <c r="X5" s="246" t="s">
        <v>320</v>
      </c>
      <c r="Y5" s="246" t="s">
        <v>320</v>
      </c>
      <c r="Z5" s="246" t="s">
        <v>320</v>
      </c>
      <c r="AA5" s="246" t="s">
        <v>320</v>
      </c>
      <c r="AB5" s="246" t="s">
        <v>320</v>
      </c>
      <c r="AC5" s="246" t="s">
        <v>320</v>
      </c>
      <c r="AD5" s="246" t="s">
        <v>320</v>
      </c>
      <c r="AE5" s="246" t="s">
        <v>320</v>
      </c>
      <c r="AF5" s="246" t="s">
        <v>320</v>
      </c>
      <c r="AG5" s="246" t="s">
        <v>320</v>
      </c>
      <c r="AH5" s="246" t="s">
        <v>320</v>
      </c>
      <c r="AI5" s="246" t="s">
        <v>321</v>
      </c>
      <c r="AJ5" s="246" t="s">
        <v>321</v>
      </c>
      <c r="AK5" s="246" t="s">
        <v>321</v>
      </c>
      <c r="AL5" s="246" t="s">
        <v>321</v>
      </c>
      <c r="AM5" s="246" t="s">
        <v>321</v>
      </c>
      <c r="AN5" s="246" t="s">
        <v>321</v>
      </c>
      <c r="AO5" s="246" t="s">
        <v>321</v>
      </c>
      <c r="AP5" s="246" t="s">
        <v>321</v>
      </c>
      <c r="AQ5" s="246" t="s">
        <v>321</v>
      </c>
      <c r="AR5" s="246" t="s">
        <v>321</v>
      </c>
      <c r="AS5" s="246" t="s">
        <v>321</v>
      </c>
      <c r="AT5" s="246" t="s">
        <v>321</v>
      </c>
      <c r="AU5" s="246" t="s">
        <v>321</v>
      </c>
      <c r="AV5" s="246" t="s">
        <v>321</v>
      </c>
      <c r="AW5" s="246" t="s">
        <v>321</v>
      </c>
      <c r="AX5" s="246" t="s">
        <v>321</v>
      </c>
      <c r="AY5" s="246" t="s">
        <v>321</v>
      </c>
      <c r="AZ5" s="246" t="s">
        <v>321</v>
      </c>
      <c r="BA5" s="246" t="s">
        <v>321</v>
      </c>
      <c r="BB5" s="246" t="s">
        <v>321</v>
      </c>
      <c r="BC5" s="246" t="s">
        <v>320</v>
      </c>
      <c r="BD5" s="246" t="s">
        <v>322</v>
      </c>
      <c r="BE5" s="246" t="s">
        <v>322</v>
      </c>
      <c r="BF5" s="246" t="s">
        <v>322</v>
      </c>
      <c r="BG5" s="246" t="s">
        <v>322</v>
      </c>
      <c r="BH5" s="246" t="s">
        <v>322</v>
      </c>
      <c r="BI5" s="246" t="s">
        <v>322</v>
      </c>
      <c r="BJ5" s="246" t="s">
        <v>322</v>
      </c>
      <c r="BK5" s="246" t="s">
        <v>322</v>
      </c>
      <c r="BL5" s="246" t="s">
        <v>321</v>
      </c>
      <c r="BM5" s="246" t="s">
        <v>321</v>
      </c>
      <c r="BN5" s="246" t="s">
        <v>321</v>
      </c>
      <c r="BO5" s="246" t="s">
        <v>321</v>
      </c>
      <c r="BP5" s="246" t="s">
        <v>321</v>
      </c>
      <c r="BQ5" s="246" t="s">
        <v>321</v>
      </c>
      <c r="BR5" s="246" t="s">
        <v>321</v>
      </c>
      <c r="BS5" s="246" t="s">
        <v>321</v>
      </c>
      <c r="BT5" s="246" t="s">
        <v>321</v>
      </c>
      <c r="BU5" s="246" t="s">
        <v>321</v>
      </c>
      <c r="BV5" s="246" t="s">
        <v>321</v>
      </c>
      <c r="BW5" s="246" t="s">
        <v>321</v>
      </c>
      <c r="BX5" s="47"/>
    </row>
    <row r="6" spans="1:76" ht="83.25" customHeight="1">
      <c r="A6" s="812" t="s">
        <v>9</v>
      </c>
      <c r="B6" s="812" t="s">
        <v>10</v>
      </c>
      <c r="C6" s="316" t="s">
        <v>11</v>
      </c>
      <c r="D6" s="316" t="s">
        <v>312</v>
      </c>
      <c r="E6" s="316" t="s">
        <v>238</v>
      </c>
      <c r="F6" s="316" t="s">
        <v>239</v>
      </c>
      <c r="G6" s="316" t="s">
        <v>323</v>
      </c>
      <c r="H6" s="316" t="s">
        <v>241</v>
      </c>
      <c r="I6" s="316" t="s">
        <v>324</v>
      </c>
      <c r="J6" s="316" t="s">
        <v>325</v>
      </c>
      <c r="K6" s="316" t="s">
        <v>326</v>
      </c>
      <c r="L6" s="813" t="s">
        <v>327</v>
      </c>
      <c r="M6" s="1804" t="s">
        <v>328</v>
      </c>
      <c r="N6" s="1805"/>
      <c r="O6" s="316" t="s">
        <v>329</v>
      </c>
      <c r="P6" s="1806" t="s">
        <v>330</v>
      </c>
      <c r="Q6" s="1807"/>
      <c r="R6" s="316" t="s">
        <v>249</v>
      </c>
      <c r="S6" s="316" t="s">
        <v>250</v>
      </c>
      <c r="T6" s="316" t="s">
        <v>331</v>
      </c>
      <c r="U6" s="316" t="s">
        <v>332</v>
      </c>
      <c r="V6" s="316" t="s">
        <v>333</v>
      </c>
      <c r="W6" s="316" t="s">
        <v>254</v>
      </c>
      <c r="X6" s="316" t="s">
        <v>255</v>
      </c>
      <c r="Y6" s="316" t="s">
        <v>256</v>
      </c>
      <c r="Z6" s="316" t="s">
        <v>334</v>
      </c>
      <c r="AA6" s="316" t="s">
        <v>258</v>
      </c>
      <c r="AB6" s="316" t="s">
        <v>335</v>
      </c>
      <c r="AC6" s="316" t="s">
        <v>260</v>
      </c>
      <c r="AD6" s="813" t="s">
        <v>336</v>
      </c>
      <c r="AE6" s="316" t="s">
        <v>314</v>
      </c>
      <c r="AF6" s="316" t="s">
        <v>267</v>
      </c>
      <c r="AG6" s="813" t="s">
        <v>268</v>
      </c>
      <c r="AH6" s="316" t="s">
        <v>337</v>
      </c>
      <c r="AI6" s="316" t="s">
        <v>325</v>
      </c>
      <c r="AJ6" s="316" t="s">
        <v>326</v>
      </c>
      <c r="AK6" s="316" t="s">
        <v>338</v>
      </c>
      <c r="AL6" s="1810" t="s">
        <v>339</v>
      </c>
      <c r="AM6" s="1811"/>
      <c r="AN6" s="830" t="s">
        <v>340</v>
      </c>
      <c r="AO6" s="1808" t="s">
        <v>341</v>
      </c>
      <c r="AP6" s="1809"/>
      <c r="AQ6" s="830" t="s">
        <v>342</v>
      </c>
      <c r="AR6" s="830" t="s">
        <v>343</v>
      </c>
      <c r="AS6" s="830" t="s">
        <v>251</v>
      </c>
      <c r="AT6" s="830" t="s">
        <v>332</v>
      </c>
      <c r="AU6" s="830" t="s">
        <v>253</v>
      </c>
      <c r="AV6" s="830" t="s">
        <v>254</v>
      </c>
      <c r="AW6" s="830" t="s">
        <v>344</v>
      </c>
      <c r="AX6" s="830" t="s">
        <v>256</v>
      </c>
      <c r="AY6" s="830" t="s">
        <v>345</v>
      </c>
      <c r="AZ6" s="830" t="s">
        <v>258</v>
      </c>
      <c r="BA6" s="830" t="s">
        <v>346</v>
      </c>
      <c r="BB6" s="830" t="s">
        <v>260</v>
      </c>
      <c r="BC6" s="830" t="s">
        <v>260</v>
      </c>
      <c r="BD6" s="830" t="s">
        <v>347</v>
      </c>
      <c r="BE6" s="830" t="s">
        <v>348</v>
      </c>
      <c r="BF6" s="830" t="s">
        <v>349</v>
      </c>
      <c r="BG6" s="830" t="s">
        <v>350</v>
      </c>
      <c r="BH6" s="830" t="s">
        <v>351</v>
      </c>
      <c r="BI6" s="830" t="s">
        <v>352</v>
      </c>
      <c r="BJ6" s="830" t="s">
        <v>353</v>
      </c>
      <c r="BK6" s="830" t="s">
        <v>354</v>
      </c>
      <c r="BL6" s="830" t="s">
        <v>355</v>
      </c>
      <c r="BM6" s="813" t="s">
        <v>336</v>
      </c>
      <c r="BN6" s="830" t="s">
        <v>314</v>
      </c>
      <c r="BO6" s="830" t="s">
        <v>356</v>
      </c>
      <c r="BP6" s="813" t="s">
        <v>268</v>
      </c>
      <c r="BQ6" s="830" t="s">
        <v>357</v>
      </c>
      <c r="BR6" s="830" t="s">
        <v>262</v>
      </c>
      <c r="BS6" s="830" t="s">
        <v>358</v>
      </c>
      <c r="BT6" s="830" t="s">
        <v>359</v>
      </c>
      <c r="BU6" s="830" t="s">
        <v>360</v>
      </c>
      <c r="BV6" s="830" t="s">
        <v>361</v>
      </c>
      <c r="BW6" s="830" t="s">
        <v>362</v>
      </c>
      <c r="BX6" s="830" t="s">
        <v>363</v>
      </c>
    </row>
    <row r="7" spans="1:76" ht="29.25" customHeight="1">
      <c r="A7" s="64"/>
      <c r="B7" s="243"/>
      <c r="C7" s="165"/>
      <c r="D7" s="246" t="s">
        <v>272</v>
      </c>
      <c r="E7" s="246" t="s">
        <v>272</v>
      </c>
      <c r="F7" s="246" t="s">
        <v>272</v>
      </c>
      <c r="G7" s="246" t="s">
        <v>364</v>
      </c>
      <c r="H7" s="246" t="s">
        <v>365</v>
      </c>
      <c r="I7" s="246" t="s">
        <v>366</v>
      </c>
      <c r="J7" s="246" t="s">
        <v>276</v>
      </c>
      <c r="K7" s="246" t="s">
        <v>367</v>
      </c>
      <c r="L7" s="246" t="s">
        <v>367</v>
      </c>
      <c r="M7" s="167"/>
      <c r="N7" s="167"/>
      <c r="O7" s="246" t="s">
        <v>368</v>
      </c>
      <c r="P7" s="246" t="s">
        <v>281</v>
      </c>
      <c r="Q7" s="246" t="s">
        <v>282</v>
      </c>
      <c r="R7" s="246" t="s">
        <v>283</v>
      </c>
      <c r="S7" s="364"/>
      <c r="T7" s="364" t="s">
        <v>284</v>
      </c>
      <c r="U7" s="246" t="s">
        <v>284</v>
      </c>
      <c r="V7" s="246" t="s">
        <v>284</v>
      </c>
      <c r="W7" s="246" t="s">
        <v>284</v>
      </c>
      <c r="X7" s="246" t="s">
        <v>284</v>
      </c>
      <c r="Y7" s="246" t="s">
        <v>285</v>
      </c>
      <c r="Z7" s="246" t="s">
        <v>285</v>
      </c>
      <c r="AA7" s="246" t="s">
        <v>286</v>
      </c>
      <c r="AB7" s="246" t="s">
        <v>284</v>
      </c>
      <c r="AC7" s="246" t="s">
        <v>284</v>
      </c>
      <c r="AD7" s="246" t="s">
        <v>284</v>
      </c>
      <c r="AE7" s="246" t="s">
        <v>284</v>
      </c>
      <c r="AF7" s="246" t="s">
        <v>284</v>
      </c>
      <c r="AG7" s="813" t="s">
        <v>284</v>
      </c>
      <c r="AH7" s="246" t="s">
        <v>284</v>
      </c>
      <c r="AI7" s="246" t="s">
        <v>276</v>
      </c>
      <c r="AJ7" s="246" t="s">
        <v>289</v>
      </c>
      <c r="AK7" s="246" t="s">
        <v>289</v>
      </c>
      <c r="AL7" s="246" t="s">
        <v>369</v>
      </c>
      <c r="AM7" s="246" t="s">
        <v>369</v>
      </c>
      <c r="AN7" s="246" t="s">
        <v>280</v>
      </c>
      <c r="AO7" s="246" t="s">
        <v>281</v>
      </c>
      <c r="AP7" s="246" t="s">
        <v>282</v>
      </c>
      <c r="AQ7" s="246" t="s">
        <v>370</v>
      </c>
      <c r="AR7" s="364"/>
      <c r="AS7" s="364" t="s">
        <v>371</v>
      </c>
      <c r="AT7" s="246" t="s">
        <v>371</v>
      </c>
      <c r="AU7" s="246" t="s">
        <v>371</v>
      </c>
      <c r="AV7" s="246" t="s">
        <v>371</v>
      </c>
      <c r="AW7" s="246" t="s">
        <v>371</v>
      </c>
      <c r="AX7" s="246" t="s">
        <v>283</v>
      </c>
      <c r="AY7" s="246" t="s">
        <v>283</v>
      </c>
      <c r="AZ7" s="246" t="s">
        <v>286</v>
      </c>
      <c r="BA7" s="246" t="s">
        <v>371</v>
      </c>
      <c r="BB7" s="246" t="s">
        <v>371</v>
      </c>
      <c r="BC7" s="246" t="s">
        <v>371</v>
      </c>
      <c r="BD7" s="246" t="s">
        <v>371</v>
      </c>
      <c r="BE7" s="246" t="s">
        <v>371</v>
      </c>
      <c r="BF7" s="246" t="s">
        <v>371</v>
      </c>
      <c r="BG7" s="246" t="s">
        <v>371</v>
      </c>
      <c r="BH7" s="246" t="s">
        <v>371</v>
      </c>
      <c r="BI7" s="246" t="s">
        <v>371</v>
      </c>
      <c r="BJ7" s="246" t="s">
        <v>289</v>
      </c>
      <c r="BK7" s="246" t="s">
        <v>287</v>
      </c>
      <c r="BL7" s="246" t="s">
        <v>287</v>
      </c>
      <c r="BM7" s="246" t="s">
        <v>371</v>
      </c>
      <c r="BN7" s="246" t="s">
        <v>371</v>
      </c>
      <c r="BO7" s="246" t="s">
        <v>371</v>
      </c>
      <c r="BP7" s="246" t="s">
        <v>371</v>
      </c>
      <c r="BQ7" s="246" t="s">
        <v>371</v>
      </c>
      <c r="BR7" s="246" t="s">
        <v>288</v>
      </c>
      <c r="BS7" s="246" t="s">
        <v>285</v>
      </c>
      <c r="BT7" s="246" t="s">
        <v>371</v>
      </c>
      <c r="BU7" s="246" t="s">
        <v>371</v>
      </c>
      <c r="BV7" s="246" t="s">
        <v>371</v>
      </c>
      <c r="BW7" s="246" t="s">
        <v>289</v>
      </c>
      <c r="BX7" s="167"/>
    </row>
    <row r="8" spans="1:76" ht="15.95" customHeight="1">
      <c r="A8" s="64"/>
      <c r="B8" s="243" t="s">
        <v>173</v>
      </c>
      <c r="C8" s="165"/>
      <c r="D8" s="182"/>
      <c r="E8" s="182"/>
      <c r="F8" s="182"/>
      <c r="G8" s="244"/>
      <c r="H8" s="167"/>
      <c r="I8" s="167"/>
      <c r="J8" s="166"/>
      <c r="K8" s="166"/>
      <c r="L8" s="166"/>
      <c r="M8" s="167"/>
      <c r="N8" s="167"/>
      <c r="O8" s="167"/>
      <c r="P8" s="167"/>
      <c r="Q8" s="167"/>
      <c r="R8" s="363"/>
      <c r="S8" s="206"/>
      <c r="T8" s="206"/>
      <c r="U8" s="167"/>
      <c r="V8" s="167"/>
      <c r="W8" s="167"/>
      <c r="X8" s="167"/>
      <c r="Y8" s="167"/>
      <c r="Z8" s="167"/>
      <c r="AA8" s="167"/>
      <c r="AB8" s="167"/>
      <c r="AC8" s="167"/>
      <c r="AD8" s="167"/>
      <c r="AE8" s="167"/>
      <c r="AF8" s="167"/>
      <c r="AG8" s="814"/>
      <c r="AH8" s="167"/>
      <c r="AI8" s="167"/>
      <c r="AJ8" s="167"/>
      <c r="AK8" s="165"/>
      <c r="AL8" s="167"/>
      <c r="AM8" s="167"/>
      <c r="AN8" s="167"/>
      <c r="AO8" s="167"/>
      <c r="AP8" s="167"/>
      <c r="AQ8" s="363"/>
      <c r="AR8" s="206"/>
      <c r="AS8" s="206"/>
      <c r="AT8" s="167"/>
      <c r="AU8" s="167"/>
      <c r="AV8" s="167"/>
      <c r="AW8" s="167"/>
      <c r="AX8" s="167"/>
      <c r="AY8" s="167"/>
      <c r="AZ8" s="167"/>
      <c r="BA8" s="167"/>
      <c r="BB8" s="167"/>
      <c r="BC8" s="167"/>
      <c r="BD8" s="167"/>
      <c r="BE8" s="167"/>
      <c r="BF8" s="167"/>
      <c r="BG8" s="167"/>
      <c r="BH8" s="167"/>
      <c r="BI8" s="167"/>
      <c r="BJ8" s="167"/>
      <c r="BK8" s="167"/>
      <c r="BL8" s="167"/>
      <c r="BM8" s="167"/>
      <c r="BN8" s="167"/>
      <c r="BO8" s="167"/>
      <c r="BP8" s="167"/>
      <c r="BQ8" s="167"/>
      <c r="BR8" s="167"/>
      <c r="BS8" s="167"/>
      <c r="BT8" s="167"/>
      <c r="BU8" s="167"/>
      <c r="BV8" s="167"/>
      <c r="BW8" s="167"/>
      <c r="BX8" s="167"/>
    </row>
    <row r="9" spans="1:76" ht="15.95" customHeight="1">
      <c r="A9" s="168">
        <v>1</v>
      </c>
      <c r="B9" s="169" t="s">
        <v>44</v>
      </c>
      <c r="C9" s="165" t="s">
        <v>45</v>
      </c>
      <c r="D9" s="173"/>
      <c r="E9" s="173"/>
      <c r="F9" s="173"/>
      <c r="G9" s="170">
        <f>'T-1'!P13</f>
        <v>2001229</v>
      </c>
      <c r="H9" s="170">
        <f>'T-1'!Q13</f>
        <v>2224956.585</v>
      </c>
      <c r="I9" s="409">
        <f>(137960+197334)+(68760+76863)*2+(23983+7760)*3+(18212+6072)*4</f>
        <v>818905</v>
      </c>
      <c r="J9" s="166"/>
      <c r="K9" s="165"/>
      <c r="L9" s="165"/>
      <c r="M9" s="409">
        <v>20</v>
      </c>
      <c r="N9" s="409">
        <v>20</v>
      </c>
      <c r="O9" s="167"/>
      <c r="P9" s="167"/>
      <c r="Q9" s="167"/>
      <c r="R9" s="363"/>
      <c r="S9" s="206"/>
      <c r="T9" s="62"/>
      <c r="U9" s="167"/>
      <c r="V9" s="613">
        <f>((H9-I9)*M9+I9*N9)*12/100000</f>
        <v>5339.8958040000007</v>
      </c>
      <c r="W9" s="167"/>
      <c r="X9" s="172">
        <f>SUM(T9:W9)</f>
        <v>5339.8958040000007</v>
      </c>
      <c r="Y9" s="172">
        <v>0.1</v>
      </c>
      <c r="Z9" s="175"/>
      <c r="AA9" s="614">
        <f>(367528512)/1000000*2</f>
        <v>735.05702399999996</v>
      </c>
      <c r="AB9" s="174">
        <f>AA9*Y9*10</f>
        <v>735.05702400000007</v>
      </c>
      <c r="AC9" s="261">
        <f>X9-AB9</f>
        <v>4604.838780000001</v>
      </c>
      <c r="AD9" s="172"/>
      <c r="AE9" s="167"/>
      <c r="AF9" s="167"/>
      <c r="AG9" s="814"/>
      <c r="AH9" s="171">
        <f>AC9-AD9+AE9+AF9-AG9</f>
        <v>4604.838780000001</v>
      </c>
      <c r="AI9" s="166"/>
      <c r="AJ9" s="165"/>
      <c r="AK9" s="165"/>
      <c r="AL9" s="409">
        <v>20</v>
      </c>
      <c r="AM9" s="409">
        <v>20</v>
      </c>
      <c r="AN9" s="167"/>
      <c r="AO9" s="167"/>
      <c r="AP9" s="167"/>
      <c r="AQ9" s="363"/>
      <c r="AR9" s="206"/>
      <c r="AS9" s="62"/>
      <c r="AT9" s="167"/>
      <c r="AU9" s="172">
        <f>((H9-I9)*AL9+I9*AM9)*12/100000</f>
        <v>5339.8958040000007</v>
      </c>
      <c r="AV9" s="167"/>
      <c r="AW9" s="172">
        <f>SUM(AS9:AV9)</f>
        <v>5339.8958040000007</v>
      </c>
      <c r="AX9" s="174">
        <v>0.1</v>
      </c>
      <c r="AY9" s="167"/>
      <c r="AZ9" s="173">
        <f>AA9</f>
        <v>735.05702399999996</v>
      </c>
      <c r="BA9" s="172">
        <f>AZ9*AX9*10</f>
        <v>735.05702400000007</v>
      </c>
      <c r="BB9" s="172">
        <f>AW9-BA9</f>
        <v>4604.838780000001</v>
      </c>
      <c r="BC9" s="172">
        <f>AC9</f>
        <v>4604.838780000001</v>
      </c>
      <c r="BD9" s="172">
        <f>BB9-BC9</f>
        <v>0</v>
      </c>
      <c r="BE9" s="172"/>
      <c r="BF9" s="172"/>
      <c r="BG9" s="172">
        <f>AU9-V9</f>
        <v>0</v>
      </c>
      <c r="BH9" s="172"/>
      <c r="BI9" s="172">
        <f>AW9-X9</f>
        <v>0</v>
      </c>
      <c r="BJ9" s="172"/>
      <c r="BK9" s="172"/>
      <c r="BL9" s="167"/>
      <c r="BM9" s="173"/>
      <c r="BN9" s="167"/>
      <c r="BO9" s="167"/>
      <c r="BP9" s="167"/>
      <c r="BQ9" s="171">
        <f>BB9-BM9+BN9+BO9-BP9</f>
        <v>4604.838780000001</v>
      </c>
      <c r="BR9" s="167"/>
      <c r="BS9" s="167"/>
      <c r="BT9" s="167"/>
      <c r="BU9" s="167"/>
      <c r="BV9" s="171"/>
      <c r="BW9" s="167"/>
      <c r="BX9" s="167"/>
    </row>
    <row r="10" spans="1:76" ht="15.95" customHeight="1">
      <c r="A10" s="168" t="s">
        <v>290</v>
      </c>
      <c r="B10" s="169" t="s">
        <v>47</v>
      </c>
      <c r="C10" s="175"/>
      <c r="D10" s="176">
        <f>'T-1'!S14</f>
        <v>30</v>
      </c>
      <c r="E10" s="176"/>
      <c r="F10" s="176"/>
      <c r="G10" s="170">
        <f>'T-1'!P14</f>
        <v>126562</v>
      </c>
      <c r="H10" s="170">
        <f>'T-1'!Q14</f>
        <v>63281</v>
      </c>
      <c r="I10" s="170"/>
      <c r="J10" s="172">
        <v>80</v>
      </c>
      <c r="K10" s="165"/>
      <c r="L10" s="165"/>
      <c r="M10" s="409"/>
      <c r="N10" s="409"/>
      <c r="O10" s="167"/>
      <c r="P10" s="167"/>
      <c r="Q10" s="167"/>
      <c r="R10" s="171"/>
      <c r="S10" s="382"/>
      <c r="T10" s="627">
        <f>((J10*G10)*12)/100000</f>
        <v>1214.9952000000001</v>
      </c>
      <c r="V10" s="172"/>
      <c r="W10" s="171"/>
      <c r="X10" s="172">
        <f>SUM(T10:W10)</f>
        <v>1214.9952000000001</v>
      </c>
      <c r="Y10" s="172"/>
      <c r="Z10" s="619">
        <f>(AC10/D10)*10</f>
        <v>404.9984</v>
      </c>
      <c r="AA10" s="614"/>
      <c r="AB10" s="174"/>
      <c r="AC10" s="261">
        <f>X10-AB10</f>
        <v>1214.9952000000001</v>
      </c>
      <c r="AD10" s="172"/>
      <c r="AE10" s="171"/>
      <c r="AF10" s="171"/>
      <c r="AG10" s="814"/>
      <c r="AH10" s="171">
        <f>AC10-AD10+AE10+AF10-AG10</f>
        <v>1214.9952000000001</v>
      </c>
      <c r="AI10" s="172">
        <v>80</v>
      </c>
      <c r="AJ10" s="165"/>
      <c r="AK10" s="165"/>
      <c r="AL10" s="409"/>
      <c r="AM10" s="409"/>
      <c r="AN10" s="167"/>
      <c r="AO10" s="171"/>
      <c r="AP10" s="171"/>
      <c r="AQ10" s="181"/>
      <c r="AR10" s="365"/>
      <c r="AS10" s="332">
        <f>(AI10*G10)*12/100000</f>
        <v>1214.9952000000001</v>
      </c>
      <c r="AT10" s="177"/>
      <c r="AU10" s="172"/>
      <c r="AV10" s="171"/>
      <c r="AW10" s="172">
        <f>SUM(AS10:AV10)</f>
        <v>1214.9952000000001</v>
      </c>
      <c r="AX10" s="174"/>
      <c r="AY10" s="112">
        <f>(BB10/D10)*10</f>
        <v>404.9984</v>
      </c>
      <c r="AZ10" s="173"/>
      <c r="BA10" s="172"/>
      <c r="BB10" s="172">
        <f>AW10-BA10</f>
        <v>1214.9952000000001</v>
      </c>
      <c r="BC10" s="172">
        <f>AC10</f>
        <v>1214.9952000000001</v>
      </c>
      <c r="BD10" s="172">
        <f>BB10-BC10</f>
        <v>0</v>
      </c>
      <c r="BE10" s="172"/>
      <c r="BF10" s="172"/>
      <c r="BG10" s="172"/>
      <c r="BH10" s="172"/>
      <c r="BI10" s="172">
        <f>AW10-X10</f>
        <v>0</v>
      </c>
      <c r="BJ10" s="172"/>
      <c r="BK10" s="172"/>
      <c r="BL10" s="170">
        <f ca="1">AY10/$E$72*100</f>
        <v>58.97678733329009</v>
      </c>
      <c r="BM10" s="173"/>
      <c r="BN10" s="171"/>
      <c r="BO10" s="171"/>
      <c r="BP10" s="171"/>
      <c r="BQ10" s="171">
        <f>BB10-BM10+BN10+BO10-BP10</f>
        <v>1214.9952000000001</v>
      </c>
      <c r="BR10" s="313">
        <v>0</v>
      </c>
      <c r="BS10" s="247">
        <f>BR10+AY10</f>
        <v>404.9984</v>
      </c>
      <c r="BT10" s="172"/>
      <c r="BU10" s="172">
        <f ca="1">D10*$E$72/10</f>
        <v>2060.1244234173173</v>
      </c>
      <c r="BV10" s="172">
        <f ca="1">BU10-BQ10</f>
        <v>845.12922341731723</v>
      </c>
      <c r="BW10" s="170">
        <f ca="1">BV10/D10*10</f>
        <v>281.70974113910574</v>
      </c>
      <c r="BX10" s="171"/>
    </row>
    <row r="11" spans="1:76" ht="15.95" customHeight="1">
      <c r="A11" s="168" t="s">
        <v>177</v>
      </c>
      <c r="B11" s="169" t="s">
        <v>50</v>
      </c>
      <c r="C11" s="175"/>
      <c r="D11" s="176"/>
      <c r="E11" s="176"/>
      <c r="F11" s="176"/>
      <c r="G11" s="170"/>
      <c r="H11" s="170"/>
      <c r="I11" s="170"/>
      <c r="J11" s="172"/>
      <c r="K11" s="165"/>
      <c r="L11" s="165"/>
      <c r="M11" s="409"/>
      <c r="N11" s="409"/>
      <c r="O11" s="167"/>
      <c r="P11" s="167"/>
      <c r="Q11" s="167"/>
      <c r="R11" s="167"/>
      <c r="S11" s="167"/>
      <c r="T11" s="171"/>
      <c r="U11" s="171"/>
      <c r="V11" s="172"/>
      <c r="W11" s="171"/>
      <c r="X11" s="172"/>
      <c r="Y11" s="172"/>
      <c r="Z11" s="175"/>
      <c r="AA11" s="614"/>
      <c r="AB11" s="174"/>
      <c r="AC11" s="261"/>
      <c r="AD11" s="172"/>
      <c r="AE11" s="171"/>
      <c r="AF11" s="171"/>
      <c r="AG11" s="814"/>
      <c r="AH11" s="171"/>
      <c r="AI11" s="172"/>
      <c r="AJ11" s="165"/>
      <c r="AK11" s="165"/>
      <c r="AL11" s="409"/>
      <c r="AM11" s="409"/>
      <c r="AN11" s="167"/>
      <c r="AO11" s="171"/>
      <c r="AP11" s="171"/>
      <c r="AQ11" s="172"/>
      <c r="AR11" s="172"/>
      <c r="AS11" s="172"/>
      <c r="AT11" s="172"/>
      <c r="AU11" s="172"/>
      <c r="AV11" s="171"/>
      <c r="AW11" s="172"/>
      <c r="AX11" s="174"/>
      <c r="AY11" s="174"/>
      <c r="AZ11" s="173"/>
      <c r="BA11" s="172"/>
      <c r="BB11" s="172"/>
      <c r="BC11" s="172"/>
      <c r="BD11" s="172"/>
      <c r="BE11" s="172"/>
      <c r="BF11" s="172"/>
      <c r="BG11" s="172"/>
      <c r="BH11" s="172"/>
      <c r="BI11" s="172"/>
      <c r="BJ11" s="172"/>
      <c r="BK11" s="172"/>
      <c r="BL11" s="170"/>
      <c r="BM11" s="173"/>
      <c r="BN11" s="171"/>
      <c r="BO11" s="171"/>
      <c r="BP11" s="171"/>
      <c r="BQ11" s="171"/>
      <c r="BR11" s="172"/>
      <c r="BS11" s="247"/>
      <c r="BT11" s="172"/>
      <c r="BU11" s="172"/>
      <c r="BV11" s="172"/>
      <c r="BW11" s="172"/>
      <c r="BX11" s="171"/>
    </row>
    <row r="12" spans="1:76" ht="15.95" customHeight="1">
      <c r="A12" s="168"/>
      <c r="B12" s="178" t="s">
        <v>178</v>
      </c>
      <c r="C12" s="175"/>
      <c r="D12" s="176">
        <f>'T-1'!S16</f>
        <v>234.28108676308557</v>
      </c>
      <c r="E12" s="176"/>
      <c r="F12" s="176"/>
      <c r="G12" s="170"/>
      <c r="H12" s="170"/>
      <c r="I12" s="170"/>
      <c r="J12" s="172"/>
      <c r="K12" s="409">
        <f>250+20+30</f>
        <v>300</v>
      </c>
      <c r="L12" s="165"/>
      <c r="M12" s="409"/>
      <c r="N12" s="409"/>
      <c r="O12" s="167"/>
      <c r="P12" s="167"/>
      <c r="Q12" s="167"/>
      <c r="R12" s="167"/>
      <c r="S12" s="167"/>
      <c r="T12" s="171"/>
      <c r="U12" s="622">
        <f>D12*K12/10</f>
        <v>7028.432602892567</v>
      </c>
      <c r="V12" s="172"/>
      <c r="W12" s="171"/>
      <c r="X12" s="172">
        <f>SUM(T12:W12)</f>
        <v>7028.432602892567</v>
      </c>
      <c r="Y12" s="172"/>
      <c r="Z12" s="175"/>
      <c r="AA12" s="614"/>
      <c r="AB12" s="174"/>
      <c r="AC12" s="261">
        <f>X12-AB12</f>
        <v>7028.432602892567</v>
      </c>
      <c r="AD12" s="172"/>
      <c r="AE12" s="171"/>
      <c r="AF12" s="171"/>
      <c r="AG12" s="814"/>
      <c r="AH12" s="171">
        <f t="shared" ref="AH12:AH33" si="0">AC12-AD12+AE12+AF12-AG12</f>
        <v>7028.432602892567</v>
      </c>
      <c r="AI12" s="172"/>
      <c r="AJ12" s="409">
        <f>250+20+30</f>
        <v>300</v>
      </c>
      <c r="AK12" s="165"/>
      <c r="AL12" s="409"/>
      <c r="AM12" s="409"/>
      <c r="AN12" s="167"/>
      <c r="AO12" s="171"/>
      <c r="AP12" s="171"/>
      <c r="AQ12" s="172"/>
      <c r="AR12" s="172"/>
      <c r="AS12" s="172"/>
      <c r="AT12" s="172">
        <f>(AJ12*D12)/10</f>
        <v>7028.432602892567</v>
      </c>
      <c r="AU12" s="172"/>
      <c r="AV12" s="171"/>
      <c r="AW12" s="172">
        <f t="shared" ref="AW12:AW33" si="1">SUM(AS12:AV12)</f>
        <v>7028.432602892567</v>
      </c>
      <c r="AX12" s="174"/>
      <c r="AY12" s="174"/>
      <c r="AZ12" s="173"/>
      <c r="BA12" s="172"/>
      <c r="BB12" s="172">
        <f>AW12-BA12</f>
        <v>7028.432602892567</v>
      </c>
      <c r="BC12" s="172">
        <f>AC12</f>
        <v>7028.432602892567</v>
      </c>
      <c r="BD12" s="172">
        <f>BB12-BC12</f>
        <v>0</v>
      </c>
      <c r="BE12" s="172"/>
      <c r="BF12" s="172">
        <f>AT12-U12</f>
        <v>0</v>
      </c>
      <c r="BG12" s="172"/>
      <c r="BH12" s="172"/>
      <c r="BI12" s="172">
        <f>AW12-X12</f>
        <v>0</v>
      </c>
      <c r="BJ12" s="172"/>
      <c r="BK12" s="172"/>
      <c r="BL12" s="170"/>
      <c r="BM12" s="173"/>
      <c r="BN12" s="171"/>
      <c r="BO12" s="171"/>
      <c r="BP12" s="171"/>
      <c r="BQ12" s="171">
        <f t="shared" ref="BQ12:BQ32" si="2">BB12-BM12+BN12+BO12-BP12</f>
        <v>7028.432602892567</v>
      </c>
      <c r="BR12" s="172"/>
      <c r="BS12" s="247"/>
      <c r="BT12" s="172"/>
      <c r="BU12" s="172"/>
      <c r="BV12" s="172"/>
      <c r="BW12" s="172"/>
      <c r="BX12" s="171"/>
    </row>
    <row r="13" spans="1:76" ht="15.95" customHeight="1">
      <c r="A13" s="168"/>
      <c r="B13" s="178" t="s">
        <v>53</v>
      </c>
      <c r="C13" s="175"/>
      <c r="D13" s="176">
        <f>'T-1'!S17</f>
        <v>802.16095838043941</v>
      </c>
      <c r="E13" s="176"/>
      <c r="F13" s="176"/>
      <c r="G13" s="170"/>
      <c r="H13" s="170"/>
      <c r="I13" s="170"/>
      <c r="J13" s="172"/>
      <c r="K13" s="409">
        <f>430+20+30</f>
        <v>480</v>
      </c>
      <c r="L13" s="165"/>
      <c r="M13" s="409"/>
      <c r="N13" s="409"/>
      <c r="O13" s="167"/>
      <c r="P13" s="167"/>
      <c r="Q13" s="167"/>
      <c r="R13" s="167"/>
      <c r="S13" s="167"/>
      <c r="T13" s="171"/>
      <c r="U13" s="622">
        <f>D13*K13/10</f>
        <v>38503.726002261086</v>
      </c>
      <c r="V13" s="172"/>
      <c r="W13" s="171"/>
      <c r="X13" s="172">
        <f>SUM(T13:W13)</f>
        <v>38503.726002261086</v>
      </c>
      <c r="Y13" s="172"/>
      <c r="Z13" s="628"/>
      <c r="AA13" s="614"/>
      <c r="AB13" s="174"/>
      <c r="AC13" s="261">
        <f>X13-AB13</f>
        <v>38503.726002261086</v>
      </c>
      <c r="AD13" s="172"/>
      <c r="AE13" s="171"/>
      <c r="AF13" s="171"/>
      <c r="AG13" s="814"/>
      <c r="AH13" s="171">
        <f t="shared" si="0"/>
        <v>38503.726002261086</v>
      </c>
      <c r="AI13" s="172"/>
      <c r="AJ13" s="409">
        <f>430+20+30</f>
        <v>480</v>
      </c>
      <c r="AK13" s="165"/>
      <c r="AL13" s="409"/>
      <c r="AM13" s="409"/>
      <c r="AN13" s="167"/>
      <c r="AO13" s="171"/>
      <c r="AP13" s="171"/>
      <c r="AQ13" s="172"/>
      <c r="AR13" s="172"/>
      <c r="AS13" s="172"/>
      <c r="AT13" s="172">
        <f>(AJ13*D13)/10</f>
        <v>38503.726002261086</v>
      </c>
      <c r="AU13" s="172"/>
      <c r="AV13" s="171"/>
      <c r="AW13" s="172">
        <f t="shared" si="1"/>
        <v>38503.726002261086</v>
      </c>
      <c r="AX13" s="174"/>
      <c r="AY13" s="174"/>
      <c r="AZ13" s="173"/>
      <c r="BA13" s="172"/>
      <c r="BB13" s="172">
        <f>AW13-BA13</f>
        <v>38503.726002261086</v>
      </c>
      <c r="BC13" s="172">
        <f>AC13</f>
        <v>38503.726002261086</v>
      </c>
      <c r="BD13" s="172">
        <f>BB13-BC13</f>
        <v>0</v>
      </c>
      <c r="BE13" s="172"/>
      <c r="BF13" s="172">
        <f>AT13-U13</f>
        <v>0</v>
      </c>
      <c r="BG13" s="172"/>
      <c r="BH13" s="172"/>
      <c r="BI13" s="172">
        <f>AW13-X13</f>
        <v>0</v>
      </c>
      <c r="BJ13" s="172"/>
      <c r="BK13" s="172"/>
      <c r="BL13" s="170"/>
      <c r="BM13" s="173"/>
      <c r="BN13" s="171"/>
      <c r="BO13" s="171"/>
      <c r="BP13" s="171"/>
      <c r="BQ13" s="171">
        <f t="shared" si="2"/>
        <v>38503.726002261086</v>
      </c>
      <c r="BR13" s="172"/>
      <c r="BS13" s="247"/>
      <c r="BT13" s="172"/>
      <c r="BU13" s="172"/>
      <c r="BV13" s="172"/>
      <c r="BW13" s="172"/>
      <c r="BX13" s="172"/>
    </row>
    <row r="14" spans="1:76" ht="15.95" customHeight="1">
      <c r="A14" s="168"/>
      <c r="B14" s="178" t="s">
        <v>54</v>
      </c>
      <c r="C14" s="175"/>
      <c r="D14" s="176">
        <f>'T-1'!S18</f>
        <v>487.97476563639441</v>
      </c>
      <c r="E14" s="176"/>
      <c r="F14" s="176"/>
      <c r="G14" s="170"/>
      <c r="H14" s="170"/>
      <c r="I14" s="170"/>
      <c r="J14" s="172"/>
      <c r="K14" s="409">
        <f>530+20+30</f>
        <v>580</v>
      </c>
      <c r="L14" s="165"/>
      <c r="M14" s="409"/>
      <c r="N14" s="409"/>
      <c r="O14" s="167"/>
      <c r="P14" s="167"/>
      <c r="Q14" s="167"/>
      <c r="R14" s="167"/>
      <c r="S14" s="167"/>
      <c r="T14" s="171"/>
      <c r="U14" s="622">
        <f>D14*K14/10</f>
        <v>28302.536406910873</v>
      </c>
      <c r="V14" s="172"/>
      <c r="W14" s="171"/>
      <c r="X14" s="172">
        <f>SUM(T14:W14)</f>
        <v>28302.536406910873</v>
      </c>
      <c r="Y14" s="329"/>
      <c r="Z14" s="62"/>
      <c r="AA14" s="614"/>
      <c r="AB14" s="174"/>
      <c r="AC14" s="261">
        <f>X14-AB14</f>
        <v>28302.536406910873</v>
      </c>
      <c r="AD14" s="172"/>
      <c r="AE14" s="171"/>
      <c r="AF14" s="171"/>
      <c r="AG14" s="814"/>
      <c r="AH14" s="171">
        <f t="shared" si="0"/>
        <v>28302.536406910873</v>
      </c>
      <c r="AI14" s="172"/>
      <c r="AJ14" s="409">
        <f>530+20+30</f>
        <v>580</v>
      </c>
      <c r="AK14" s="165"/>
      <c r="AL14" s="409"/>
      <c r="AM14" s="409"/>
      <c r="AN14" s="167"/>
      <c r="AO14" s="171"/>
      <c r="AP14" s="171"/>
      <c r="AQ14" s="172"/>
      <c r="AR14" s="172"/>
      <c r="AS14" s="172"/>
      <c r="AT14" s="172">
        <f>(AJ14*D14)/10</f>
        <v>28302.536406910873</v>
      </c>
      <c r="AU14" s="172"/>
      <c r="AV14" s="171"/>
      <c r="AW14" s="172">
        <f t="shared" si="1"/>
        <v>28302.536406910873</v>
      </c>
      <c r="AX14" s="174"/>
      <c r="AY14" s="174"/>
      <c r="AZ14" s="173"/>
      <c r="BA14" s="172"/>
      <c r="BB14" s="172">
        <f>AW14-BA14</f>
        <v>28302.536406910873</v>
      </c>
      <c r="BC14" s="172">
        <f>AC14</f>
        <v>28302.536406910873</v>
      </c>
      <c r="BD14" s="172">
        <f>BB14-BC14</f>
        <v>0</v>
      </c>
      <c r="BE14" s="172"/>
      <c r="BF14" s="172">
        <f>AT14-U14</f>
        <v>0</v>
      </c>
      <c r="BG14" s="172"/>
      <c r="BH14" s="172"/>
      <c r="BI14" s="172">
        <f>AW14-X14</f>
        <v>0</v>
      </c>
      <c r="BJ14" s="172"/>
      <c r="BK14" s="172"/>
      <c r="BL14" s="170"/>
      <c r="BM14" s="173"/>
      <c r="BN14" s="171"/>
      <c r="BO14" s="171"/>
      <c r="BP14" s="171"/>
      <c r="BQ14" s="171">
        <f t="shared" si="2"/>
        <v>28302.536406910873</v>
      </c>
      <c r="BR14" s="172"/>
      <c r="BS14" s="247"/>
      <c r="BT14" s="172"/>
      <c r="BU14" s="172"/>
      <c r="BV14" s="172"/>
      <c r="BW14" s="172"/>
      <c r="BX14" s="172"/>
    </row>
    <row r="15" spans="1:76" ht="15.95" customHeight="1">
      <c r="A15" s="168"/>
      <c r="B15" s="178" t="s">
        <v>55</v>
      </c>
      <c r="C15" s="175"/>
      <c r="D15" s="176">
        <f>'T-1'!S19</f>
        <v>559.58318922008027</v>
      </c>
      <c r="E15" s="176"/>
      <c r="F15" s="176"/>
      <c r="G15" s="170"/>
      <c r="H15" s="170"/>
      <c r="I15" s="170"/>
      <c r="J15" s="172"/>
      <c r="K15" s="409">
        <f>570+20+30</f>
        <v>620</v>
      </c>
      <c r="L15" s="165"/>
      <c r="M15" s="409"/>
      <c r="N15" s="409"/>
      <c r="O15" s="167"/>
      <c r="P15" s="167"/>
      <c r="Q15" s="167"/>
      <c r="R15" s="171"/>
      <c r="S15" s="171"/>
      <c r="T15" s="171"/>
      <c r="U15" s="174">
        <f>(D15*K15/10)-((5.768*2*20)/10)</f>
        <v>34671.085731644976</v>
      </c>
      <c r="V15" s="172"/>
      <c r="W15" s="171"/>
      <c r="X15" s="172">
        <f>SUM(T15:W15)</f>
        <v>34671.085731644976</v>
      </c>
      <c r="Y15" s="329"/>
      <c r="Z15" s="62"/>
      <c r="AA15" s="614"/>
      <c r="AB15" s="174"/>
      <c r="AC15" s="261">
        <f>X15-AB15</f>
        <v>34671.085731644976</v>
      </c>
      <c r="AD15" s="172"/>
      <c r="AE15" s="171"/>
      <c r="AF15" s="171"/>
      <c r="AG15" s="814"/>
      <c r="AH15" s="171">
        <f t="shared" si="0"/>
        <v>34671.085731644976</v>
      </c>
      <c r="AI15" s="172"/>
      <c r="AJ15" s="409">
        <f>570+20+30</f>
        <v>620</v>
      </c>
      <c r="AK15" s="165"/>
      <c r="AL15" s="409"/>
      <c r="AM15" s="409"/>
      <c r="AN15" s="167"/>
      <c r="AO15" s="171"/>
      <c r="AP15" s="171"/>
      <c r="AQ15" s="172"/>
      <c r="AR15" s="172"/>
      <c r="AS15" s="172"/>
      <c r="AT15" s="172">
        <f>(AJ15*D15)/10-(5.768*2*20)/10</f>
        <v>34671.085731644976</v>
      </c>
      <c r="AU15" s="172"/>
      <c r="AV15" s="171"/>
      <c r="AW15" s="172">
        <f t="shared" si="1"/>
        <v>34671.085731644976</v>
      </c>
      <c r="AX15" s="174"/>
      <c r="AY15" s="174"/>
      <c r="AZ15" s="173"/>
      <c r="BA15" s="172"/>
      <c r="BB15" s="172">
        <f>AW15-BA15</f>
        <v>34671.085731644976</v>
      </c>
      <c r="BC15" s="172">
        <f>AC15</f>
        <v>34671.085731644976</v>
      </c>
      <c r="BD15" s="172">
        <f>BB15-BC15</f>
        <v>0</v>
      </c>
      <c r="BE15" s="172"/>
      <c r="BF15" s="172">
        <f>AT15-U15</f>
        <v>0</v>
      </c>
      <c r="BG15" s="172"/>
      <c r="BH15" s="172"/>
      <c r="BI15" s="172">
        <f>AW15-X15</f>
        <v>0</v>
      </c>
      <c r="BJ15" s="172"/>
      <c r="BK15" s="172"/>
      <c r="BL15" s="170"/>
      <c r="BM15" s="173"/>
      <c r="BN15" s="171"/>
      <c r="BO15" s="171"/>
      <c r="BP15" s="171"/>
      <c r="BQ15" s="171">
        <f t="shared" si="2"/>
        <v>34671.085731644976</v>
      </c>
      <c r="BR15" s="313">
        <v>0.04</v>
      </c>
      <c r="BS15" s="247"/>
      <c r="BT15" s="172">
        <f>BR15*SUM(AT12:AT15)</f>
        <v>4340.2312297483804</v>
      </c>
      <c r="BU15" s="172">
        <f ca="1">SUM(D12:D15)*$E$72/10</f>
        <v>143109.97661338962</v>
      </c>
      <c r="BV15" s="172">
        <f ca="1">BU15-(SUM(BQ12:BQ15)+BQ9)</f>
        <v>29999.35708968011</v>
      </c>
      <c r="BW15" s="172"/>
      <c r="BX15" s="171"/>
    </row>
    <row r="16" spans="1:76" ht="15.95" customHeight="1">
      <c r="A16" s="168"/>
      <c r="B16" s="272" t="s">
        <v>56</v>
      </c>
      <c r="C16" s="165"/>
      <c r="D16" s="629">
        <f t="shared" ref="D16:I16" si="3">SUM(D9:D15)</f>
        <v>2113.9999999999995</v>
      </c>
      <c r="E16" s="629"/>
      <c r="F16" s="629">
        <f t="shared" si="3"/>
        <v>0</v>
      </c>
      <c r="G16" s="630">
        <f t="shared" si="3"/>
        <v>2127791</v>
      </c>
      <c r="H16" s="630">
        <f t="shared" si="3"/>
        <v>2288237.585</v>
      </c>
      <c r="I16" s="630">
        <f t="shared" si="3"/>
        <v>818905</v>
      </c>
      <c r="J16" s="172"/>
      <c r="K16" s="174"/>
      <c r="L16" s="165"/>
      <c r="M16" s="409"/>
      <c r="N16" s="409"/>
      <c r="O16" s="167"/>
      <c r="P16" s="167"/>
      <c r="Q16" s="167"/>
      <c r="R16" s="252">
        <f>X16/D16*10</f>
        <v>544.27943116229676</v>
      </c>
      <c r="S16" s="384"/>
      <c r="T16" s="385">
        <f t="shared" ref="T16:AB16" si="4">SUM(T9:T15)</f>
        <v>1214.9952000000001</v>
      </c>
      <c r="U16" s="385">
        <f t="shared" si="4"/>
        <v>108505.7807437095</v>
      </c>
      <c r="V16" s="180">
        <f t="shared" si="4"/>
        <v>5339.8958040000007</v>
      </c>
      <c r="W16" s="181">
        <f t="shared" si="4"/>
        <v>0</v>
      </c>
      <c r="X16" s="181">
        <f t="shared" si="4"/>
        <v>115060.67174770951</v>
      </c>
      <c r="Y16" s="172"/>
      <c r="Z16" s="631">
        <f>(AC16/D16)*10</f>
        <v>540.80234022568357</v>
      </c>
      <c r="AA16" s="182">
        <f>SUM(AA9:AA15)</f>
        <v>735.05702399999996</v>
      </c>
      <c r="AB16" s="181">
        <f t="shared" si="4"/>
        <v>735.05702400000007</v>
      </c>
      <c r="AC16" s="264">
        <f>SUM(AC9:AC15)</f>
        <v>114325.6147237095</v>
      </c>
      <c r="AD16" s="817">
        <f>(X16)*1%</f>
        <v>1150.6067174770951</v>
      </c>
      <c r="AE16" s="181">
        <f>SUM(AE9:AE15)</f>
        <v>0</v>
      </c>
      <c r="AF16" s="181">
        <f>SUM(AF9:AF15)</f>
        <v>0</v>
      </c>
      <c r="AG16" s="101">
        <f>SUM(AG9:AG15)</f>
        <v>0</v>
      </c>
      <c r="AH16" s="181">
        <f>SUM(AH9:AH15)</f>
        <v>114325.6147237095</v>
      </c>
      <c r="AI16" s="172"/>
      <c r="AJ16" s="174"/>
      <c r="AK16" s="165"/>
      <c r="AL16" s="409"/>
      <c r="AM16" s="409"/>
      <c r="AN16" s="167"/>
      <c r="AO16" s="167"/>
      <c r="AP16" s="167"/>
      <c r="AQ16" s="257">
        <f>(AW16/D16)*10</f>
        <v>544.27943116229676</v>
      </c>
      <c r="AR16" s="331"/>
      <c r="AS16" s="331">
        <f>SUM(AS9:AS15)</f>
        <v>1214.9952000000001</v>
      </c>
      <c r="AT16" s="331">
        <f>SUM(AT9:AT15)</f>
        <v>108505.7807437095</v>
      </c>
      <c r="AU16" s="181">
        <f>SUM(AU9:AU15)</f>
        <v>5339.8958040000007</v>
      </c>
      <c r="AV16" s="181">
        <f>SUM(AV9:AV15)</f>
        <v>0</v>
      </c>
      <c r="AW16" s="181">
        <f>SUM(AW9:AW15)</f>
        <v>115060.67174770951</v>
      </c>
      <c r="AX16" s="174"/>
      <c r="AY16" s="112">
        <f>(BB16/D16)*10</f>
        <v>540.80234022568357</v>
      </c>
      <c r="AZ16" s="182">
        <f>SUM(AZ9:AZ15)</f>
        <v>735.05702399999996</v>
      </c>
      <c r="BA16" s="181">
        <f>SUM(BA9:BA15)</f>
        <v>735.05702400000007</v>
      </c>
      <c r="BB16" s="181">
        <f>SUM(BB9:BB15)</f>
        <v>114325.6147237095</v>
      </c>
      <c r="BC16" s="181">
        <f>SUM(BC9:BC15)</f>
        <v>114325.6147237095</v>
      </c>
      <c r="BD16" s="181">
        <f>SUM(BD9:BD15)</f>
        <v>0</v>
      </c>
      <c r="BE16" s="172"/>
      <c r="BF16" s="181">
        <f>SUM(BF9:BF15)</f>
        <v>0</v>
      </c>
      <c r="BG16" s="181">
        <f>SUM(BG9:BG15)</f>
        <v>0</v>
      </c>
      <c r="BH16" s="181">
        <f>SUM(BH9:BH15)</f>
        <v>0</v>
      </c>
      <c r="BI16" s="181">
        <f>SUM(BI9:BI15)</f>
        <v>0</v>
      </c>
      <c r="BJ16" s="170">
        <f>AY16-Z16</f>
        <v>0</v>
      </c>
      <c r="BK16" s="170">
        <f>BJ16/Z16*100</f>
        <v>0</v>
      </c>
      <c r="BL16" s="257">
        <f ca="1">AY16/$E$72*100</f>
        <v>78.752865712150296</v>
      </c>
      <c r="BM16" s="261">
        <f>AD16/X16*AW16</f>
        <v>1150.6067174770951</v>
      </c>
      <c r="BN16" s="181">
        <f>SUM(BN9:BN15)</f>
        <v>0</v>
      </c>
      <c r="BO16" s="181">
        <f>SUM(BO9:BO15)</f>
        <v>0</v>
      </c>
      <c r="BP16" s="181"/>
      <c r="BQ16" s="264">
        <f>SUM(BQ9:BQ15)</f>
        <v>114325.6147237095</v>
      </c>
      <c r="BR16" s="172"/>
      <c r="BS16" s="252">
        <f>BT16/SUM(D12:D15)+AY16</f>
        <v>542.88498476970869</v>
      </c>
      <c r="BT16" s="181">
        <f>SUM(BT9:BT15)</f>
        <v>4340.2312297483804</v>
      </c>
      <c r="BU16" s="181">
        <f ca="1">SUM(BU9:BU15)</f>
        <v>145170.10103680694</v>
      </c>
      <c r="BV16" s="181">
        <f ca="1">SUM(BV9:BV15)</f>
        <v>30844.486313097426</v>
      </c>
      <c r="BW16" s="257">
        <f ca="1">BV16/D16*10</f>
        <v>145.90580091342213</v>
      </c>
      <c r="BX16" s="167"/>
    </row>
    <row r="17" spans="1:76" ht="15.95" customHeight="1">
      <c r="A17" s="168">
        <v>2</v>
      </c>
      <c r="B17" s="169" t="s">
        <v>372</v>
      </c>
      <c r="C17" s="165" t="s">
        <v>45</v>
      </c>
      <c r="D17" s="629"/>
      <c r="E17" s="629"/>
      <c r="F17" s="173"/>
      <c r="G17" s="170">
        <f>'T-1'!P26</f>
        <v>109931</v>
      </c>
      <c r="H17" s="170">
        <f>'T-1'!Q26</f>
        <v>326816.72036000103</v>
      </c>
      <c r="I17" s="409">
        <f>(9026+6272)+(4914+2743)*2+(1937+1008)*3+(7630+7745)*4</f>
        <v>100947</v>
      </c>
      <c r="J17" s="172"/>
      <c r="K17" s="174"/>
      <c r="L17" s="165"/>
      <c r="M17" s="409">
        <v>30</v>
      </c>
      <c r="N17" s="409">
        <v>30</v>
      </c>
      <c r="O17" s="167"/>
      <c r="P17" s="167"/>
      <c r="Q17" s="167"/>
      <c r="R17" s="383"/>
      <c r="S17" s="256"/>
      <c r="T17" s="62"/>
      <c r="U17" s="208"/>
      <c r="V17" s="613">
        <f>((H17-I17)*M17+I17*N17)*12/100000</f>
        <v>1176.5401932960037</v>
      </c>
      <c r="W17" s="167"/>
      <c r="X17" s="172">
        <f>SUM(T17:W17)</f>
        <v>1176.5401932960037</v>
      </c>
      <c r="Y17" s="172">
        <v>0.1</v>
      </c>
      <c r="Z17" s="172"/>
      <c r="AA17" s="614">
        <f>(72486325)/1000000*2</f>
        <v>144.97264999999999</v>
      </c>
      <c r="AB17" s="174">
        <f>AA17*Y17*10</f>
        <v>144.97264999999999</v>
      </c>
      <c r="AC17" s="261">
        <f>X17-AB17</f>
        <v>1031.5675432960038</v>
      </c>
      <c r="AD17" s="172"/>
      <c r="AE17" s="167"/>
      <c r="AF17" s="167"/>
      <c r="AG17" s="817"/>
      <c r="AH17" s="171">
        <f t="shared" si="0"/>
        <v>1031.5675432960038</v>
      </c>
      <c r="AI17" s="172"/>
      <c r="AJ17" s="174"/>
      <c r="AK17" s="165"/>
      <c r="AL17" s="409">
        <v>30</v>
      </c>
      <c r="AM17" s="409">
        <v>30</v>
      </c>
      <c r="AN17" s="167"/>
      <c r="AO17" s="167"/>
      <c r="AP17" s="167"/>
      <c r="AQ17" s="329"/>
      <c r="AR17" s="205"/>
      <c r="AS17" s="333"/>
      <c r="AT17" s="205"/>
      <c r="AU17" s="172">
        <f>((H17-I17)*AL17+I17*AM17)*12/100000</f>
        <v>1176.5401932960037</v>
      </c>
      <c r="AV17" s="167"/>
      <c r="AW17" s="172">
        <f t="shared" si="1"/>
        <v>1176.5401932960037</v>
      </c>
      <c r="AX17" s="174">
        <v>0.1</v>
      </c>
      <c r="AY17" s="172"/>
      <c r="AZ17" s="173">
        <f>AA17</f>
        <v>144.97264999999999</v>
      </c>
      <c r="BA17" s="172">
        <f>AZ17*AX17*10</f>
        <v>144.97264999999999</v>
      </c>
      <c r="BB17" s="172">
        <f>AW17-BA17</f>
        <v>1031.5675432960038</v>
      </c>
      <c r="BC17" s="172">
        <f>AC17</f>
        <v>1031.5675432960038</v>
      </c>
      <c r="BD17" s="172">
        <f>BB17-BC17</f>
        <v>0</v>
      </c>
      <c r="BE17" s="172"/>
      <c r="BF17" s="172"/>
      <c r="BG17" s="172">
        <f>AU17-V17</f>
        <v>0</v>
      </c>
      <c r="BH17" s="172"/>
      <c r="BI17" s="172">
        <f>AW17-X17</f>
        <v>0</v>
      </c>
      <c r="BJ17" s="170"/>
      <c r="BK17" s="170"/>
      <c r="BL17" s="172"/>
      <c r="BM17" s="173"/>
      <c r="BN17" s="172"/>
      <c r="BO17" s="172"/>
      <c r="BP17" s="172"/>
      <c r="BQ17" s="171">
        <f t="shared" si="2"/>
        <v>1031.5675432960038</v>
      </c>
      <c r="BR17" s="172"/>
      <c r="BS17" s="247"/>
      <c r="BT17" s="172"/>
      <c r="BU17" s="172"/>
      <c r="BV17" s="172"/>
      <c r="BW17" s="172"/>
      <c r="BX17" s="167"/>
    </row>
    <row r="18" spans="1:76" ht="15.95" customHeight="1">
      <c r="A18" s="168"/>
      <c r="B18" s="169" t="s">
        <v>58</v>
      </c>
      <c r="C18" s="165"/>
      <c r="D18" s="179"/>
      <c r="E18" s="179"/>
      <c r="F18" s="173"/>
      <c r="G18" s="170"/>
      <c r="H18" s="170"/>
      <c r="I18" s="170"/>
      <c r="J18" s="172"/>
      <c r="K18" s="174"/>
      <c r="L18" s="165"/>
      <c r="M18" s="409"/>
      <c r="N18" s="409"/>
      <c r="O18" s="167"/>
      <c r="P18" s="167"/>
      <c r="Q18" s="167"/>
      <c r="R18" s="247"/>
      <c r="S18" s="386"/>
      <c r="T18" s="382"/>
      <c r="U18" s="382"/>
      <c r="V18" s="172"/>
      <c r="W18" s="171"/>
      <c r="X18" s="172"/>
      <c r="Y18" s="172"/>
      <c r="Z18" s="172"/>
      <c r="AA18" s="173"/>
      <c r="AB18" s="172"/>
      <c r="AC18" s="261"/>
      <c r="AD18" s="172"/>
      <c r="AE18" s="171"/>
      <c r="AF18" s="171"/>
      <c r="AG18" s="817"/>
      <c r="AH18" s="171"/>
      <c r="AI18" s="172"/>
      <c r="AJ18" s="174"/>
      <c r="AK18" s="165"/>
      <c r="AL18" s="409"/>
      <c r="AM18" s="409"/>
      <c r="AN18" s="167"/>
      <c r="AO18" s="171"/>
      <c r="AP18" s="171"/>
      <c r="AQ18" s="172"/>
      <c r="AR18" s="332"/>
      <c r="AS18" s="332"/>
      <c r="AT18" s="332"/>
      <c r="AU18" s="172"/>
      <c r="AV18" s="171"/>
      <c r="AW18" s="172"/>
      <c r="AX18" s="174"/>
      <c r="AY18" s="172"/>
      <c r="AZ18" s="173"/>
      <c r="BA18" s="172"/>
      <c r="BB18" s="172"/>
      <c r="BC18" s="172"/>
      <c r="BD18" s="172"/>
      <c r="BE18" s="172"/>
      <c r="BF18" s="172"/>
      <c r="BG18" s="172"/>
      <c r="BH18" s="172"/>
      <c r="BI18" s="172"/>
      <c r="BJ18" s="170"/>
      <c r="BK18" s="170"/>
      <c r="BL18" s="172"/>
      <c r="BM18" s="173"/>
      <c r="BN18" s="172"/>
      <c r="BO18" s="172"/>
      <c r="BP18" s="172"/>
      <c r="BQ18" s="171"/>
      <c r="BR18" s="172"/>
      <c r="BS18" s="247"/>
      <c r="BT18" s="172"/>
      <c r="BU18" s="172"/>
      <c r="BV18" s="172"/>
      <c r="BW18" s="172"/>
      <c r="BX18" s="171"/>
    </row>
    <row r="19" spans="1:76" ht="15.95" customHeight="1">
      <c r="A19" s="168"/>
      <c r="B19" s="169" t="s">
        <v>59</v>
      </c>
      <c r="C19" s="165"/>
      <c r="D19" s="179">
        <f>'T-1'!S23</f>
        <v>18.211599113011367</v>
      </c>
      <c r="E19" s="179"/>
      <c r="F19" s="173"/>
      <c r="G19" s="170"/>
      <c r="H19" s="170"/>
      <c r="I19" s="170"/>
      <c r="J19" s="172"/>
      <c r="K19" s="409">
        <f>540+20+30</f>
        <v>590</v>
      </c>
      <c r="L19" s="165"/>
      <c r="M19" s="409"/>
      <c r="N19" s="409"/>
      <c r="O19" s="167"/>
      <c r="P19" s="167"/>
      <c r="Q19" s="167"/>
      <c r="R19" s="247"/>
      <c r="S19" s="247"/>
      <c r="T19" s="171"/>
      <c r="U19" s="622">
        <f>D19*K19/10</f>
        <v>1074.4843476676706</v>
      </c>
      <c r="V19" s="172"/>
      <c r="W19" s="171"/>
      <c r="X19" s="172">
        <f>SUM(T19:W19)</f>
        <v>1074.4843476676706</v>
      </c>
      <c r="Y19" s="172"/>
      <c r="Z19" s="172"/>
      <c r="AA19" s="173"/>
      <c r="AB19" s="172"/>
      <c r="AC19" s="261">
        <f>X19-AB19</f>
        <v>1074.4843476676706</v>
      </c>
      <c r="AD19" s="172"/>
      <c r="AE19" s="171"/>
      <c r="AF19" s="171"/>
      <c r="AG19" s="817"/>
      <c r="AH19" s="171">
        <f t="shared" si="0"/>
        <v>1074.4843476676706</v>
      </c>
      <c r="AI19" s="172"/>
      <c r="AJ19" s="409">
        <f>540+20+30</f>
        <v>590</v>
      </c>
      <c r="AK19" s="165"/>
      <c r="AL19" s="409"/>
      <c r="AM19" s="409"/>
      <c r="AN19" s="167"/>
      <c r="AO19" s="171"/>
      <c r="AP19" s="171"/>
      <c r="AQ19" s="172"/>
      <c r="AR19" s="172"/>
      <c r="AS19" s="172"/>
      <c r="AT19" s="172">
        <f>(AJ19*D19)/10</f>
        <v>1074.4843476676706</v>
      </c>
      <c r="AU19" s="172"/>
      <c r="AV19" s="171"/>
      <c r="AW19" s="172">
        <f t="shared" si="1"/>
        <v>1074.4843476676706</v>
      </c>
      <c r="AX19" s="174"/>
      <c r="AY19" s="172"/>
      <c r="AZ19" s="173"/>
      <c r="BA19" s="172"/>
      <c r="BB19" s="172">
        <f>AW19-BA19</f>
        <v>1074.4843476676706</v>
      </c>
      <c r="BC19" s="172">
        <f>AC19</f>
        <v>1074.4843476676706</v>
      </c>
      <c r="BD19" s="172">
        <f>BB19-BC19</f>
        <v>0</v>
      </c>
      <c r="BE19" s="172"/>
      <c r="BF19" s="172">
        <f>AT19-U19</f>
        <v>0</v>
      </c>
      <c r="BG19" s="172"/>
      <c r="BH19" s="172"/>
      <c r="BI19" s="172">
        <f>AW19-X19</f>
        <v>0</v>
      </c>
      <c r="BJ19" s="170"/>
      <c r="BK19" s="170"/>
      <c r="BL19" s="172"/>
      <c r="BM19" s="173"/>
      <c r="BN19" s="172"/>
      <c r="BO19" s="172"/>
      <c r="BP19" s="172"/>
      <c r="BQ19" s="171">
        <f t="shared" si="2"/>
        <v>1074.4843476676706</v>
      </c>
      <c r="BR19" s="172"/>
      <c r="BS19" s="247"/>
      <c r="BT19" s="172"/>
      <c r="BU19" s="172"/>
      <c r="BV19" s="172"/>
      <c r="BW19" s="172"/>
      <c r="BX19" s="171"/>
    </row>
    <row r="20" spans="1:76" ht="15.95" customHeight="1">
      <c r="A20" s="168"/>
      <c r="B20" s="169" t="s">
        <v>60</v>
      </c>
      <c r="C20" s="175"/>
      <c r="D20" s="179">
        <f>'T-1'!S24</f>
        <v>52.271334690983096</v>
      </c>
      <c r="E20" s="179"/>
      <c r="F20" s="176"/>
      <c r="G20" s="170"/>
      <c r="H20" s="170"/>
      <c r="I20" s="170"/>
      <c r="J20" s="172"/>
      <c r="K20" s="409">
        <f>650+20+30</f>
        <v>700</v>
      </c>
      <c r="L20" s="165"/>
      <c r="M20" s="409"/>
      <c r="N20" s="409"/>
      <c r="O20" s="167"/>
      <c r="P20" s="167"/>
      <c r="Q20" s="167"/>
      <c r="R20" s="247"/>
      <c r="S20" s="247"/>
      <c r="T20" s="171"/>
      <c r="U20" s="622">
        <f>D20*K20/10</f>
        <v>3658.9934283688171</v>
      </c>
      <c r="V20" s="172"/>
      <c r="W20" s="171"/>
      <c r="X20" s="172">
        <f>SUM(T20:W20)</f>
        <v>3658.9934283688171</v>
      </c>
      <c r="Y20" s="172"/>
      <c r="Z20" s="172"/>
      <c r="AA20" s="173"/>
      <c r="AB20" s="172"/>
      <c r="AC20" s="261">
        <f>X20-AB20</f>
        <v>3658.9934283688171</v>
      </c>
      <c r="AD20" s="172"/>
      <c r="AE20" s="171"/>
      <c r="AF20" s="171"/>
      <c r="AG20" s="817"/>
      <c r="AH20" s="171">
        <f t="shared" si="0"/>
        <v>3658.9934283688171</v>
      </c>
      <c r="AI20" s="172"/>
      <c r="AJ20" s="409">
        <f>650+20+30</f>
        <v>700</v>
      </c>
      <c r="AK20" s="165"/>
      <c r="AL20" s="409"/>
      <c r="AM20" s="409"/>
      <c r="AN20" s="167"/>
      <c r="AO20" s="171"/>
      <c r="AP20" s="171"/>
      <c r="AQ20" s="172"/>
      <c r="AR20" s="172"/>
      <c r="AS20" s="172"/>
      <c r="AT20" s="172">
        <f>(AJ20*D20)/10</f>
        <v>3658.9934283688171</v>
      </c>
      <c r="AU20" s="172"/>
      <c r="AV20" s="171"/>
      <c r="AW20" s="172">
        <f t="shared" si="1"/>
        <v>3658.9934283688171</v>
      </c>
      <c r="AX20" s="174"/>
      <c r="AY20" s="172"/>
      <c r="AZ20" s="173"/>
      <c r="BA20" s="172"/>
      <c r="BB20" s="172">
        <f>AW20-BA20</f>
        <v>3658.9934283688171</v>
      </c>
      <c r="BC20" s="172">
        <f>AC20</f>
        <v>3658.9934283688171</v>
      </c>
      <c r="BD20" s="172">
        <f>BB20-BC20</f>
        <v>0</v>
      </c>
      <c r="BE20" s="172"/>
      <c r="BF20" s="172">
        <f>AT20-U20</f>
        <v>0</v>
      </c>
      <c r="BG20" s="172"/>
      <c r="BH20" s="172"/>
      <c r="BI20" s="172">
        <f>AW20-X20</f>
        <v>0</v>
      </c>
      <c r="BJ20" s="170"/>
      <c r="BK20" s="170"/>
      <c r="BL20" s="172"/>
      <c r="BM20" s="173"/>
      <c r="BN20" s="172"/>
      <c r="BO20" s="172"/>
      <c r="BP20" s="172"/>
      <c r="BQ20" s="171">
        <f t="shared" si="2"/>
        <v>3658.9934283688171</v>
      </c>
      <c r="BR20" s="172"/>
      <c r="BS20" s="247"/>
      <c r="BT20" s="172"/>
      <c r="BU20" s="172"/>
      <c r="BV20" s="172"/>
      <c r="BW20" s="172"/>
      <c r="BX20" s="172"/>
    </row>
    <row r="21" spans="1:76" ht="15.95" customHeight="1">
      <c r="A21" s="168"/>
      <c r="B21" s="178" t="s">
        <v>61</v>
      </c>
      <c r="C21" s="165"/>
      <c r="D21" s="179">
        <f>'T-1'!S25</f>
        <v>394.5170661960056</v>
      </c>
      <c r="E21" s="179"/>
      <c r="F21" s="173"/>
      <c r="G21" s="170"/>
      <c r="H21" s="170"/>
      <c r="I21" s="170"/>
      <c r="J21" s="172"/>
      <c r="K21" s="409">
        <f>710+20+30</f>
        <v>760</v>
      </c>
      <c r="L21" s="165"/>
      <c r="M21" s="409"/>
      <c r="N21" s="409"/>
      <c r="O21" s="167"/>
      <c r="P21" s="167"/>
      <c r="Q21" s="167"/>
      <c r="R21" s="247"/>
      <c r="S21" s="247"/>
      <c r="T21" s="171"/>
      <c r="U21" s="174">
        <f>(D21*K21/10)-(13.996*2*20)/10</f>
        <v>29927.313030896425</v>
      </c>
      <c r="V21" s="172"/>
      <c r="W21" s="171"/>
      <c r="X21" s="172">
        <f>SUM(T21:W21)</f>
        <v>29927.313030896425</v>
      </c>
      <c r="Y21" s="172"/>
      <c r="Z21" s="172"/>
      <c r="AA21" s="173"/>
      <c r="AB21" s="172"/>
      <c r="AC21" s="261">
        <f>X21-AB21</f>
        <v>29927.313030896425</v>
      </c>
      <c r="AD21" s="172"/>
      <c r="AE21" s="171"/>
      <c r="AF21" s="171"/>
      <c r="AG21" s="817"/>
      <c r="AH21" s="171">
        <f t="shared" si="0"/>
        <v>29927.313030896425</v>
      </c>
      <c r="AI21" s="172"/>
      <c r="AJ21" s="409">
        <f>710+20+30</f>
        <v>760</v>
      </c>
      <c r="AK21" s="165"/>
      <c r="AL21" s="409"/>
      <c r="AM21" s="409"/>
      <c r="AN21" s="167"/>
      <c r="AO21" s="171"/>
      <c r="AP21" s="171"/>
      <c r="AQ21" s="172"/>
      <c r="AR21" s="172"/>
      <c r="AS21" s="172"/>
      <c r="AT21" s="172">
        <f>(AJ21*D21)/10-(13.996*2*20)/10</f>
        <v>29927.313030896425</v>
      </c>
      <c r="AU21" s="172"/>
      <c r="AV21" s="171"/>
      <c r="AW21" s="172">
        <f t="shared" si="1"/>
        <v>29927.313030896425</v>
      </c>
      <c r="AX21" s="174"/>
      <c r="AY21" s="172"/>
      <c r="AZ21" s="173"/>
      <c r="BA21" s="172"/>
      <c r="BB21" s="172">
        <f>AW21-BA21</f>
        <v>29927.313030896425</v>
      </c>
      <c r="BC21" s="172">
        <f>AC21</f>
        <v>29927.313030896425</v>
      </c>
      <c r="BD21" s="172">
        <f>BB21-BC21</f>
        <v>0</v>
      </c>
      <c r="BE21" s="172"/>
      <c r="BF21" s="172">
        <f>AT21-U21</f>
        <v>0</v>
      </c>
      <c r="BG21" s="172"/>
      <c r="BH21" s="172"/>
      <c r="BI21" s="172">
        <f>AW21-X21</f>
        <v>0</v>
      </c>
      <c r="BJ21" s="170"/>
      <c r="BK21" s="170"/>
      <c r="BL21" s="172"/>
      <c r="BM21" s="173"/>
      <c r="BN21" s="172"/>
      <c r="BO21" s="172"/>
      <c r="BP21" s="172"/>
      <c r="BQ21" s="171">
        <f t="shared" si="2"/>
        <v>29927.313030896425</v>
      </c>
      <c r="BR21" s="172"/>
      <c r="BS21" s="247"/>
      <c r="BT21" s="172"/>
      <c r="BU21" s="172"/>
      <c r="BV21" s="172"/>
      <c r="BW21" s="172"/>
      <c r="BX21" s="171"/>
    </row>
    <row r="22" spans="1:76" ht="15.95" customHeight="1">
      <c r="A22" s="168"/>
      <c r="B22" s="272" t="s">
        <v>373</v>
      </c>
      <c r="C22" s="175"/>
      <c r="D22" s="629">
        <f t="shared" ref="D22:I22" si="5">SUM(D17:D21)</f>
        <v>465.00000000000006</v>
      </c>
      <c r="E22" s="629"/>
      <c r="F22" s="629">
        <f t="shared" si="5"/>
        <v>0</v>
      </c>
      <c r="G22" s="630">
        <f t="shared" si="5"/>
        <v>109931</v>
      </c>
      <c r="H22" s="630">
        <f t="shared" si="5"/>
        <v>326816.72036000103</v>
      </c>
      <c r="I22" s="630">
        <f t="shared" si="5"/>
        <v>100947</v>
      </c>
      <c r="J22" s="172"/>
      <c r="K22" s="174"/>
      <c r="L22" s="165"/>
      <c r="M22" s="409"/>
      <c r="N22" s="409"/>
      <c r="O22" s="167"/>
      <c r="P22" s="167"/>
      <c r="Q22" s="167"/>
      <c r="R22" s="252">
        <f t="shared" ref="R22:R34" si="6">X22/D22*10</f>
        <v>770.69529032750336</v>
      </c>
      <c r="S22" s="252"/>
      <c r="T22" s="101">
        <f>SUM(T17:T21)</f>
        <v>0</v>
      </c>
      <c r="U22" s="180">
        <f t="shared" ref="U22:AB22" si="7">SUM(U17:U21)</f>
        <v>34660.790806932913</v>
      </c>
      <c r="V22" s="181">
        <f t="shared" si="7"/>
        <v>1176.5401932960037</v>
      </c>
      <c r="W22" s="181">
        <f t="shared" si="7"/>
        <v>0</v>
      </c>
      <c r="X22" s="181">
        <f t="shared" si="7"/>
        <v>35837.331000228914</v>
      </c>
      <c r="Y22" s="172"/>
      <c r="Z22" s="241">
        <f t="shared" ref="Z22:Z33" si="8">(AC22/D22)*10</f>
        <v>767.57759892965407</v>
      </c>
      <c r="AA22" s="182">
        <f>SUM(AA17:AA21)</f>
        <v>144.97264999999999</v>
      </c>
      <c r="AB22" s="181">
        <f t="shared" si="7"/>
        <v>144.97264999999999</v>
      </c>
      <c r="AC22" s="264">
        <f>SUM(AC17:AC21)</f>
        <v>35692.358350228918</v>
      </c>
      <c r="AD22" s="181"/>
      <c r="AE22" s="181">
        <f>SUM(AE17:AE21)</f>
        <v>0</v>
      </c>
      <c r="AF22" s="181">
        <f>SUM(AF17:AF21)</f>
        <v>0</v>
      </c>
      <c r="AG22" s="101">
        <f>SUM(AG17:AG21)</f>
        <v>0</v>
      </c>
      <c r="AH22" s="181">
        <f>SUM(AH17:AH21)</f>
        <v>35692.358350228918</v>
      </c>
      <c r="AI22" s="172"/>
      <c r="AJ22" s="174"/>
      <c r="AK22" s="165"/>
      <c r="AL22" s="409"/>
      <c r="AM22" s="409"/>
      <c r="AN22" s="167"/>
      <c r="AO22" s="171"/>
      <c r="AP22" s="171"/>
      <c r="AQ22" s="170">
        <f t="shared" ref="AQ22:AQ34" si="9">(AW22/D22)*10</f>
        <v>770.69529032750336</v>
      </c>
      <c r="AR22" s="330"/>
      <c r="AS22" s="331">
        <f>SUM(AS17:AS21)</f>
        <v>0</v>
      </c>
      <c r="AT22" s="181">
        <f>SUM(AT17:AT21)</f>
        <v>34660.790806932913</v>
      </c>
      <c r="AU22" s="181">
        <f>SUM(AU17:AU21)</f>
        <v>1176.5401932960037</v>
      </c>
      <c r="AV22" s="181">
        <f>SUM(AV17:AV21)</f>
        <v>0</v>
      </c>
      <c r="AW22" s="181">
        <f>SUM(AW17:AW21)</f>
        <v>35837.331000228914</v>
      </c>
      <c r="AX22" s="174"/>
      <c r="AY22" s="170">
        <f t="shared" ref="AY22:AY34" si="10">(BB22/D22)*10</f>
        <v>767.57759892965407</v>
      </c>
      <c r="AZ22" s="182">
        <f>SUM(AZ17:AZ21)</f>
        <v>144.97264999999999</v>
      </c>
      <c r="BA22" s="181">
        <f>SUM(BA17:BA21)</f>
        <v>144.97264999999999</v>
      </c>
      <c r="BB22" s="181">
        <f>SUM(BB17:BB21)</f>
        <v>35692.358350228918</v>
      </c>
      <c r="BC22" s="181">
        <f>SUM(BC17:BC21)</f>
        <v>35692.358350228918</v>
      </c>
      <c r="BD22" s="181">
        <f>SUM(BD17:BD21)</f>
        <v>0</v>
      </c>
      <c r="BE22" s="172"/>
      <c r="BF22" s="181">
        <f>SUM(BF17:BF21)</f>
        <v>0</v>
      </c>
      <c r="BG22" s="181">
        <f>SUM(BG17:BG21)</f>
        <v>0</v>
      </c>
      <c r="BH22" s="181">
        <f>SUM(BH17:BH21)</f>
        <v>0</v>
      </c>
      <c r="BI22" s="181">
        <f>SUM(BI17:BI21)</f>
        <v>0</v>
      </c>
      <c r="BJ22" s="170">
        <f t="shared" ref="BJ22:BJ34" si="11">AY22-Z22</f>
        <v>0</v>
      </c>
      <c r="BK22" s="170">
        <f t="shared" ref="BK22:BK34" si="12">BJ22/Z22*100</f>
        <v>0</v>
      </c>
      <c r="BL22" s="170">
        <f t="shared" ref="BL22:BL34" ca="1" si="13">AY22/$E$72*100</f>
        <v>111.77639421259849</v>
      </c>
      <c r="BM22" s="172"/>
      <c r="BN22" s="181">
        <f>SUM(BN17:BN21)</f>
        <v>0</v>
      </c>
      <c r="BO22" s="181">
        <f>SUM(BO17:BO21)</f>
        <v>0</v>
      </c>
      <c r="BP22" s="181"/>
      <c r="BQ22" s="264">
        <f>SUM(BQ17:BQ21)</f>
        <v>35692.358350228918</v>
      </c>
      <c r="BR22" s="313">
        <v>0.04</v>
      </c>
      <c r="BS22" s="247">
        <f t="shared" ref="BS22:BS34" si="14">BT22/D22+AY22</f>
        <v>770.55917233240098</v>
      </c>
      <c r="BT22" s="181">
        <f t="shared" ref="BT22:BT33" si="15">BR22*AT22</f>
        <v>1386.4316322773166</v>
      </c>
      <c r="BU22" s="181">
        <f ca="1">(D19+D20+D21)*$E$72/10</f>
        <v>31931.928562968424</v>
      </c>
      <c r="BV22" s="172">
        <f t="shared" ref="BV22:BV27" ca="1" si="16">BU22-BQ22</f>
        <v>-3760.4297872604948</v>
      </c>
      <c r="BW22" s="170">
        <f t="shared" ref="BW22:BW34" ca="1" si="17">BV22/D22*10</f>
        <v>-80.869457790548267</v>
      </c>
      <c r="BX22" s="171"/>
    </row>
    <row r="23" spans="1:76" ht="15.95" customHeight="1">
      <c r="A23" s="168">
        <v>3</v>
      </c>
      <c r="B23" s="814" t="s">
        <v>63</v>
      </c>
      <c r="C23" s="165" t="s">
        <v>45</v>
      </c>
      <c r="D23" s="176">
        <f>'T-1'!S27</f>
        <v>449.84899999999999</v>
      </c>
      <c r="E23" s="176"/>
      <c r="F23" s="176"/>
      <c r="G23" s="170">
        <f>'T-1'!P27</f>
        <v>90314</v>
      </c>
      <c r="H23" s="170">
        <f>'T-1'!Q27</f>
        <v>281444.22990000097</v>
      </c>
      <c r="I23" s="409">
        <f>6764+52054*2+6877*3+250*4+399*5+45*6+6066*7</f>
        <v>177230</v>
      </c>
      <c r="J23" s="172"/>
      <c r="K23" s="409">
        <v>150</v>
      </c>
      <c r="L23" s="165"/>
      <c r="M23" s="409">
        <v>20</v>
      </c>
      <c r="N23" s="409">
        <v>10</v>
      </c>
      <c r="O23" s="167"/>
      <c r="P23" s="167"/>
      <c r="Q23" s="167"/>
      <c r="R23" s="247">
        <f t="shared" si="6"/>
        <v>160.28029742780359</v>
      </c>
      <c r="S23" s="252"/>
      <c r="T23" s="252"/>
      <c r="U23" s="174">
        <f>(D23*K23/10)-(0.083*2*20)/10</f>
        <v>6747.4029999999984</v>
      </c>
      <c r="V23" s="613">
        <f>((H23-I23)*M23+I23*N23)*12/100000</f>
        <v>462.79015176000229</v>
      </c>
      <c r="W23" s="171"/>
      <c r="X23" s="172">
        <f t="shared" ref="X23:X29" si="18">SUM(T23:W23)</f>
        <v>7210.1931517600005</v>
      </c>
      <c r="Y23" s="172">
        <v>0.1</v>
      </c>
      <c r="Z23" s="619">
        <f t="shared" si="8"/>
        <v>160.10949566988035</v>
      </c>
      <c r="AA23" s="614">
        <f>(3841750)/1000000*2</f>
        <v>7.6835000000000004</v>
      </c>
      <c r="AB23" s="172">
        <f>AA23*Y23*10</f>
        <v>7.6835000000000004</v>
      </c>
      <c r="AC23" s="261">
        <f t="shared" ref="AC23:AC29" si="19">X23-AB23</f>
        <v>7202.5096517600005</v>
      </c>
      <c r="AD23" s="172"/>
      <c r="AE23" s="171"/>
      <c r="AF23" s="171"/>
      <c r="AG23" s="817"/>
      <c r="AH23" s="171">
        <f t="shared" si="0"/>
        <v>7202.5096517600005</v>
      </c>
      <c r="AI23" s="172"/>
      <c r="AJ23" s="409">
        <v>150</v>
      </c>
      <c r="AK23" s="165"/>
      <c r="AL23" s="409">
        <v>20</v>
      </c>
      <c r="AM23" s="409">
        <v>10</v>
      </c>
      <c r="AN23" s="167"/>
      <c r="AO23" s="171"/>
      <c r="AP23" s="171"/>
      <c r="AQ23" s="328">
        <f t="shared" si="9"/>
        <v>160.28029742780359</v>
      </c>
      <c r="AR23" s="205"/>
      <c r="AS23" s="333"/>
      <c r="AT23" s="172">
        <f>(D23*AJ23/10)-(0.083*2*20)/10</f>
        <v>6747.4029999999984</v>
      </c>
      <c r="AU23" s="172">
        <f>((H23-I23)*AL23+I23*AM23)*12/100000</f>
        <v>462.79015176000229</v>
      </c>
      <c r="AV23" s="172">
        <f>(AN23*G23*12)/100000</f>
        <v>0</v>
      </c>
      <c r="AW23" s="172">
        <f t="shared" si="1"/>
        <v>7210.1931517600005</v>
      </c>
      <c r="AX23" s="174">
        <v>0.1</v>
      </c>
      <c r="AY23" s="170">
        <f t="shared" si="10"/>
        <v>160.10949566988035</v>
      </c>
      <c r="AZ23" s="173">
        <f>AA23</f>
        <v>7.6835000000000004</v>
      </c>
      <c r="BA23" s="172">
        <f>AZ23*AX23*10</f>
        <v>7.6835000000000004</v>
      </c>
      <c r="BB23" s="172">
        <f t="shared" ref="BB23:BB29" si="20">AW23-BA23</f>
        <v>7202.5096517600005</v>
      </c>
      <c r="BC23" s="172">
        <f t="shared" ref="BC23:BC29" si="21">AC23</f>
        <v>7202.5096517600005</v>
      </c>
      <c r="BD23" s="172">
        <f t="shared" ref="BD23:BD29" si="22">BB23-BC23</f>
        <v>0</v>
      </c>
      <c r="BE23" s="172"/>
      <c r="BF23" s="172">
        <f t="shared" ref="BF23:BI30" si="23">AT23-U23</f>
        <v>0</v>
      </c>
      <c r="BG23" s="172">
        <f t="shared" si="23"/>
        <v>0</v>
      </c>
      <c r="BH23" s="172">
        <f t="shared" si="23"/>
        <v>0</v>
      </c>
      <c r="BI23" s="172">
        <f t="shared" si="23"/>
        <v>0</v>
      </c>
      <c r="BJ23" s="170">
        <f t="shared" si="11"/>
        <v>0</v>
      </c>
      <c r="BK23" s="170">
        <f t="shared" si="12"/>
        <v>0</v>
      </c>
      <c r="BL23" s="170">
        <f t="shared" ca="1" si="13"/>
        <v>23.31550859500399</v>
      </c>
      <c r="BM23" s="172"/>
      <c r="BN23" s="172"/>
      <c r="BO23" s="172"/>
      <c r="BP23" s="172"/>
      <c r="BQ23" s="171">
        <f t="shared" si="2"/>
        <v>7202.5096517600005</v>
      </c>
      <c r="BR23" s="313">
        <v>0.02</v>
      </c>
      <c r="BS23" s="247">
        <f t="shared" si="14"/>
        <v>160.40948090937181</v>
      </c>
      <c r="BT23" s="172">
        <f t="shared" si="15"/>
        <v>134.94805999999997</v>
      </c>
      <c r="BU23" s="172">
        <f t="shared" ref="BU23:BU33" ca="1" si="24">D23*$E$72/10</f>
        <v>30891.497058328561</v>
      </c>
      <c r="BV23" s="172">
        <f t="shared" ca="1" si="16"/>
        <v>23688.987406568562</v>
      </c>
      <c r="BW23" s="170">
        <f t="shared" ca="1" si="17"/>
        <v>526.59864546922552</v>
      </c>
      <c r="BX23" s="172"/>
    </row>
    <row r="24" spans="1:76" ht="15.95" customHeight="1">
      <c r="A24" s="168">
        <v>4</v>
      </c>
      <c r="B24" s="814" t="s">
        <v>64</v>
      </c>
      <c r="C24" s="165" t="s">
        <v>45</v>
      </c>
      <c r="D24" s="176">
        <f>'T-1'!S28</f>
        <v>7.2</v>
      </c>
      <c r="E24" s="176"/>
      <c r="F24" s="176"/>
      <c r="G24" s="170">
        <f>'T-1'!P28</f>
        <v>551</v>
      </c>
      <c r="H24" s="170">
        <f>'T-1'!Q28</f>
        <v>5760.648000000002</v>
      </c>
      <c r="I24" s="170">
        <f t="shared" ref="I24:I30" si="25">H24-G24</f>
        <v>5209.648000000002</v>
      </c>
      <c r="J24" s="172"/>
      <c r="K24" s="409">
        <v>160</v>
      </c>
      <c r="L24" s="165"/>
      <c r="M24" s="409">
        <v>20</v>
      </c>
      <c r="N24" s="409">
        <v>10</v>
      </c>
      <c r="O24" s="167"/>
      <c r="P24" s="167"/>
      <c r="Q24" s="167"/>
      <c r="R24" s="247">
        <f t="shared" si="6"/>
        <v>169.58052444444445</v>
      </c>
      <c r="S24" s="252"/>
      <c r="T24" s="252"/>
      <c r="U24" s="174">
        <f>(D24*K24/10)-(0.169*2*20)/10</f>
        <v>114.524</v>
      </c>
      <c r="V24" s="613">
        <f t="shared" ref="V24:V30" si="26">((H24-I24)*M24+I24*N24)*12/100000</f>
        <v>7.5739776000000028</v>
      </c>
      <c r="W24" s="171"/>
      <c r="X24" s="172">
        <f t="shared" si="18"/>
        <v>122.09797760000001</v>
      </c>
      <c r="Y24" s="172">
        <v>0.1</v>
      </c>
      <c r="Z24" s="619">
        <f t="shared" si="8"/>
        <v>168.64578</v>
      </c>
      <c r="AA24" s="614">
        <f>(336508/1000000)*2</f>
        <v>0.67301599999999995</v>
      </c>
      <c r="AB24" s="172">
        <f>AA24*Y24*10</f>
        <v>0.67301600000000006</v>
      </c>
      <c r="AC24" s="261">
        <f t="shared" si="19"/>
        <v>121.4249616</v>
      </c>
      <c r="AD24" s="172"/>
      <c r="AE24" s="171"/>
      <c r="AF24" s="171"/>
      <c r="AG24" s="817"/>
      <c r="AH24" s="171">
        <f t="shared" si="0"/>
        <v>121.4249616</v>
      </c>
      <c r="AI24" s="172"/>
      <c r="AJ24" s="409">
        <v>160</v>
      </c>
      <c r="AK24" s="165"/>
      <c r="AL24" s="409">
        <v>20</v>
      </c>
      <c r="AM24" s="409">
        <v>10</v>
      </c>
      <c r="AN24" s="167"/>
      <c r="AO24" s="171"/>
      <c r="AP24" s="171"/>
      <c r="AQ24" s="328">
        <f t="shared" si="9"/>
        <v>169.58052444444445</v>
      </c>
      <c r="AR24" s="205"/>
      <c r="AS24" s="333"/>
      <c r="AT24" s="172">
        <f>(D24*AJ24/10)-(0.169*2*20)/10</f>
        <v>114.524</v>
      </c>
      <c r="AU24" s="172">
        <f t="shared" ref="AU24:AU30" si="27">((H24-I24)*AL24+I24*AM24)*12/100000</f>
        <v>7.5739776000000028</v>
      </c>
      <c r="AV24" s="172">
        <f>(AN24*G24*12)/100000</f>
        <v>0</v>
      </c>
      <c r="AW24" s="172">
        <f>SUM(AS24:AV24)</f>
        <v>122.09797760000001</v>
      </c>
      <c r="AX24" s="174">
        <v>0.1</v>
      </c>
      <c r="AY24" s="170">
        <f t="shared" si="10"/>
        <v>168.64578</v>
      </c>
      <c r="AZ24" s="173">
        <f>AA24</f>
        <v>0.67301599999999995</v>
      </c>
      <c r="BA24" s="172">
        <f>AZ24*AX24*10</f>
        <v>0.67301600000000006</v>
      </c>
      <c r="BB24" s="172">
        <f t="shared" si="20"/>
        <v>121.4249616</v>
      </c>
      <c r="BC24" s="172">
        <f t="shared" si="21"/>
        <v>121.4249616</v>
      </c>
      <c r="BD24" s="172">
        <f t="shared" si="22"/>
        <v>0</v>
      </c>
      <c r="BE24" s="172"/>
      <c r="BF24" s="172">
        <f t="shared" si="23"/>
        <v>0</v>
      </c>
      <c r="BG24" s="172">
        <f t="shared" si="23"/>
        <v>0</v>
      </c>
      <c r="BH24" s="172">
        <f t="shared" si="23"/>
        <v>0</v>
      </c>
      <c r="BI24" s="172">
        <f t="shared" si="23"/>
        <v>0</v>
      </c>
      <c r="BJ24" s="170">
        <f t="shared" si="11"/>
        <v>0</v>
      </c>
      <c r="BK24" s="170">
        <f t="shared" si="12"/>
        <v>0</v>
      </c>
      <c r="BL24" s="170">
        <f t="shared" ca="1" si="13"/>
        <v>24.558581717154507</v>
      </c>
      <c r="BM24" s="172"/>
      <c r="BN24" s="172"/>
      <c r="BO24" s="172"/>
      <c r="BP24" s="172"/>
      <c r="BQ24" s="171">
        <f t="shared" si="2"/>
        <v>121.4249616</v>
      </c>
      <c r="BR24" s="313">
        <v>0.02</v>
      </c>
      <c r="BS24" s="247">
        <f t="shared" si="14"/>
        <v>168.96390222222223</v>
      </c>
      <c r="BT24" s="172">
        <f t="shared" si="15"/>
        <v>2.2904800000000001</v>
      </c>
      <c r="BU24" s="172">
        <f t="shared" ca="1" si="24"/>
        <v>494.4298616201562</v>
      </c>
      <c r="BV24" s="172">
        <f t="shared" ca="1" si="16"/>
        <v>373.00490002015619</v>
      </c>
      <c r="BW24" s="170">
        <f t="shared" ca="1" si="17"/>
        <v>518.06236113910575</v>
      </c>
      <c r="BX24" s="172"/>
    </row>
    <row r="25" spans="1:76" ht="15.95" customHeight="1">
      <c r="A25" s="168">
        <v>5</v>
      </c>
      <c r="B25" s="814" t="s">
        <v>65</v>
      </c>
      <c r="C25" s="165" t="s">
        <v>45</v>
      </c>
      <c r="D25" s="176">
        <f>'T-1'!S29</f>
        <v>3.6</v>
      </c>
      <c r="E25" s="176"/>
      <c r="F25" s="176"/>
      <c r="G25" s="170">
        <f>'T-1'!P29</f>
        <v>121</v>
      </c>
      <c r="H25" s="170">
        <f>'T-1'!Q29</f>
        <v>2253.3380000000002</v>
      </c>
      <c r="I25" s="170">
        <f t="shared" si="25"/>
        <v>2132.3380000000002</v>
      </c>
      <c r="J25" s="172"/>
      <c r="K25" s="409">
        <f>420+20+30</f>
        <v>470</v>
      </c>
      <c r="L25" s="165"/>
      <c r="M25" s="409">
        <v>80</v>
      </c>
      <c r="N25" s="409">
        <v>50</v>
      </c>
      <c r="O25" s="167"/>
      <c r="P25" s="167"/>
      <c r="Q25" s="167"/>
      <c r="R25" s="247">
        <f t="shared" si="6"/>
        <v>504.37674444444434</v>
      </c>
      <c r="S25" s="252"/>
      <c r="T25" s="252"/>
      <c r="U25" s="174">
        <f>(D25*K25/10)-(0.395*2*20)/10</f>
        <v>167.61999999999998</v>
      </c>
      <c r="V25" s="613">
        <f t="shared" si="26"/>
        <v>13.955628000000001</v>
      </c>
      <c r="W25" s="171"/>
      <c r="X25" s="172">
        <f t="shared" si="18"/>
        <v>181.57562799999997</v>
      </c>
      <c r="Y25" s="172">
        <v>0.1</v>
      </c>
      <c r="Z25" s="619">
        <f t="shared" si="8"/>
        <v>497.12616111111106</v>
      </c>
      <c r="AA25" s="614">
        <f>(1305105/1000000)*2</f>
        <v>2.6102099999999999</v>
      </c>
      <c r="AB25" s="172">
        <f>AA25*Y25*10</f>
        <v>2.6102099999999999</v>
      </c>
      <c r="AC25" s="261">
        <f t="shared" si="19"/>
        <v>178.96541799999997</v>
      </c>
      <c r="AD25" s="817">
        <f>(X25)*1%</f>
        <v>1.8157562799999998</v>
      </c>
      <c r="AE25" s="171"/>
      <c r="AF25" s="171"/>
      <c r="AG25" s="817"/>
      <c r="AH25" s="171">
        <f t="shared" si="0"/>
        <v>177.14966171999998</v>
      </c>
      <c r="AI25" s="172"/>
      <c r="AJ25" s="409">
        <f>420+20+30</f>
        <v>470</v>
      </c>
      <c r="AK25" s="165"/>
      <c r="AL25" s="409">
        <v>80</v>
      </c>
      <c r="AM25" s="409">
        <v>50</v>
      </c>
      <c r="AN25" s="167"/>
      <c r="AO25" s="171"/>
      <c r="AP25" s="171"/>
      <c r="AQ25" s="328">
        <f t="shared" si="9"/>
        <v>504.37674444444434</v>
      </c>
      <c r="AR25" s="205"/>
      <c r="AS25" s="333"/>
      <c r="AT25" s="172">
        <f>(D25*AJ25/10)-(0.395*2*20)/10</f>
        <v>167.61999999999998</v>
      </c>
      <c r="AU25" s="172">
        <f t="shared" si="27"/>
        <v>13.955628000000001</v>
      </c>
      <c r="AV25" s="172"/>
      <c r="AW25" s="172">
        <f>SUM(AS25:AV25)</f>
        <v>181.57562799999997</v>
      </c>
      <c r="AX25" s="174">
        <v>0.1</v>
      </c>
      <c r="AY25" s="170">
        <f t="shared" si="10"/>
        <v>497.12616111111106</v>
      </c>
      <c r="AZ25" s="173">
        <f>AA25</f>
        <v>2.6102099999999999</v>
      </c>
      <c r="BA25" s="172">
        <f>AZ25*AX25*10</f>
        <v>2.6102099999999999</v>
      </c>
      <c r="BB25" s="172">
        <f t="shared" si="20"/>
        <v>178.96541799999997</v>
      </c>
      <c r="BC25" s="172">
        <f t="shared" si="21"/>
        <v>178.96541799999997</v>
      </c>
      <c r="BD25" s="172">
        <f t="shared" si="22"/>
        <v>0</v>
      </c>
      <c r="BE25" s="172"/>
      <c r="BF25" s="172">
        <f t="shared" si="23"/>
        <v>0</v>
      </c>
      <c r="BG25" s="172">
        <f t="shared" si="23"/>
        <v>0</v>
      </c>
      <c r="BH25" s="172">
        <f t="shared" si="23"/>
        <v>0</v>
      </c>
      <c r="BI25" s="172">
        <f t="shared" si="23"/>
        <v>0</v>
      </c>
      <c r="BJ25" s="170">
        <f t="shared" si="11"/>
        <v>0</v>
      </c>
      <c r="BK25" s="170">
        <f t="shared" si="12"/>
        <v>0</v>
      </c>
      <c r="BL25" s="170">
        <f t="shared" ca="1" si="13"/>
        <v>72.392641258989926</v>
      </c>
      <c r="BM25" s="261">
        <f>AD25/X25*AW25</f>
        <v>1.8157562799999998</v>
      </c>
      <c r="BN25" s="172"/>
      <c r="BO25" s="172"/>
      <c r="BP25" s="172"/>
      <c r="BQ25" s="171">
        <f t="shared" si="2"/>
        <v>177.14966171999998</v>
      </c>
      <c r="BR25" s="313">
        <v>0.02</v>
      </c>
      <c r="BS25" s="247">
        <f t="shared" si="14"/>
        <v>498.05738333333329</v>
      </c>
      <c r="BT25" s="172">
        <f t="shared" si="15"/>
        <v>3.3523999999999994</v>
      </c>
      <c r="BU25" s="172">
        <f t="shared" ca="1" si="24"/>
        <v>247.2149308100781</v>
      </c>
      <c r="BV25" s="172">
        <f t="shared" ca="1" si="16"/>
        <v>70.065269090078118</v>
      </c>
      <c r="BW25" s="170">
        <f t="shared" ca="1" si="17"/>
        <v>194.6257474724392</v>
      </c>
      <c r="BX25" s="172"/>
    </row>
    <row r="26" spans="1:76" ht="15.95" customHeight="1">
      <c r="A26" s="168">
        <v>6</v>
      </c>
      <c r="B26" s="169" t="s">
        <v>66</v>
      </c>
      <c r="C26" s="165" t="s">
        <v>45</v>
      </c>
      <c r="D26" s="176">
        <f>'T-1'!S30</f>
        <v>45</v>
      </c>
      <c r="E26" s="176"/>
      <c r="F26" s="173"/>
      <c r="G26" s="170">
        <f>'T-1'!P30</f>
        <v>3335</v>
      </c>
      <c r="H26" s="170">
        <f>'T-1'!Q30</f>
        <v>12649.890000000001</v>
      </c>
      <c r="I26" s="170">
        <f t="shared" si="25"/>
        <v>9314.8900000000012</v>
      </c>
      <c r="J26" s="172"/>
      <c r="K26" s="409">
        <f t="shared" ref="K26:K33" si="28">570+20+30</f>
        <v>620</v>
      </c>
      <c r="L26" s="165"/>
      <c r="M26" s="409">
        <v>20</v>
      </c>
      <c r="N26" s="409">
        <v>15</v>
      </c>
      <c r="O26" s="167"/>
      <c r="P26" s="167"/>
      <c r="Q26" s="167"/>
      <c r="R26" s="247">
        <f t="shared" si="6"/>
        <v>625.50462266666659</v>
      </c>
      <c r="S26" s="252"/>
      <c r="T26" s="252"/>
      <c r="U26" s="174">
        <f>(D26*K26/10)-(0*2*20)/10</f>
        <v>2790</v>
      </c>
      <c r="V26" s="613">
        <f t="shared" si="26"/>
        <v>24.770802000000003</v>
      </c>
      <c r="W26" s="171"/>
      <c r="X26" s="172">
        <f t="shared" si="18"/>
        <v>2814.770802</v>
      </c>
      <c r="Y26" s="172"/>
      <c r="Z26" s="619">
        <f t="shared" si="8"/>
        <v>625.50462266666659</v>
      </c>
      <c r="AA26" s="614"/>
      <c r="AB26" s="172"/>
      <c r="AC26" s="261">
        <f t="shared" si="19"/>
        <v>2814.770802</v>
      </c>
      <c r="AD26" s="172"/>
      <c r="AE26" s="171"/>
      <c r="AF26" s="171"/>
      <c r="AG26" s="817"/>
      <c r="AH26" s="171">
        <f t="shared" si="0"/>
        <v>2814.770802</v>
      </c>
      <c r="AI26" s="172"/>
      <c r="AJ26" s="409">
        <f t="shared" ref="AJ26:AJ33" si="29">570+20+30</f>
        <v>620</v>
      </c>
      <c r="AK26" s="165"/>
      <c r="AL26" s="409">
        <v>20</v>
      </c>
      <c r="AM26" s="409">
        <v>15</v>
      </c>
      <c r="AN26" s="167"/>
      <c r="AO26" s="171"/>
      <c r="AP26" s="171"/>
      <c r="AQ26" s="328">
        <f t="shared" si="9"/>
        <v>625.50462266666659</v>
      </c>
      <c r="AR26" s="205"/>
      <c r="AS26" s="333"/>
      <c r="AT26" s="172">
        <f>(D26*AJ26/10)-(0*2*20)/10</f>
        <v>2790</v>
      </c>
      <c r="AU26" s="172">
        <f t="shared" si="27"/>
        <v>24.770802000000003</v>
      </c>
      <c r="AV26" s="172">
        <f t="shared" ref="AV26:AV33" si="30">(AN26*G26*12)/100000</f>
        <v>0</v>
      </c>
      <c r="AW26" s="172">
        <f t="shared" si="1"/>
        <v>2814.770802</v>
      </c>
      <c r="AX26" s="174"/>
      <c r="AY26" s="170">
        <f t="shared" si="10"/>
        <v>625.50462266666659</v>
      </c>
      <c r="AZ26" s="173"/>
      <c r="BA26" s="172"/>
      <c r="BB26" s="172">
        <f t="shared" si="20"/>
        <v>2814.770802</v>
      </c>
      <c r="BC26" s="172">
        <f t="shared" si="21"/>
        <v>2814.770802</v>
      </c>
      <c r="BD26" s="172">
        <f t="shared" si="22"/>
        <v>0</v>
      </c>
      <c r="BE26" s="172"/>
      <c r="BF26" s="172">
        <f t="shared" si="23"/>
        <v>0</v>
      </c>
      <c r="BG26" s="172">
        <f t="shared" si="23"/>
        <v>0</v>
      </c>
      <c r="BH26" s="172">
        <f t="shared" si="23"/>
        <v>0</v>
      </c>
      <c r="BI26" s="172">
        <f t="shared" si="23"/>
        <v>0</v>
      </c>
      <c r="BJ26" s="170">
        <f t="shared" si="11"/>
        <v>0</v>
      </c>
      <c r="BK26" s="170">
        <f t="shared" si="12"/>
        <v>0</v>
      </c>
      <c r="BL26" s="170">
        <f t="shared" ca="1" si="13"/>
        <v>91.087404560121371</v>
      </c>
      <c r="BM26" s="172"/>
      <c r="BN26" s="172"/>
      <c r="BO26" s="172"/>
      <c r="BP26" s="172"/>
      <c r="BQ26" s="171">
        <f t="shared" si="2"/>
        <v>2814.770802</v>
      </c>
      <c r="BR26" s="313">
        <v>0.04</v>
      </c>
      <c r="BS26" s="247">
        <f t="shared" si="14"/>
        <v>627.98462266666661</v>
      </c>
      <c r="BT26" s="172">
        <f t="shared" si="15"/>
        <v>111.60000000000001</v>
      </c>
      <c r="BU26" s="172">
        <f t="shared" ca="1" si="24"/>
        <v>3090.186635125976</v>
      </c>
      <c r="BV26" s="172">
        <f t="shared" ca="1" si="16"/>
        <v>275.41583312597595</v>
      </c>
      <c r="BW26" s="170">
        <f t="shared" ca="1" si="17"/>
        <v>61.2035184724391</v>
      </c>
      <c r="BX26" s="171"/>
    </row>
    <row r="27" spans="1:76" ht="15.95" customHeight="1">
      <c r="A27" s="168">
        <v>7</v>
      </c>
      <c r="B27" s="169" t="s">
        <v>182</v>
      </c>
      <c r="C27" s="165" t="s">
        <v>45</v>
      </c>
      <c r="D27" s="176">
        <f>'T-1'!S31</f>
        <v>22</v>
      </c>
      <c r="E27" s="176"/>
      <c r="F27" s="176"/>
      <c r="G27" s="170">
        <f>'T-1'!P31</f>
        <v>3836</v>
      </c>
      <c r="H27" s="170">
        <f>'T-1'!Q31</f>
        <v>38302.333820000043</v>
      </c>
      <c r="I27" s="170">
        <f t="shared" si="25"/>
        <v>34466.333820000043</v>
      </c>
      <c r="J27" s="172"/>
      <c r="K27" s="409">
        <f t="shared" si="28"/>
        <v>620</v>
      </c>
      <c r="L27" s="165"/>
      <c r="M27" s="409">
        <v>80</v>
      </c>
      <c r="N27" s="409">
        <v>35</v>
      </c>
      <c r="O27" s="167"/>
      <c r="P27" s="167"/>
      <c r="Q27" s="167"/>
      <c r="R27" s="247">
        <f t="shared" si="6"/>
        <v>701.14191002000007</v>
      </c>
      <c r="S27" s="252"/>
      <c r="T27" s="252"/>
      <c r="U27" s="174">
        <f>(D27*K27/10)-(0.768*2*20)/10</f>
        <v>1360.9280000000001</v>
      </c>
      <c r="V27" s="613">
        <f t="shared" si="26"/>
        <v>181.58420204400016</v>
      </c>
      <c r="W27" s="167"/>
      <c r="X27" s="172">
        <f t="shared" si="18"/>
        <v>1542.5122020440003</v>
      </c>
      <c r="Y27" s="172">
        <v>0.1</v>
      </c>
      <c r="Z27" s="619">
        <f t="shared" si="8"/>
        <v>697.17275911090928</v>
      </c>
      <c r="AA27" s="614">
        <f>(4366066/1000000)*2</f>
        <v>8.732132</v>
      </c>
      <c r="AB27" s="172">
        <f>AA27*Y27*10</f>
        <v>8.732132</v>
      </c>
      <c r="AC27" s="261">
        <f t="shared" si="19"/>
        <v>1533.7800700440002</v>
      </c>
      <c r="AD27" s="172"/>
      <c r="AE27" s="167"/>
      <c r="AF27" s="167"/>
      <c r="AG27" s="817"/>
      <c r="AH27" s="171">
        <f t="shared" si="0"/>
        <v>1533.7800700440002</v>
      </c>
      <c r="AI27" s="172"/>
      <c r="AJ27" s="409">
        <f t="shared" si="29"/>
        <v>620</v>
      </c>
      <c r="AK27" s="165"/>
      <c r="AL27" s="409">
        <v>80</v>
      </c>
      <c r="AM27" s="409">
        <v>35</v>
      </c>
      <c r="AN27" s="167"/>
      <c r="AO27" s="167"/>
      <c r="AP27" s="167"/>
      <c r="AQ27" s="328">
        <f t="shared" si="9"/>
        <v>701.14191002000007</v>
      </c>
      <c r="AR27" s="205"/>
      <c r="AS27" s="333"/>
      <c r="AT27" s="172">
        <f>(D27*AJ27/10)-(0.768*2*20)/10</f>
        <v>1360.9280000000001</v>
      </c>
      <c r="AU27" s="172">
        <f t="shared" si="27"/>
        <v>181.58420204400016</v>
      </c>
      <c r="AV27" s="172">
        <f t="shared" si="30"/>
        <v>0</v>
      </c>
      <c r="AW27" s="172">
        <f t="shared" si="1"/>
        <v>1542.5122020440003</v>
      </c>
      <c r="AX27" s="174">
        <v>0.1</v>
      </c>
      <c r="AY27" s="170">
        <f t="shared" si="10"/>
        <v>697.17275911090928</v>
      </c>
      <c r="AZ27" s="173">
        <f>AA27</f>
        <v>8.732132</v>
      </c>
      <c r="BA27" s="172">
        <f>AZ27*AX27*10</f>
        <v>8.732132</v>
      </c>
      <c r="BB27" s="172">
        <f t="shared" si="20"/>
        <v>1533.7800700440002</v>
      </c>
      <c r="BC27" s="172">
        <f t="shared" si="21"/>
        <v>1533.7800700440002</v>
      </c>
      <c r="BD27" s="172">
        <f t="shared" si="22"/>
        <v>0</v>
      </c>
      <c r="BE27" s="172"/>
      <c r="BF27" s="172">
        <f t="shared" si="23"/>
        <v>0</v>
      </c>
      <c r="BG27" s="172">
        <f t="shared" si="23"/>
        <v>0</v>
      </c>
      <c r="BH27" s="172">
        <f t="shared" si="23"/>
        <v>0</v>
      </c>
      <c r="BI27" s="172">
        <f t="shared" si="23"/>
        <v>0</v>
      </c>
      <c r="BJ27" s="170">
        <f t="shared" si="11"/>
        <v>0</v>
      </c>
      <c r="BK27" s="170">
        <f t="shared" si="12"/>
        <v>0</v>
      </c>
      <c r="BL27" s="170">
        <f t="shared" ca="1" si="13"/>
        <v>101.52388144903087</v>
      </c>
      <c r="BM27" s="172"/>
      <c r="BN27" s="172"/>
      <c r="BO27" s="172"/>
      <c r="BP27" s="172"/>
      <c r="BQ27" s="171">
        <f t="shared" si="2"/>
        <v>1533.7800700440002</v>
      </c>
      <c r="BR27" s="313">
        <v>0.05</v>
      </c>
      <c r="BS27" s="247">
        <f t="shared" si="14"/>
        <v>700.26577729272742</v>
      </c>
      <c r="BT27" s="172">
        <f t="shared" si="15"/>
        <v>68.046400000000006</v>
      </c>
      <c r="BU27" s="172">
        <f t="shared" ca="1" si="24"/>
        <v>1510.7579105060327</v>
      </c>
      <c r="BV27" s="172">
        <f t="shared" ca="1" si="16"/>
        <v>-23.022159537967582</v>
      </c>
      <c r="BW27" s="170">
        <f t="shared" ca="1" si="17"/>
        <v>-10.464617971803447</v>
      </c>
      <c r="BX27" s="166"/>
    </row>
    <row r="28" spans="1:76" ht="15.95" customHeight="1">
      <c r="A28" s="183">
        <v>8</v>
      </c>
      <c r="B28" s="169" t="s">
        <v>183</v>
      </c>
      <c r="C28" s="165" t="s">
        <v>45</v>
      </c>
      <c r="D28" s="176">
        <f>'T-1'!S32</f>
        <v>69</v>
      </c>
      <c r="E28" s="176"/>
      <c r="F28" s="173"/>
      <c r="G28" s="170">
        <f>'T-1'!P32</f>
        <v>1432</v>
      </c>
      <c r="H28" s="170">
        <f>'T-1'!Q32</f>
        <v>68866.452999999907</v>
      </c>
      <c r="I28" s="170">
        <f t="shared" si="25"/>
        <v>67434.452999999907</v>
      </c>
      <c r="J28" s="172"/>
      <c r="K28" s="409">
        <f t="shared" si="28"/>
        <v>620</v>
      </c>
      <c r="L28" s="165"/>
      <c r="M28" s="409">
        <v>100</v>
      </c>
      <c r="N28" s="409">
        <v>80</v>
      </c>
      <c r="O28" s="167"/>
      <c r="P28" s="167"/>
      <c r="Q28" s="167"/>
      <c r="R28" s="247">
        <f t="shared" si="6"/>
        <v>713.17663026086939</v>
      </c>
      <c r="S28" s="252"/>
      <c r="T28" s="252"/>
      <c r="U28" s="174">
        <f>(D28*K28/10)-(5.409*2*20)/10</f>
        <v>4256.3639999999996</v>
      </c>
      <c r="V28" s="613">
        <f t="shared" si="26"/>
        <v>664.55474879999917</v>
      </c>
      <c r="W28" s="167"/>
      <c r="X28" s="172">
        <f t="shared" si="18"/>
        <v>4920.9187487999989</v>
      </c>
      <c r="Y28" s="167"/>
      <c r="Z28" s="619">
        <f t="shared" si="8"/>
        <v>713.17663026086939</v>
      </c>
      <c r="AA28" s="614"/>
      <c r="AB28" s="817"/>
      <c r="AC28" s="261">
        <f t="shared" si="19"/>
        <v>4920.9187487999989</v>
      </c>
      <c r="AD28" s="817">
        <f>(X28)*1%</f>
        <v>49.209187487999991</v>
      </c>
      <c r="AE28" s="167"/>
      <c r="AF28" s="167"/>
      <c r="AG28" s="817"/>
      <c r="AH28" s="171">
        <f t="shared" si="0"/>
        <v>4871.7095613119991</v>
      </c>
      <c r="AI28" s="172"/>
      <c r="AJ28" s="409">
        <f t="shared" si="29"/>
        <v>620</v>
      </c>
      <c r="AK28" s="165"/>
      <c r="AL28" s="409">
        <v>100</v>
      </c>
      <c r="AM28" s="409">
        <v>80</v>
      </c>
      <c r="AN28" s="167"/>
      <c r="AO28" s="167"/>
      <c r="AP28" s="167"/>
      <c r="AQ28" s="328">
        <f t="shared" si="9"/>
        <v>713.17663026086939</v>
      </c>
      <c r="AR28" s="205"/>
      <c r="AS28" s="333"/>
      <c r="AT28" s="172">
        <f>(D28*AJ28/10)-(5.409*2*20)/10</f>
        <v>4256.3639999999996</v>
      </c>
      <c r="AU28" s="172">
        <f t="shared" si="27"/>
        <v>664.55474879999917</v>
      </c>
      <c r="AV28" s="172">
        <f t="shared" si="30"/>
        <v>0</v>
      </c>
      <c r="AW28" s="172">
        <f t="shared" si="1"/>
        <v>4920.9187487999989</v>
      </c>
      <c r="AX28" s="174"/>
      <c r="AY28" s="170">
        <f t="shared" si="10"/>
        <v>713.17663026086939</v>
      </c>
      <c r="AZ28" s="173"/>
      <c r="BA28" s="172"/>
      <c r="BB28" s="172">
        <f t="shared" si="20"/>
        <v>4920.9187487999989</v>
      </c>
      <c r="BC28" s="172">
        <f t="shared" si="21"/>
        <v>4920.9187487999989</v>
      </c>
      <c r="BD28" s="172">
        <f t="shared" si="22"/>
        <v>0</v>
      </c>
      <c r="BE28" s="172"/>
      <c r="BF28" s="172">
        <f t="shared" si="23"/>
        <v>0</v>
      </c>
      <c r="BG28" s="172">
        <f t="shared" si="23"/>
        <v>0</v>
      </c>
      <c r="BH28" s="172">
        <f t="shared" si="23"/>
        <v>0</v>
      </c>
      <c r="BI28" s="172">
        <f t="shared" si="23"/>
        <v>0</v>
      </c>
      <c r="BJ28" s="170">
        <f t="shared" si="11"/>
        <v>0</v>
      </c>
      <c r="BK28" s="170">
        <f t="shared" si="12"/>
        <v>0</v>
      </c>
      <c r="BL28" s="170">
        <f t="shared" ca="1" si="13"/>
        <v>103.85440153335854</v>
      </c>
      <c r="BM28" s="261">
        <f>AD28/X28*AW28</f>
        <v>49.209187487999991</v>
      </c>
      <c r="BN28" s="172">
        <f>AE28/(T28+U28+W28)*(AS28+AT28+AV28)</f>
        <v>0</v>
      </c>
      <c r="BO28" s="172">
        <f>AF28/(T28+U28+W28)*(AS28+AT28+AV28)</f>
        <v>0</v>
      </c>
      <c r="BP28" s="172"/>
      <c r="BQ28" s="171">
        <f t="shared" si="2"/>
        <v>4871.7095613119991</v>
      </c>
      <c r="BR28" s="313">
        <v>0.08</v>
      </c>
      <c r="BS28" s="247">
        <f t="shared" si="14"/>
        <v>718.11154504347803</v>
      </c>
      <c r="BT28" s="172">
        <f t="shared" si="15"/>
        <v>340.50912</v>
      </c>
      <c r="BU28" s="172">
        <f t="shared" ca="1" si="24"/>
        <v>4738.2861738598303</v>
      </c>
      <c r="BV28" s="172">
        <f t="shared" ref="BV28:BV33" ca="1" si="31">BU28-BQ28</f>
        <v>-133.42338745216875</v>
      </c>
      <c r="BW28" s="170">
        <f t="shared" ca="1" si="17"/>
        <v>-19.336722819154893</v>
      </c>
      <c r="BX28" s="166"/>
    </row>
    <row r="29" spans="1:76" ht="15.95" customHeight="1">
      <c r="A29" s="183">
        <v>9</v>
      </c>
      <c r="B29" s="169" t="s">
        <v>294</v>
      </c>
      <c r="C29" s="165" t="s">
        <v>45</v>
      </c>
      <c r="D29" s="176">
        <f>'T-1'!S33</f>
        <v>68</v>
      </c>
      <c r="E29" s="176"/>
      <c r="F29" s="173"/>
      <c r="G29" s="170">
        <f>'T-1'!P33</f>
        <v>13459</v>
      </c>
      <c r="H29" s="170">
        <f>'T-1'!Q33</f>
        <v>38216.792999999961</v>
      </c>
      <c r="I29" s="170">
        <f t="shared" si="25"/>
        <v>24757.792999999961</v>
      </c>
      <c r="J29" s="172"/>
      <c r="K29" s="409">
        <f t="shared" si="28"/>
        <v>620</v>
      </c>
      <c r="L29" s="165"/>
      <c r="M29" s="409">
        <v>50</v>
      </c>
      <c r="N29" s="409">
        <v>50</v>
      </c>
      <c r="O29" s="167"/>
      <c r="P29" s="167"/>
      <c r="Q29" s="167"/>
      <c r="R29" s="247">
        <f t="shared" si="6"/>
        <v>652.76540558823513</v>
      </c>
      <c r="S29" s="252"/>
      <c r="T29" s="252"/>
      <c r="U29" s="174">
        <f>(D29*K29/10)-((1.555+0.069)*2*20)/10</f>
        <v>4209.5039999999999</v>
      </c>
      <c r="V29" s="613">
        <f t="shared" si="26"/>
        <v>229.30075799999975</v>
      </c>
      <c r="W29" s="167"/>
      <c r="X29" s="172">
        <f t="shared" si="18"/>
        <v>4438.8047579999993</v>
      </c>
      <c r="Y29" s="167"/>
      <c r="Z29" s="619">
        <f t="shared" si="8"/>
        <v>652.76540558823513</v>
      </c>
      <c r="AA29" s="818"/>
      <c r="AB29" s="817"/>
      <c r="AC29" s="261">
        <f t="shared" si="19"/>
        <v>4438.8047579999993</v>
      </c>
      <c r="AD29" s="817">
        <f>(X29)*1%</f>
        <v>44.388047579999991</v>
      </c>
      <c r="AE29" s="817">
        <f>(T29+U29)*0%</f>
        <v>0</v>
      </c>
      <c r="AF29" s="817">
        <f>(T29+U29)*0%</f>
        <v>0</v>
      </c>
      <c r="AG29" s="817">
        <f>(T29+U29)*0%</f>
        <v>0</v>
      </c>
      <c r="AH29" s="171">
        <f t="shared" si="0"/>
        <v>4394.4167104199996</v>
      </c>
      <c r="AI29" s="172"/>
      <c r="AJ29" s="409">
        <f t="shared" si="29"/>
        <v>620</v>
      </c>
      <c r="AK29" s="165"/>
      <c r="AL29" s="409">
        <v>50</v>
      </c>
      <c r="AM29" s="409">
        <v>50</v>
      </c>
      <c r="AN29" s="167"/>
      <c r="AO29" s="167"/>
      <c r="AP29" s="167"/>
      <c r="AQ29" s="328">
        <f t="shared" si="9"/>
        <v>652.76540558823513</v>
      </c>
      <c r="AR29" s="205"/>
      <c r="AS29" s="333"/>
      <c r="AT29" s="172">
        <f>(D29*AJ29/10)-((1.555+0.069)*2*20)/10</f>
        <v>4209.5039999999999</v>
      </c>
      <c r="AU29" s="172">
        <f t="shared" si="27"/>
        <v>229.30075799999975</v>
      </c>
      <c r="AV29" s="172">
        <f t="shared" si="30"/>
        <v>0</v>
      </c>
      <c r="AW29" s="172">
        <f t="shared" si="1"/>
        <v>4438.8047579999993</v>
      </c>
      <c r="AX29" s="80" t="s">
        <v>30</v>
      </c>
      <c r="AY29" s="170">
        <f t="shared" si="10"/>
        <v>652.76540558823513</v>
      </c>
      <c r="AZ29" s="173"/>
      <c r="BA29" s="172"/>
      <c r="BB29" s="172">
        <f t="shared" si="20"/>
        <v>4438.8047579999993</v>
      </c>
      <c r="BC29" s="172">
        <f t="shared" si="21"/>
        <v>4438.8047579999993</v>
      </c>
      <c r="BD29" s="172">
        <f t="shared" si="22"/>
        <v>0</v>
      </c>
      <c r="BE29" s="172"/>
      <c r="BF29" s="172">
        <f t="shared" si="23"/>
        <v>0</v>
      </c>
      <c r="BG29" s="172">
        <f t="shared" si="23"/>
        <v>0</v>
      </c>
      <c r="BH29" s="172">
        <f t="shared" si="23"/>
        <v>0</v>
      </c>
      <c r="BI29" s="172">
        <f t="shared" si="23"/>
        <v>0</v>
      </c>
      <c r="BJ29" s="170">
        <f t="shared" si="11"/>
        <v>0</v>
      </c>
      <c r="BK29" s="170">
        <f t="shared" si="12"/>
        <v>0</v>
      </c>
      <c r="BL29" s="170">
        <f t="shared" ca="1" si="13"/>
        <v>95.057181717029479</v>
      </c>
      <c r="BM29" s="261">
        <f>AD29/X29*AW29</f>
        <v>44.388047579999991</v>
      </c>
      <c r="BN29" s="172">
        <f>AE29/(T29+U29+W29)*(AS29+AT29+AV29)</f>
        <v>0</v>
      </c>
      <c r="BO29" s="172">
        <f>AF29/(T29+U29+W29)*(AS29+AT29+AV29)</f>
        <v>0</v>
      </c>
      <c r="BP29" s="172">
        <f>AG29/(T29+U29+W29)*(AS29+AT29+AV29)</f>
        <v>0</v>
      </c>
      <c r="BQ29" s="171">
        <f t="shared" si="2"/>
        <v>4394.4167104199996</v>
      </c>
      <c r="BR29" s="313">
        <v>0.04</v>
      </c>
      <c r="BS29" s="247">
        <f t="shared" si="14"/>
        <v>655.24158441176451</v>
      </c>
      <c r="BT29" s="172">
        <f t="shared" si="15"/>
        <v>168.38015999999999</v>
      </c>
      <c r="BU29" s="172">
        <f t="shared" ca="1" si="24"/>
        <v>4669.6153597459197</v>
      </c>
      <c r="BV29" s="172">
        <f t="shared" ca="1" si="31"/>
        <v>275.19864932592009</v>
      </c>
      <c r="BW29" s="170">
        <f t="shared" ca="1" si="17"/>
        <v>40.470389606752953</v>
      </c>
      <c r="BX29" s="167"/>
    </row>
    <row r="30" spans="1:76" ht="15.95" customHeight="1">
      <c r="A30" s="168">
        <v>10</v>
      </c>
      <c r="B30" s="63" t="s">
        <v>295</v>
      </c>
      <c r="C30" s="165" t="s">
        <v>45</v>
      </c>
      <c r="D30" s="176">
        <f>'T-1'!S34</f>
        <v>65</v>
      </c>
      <c r="E30" s="176"/>
      <c r="F30" s="173"/>
      <c r="G30" s="170">
        <f>'T-1'!P34</f>
        <v>4762</v>
      </c>
      <c r="H30" s="170">
        <f>'T-1'!Q34</f>
        <v>32493.4045999999</v>
      </c>
      <c r="I30" s="170">
        <f t="shared" si="25"/>
        <v>27731.4045999999</v>
      </c>
      <c r="J30" s="172"/>
      <c r="K30" s="409">
        <f t="shared" si="28"/>
        <v>620</v>
      </c>
      <c r="L30" s="165"/>
      <c r="M30" s="409">
        <v>50</v>
      </c>
      <c r="N30" s="409">
        <v>50</v>
      </c>
      <c r="O30" s="167"/>
      <c r="P30" s="167"/>
      <c r="Q30" s="167"/>
      <c r="R30" s="247">
        <f t="shared" si="6"/>
        <v>649.5311427076922</v>
      </c>
      <c r="S30" s="171"/>
      <c r="T30" s="171"/>
      <c r="U30" s="174">
        <f>(D30*K30/10)-(0.752*2*20)/10</f>
        <v>4026.9920000000002</v>
      </c>
      <c r="V30" s="613">
        <f t="shared" si="26"/>
        <v>194.96042759999943</v>
      </c>
      <c r="W30" s="817">
        <f>(O30*G30*12)/100000</f>
        <v>0</v>
      </c>
      <c r="X30" s="172">
        <f>SUM(T30:W30)</f>
        <v>4221.9524275999993</v>
      </c>
      <c r="Y30" s="172">
        <v>0.1</v>
      </c>
      <c r="Z30" s="619">
        <f t="shared" si="8"/>
        <v>648.81269378461536</v>
      </c>
      <c r="AA30" s="614">
        <f>(2334959/1000000)*2</f>
        <v>4.669918</v>
      </c>
      <c r="AB30" s="172">
        <f>AA30*Y30*10</f>
        <v>4.669918</v>
      </c>
      <c r="AC30" s="261">
        <f>X30-AB30</f>
        <v>4217.2825095999997</v>
      </c>
      <c r="AD30" s="172"/>
      <c r="AE30" s="172"/>
      <c r="AF30" s="817"/>
      <c r="AG30" s="817"/>
      <c r="AH30" s="171">
        <f t="shared" si="0"/>
        <v>4217.2825095999997</v>
      </c>
      <c r="AI30" s="172"/>
      <c r="AJ30" s="409">
        <f t="shared" si="29"/>
        <v>620</v>
      </c>
      <c r="AK30" s="165"/>
      <c r="AL30" s="409">
        <v>50</v>
      </c>
      <c r="AM30" s="409">
        <v>50</v>
      </c>
      <c r="AN30" s="167"/>
      <c r="AO30" s="167"/>
      <c r="AP30" s="167"/>
      <c r="AQ30" s="328">
        <f t="shared" si="9"/>
        <v>649.5311427076922</v>
      </c>
      <c r="AR30" s="205"/>
      <c r="AS30" s="333"/>
      <c r="AT30" s="172">
        <f>(D30*AJ30/10)-(0.752*2*20)/10</f>
        <v>4026.9920000000002</v>
      </c>
      <c r="AU30" s="172">
        <f t="shared" si="27"/>
        <v>194.96042759999943</v>
      </c>
      <c r="AV30" s="172">
        <f t="shared" si="30"/>
        <v>0</v>
      </c>
      <c r="AW30" s="172">
        <f t="shared" si="1"/>
        <v>4221.9524275999993</v>
      </c>
      <c r="AX30" s="174">
        <v>0.1</v>
      </c>
      <c r="AY30" s="170">
        <f t="shared" si="10"/>
        <v>648.81269378461536</v>
      </c>
      <c r="AZ30" s="173">
        <f>AA30</f>
        <v>4.669918</v>
      </c>
      <c r="BA30" s="172">
        <f>AZ30*AX30*10</f>
        <v>4.669918</v>
      </c>
      <c r="BB30" s="172">
        <f>AW30-BA30</f>
        <v>4217.2825095999997</v>
      </c>
      <c r="BC30" s="172">
        <f>AC30</f>
        <v>4217.2825095999997</v>
      </c>
      <c r="BD30" s="172">
        <f>BB30-BC30</f>
        <v>0</v>
      </c>
      <c r="BE30" s="172"/>
      <c r="BF30" s="172">
        <f t="shared" si="23"/>
        <v>0</v>
      </c>
      <c r="BG30" s="172">
        <f t="shared" si="23"/>
        <v>0</v>
      </c>
      <c r="BH30" s="172">
        <f t="shared" si="23"/>
        <v>0</v>
      </c>
      <c r="BI30" s="172">
        <f t="shared" si="23"/>
        <v>0</v>
      </c>
      <c r="BJ30" s="170">
        <f t="shared" si="11"/>
        <v>0</v>
      </c>
      <c r="BK30" s="170">
        <f t="shared" si="12"/>
        <v>0</v>
      </c>
      <c r="BL30" s="170">
        <f t="shared" ca="1" si="13"/>
        <v>94.481578841976471</v>
      </c>
      <c r="BM30" s="261">
        <f>AD30/X30*AW30</f>
        <v>0</v>
      </c>
      <c r="BN30" s="172"/>
      <c r="BO30" s="172"/>
      <c r="BP30" s="172">
        <f>AG30/(T30+U30+W30)*(AS30+AT30+AV30)</f>
        <v>0</v>
      </c>
      <c r="BQ30" s="171">
        <f t="shared" si="2"/>
        <v>4217.2825095999997</v>
      </c>
      <c r="BR30" s="313">
        <v>0</v>
      </c>
      <c r="BS30" s="247">
        <f t="shared" si="14"/>
        <v>648.81269378461536</v>
      </c>
      <c r="BT30" s="172">
        <f t="shared" si="15"/>
        <v>0</v>
      </c>
      <c r="BU30" s="172">
        <f t="shared" ca="1" si="24"/>
        <v>4463.6029174041878</v>
      </c>
      <c r="BV30" s="172">
        <f t="shared" ca="1" si="31"/>
        <v>246.32040780418811</v>
      </c>
      <c r="BW30" s="170">
        <f t="shared" ca="1" si="17"/>
        <v>37.895447354490479</v>
      </c>
      <c r="BX30" s="166"/>
    </row>
    <row r="31" spans="1:76" ht="15.95" customHeight="1">
      <c r="A31" s="168">
        <v>11</v>
      </c>
      <c r="B31" s="63" t="s">
        <v>296</v>
      </c>
      <c r="C31" s="165" t="s">
        <v>45</v>
      </c>
      <c r="D31" s="176">
        <f>'T-1'!S35</f>
        <v>5.2</v>
      </c>
      <c r="E31" s="176"/>
      <c r="F31" s="173"/>
      <c r="G31" s="170">
        <f>'T-1'!P35</f>
        <v>25</v>
      </c>
      <c r="H31" s="170">
        <f>'T-1'!Q35</f>
        <v>422.58</v>
      </c>
      <c r="I31" s="170"/>
      <c r="J31" s="172">
        <v>200</v>
      </c>
      <c r="K31" s="409">
        <f t="shared" si="28"/>
        <v>620</v>
      </c>
      <c r="L31" s="814"/>
      <c r="M31" s="820"/>
      <c r="N31" s="820"/>
      <c r="O31" s="247">
        <v>30</v>
      </c>
      <c r="P31" s="167"/>
      <c r="Q31" s="167"/>
      <c r="R31" s="247">
        <f t="shared" si="6"/>
        <v>631.03756923076912</v>
      </c>
      <c r="S31" s="171">
        <v>0.8</v>
      </c>
      <c r="T31" s="171">
        <f>(H31*J31*S31*12)/100000</f>
        <v>8.1135360000000016</v>
      </c>
      <c r="U31" s="174">
        <f>(D31*K31/10)-(0.616*2*20)/10</f>
        <v>319.93599999999998</v>
      </c>
      <c r="V31" s="172"/>
      <c r="W31" s="817">
        <f>(O31*G31*12)/100000</f>
        <v>0.09</v>
      </c>
      <c r="X31" s="172">
        <f>SUM(T31:W31)</f>
        <v>328.13953599999996</v>
      </c>
      <c r="Y31" s="172">
        <v>0.1</v>
      </c>
      <c r="Z31" s="619">
        <f t="shared" si="8"/>
        <v>629.11426153846151</v>
      </c>
      <c r="AA31" s="614">
        <f>(500060/1000000)*2</f>
        <v>1.0001199999999999</v>
      </c>
      <c r="AB31" s="172">
        <f>AA31*Y31*10</f>
        <v>1.0001199999999999</v>
      </c>
      <c r="AC31" s="261">
        <f>X31-AB31</f>
        <v>327.13941599999998</v>
      </c>
      <c r="AD31" s="817">
        <f>X31*1%</f>
        <v>3.2813953599999999</v>
      </c>
      <c r="AE31" s="817">
        <f>(T31+U31)*0%</f>
        <v>0</v>
      </c>
      <c r="AF31" s="817">
        <f>(T31+U31)*0%</f>
        <v>0</v>
      </c>
      <c r="AG31" s="817">
        <f>(T31+U31)*0%</f>
        <v>0</v>
      </c>
      <c r="AH31" s="171">
        <f t="shared" si="0"/>
        <v>323.85802064000001</v>
      </c>
      <c r="AI31" s="172">
        <v>200</v>
      </c>
      <c r="AJ31" s="409">
        <f t="shared" si="29"/>
        <v>620</v>
      </c>
      <c r="AK31" s="814"/>
      <c r="AL31" s="820"/>
      <c r="AM31" s="820"/>
      <c r="AN31" s="247">
        <v>30</v>
      </c>
      <c r="AO31" s="172"/>
      <c r="AP31" s="172"/>
      <c r="AQ31" s="170">
        <f t="shared" si="9"/>
        <v>631.03756923076912</v>
      </c>
      <c r="AR31" s="332">
        <v>0.8</v>
      </c>
      <c r="AS31" s="332">
        <f>(H31*AI31*AR31*12)/100000</f>
        <v>8.1135360000000016</v>
      </c>
      <c r="AT31" s="172">
        <f>(D31*AJ31/10)-(0.616*2*20)/10</f>
        <v>319.93599999999998</v>
      </c>
      <c r="AU31" s="172"/>
      <c r="AV31" s="172">
        <f t="shared" si="30"/>
        <v>0.09</v>
      </c>
      <c r="AW31" s="172">
        <f t="shared" si="1"/>
        <v>328.13953599999996</v>
      </c>
      <c r="AX31" s="174">
        <v>0.1</v>
      </c>
      <c r="AY31" s="170">
        <f t="shared" si="10"/>
        <v>629.11426153846151</v>
      </c>
      <c r="AZ31" s="173">
        <f>AA31</f>
        <v>1.0001199999999999</v>
      </c>
      <c r="BA31" s="172">
        <f>AZ31*AX31*10</f>
        <v>1.0001199999999999</v>
      </c>
      <c r="BB31" s="172">
        <f>AW31-BA31</f>
        <v>327.13941599999998</v>
      </c>
      <c r="BC31" s="172">
        <f>AC31</f>
        <v>327.13941599999998</v>
      </c>
      <c r="BD31" s="172">
        <f>BB31-BC31</f>
        <v>0</v>
      </c>
      <c r="BE31" s="172">
        <f t="shared" ref="BE31:BF33" si="32">AS31-T31</f>
        <v>0</v>
      </c>
      <c r="BF31" s="172">
        <f t="shared" si="32"/>
        <v>0</v>
      </c>
      <c r="BG31" s="172"/>
      <c r="BH31" s="172">
        <f t="shared" ref="BH31:BI33" si="33">AV31-W31</f>
        <v>0</v>
      </c>
      <c r="BI31" s="172">
        <f t="shared" si="33"/>
        <v>0</v>
      </c>
      <c r="BJ31" s="170">
        <f t="shared" si="11"/>
        <v>0</v>
      </c>
      <c r="BK31" s="170">
        <f t="shared" si="12"/>
        <v>0</v>
      </c>
      <c r="BL31" s="170">
        <f t="shared" ca="1" si="13"/>
        <v>91.613048375237256</v>
      </c>
      <c r="BM31" s="261">
        <f>AD31/X31*AW31</f>
        <v>3.2813953599999999</v>
      </c>
      <c r="BN31" s="172">
        <f>AE31/(T31+U31+W31)*(AS31+AT31+AV31)</f>
        <v>0</v>
      </c>
      <c r="BO31" s="172">
        <f>AF31/(T31+U31+W31)*(AS31+AT31+AV31)</f>
        <v>0</v>
      </c>
      <c r="BP31" s="172">
        <f>AG31/(T31+U31+W31)*(AS31+AT31+AV31)</f>
        <v>0</v>
      </c>
      <c r="BQ31" s="171">
        <f t="shared" si="2"/>
        <v>323.85802064000001</v>
      </c>
      <c r="BR31" s="313">
        <v>0</v>
      </c>
      <c r="BS31" s="247">
        <f t="shared" si="14"/>
        <v>629.11426153846151</v>
      </c>
      <c r="BT31" s="172">
        <f t="shared" si="15"/>
        <v>0</v>
      </c>
      <c r="BU31" s="172">
        <f t="shared" ca="1" si="24"/>
        <v>357.08823339233504</v>
      </c>
      <c r="BV31" s="172">
        <f t="shared" ca="1" si="31"/>
        <v>33.230212752335035</v>
      </c>
      <c r="BW31" s="170">
        <f t="shared" ca="1" si="17"/>
        <v>63.904255292951994</v>
      </c>
      <c r="BX31" s="166"/>
    </row>
    <row r="32" spans="1:76" ht="15.95" customHeight="1">
      <c r="A32" s="168">
        <v>12</v>
      </c>
      <c r="B32" s="814" t="s">
        <v>190</v>
      </c>
      <c r="C32" s="165" t="s">
        <v>45</v>
      </c>
      <c r="D32" s="176">
        <f>'T-1'!S36</f>
        <v>0.151</v>
      </c>
      <c r="E32" s="176"/>
      <c r="F32" s="173"/>
      <c r="G32" s="170">
        <f>'T-1'!P36</f>
        <v>2</v>
      </c>
      <c r="H32" s="170">
        <f>'T-1'!Q36</f>
        <v>320</v>
      </c>
      <c r="I32" s="170"/>
      <c r="J32" s="172">
        <v>200</v>
      </c>
      <c r="K32" s="409">
        <f t="shared" si="28"/>
        <v>620</v>
      </c>
      <c r="L32" s="814"/>
      <c r="M32" s="820"/>
      <c r="N32" s="820"/>
      <c r="O32" s="247">
        <v>30</v>
      </c>
      <c r="P32" s="167"/>
      <c r="Q32" s="167"/>
      <c r="R32" s="247">
        <f t="shared" si="6"/>
        <v>1021.0066225165563</v>
      </c>
      <c r="S32" s="171">
        <v>0.8</v>
      </c>
      <c r="T32" s="171">
        <f>(H32*J32*S32*12)/100000</f>
        <v>6.1440000000000001</v>
      </c>
      <c r="U32" s="174">
        <f>(D32*K32/10)-(0.024*2*20)/10</f>
        <v>9.2659999999999982</v>
      </c>
      <c r="V32" s="172"/>
      <c r="W32" s="817">
        <f>(O32*G32*12)/100000</f>
        <v>7.1999999999999998E-3</v>
      </c>
      <c r="X32" s="172">
        <f>SUM(T32:W32)</f>
        <v>15.417199999999998</v>
      </c>
      <c r="Y32" s="171"/>
      <c r="Z32" s="619">
        <f t="shared" si="8"/>
        <v>1021.0066225165563</v>
      </c>
      <c r="AA32" s="818"/>
      <c r="AB32" s="817"/>
      <c r="AC32" s="261">
        <f>X32-AB32</f>
        <v>15.417199999999998</v>
      </c>
      <c r="AD32" s="817">
        <f>X32*1%</f>
        <v>0.15417199999999998</v>
      </c>
      <c r="AE32" s="817">
        <f>(T32+U32)*0%</f>
        <v>0</v>
      </c>
      <c r="AF32" s="817">
        <f>(T32+U32)*0%</f>
        <v>0</v>
      </c>
      <c r="AG32" s="817">
        <f>(T32+U32)*0%</f>
        <v>0</v>
      </c>
      <c r="AH32" s="171">
        <f t="shared" si="0"/>
        <v>15.263027999999998</v>
      </c>
      <c r="AI32" s="172">
        <v>200</v>
      </c>
      <c r="AJ32" s="409">
        <f t="shared" si="29"/>
        <v>620</v>
      </c>
      <c r="AK32" s="814"/>
      <c r="AL32" s="820"/>
      <c r="AM32" s="820"/>
      <c r="AN32" s="247">
        <v>30</v>
      </c>
      <c r="AO32" s="172"/>
      <c r="AP32" s="172"/>
      <c r="AQ32" s="170">
        <f t="shared" si="9"/>
        <v>1021.0066225165563</v>
      </c>
      <c r="AR32" s="172">
        <v>0.8</v>
      </c>
      <c r="AS32" s="172">
        <f>(H32*AI32*AR32*12)/100000</f>
        <v>6.1440000000000001</v>
      </c>
      <c r="AT32" s="172">
        <f>(D32*AJ32/10)-(0.024*2*20)/10</f>
        <v>9.2659999999999982</v>
      </c>
      <c r="AU32" s="172"/>
      <c r="AV32" s="172">
        <f t="shared" si="30"/>
        <v>7.1999999999999998E-3</v>
      </c>
      <c r="AW32" s="172">
        <f t="shared" si="1"/>
        <v>15.417199999999998</v>
      </c>
      <c r="AX32" s="80"/>
      <c r="AY32" s="170">
        <f t="shared" si="10"/>
        <v>1021.0066225165563</v>
      </c>
      <c r="AZ32" s="173"/>
      <c r="BA32" s="172"/>
      <c r="BB32" s="172">
        <f>AW32-BA32</f>
        <v>15.417199999999998</v>
      </c>
      <c r="BC32" s="172">
        <f>AC32</f>
        <v>15.417199999999998</v>
      </c>
      <c r="BD32" s="172">
        <f>BB32-BC32</f>
        <v>0</v>
      </c>
      <c r="BE32" s="172">
        <f t="shared" si="32"/>
        <v>0</v>
      </c>
      <c r="BF32" s="172">
        <f t="shared" si="32"/>
        <v>0</v>
      </c>
      <c r="BG32" s="172"/>
      <c r="BH32" s="172">
        <f t="shared" si="33"/>
        <v>0</v>
      </c>
      <c r="BI32" s="172">
        <f t="shared" si="33"/>
        <v>0</v>
      </c>
      <c r="BJ32" s="170">
        <f t="shared" si="11"/>
        <v>0</v>
      </c>
      <c r="BK32" s="170">
        <f t="shared" si="12"/>
        <v>0</v>
      </c>
      <c r="BL32" s="170">
        <f t="shared" ca="1" si="13"/>
        <v>148.68130452377031</v>
      </c>
      <c r="BM32" s="261">
        <f>AD32/X32*AW32</f>
        <v>0.15417199999999998</v>
      </c>
      <c r="BN32" s="172">
        <f>AE32/(T32+U32+W32)*(AS32+AT32+AV32)</f>
        <v>0</v>
      </c>
      <c r="BO32" s="172">
        <f>AF32/(T32+U32+W32)*(AS32+AT32+AV32)</f>
        <v>0</v>
      </c>
      <c r="BP32" s="172">
        <f>AG32/(T32+U32+W32)*(AS32+AT32+AV32)</f>
        <v>0</v>
      </c>
      <c r="BQ32" s="171">
        <f t="shared" si="2"/>
        <v>15.263027999999998</v>
      </c>
      <c r="BR32" s="313">
        <v>0.04</v>
      </c>
      <c r="BS32" s="247">
        <f t="shared" si="14"/>
        <v>1023.4611920529801</v>
      </c>
      <c r="BT32" s="172">
        <f t="shared" si="15"/>
        <v>0.37063999999999991</v>
      </c>
      <c r="BU32" s="172">
        <f t="shared" ca="1" si="24"/>
        <v>10.369292931200498</v>
      </c>
      <c r="BV32" s="172">
        <f t="shared" ca="1" si="31"/>
        <v>-4.8937350687995007</v>
      </c>
      <c r="BW32" s="170">
        <f t="shared" ca="1" si="17"/>
        <v>-324.08841515228482</v>
      </c>
      <c r="BX32" s="172"/>
    </row>
    <row r="33" spans="1:76" ht="15.95" customHeight="1">
      <c r="A33" s="168">
        <v>13</v>
      </c>
      <c r="B33" s="60" t="s">
        <v>73</v>
      </c>
      <c r="C33" s="165" t="s">
        <v>45</v>
      </c>
      <c r="D33" s="176">
        <f>'T-1'!S37</f>
        <v>0</v>
      </c>
      <c r="E33" s="176"/>
      <c r="F33" s="184"/>
      <c r="G33" s="170">
        <f>'T-1'!P37</f>
        <v>0</v>
      </c>
      <c r="H33" s="170">
        <f>'T-1'!Q37</f>
        <v>0</v>
      </c>
      <c r="I33" s="170"/>
      <c r="J33" s="172">
        <v>200</v>
      </c>
      <c r="K33" s="409">
        <f t="shared" si="28"/>
        <v>620</v>
      </c>
      <c r="L33" s="814"/>
      <c r="M33" s="820"/>
      <c r="N33" s="820"/>
      <c r="O33" s="247">
        <v>30</v>
      </c>
      <c r="P33" s="185"/>
      <c r="Q33" s="250"/>
      <c r="R33" s="247" t="e">
        <f t="shared" si="6"/>
        <v>#DIV/0!</v>
      </c>
      <c r="S33" s="171">
        <v>0.8</v>
      </c>
      <c r="T33" s="825">
        <f>(H33*J33*S33*12)/100000</f>
        <v>0</v>
      </c>
      <c r="U33" s="174">
        <f>(D33*K33/10)-(0*2*10)/10</f>
        <v>0</v>
      </c>
      <c r="V33" s="186"/>
      <c r="W33" s="817">
        <f>(O33*G33*12)/100000</f>
        <v>0</v>
      </c>
      <c r="X33" s="172">
        <f>SUM(T33:W33)</f>
        <v>0</v>
      </c>
      <c r="Y33" s="187"/>
      <c r="Z33" s="619" t="e">
        <f t="shared" si="8"/>
        <v>#DIV/0!</v>
      </c>
      <c r="AA33" s="818"/>
      <c r="AB33" s="817"/>
      <c r="AC33" s="261">
        <f>X33-AB33</f>
        <v>0</v>
      </c>
      <c r="AD33" s="815">
        <f>X33*0%</f>
        <v>0</v>
      </c>
      <c r="AE33" s="817"/>
      <c r="AF33" s="817">
        <f>(T33+U33)*0%</f>
        <v>0</v>
      </c>
      <c r="AG33" s="817">
        <f t="shared" ref="AG33" si="34">(T33+U33)*1.5%</f>
        <v>0</v>
      </c>
      <c r="AH33" s="171">
        <f t="shared" si="0"/>
        <v>0</v>
      </c>
      <c r="AI33" s="172">
        <v>200</v>
      </c>
      <c r="AJ33" s="409">
        <f t="shared" si="29"/>
        <v>620</v>
      </c>
      <c r="AK33" s="814"/>
      <c r="AL33" s="820"/>
      <c r="AM33" s="820"/>
      <c r="AN33" s="247">
        <v>30</v>
      </c>
      <c r="AO33" s="186"/>
      <c r="AP33" s="186"/>
      <c r="AQ33" s="170" t="e">
        <f t="shared" si="9"/>
        <v>#DIV/0!</v>
      </c>
      <c r="AR33" s="172">
        <v>0.8</v>
      </c>
      <c r="AS33" s="172">
        <f>(H33*AI33*AR33*12)/100000</f>
        <v>0</v>
      </c>
      <c r="AT33" s="172">
        <f>(D33*AJ33/10)-(0*2*20)/10</f>
        <v>0</v>
      </c>
      <c r="AU33" s="186"/>
      <c r="AV33" s="172">
        <f t="shared" si="30"/>
        <v>0</v>
      </c>
      <c r="AW33" s="172">
        <f t="shared" si="1"/>
        <v>0</v>
      </c>
      <c r="AX33" s="80"/>
      <c r="AY33" s="170" t="e">
        <f t="shared" si="10"/>
        <v>#DIV/0!</v>
      </c>
      <c r="AZ33" s="173"/>
      <c r="BA33" s="172"/>
      <c r="BB33" s="172">
        <f>AW33-BA33</f>
        <v>0</v>
      </c>
      <c r="BC33" s="172">
        <f>AC33</f>
        <v>0</v>
      </c>
      <c r="BD33" s="172">
        <f>BB33-BC33</f>
        <v>0</v>
      </c>
      <c r="BE33" s="172">
        <f t="shared" si="32"/>
        <v>0</v>
      </c>
      <c r="BF33" s="172">
        <f t="shared" si="32"/>
        <v>0</v>
      </c>
      <c r="BG33" s="172"/>
      <c r="BH33" s="172">
        <f t="shared" si="33"/>
        <v>0</v>
      </c>
      <c r="BI33" s="172">
        <f t="shared" si="33"/>
        <v>0</v>
      </c>
      <c r="BJ33" s="170" t="e">
        <f t="shared" si="11"/>
        <v>#DIV/0!</v>
      </c>
      <c r="BK33" s="170" t="e">
        <f t="shared" si="12"/>
        <v>#DIV/0!</v>
      </c>
      <c r="BL33" s="170" t="e">
        <f t="shared" ca="1" si="13"/>
        <v>#DIV/0!</v>
      </c>
      <c r="BM33" s="261"/>
      <c r="BN33" s="172"/>
      <c r="BO33" s="172"/>
      <c r="BP33" s="172"/>
      <c r="BQ33" s="171"/>
      <c r="BR33" s="313">
        <v>0.08</v>
      </c>
      <c r="BS33" s="247"/>
      <c r="BT33" s="172">
        <f t="shared" si="15"/>
        <v>0</v>
      </c>
      <c r="BU33" s="172">
        <f t="shared" ca="1" si="24"/>
        <v>0</v>
      </c>
      <c r="BV33" s="172">
        <f t="shared" ca="1" si="31"/>
        <v>0</v>
      </c>
      <c r="BW33" s="170" t="e">
        <f t="shared" ca="1" si="17"/>
        <v>#DIV/0!</v>
      </c>
      <c r="BX33" s="186"/>
    </row>
    <row r="34" spans="1:76" ht="15.95" customHeight="1">
      <c r="A34" s="168"/>
      <c r="B34" s="192" t="s">
        <v>374</v>
      </c>
      <c r="C34" s="165"/>
      <c r="D34" s="632">
        <f t="shared" ref="D34:I34" si="35">SUM(D23:D33)+D22+D16</f>
        <v>3313.9999999999995</v>
      </c>
      <c r="E34" s="632">
        <f t="shared" si="35"/>
        <v>0</v>
      </c>
      <c r="F34" s="632">
        <f t="shared" si="35"/>
        <v>0</v>
      </c>
      <c r="G34" s="633">
        <f t="shared" si="35"/>
        <v>2355559</v>
      </c>
      <c r="H34" s="633">
        <f t="shared" si="35"/>
        <v>3095783.975680002</v>
      </c>
      <c r="I34" s="633">
        <f t="shared" si="35"/>
        <v>1268128.8604199998</v>
      </c>
      <c r="J34" s="193"/>
      <c r="K34" s="822"/>
      <c r="L34" s="823"/>
      <c r="M34" s="821"/>
      <c r="N34" s="821"/>
      <c r="O34" s="247"/>
      <c r="P34" s="196"/>
      <c r="Q34" s="167"/>
      <c r="R34" s="252">
        <f t="shared" si="6"/>
        <v>533.17557386765975</v>
      </c>
      <c r="S34" s="252"/>
      <c r="T34" s="634">
        <f>SUM(T23:T33)+T22+T16</f>
        <v>1229.2527360000001</v>
      </c>
      <c r="U34" s="634">
        <f>SUM(U23:U33)+U22+U16</f>
        <v>167169.10855064241</v>
      </c>
      <c r="V34" s="634">
        <f>SUM(V23:V33)+V22+V16</f>
        <v>8295.9266931000057</v>
      </c>
      <c r="W34" s="634">
        <f>SUM(W23:W33)+W22+W16</f>
        <v>9.7199999999999995E-2</v>
      </c>
      <c r="X34" s="634">
        <f>SUM(X23:X33)+X22+X16</f>
        <v>176694.38517974241</v>
      </c>
      <c r="Y34" s="195"/>
      <c r="Z34" s="254">
        <f>(AC34-AD34-AE34+AF34-AG34)/D34*10</f>
        <v>526.67329913565879</v>
      </c>
      <c r="AA34" s="632">
        <f t="shared" ref="AA34:AH34" si="36">SUM(AA23:AA33)+AA22+AA16</f>
        <v>905.39856999999995</v>
      </c>
      <c r="AB34" s="634">
        <f t="shared" si="36"/>
        <v>905.39857000000006</v>
      </c>
      <c r="AC34" s="634">
        <f t="shared" si="36"/>
        <v>175788.98660974239</v>
      </c>
      <c r="AD34" s="634">
        <f>SUM(AD23:AD33)+AD22+AD16</f>
        <v>1249.455276185095</v>
      </c>
      <c r="AE34" s="634">
        <f t="shared" si="36"/>
        <v>0</v>
      </c>
      <c r="AF34" s="634">
        <f t="shared" si="36"/>
        <v>0</v>
      </c>
      <c r="AG34" s="822">
        <f>SUM(AG23:AG33)+AG22+AG16</f>
        <v>0</v>
      </c>
      <c r="AH34" s="634">
        <f t="shared" si="36"/>
        <v>175690.13805103442</v>
      </c>
      <c r="AI34" s="193"/>
      <c r="AJ34" s="822"/>
      <c r="AK34" s="823"/>
      <c r="AL34" s="821"/>
      <c r="AM34" s="821"/>
      <c r="AN34" s="247"/>
      <c r="AO34" s="193"/>
      <c r="AP34" s="193"/>
      <c r="AQ34" s="257">
        <f t="shared" si="9"/>
        <v>533.17557386765975</v>
      </c>
      <c r="AR34" s="181"/>
      <c r="AS34" s="634">
        <f>SUM(AS23:AS33)+AS22+AS16</f>
        <v>1229.2527360000001</v>
      </c>
      <c r="AT34" s="634">
        <f>SUM(AT23:AT33)+AT22+AT16</f>
        <v>167169.10855064241</v>
      </c>
      <c r="AU34" s="634">
        <f>SUM(AU23:AU33)+AU22+AU16</f>
        <v>8295.9266931000057</v>
      </c>
      <c r="AV34" s="634">
        <f>SUM(AV23:AV33)+AV22+AV16</f>
        <v>9.7199999999999995E-2</v>
      </c>
      <c r="AW34" s="634">
        <f>SUM(AW23:AW33)+AW22+AW16</f>
        <v>176694.38517974241</v>
      </c>
      <c r="AX34" s="80"/>
      <c r="AY34" s="257">
        <f t="shared" si="10"/>
        <v>530.44353231666389</v>
      </c>
      <c r="AZ34" s="632">
        <f t="shared" ref="AZ34:BI34" si="37">SUM(AZ23:AZ33)+AZ22+AZ16</f>
        <v>905.39856999999995</v>
      </c>
      <c r="BA34" s="634">
        <f t="shared" si="37"/>
        <v>905.39857000000006</v>
      </c>
      <c r="BB34" s="634">
        <f t="shared" si="37"/>
        <v>175788.98660974239</v>
      </c>
      <c r="BC34" s="634">
        <f t="shared" si="37"/>
        <v>175788.98660974239</v>
      </c>
      <c r="BD34" s="634">
        <f t="shared" si="37"/>
        <v>0</v>
      </c>
      <c r="BE34" s="634">
        <f t="shared" si="37"/>
        <v>0</v>
      </c>
      <c r="BF34" s="634">
        <f t="shared" si="37"/>
        <v>0</v>
      </c>
      <c r="BG34" s="634">
        <f t="shared" si="37"/>
        <v>0</v>
      </c>
      <c r="BH34" s="634">
        <f t="shared" si="37"/>
        <v>0</v>
      </c>
      <c r="BI34" s="634">
        <f t="shared" si="37"/>
        <v>0</v>
      </c>
      <c r="BJ34" s="257">
        <f t="shared" si="11"/>
        <v>3.7702331810050964</v>
      </c>
      <c r="BK34" s="257">
        <f t="shared" si="12"/>
        <v>0.7158580446725803</v>
      </c>
      <c r="BL34" s="257">
        <f t="shared" ca="1" si="13"/>
        <v>77.244392564906619</v>
      </c>
      <c r="BM34" s="634">
        <f>SUM(BM23:BM33)+BM22+BM16</f>
        <v>1249.455276185095</v>
      </c>
      <c r="BN34" s="634">
        <f>SUM(BN23:BN33)+BN22+BN16</f>
        <v>0</v>
      </c>
      <c r="BO34" s="634">
        <f>SUM(BO23:BO33)+BO22+BO16</f>
        <v>0</v>
      </c>
      <c r="BP34" s="634">
        <f>SUM(BP23:BP33)+BP22+BP16</f>
        <v>0</v>
      </c>
      <c r="BQ34" s="634">
        <f>SUM(BQ23:BQ33)+BQ22+BQ16</f>
        <v>175690.13805103442</v>
      </c>
      <c r="BR34" s="193"/>
      <c r="BS34" s="252">
        <f t="shared" si="14"/>
        <v>532.42185462264626</v>
      </c>
      <c r="BT34" s="634">
        <f>SUM(BT23:BT33)+BT22+BT16</f>
        <v>6556.1601220256971</v>
      </c>
      <c r="BU34" s="634">
        <f ca="1">SUM(BU23:BU33)+BU22+BU16</f>
        <v>227575.07797349966</v>
      </c>
      <c r="BV34" s="634">
        <f ca="1">SUM(BV23:BV33)+BV22+BV16</f>
        <v>51884.939922465215</v>
      </c>
      <c r="BW34" s="257">
        <f t="shared" ca="1" si="17"/>
        <v>156.56288449748106</v>
      </c>
      <c r="BX34" s="195"/>
    </row>
    <row r="35" spans="1:76" ht="15.95" customHeight="1">
      <c r="A35" s="64"/>
      <c r="B35" s="164" t="s">
        <v>75</v>
      </c>
      <c r="C35" s="165"/>
      <c r="D35" s="200"/>
      <c r="E35" s="200"/>
      <c r="F35" s="201"/>
      <c r="G35" s="202"/>
      <c r="H35" s="202"/>
      <c r="I35" s="202"/>
      <c r="J35" s="193"/>
      <c r="K35" s="817"/>
      <c r="L35" s="824"/>
      <c r="M35" s="820"/>
      <c r="N35" s="820"/>
      <c r="O35" s="248"/>
      <c r="P35" s="196"/>
      <c r="Q35" s="196"/>
      <c r="R35" s="248"/>
      <c r="S35" s="248"/>
      <c r="T35" s="196"/>
      <c r="U35" s="196"/>
      <c r="V35" s="193"/>
      <c r="W35" s="193"/>
      <c r="X35" s="193"/>
      <c r="Y35" s="196"/>
      <c r="Z35" s="193"/>
      <c r="AA35" s="201"/>
      <c r="AB35" s="193"/>
      <c r="AC35" s="262"/>
      <c r="AD35" s="193"/>
      <c r="AE35" s="193"/>
      <c r="AF35" s="817"/>
      <c r="AG35" s="817"/>
      <c r="AH35" s="193"/>
      <c r="AI35" s="193"/>
      <c r="AJ35" s="817"/>
      <c r="AK35" s="824"/>
      <c r="AL35" s="820"/>
      <c r="AM35" s="820"/>
      <c r="AN35" s="248"/>
      <c r="AO35" s="193"/>
      <c r="AP35" s="193"/>
      <c r="AQ35" s="193"/>
      <c r="AR35" s="193"/>
      <c r="AS35" s="193"/>
      <c r="AT35" s="193"/>
      <c r="AU35" s="193"/>
      <c r="AV35" s="193"/>
      <c r="AW35" s="193"/>
      <c r="AX35" s="817"/>
      <c r="AY35" s="193"/>
      <c r="AZ35" s="201"/>
      <c r="BA35" s="193"/>
      <c r="BB35" s="193"/>
      <c r="BC35" s="193"/>
      <c r="BD35" s="193"/>
      <c r="BE35" s="193"/>
      <c r="BF35" s="193"/>
      <c r="BG35" s="193"/>
      <c r="BH35" s="193"/>
      <c r="BI35" s="193"/>
      <c r="BJ35" s="193"/>
      <c r="BK35" s="193"/>
      <c r="BL35" s="193"/>
      <c r="BM35" s="262"/>
      <c r="BN35" s="193"/>
      <c r="BO35" s="193"/>
      <c r="BP35" s="193"/>
      <c r="BQ35" s="193"/>
      <c r="BR35" s="193"/>
      <c r="BS35" s="248"/>
      <c r="BT35" s="193"/>
      <c r="BU35" s="193"/>
      <c r="BV35" s="193"/>
      <c r="BW35" s="193"/>
      <c r="BX35" s="196"/>
    </row>
    <row r="36" spans="1:76" ht="15.95" customHeight="1">
      <c r="A36" s="168">
        <v>14</v>
      </c>
      <c r="B36" s="60" t="s">
        <v>76</v>
      </c>
      <c r="C36" s="165" t="s">
        <v>77</v>
      </c>
      <c r="D36" s="176">
        <f>'T-1'!R40</f>
        <v>14.5</v>
      </c>
      <c r="E36" s="617">
        <f>D36</f>
        <v>14.5</v>
      </c>
      <c r="F36" s="201"/>
      <c r="G36" s="170">
        <f>'T-1'!P40</f>
        <v>28</v>
      </c>
      <c r="H36" s="170">
        <f>'T-1'!Q40</f>
        <v>9795.7777777777792</v>
      </c>
      <c r="I36" s="170">
        <f>H36-G36</f>
        <v>9767.7777777777792</v>
      </c>
      <c r="J36" s="816">
        <v>20</v>
      </c>
      <c r="K36" s="405">
        <f>440+20+30</f>
        <v>490</v>
      </c>
      <c r="L36" s="817"/>
      <c r="M36" s="816"/>
      <c r="N36" s="820"/>
      <c r="O36" s="248">
        <v>250</v>
      </c>
      <c r="P36" s="195"/>
      <c r="Q36" s="171"/>
      <c r="R36" s="247">
        <f>X36/D36*10</f>
        <v>501.34473563218393</v>
      </c>
      <c r="S36" s="248"/>
      <c r="T36" s="825">
        <f>(H36*J36*12)/100000</f>
        <v>23.509866666666671</v>
      </c>
      <c r="U36" s="825">
        <f>(D36*K36/10)-((1.975*2*20)/10)</f>
        <v>702.6</v>
      </c>
      <c r="V36" s="193"/>
      <c r="W36" s="817">
        <f t="shared" ref="W36:W51" si="38">(O36*G36*12)/100000</f>
        <v>0.84</v>
      </c>
      <c r="X36" s="172">
        <f>SUM(T36:W36)</f>
        <v>726.94986666666671</v>
      </c>
      <c r="Y36" s="195">
        <v>0.1</v>
      </c>
      <c r="Z36" s="619">
        <f>(AC36-AD36-AE36+AF36-AG36)/D36*10</f>
        <v>495.24441839080458</v>
      </c>
      <c r="AA36" s="614">
        <f>4.42273*2</f>
        <v>8.8454599999999992</v>
      </c>
      <c r="AB36" s="172">
        <f>AA36*Y36*10</f>
        <v>8.8454599999999992</v>
      </c>
      <c r="AC36" s="261">
        <f t="shared" ref="AC36:AC50" si="39">X36-AB36</f>
        <v>718.1044066666667</v>
      </c>
      <c r="AD36" s="817"/>
      <c r="AE36" s="817">
        <f>(T36+U36)*0%</f>
        <v>0</v>
      </c>
      <c r="AF36" s="817">
        <f t="shared" ref="AF36:AF50" si="40">(T36+U36)*0%</f>
        <v>0</v>
      </c>
      <c r="AG36" s="817">
        <f t="shared" ref="AG36:AG37" si="41">(T36+U36)*0%</f>
        <v>0</v>
      </c>
      <c r="AH36" s="171">
        <f t="shared" ref="AH36:AH51" si="42">AC36-AD36+AE36+AF36-AG36</f>
        <v>718.1044066666667</v>
      </c>
      <c r="AI36" s="816">
        <v>20</v>
      </c>
      <c r="AJ36" s="405">
        <f>440+20+30</f>
        <v>490</v>
      </c>
      <c r="AK36" s="817"/>
      <c r="AL36" s="820"/>
      <c r="AM36" s="820"/>
      <c r="AN36" s="248">
        <v>250</v>
      </c>
      <c r="AO36" s="193"/>
      <c r="AP36" s="193"/>
      <c r="AQ36" s="170">
        <f>(AW36/D36)*10</f>
        <v>501.34473563218393</v>
      </c>
      <c r="AR36" s="172"/>
      <c r="AS36" s="172">
        <f>(H36*AI36*12)/100000</f>
        <v>23.509866666666671</v>
      </c>
      <c r="AT36" s="817">
        <f>(D36*AJ36/10)-((1.975*2*20)/10)</f>
        <v>702.6</v>
      </c>
      <c r="AU36" s="193"/>
      <c r="AV36" s="172">
        <f t="shared" ref="AV36:AV51" si="43">(AN36*G36*12)/100000</f>
        <v>0.84</v>
      </c>
      <c r="AW36" s="172">
        <f t="shared" ref="AW36:AW51" si="44">SUM(AS36:AV36)</f>
        <v>726.94986666666671</v>
      </c>
      <c r="AX36" s="174">
        <v>0.1</v>
      </c>
      <c r="AY36" s="170">
        <f t="shared" ref="AY36:AY50" si="45">(BB36-BM36-BN36+BO36-BP36)/D36*10</f>
        <v>495.24441839080458</v>
      </c>
      <c r="AZ36" s="173">
        <f>AA36</f>
        <v>8.8454599999999992</v>
      </c>
      <c r="BA36" s="172">
        <f>AZ36*AX36*10</f>
        <v>8.8454599999999992</v>
      </c>
      <c r="BB36" s="172">
        <f t="shared" ref="BB36:BB49" si="46">AW36-BA36</f>
        <v>718.1044066666667</v>
      </c>
      <c r="BC36" s="172">
        <f t="shared" ref="BC36:BC49" si="47">AC36</f>
        <v>718.1044066666667</v>
      </c>
      <c r="BD36" s="172">
        <f t="shared" ref="BD36:BD51" si="48">BB36-BC36</f>
        <v>0</v>
      </c>
      <c r="BE36" s="172">
        <f t="shared" ref="BE36:BE51" si="49">AS36-T36</f>
        <v>0</v>
      </c>
      <c r="BF36" s="172">
        <f t="shared" ref="BF36:BF51" si="50">AT36-U36</f>
        <v>0</v>
      </c>
      <c r="BG36" s="172"/>
      <c r="BH36" s="172">
        <f t="shared" ref="BH36:BH52" si="51">AV36-W36</f>
        <v>0</v>
      </c>
      <c r="BI36" s="172">
        <f t="shared" ref="BI36:BI52" si="52">AW36-X36</f>
        <v>0</v>
      </c>
      <c r="BJ36" s="170">
        <f>AY36-Z36</f>
        <v>0</v>
      </c>
      <c r="BK36" s="170">
        <f>BJ36/Z36*100</f>
        <v>0</v>
      </c>
      <c r="BL36" s="170">
        <f t="shared" ref="BL36:BL53" ca="1" si="53">AY36/$E$73*100</f>
        <v>95.813666537929336</v>
      </c>
      <c r="BM36" s="261">
        <f>AD36/X36*AW36</f>
        <v>0</v>
      </c>
      <c r="BN36" s="172">
        <f>AE36/(T36+U36+W36)*(AS36+AT36+AV36)</f>
        <v>0</v>
      </c>
      <c r="BO36" s="172"/>
      <c r="BP36" s="172">
        <f t="shared" ref="BP36:BP51" si="54">AG36/(T36+U36+W36)*(AS36+AT36+AV36)</f>
        <v>0</v>
      </c>
      <c r="BQ36" s="171">
        <f t="shared" ref="BQ36:BQ52" si="55">BB36-BM36+BN36+BO36-BP36</f>
        <v>718.1044066666667</v>
      </c>
      <c r="BR36" s="313">
        <v>0.08</v>
      </c>
      <c r="BS36" s="247">
        <f>BT36/D36+AY36</f>
        <v>499.12083218390802</v>
      </c>
      <c r="BT36" s="172">
        <f t="shared" ref="BT36:BT51" si="56">BR36*AT36</f>
        <v>56.208000000000006</v>
      </c>
      <c r="BU36" s="172">
        <f t="shared" ref="BU36:BU51" ca="1" si="57">D36*$E$73/10</f>
        <v>749.48014475825721</v>
      </c>
      <c r="BV36" s="172">
        <f t="shared" ref="BV36:BV51" ca="1" si="58">BU36-BQ36</f>
        <v>31.375738091590506</v>
      </c>
      <c r="BW36" s="170">
        <f t="shared" ref="BW36:BW53" ca="1" si="59">BV36/D36*10</f>
        <v>21.638440063165866</v>
      </c>
      <c r="BX36" s="193"/>
    </row>
    <row r="37" spans="1:76" ht="15.95" customHeight="1">
      <c r="A37" s="203">
        <v>15</v>
      </c>
      <c r="B37" s="814" t="s">
        <v>63</v>
      </c>
      <c r="C37" s="165" t="s">
        <v>77</v>
      </c>
      <c r="D37" s="176">
        <f>'T-1'!R41</f>
        <v>60</v>
      </c>
      <c r="E37" s="617">
        <f t="shared" ref="E37:E38" si="60">D37</f>
        <v>60</v>
      </c>
      <c r="F37" s="201"/>
      <c r="G37" s="170">
        <f>'T-1'!P41</f>
        <v>37</v>
      </c>
      <c r="H37" s="170">
        <f>'T-1'!Q41</f>
        <v>124968.22222222222</v>
      </c>
      <c r="I37" s="170">
        <f>H37-G37</f>
        <v>124931.22222222222</v>
      </c>
      <c r="J37" s="816">
        <v>30</v>
      </c>
      <c r="K37" s="816">
        <v>140</v>
      </c>
      <c r="L37" s="814"/>
      <c r="M37" s="816"/>
      <c r="N37" s="820"/>
      <c r="O37" s="248">
        <v>250</v>
      </c>
      <c r="P37" s="195"/>
      <c r="Q37" s="171"/>
      <c r="R37" s="247">
        <f t="shared" ref="R37:R38" si="61">X37/D37*10</f>
        <v>212.3486</v>
      </c>
      <c r="S37" s="248"/>
      <c r="T37" s="825">
        <f>(H37*J37*12)/100000</f>
        <v>449.88560000000001</v>
      </c>
      <c r="U37" s="825">
        <f>(D37*K37/10)-((4.226*2*20)/10)</f>
        <v>823.096</v>
      </c>
      <c r="V37" s="193"/>
      <c r="W37" s="817">
        <f t="shared" si="38"/>
        <v>1.1100000000000001</v>
      </c>
      <c r="X37" s="172">
        <f t="shared" ref="X37:X51" si="62">SUM(T37:W37)</f>
        <v>1274.0916</v>
      </c>
      <c r="Y37" s="195">
        <v>0.1</v>
      </c>
      <c r="Z37" s="619">
        <f>(AC37-AD37-AE37+AF37-AG37)/D37*10</f>
        <v>210.07798666666667</v>
      </c>
      <c r="AA37" s="614">
        <f>6.81184*2</f>
        <v>13.62368</v>
      </c>
      <c r="AB37" s="172">
        <f>AA37*Y37*10</f>
        <v>13.62368</v>
      </c>
      <c r="AC37" s="261">
        <f t="shared" si="39"/>
        <v>1260.46792</v>
      </c>
      <c r="AD37" s="817"/>
      <c r="AE37" s="817">
        <f>(T37+U37)*0%</f>
        <v>0</v>
      </c>
      <c r="AF37" s="817">
        <f t="shared" si="40"/>
        <v>0</v>
      </c>
      <c r="AG37" s="817">
        <f t="shared" si="41"/>
        <v>0</v>
      </c>
      <c r="AH37" s="171">
        <f t="shared" si="42"/>
        <v>1260.46792</v>
      </c>
      <c r="AI37" s="816">
        <v>30</v>
      </c>
      <c r="AJ37" s="816">
        <v>140</v>
      </c>
      <c r="AK37" s="814"/>
      <c r="AL37" s="820"/>
      <c r="AM37" s="820"/>
      <c r="AN37" s="248">
        <v>250</v>
      </c>
      <c r="AO37" s="193"/>
      <c r="AP37" s="193"/>
      <c r="AQ37" s="170">
        <f t="shared" ref="AQ37:AQ38" si="63">(AW37/D37)*10</f>
        <v>212.3486</v>
      </c>
      <c r="AR37" s="172"/>
      <c r="AS37" s="172">
        <f>(H37*AI37*12)/100000</f>
        <v>449.88560000000001</v>
      </c>
      <c r="AT37" s="817">
        <f>(D37*AJ37/10)-((4.226*2*20)/10)</f>
        <v>823.096</v>
      </c>
      <c r="AU37" s="193"/>
      <c r="AV37" s="172">
        <f t="shared" si="43"/>
        <v>1.1100000000000001</v>
      </c>
      <c r="AW37" s="172">
        <f t="shared" si="44"/>
        <v>1274.0916</v>
      </c>
      <c r="AX37" s="831">
        <v>0.1</v>
      </c>
      <c r="AY37" s="170">
        <f t="shared" si="45"/>
        <v>210.07798666666667</v>
      </c>
      <c r="AZ37" s="173">
        <f t="shared" ref="AZ37:AZ38" si="64">AA37</f>
        <v>13.62368</v>
      </c>
      <c r="BA37" s="172">
        <f t="shared" ref="BA37:BA38" si="65">AZ37*AX37*10</f>
        <v>13.62368</v>
      </c>
      <c r="BB37" s="172">
        <f t="shared" si="46"/>
        <v>1260.46792</v>
      </c>
      <c r="BC37" s="172">
        <f t="shared" si="47"/>
        <v>1260.46792</v>
      </c>
      <c r="BD37" s="172">
        <f t="shared" si="48"/>
        <v>0</v>
      </c>
      <c r="BE37" s="172">
        <f t="shared" si="49"/>
        <v>0</v>
      </c>
      <c r="BF37" s="172">
        <f t="shared" si="50"/>
        <v>0</v>
      </c>
      <c r="BG37" s="172"/>
      <c r="BH37" s="172">
        <f t="shared" si="51"/>
        <v>0</v>
      </c>
      <c r="BI37" s="172">
        <f t="shared" si="52"/>
        <v>0</v>
      </c>
      <c r="BJ37" s="170">
        <f>AY37-Z37</f>
        <v>0</v>
      </c>
      <c r="BK37" s="170">
        <f>BJ37/Z37*100</f>
        <v>0</v>
      </c>
      <c r="BL37" s="170">
        <f t="shared" ca="1" si="53"/>
        <v>40.643248896862886</v>
      </c>
      <c r="BM37" s="261"/>
      <c r="BN37" s="172">
        <f>AE37/(T37+U37+W37)*(AS37+AT37+AV37)</f>
        <v>0</v>
      </c>
      <c r="BO37" s="172"/>
      <c r="BP37" s="172">
        <f t="shared" si="54"/>
        <v>0</v>
      </c>
      <c r="BQ37" s="171">
        <f t="shared" si="55"/>
        <v>1260.46792</v>
      </c>
      <c r="BR37" s="313">
        <v>0.02</v>
      </c>
      <c r="BS37" s="247">
        <f>BT37/D37+AY37</f>
        <v>210.352352</v>
      </c>
      <c r="BT37" s="172">
        <f t="shared" si="56"/>
        <v>16.461919999999999</v>
      </c>
      <c r="BU37" s="172">
        <f t="shared" ca="1" si="57"/>
        <v>3101.2971507238226</v>
      </c>
      <c r="BV37" s="172">
        <f t="shared" ca="1" si="58"/>
        <v>1840.8292307238225</v>
      </c>
      <c r="BW37" s="170">
        <f t="shared" ca="1" si="59"/>
        <v>306.8048717873038</v>
      </c>
      <c r="BX37" s="193"/>
    </row>
    <row r="38" spans="1:76" ht="15.95" customHeight="1">
      <c r="A38" s="168">
        <v>16</v>
      </c>
      <c r="B38" s="814" t="s">
        <v>64</v>
      </c>
      <c r="C38" s="165" t="s">
        <v>77</v>
      </c>
      <c r="D38" s="176">
        <f>'T-1'!R42</f>
        <v>5</v>
      </c>
      <c r="E38" s="617">
        <f t="shared" si="60"/>
        <v>5</v>
      </c>
      <c r="F38" s="201"/>
      <c r="G38" s="170">
        <f>'T-1'!P42</f>
        <v>7</v>
      </c>
      <c r="H38" s="170">
        <f>'T-1'!Q42</f>
        <v>1666.8</v>
      </c>
      <c r="I38" s="170">
        <f>H38-G38</f>
        <v>1659.8</v>
      </c>
      <c r="J38" s="816">
        <v>30</v>
      </c>
      <c r="K38" s="816">
        <v>150</v>
      </c>
      <c r="L38" s="814"/>
      <c r="M38" s="816"/>
      <c r="N38" s="820"/>
      <c r="O38" s="248">
        <v>250</v>
      </c>
      <c r="P38" s="195"/>
      <c r="Q38" s="171"/>
      <c r="R38" s="247">
        <f t="shared" si="61"/>
        <v>157.69295999999997</v>
      </c>
      <c r="S38" s="248"/>
      <c r="T38" s="825">
        <f>(H38*J38*12)/100000</f>
        <v>6.0004799999999996</v>
      </c>
      <c r="U38" s="825">
        <f>(D38*K38/10)-((0.591*2*20)/10)</f>
        <v>72.635999999999996</v>
      </c>
      <c r="V38" s="193"/>
      <c r="W38" s="817">
        <f t="shared" si="38"/>
        <v>0.21</v>
      </c>
      <c r="X38" s="172">
        <f>SUM(T38:W38)</f>
        <v>78.846479999999985</v>
      </c>
      <c r="Y38" s="195">
        <v>0.1</v>
      </c>
      <c r="Z38" s="619">
        <f t="shared" ref="Z38:Z51" si="66">(AC38-AD38-AE38+AF38-AG38)/D38*10</f>
        <v>151.66483999999997</v>
      </c>
      <c r="AA38" s="614">
        <f>1.50703*2</f>
        <v>3.0140600000000002</v>
      </c>
      <c r="AB38" s="172">
        <f>AA38*Y38*10</f>
        <v>3.0140600000000006</v>
      </c>
      <c r="AC38" s="261">
        <f>X38-AB38</f>
        <v>75.832419999999985</v>
      </c>
      <c r="AD38" s="817"/>
      <c r="AE38" s="817"/>
      <c r="AF38" s="817">
        <f t="shared" si="40"/>
        <v>0</v>
      </c>
      <c r="AG38" s="817">
        <f>(T38+U38)*0%</f>
        <v>0</v>
      </c>
      <c r="AH38" s="171">
        <f t="shared" si="42"/>
        <v>75.832419999999985</v>
      </c>
      <c r="AI38" s="816">
        <v>30</v>
      </c>
      <c r="AJ38" s="816">
        <v>150</v>
      </c>
      <c r="AK38" s="814"/>
      <c r="AL38" s="820"/>
      <c r="AM38" s="820"/>
      <c r="AN38" s="248">
        <v>250</v>
      </c>
      <c r="AO38" s="193"/>
      <c r="AP38" s="193"/>
      <c r="AQ38" s="170">
        <f t="shared" si="63"/>
        <v>157.69295999999997</v>
      </c>
      <c r="AR38" s="172"/>
      <c r="AS38" s="172">
        <f>(H38*AI38*12)/100000</f>
        <v>6.0004799999999996</v>
      </c>
      <c r="AT38" s="817">
        <f>(D38*AJ38/10)-((0.591*2*20)/10)</f>
        <v>72.635999999999996</v>
      </c>
      <c r="AU38" s="193"/>
      <c r="AV38" s="172">
        <f t="shared" si="43"/>
        <v>0.21</v>
      </c>
      <c r="AW38" s="172">
        <f>SUM(AS38:AV38)</f>
        <v>78.846479999999985</v>
      </c>
      <c r="AX38" s="831">
        <v>0.1</v>
      </c>
      <c r="AY38" s="170">
        <f t="shared" si="45"/>
        <v>151.66483999999997</v>
      </c>
      <c r="AZ38" s="173">
        <f t="shared" si="64"/>
        <v>3.0140600000000002</v>
      </c>
      <c r="BA38" s="172">
        <f t="shared" si="65"/>
        <v>3.0140600000000006</v>
      </c>
      <c r="BB38" s="172">
        <f>AW38-BA38</f>
        <v>75.832419999999985</v>
      </c>
      <c r="BC38" s="172">
        <f>AC38</f>
        <v>75.832419999999985</v>
      </c>
      <c r="BD38" s="172">
        <f>BB38-BC38</f>
        <v>0</v>
      </c>
      <c r="BE38" s="172">
        <f t="shared" si="49"/>
        <v>0</v>
      </c>
      <c r="BF38" s="172">
        <f t="shared" si="50"/>
        <v>0</v>
      </c>
      <c r="BG38" s="172"/>
      <c r="BH38" s="172">
        <f t="shared" si="51"/>
        <v>0</v>
      </c>
      <c r="BI38" s="172">
        <f t="shared" si="52"/>
        <v>0</v>
      </c>
      <c r="BJ38" s="170">
        <f>AY38-Z38</f>
        <v>0</v>
      </c>
      <c r="BK38" s="170">
        <f>BJ38/Z38*100</f>
        <v>0</v>
      </c>
      <c r="BL38" s="170">
        <f t="shared" ca="1" si="53"/>
        <v>29.342207333715642</v>
      </c>
      <c r="BM38" s="261"/>
      <c r="BN38" s="172"/>
      <c r="BO38" s="172">
        <f>AF38/(T38+U38+W38)*(AS38+AT38+AV38)</f>
        <v>0</v>
      </c>
      <c r="BP38" s="172">
        <f t="shared" si="54"/>
        <v>0</v>
      </c>
      <c r="BQ38" s="171">
        <f t="shared" si="55"/>
        <v>75.832419999999985</v>
      </c>
      <c r="BR38" s="313">
        <v>0.02</v>
      </c>
      <c r="BS38" s="247">
        <f>BT38/D38+AY38</f>
        <v>151.95538399999998</v>
      </c>
      <c r="BT38" s="172">
        <f t="shared" si="56"/>
        <v>1.45272</v>
      </c>
      <c r="BU38" s="172">
        <f t="shared" ca="1" si="57"/>
        <v>258.44142922698524</v>
      </c>
      <c r="BV38" s="172">
        <f ca="1">BU38-BQ38</f>
        <v>182.60900922698525</v>
      </c>
      <c r="BW38" s="170">
        <f t="shared" ca="1" si="59"/>
        <v>365.2180184539705</v>
      </c>
      <c r="BX38" s="193"/>
    </row>
    <row r="39" spans="1:76" ht="15.95" customHeight="1">
      <c r="A39" s="203">
        <v>17</v>
      </c>
      <c r="B39" s="814" t="s">
        <v>65</v>
      </c>
      <c r="C39" s="165" t="s">
        <v>77</v>
      </c>
      <c r="D39" s="176">
        <f>'T-1'!R43</f>
        <v>7.2</v>
      </c>
      <c r="E39" s="617">
        <f>D39-F39</f>
        <v>7.2</v>
      </c>
      <c r="F39" s="201"/>
      <c r="G39" s="170">
        <f>'T-1'!P43</f>
        <v>14</v>
      </c>
      <c r="H39" s="170">
        <f>'T-1'!Q43</f>
        <v>2926.8</v>
      </c>
      <c r="I39" s="170">
        <f>H39-G39</f>
        <v>2912.8</v>
      </c>
      <c r="J39" s="816">
        <v>50</v>
      </c>
      <c r="K39" s="816">
        <f>410+20+30</f>
        <v>460</v>
      </c>
      <c r="L39" s="814"/>
      <c r="M39" s="816"/>
      <c r="N39" s="820"/>
      <c r="O39" s="248">
        <v>250</v>
      </c>
      <c r="P39" s="195"/>
      <c r="Q39" s="171"/>
      <c r="R39" s="247">
        <f>X39/D39*10</f>
        <v>482.12333333333333</v>
      </c>
      <c r="S39" s="248"/>
      <c r="T39" s="825">
        <f>(H39*J39*12)/100000</f>
        <v>17.5608</v>
      </c>
      <c r="U39" s="825">
        <f>(D39*K39/10)-((0.513*2*20)/10)</f>
        <v>329.14799999999997</v>
      </c>
      <c r="V39" s="193"/>
      <c r="W39" s="817">
        <f t="shared" si="38"/>
        <v>0.42</v>
      </c>
      <c r="X39" s="172">
        <f t="shared" si="62"/>
        <v>347.12880000000001</v>
      </c>
      <c r="Y39" s="195"/>
      <c r="Z39" s="619">
        <f t="shared" si="66"/>
        <v>477.3021</v>
      </c>
      <c r="AA39" s="201"/>
      <c r="AB39" s="172"/>
      <c r="AC39" s="261">
        <f>X39-AB39</f>
        <v>347.12880000000001</v>
      </c>
      <c r="AD39" s="817">
        <f>X39*1%</f>
        <v>3.4712880000000004</v>
      </c>
      <c r="AE39" s="817"/>
      <c r="AF39" s="817">
        <f t="shared" si="40"/>
        <v>0</v>
      </c>
      <c r="AG39" s="817">
        <f>(T39+U39)*0%</f>
        <v>0</v>
      </c>
      <c r="AH39" s="171">
        <f t="shared" si="42"/>
        <v>343.657512</v>
      </c>
      <c r="AI39" s="816">
        <v>50</v>
      </c>
      <c r="AJ39" s="816">
        <f>410+20+30</f>
        <v>460</v>
      </c>
      <c r="AK39" s="814"/>
      <c r="AL39" s="820"/>
      <c r="AM39" s="820"/>
      <c r="AN39" s="248">
        <v>250</v>
      </c>
      <c r="AO39" s="193"/>
      <c r="AP39" s="193"/>
      <c r="AQ39" s="170">
        <f t="shared" ref="AQ39:AQ51" si="67">(AW39/D39)*10</f>
        <v>482.12333333333333</v>
      </c>
      <c r="AR39" s="172"/>
      <c r="AS39" s="172">
        <f>(H39*AI39*12)/100000</f>
        <v>17.5608</v>
      </c>
      <c r="AT39" s="817">
        <f>(D39*AJ39/10)-((0.513*2*20)/10)</f>
        <v>329.14799999999997</v>
      </c>
      <c r="AU39" s="193"/>
      <c r="AV39" s="172">
        <f t="shared" si="43"/>
        <v>0.42</v>
      </c>
      <c r="AW39" s="172">
        <f>SUM(AS39:AV39)</f>
        <v>347.12880000000001</v>
      </c>
      <c r="AX39" s="831"/>
      <c r="AY39" s="170">
        <f t="shared" si="45"/>
        <v>477.3021</v>
      </c>
      <c r="AZ39" s="195"/>
      <c r="BA39" s="172"/>
      <c r="BB39" s="172">
        <f>AW39-BA39</f>
        <v>347.12880000000001</v>
      </c>
      <c r="BC39" s="172">
        <f>AC39</f>
        <v>347.12880000000001</v>
      </c>
      <c r="BD39" s="172">
        <f>BB39-BC39</f>
        <v>0</v>
      </c>
      <c r="BE39" s="172">
        <f t="shared" si="49"/>
        <v>0</v>
      </c>
      <c r="BF39" s="172">
        <f t="shared" si="50"/>
        <v>0</v>
      </c>
      <c r="BG39" s="172"/>
      <c r="BH39" s="172">
        <f t="shared" si="51"/>
        <v>0</v>
      </c>
      <c r="BI39" s="172">
        <f t="shared" si="52"/>
        <v>0</v>
      </c>
      <c r="BJ39" s="170">
        <f>AY39-Z39</f>
        <v>0</v>
      </c>
      <c r="BK39" s="170">
        <f>BJ39/Z39*100</f>
        <v>0</v>
      </c>
      <c r="BL39" s="170">
        <f t="shared" ca="1" si="53"/>
        <v>92.342412249390691</v>
      </c>
      <c r="BM39" s="261">
        <f>AD39/X39*AW39</f>
        <v>3.4712880000000004</v>
      </c>
      <c r="BN39" s="172"/>
      <c r="BO39" s="172">
        <f>AF39/(T39+U39+W39)*(AS39+AT39+AV39)</f>
        <v>0</v>
      </c>
      <c r="BP39" s="172">
        <f t="shared" si="54"/>
        <v>0</v>
      </c>
      <c r="BQ39" s="171">
        <f t="shared" si="55"/>
        <v>343.657512</v>
      </c>
      <c r="BR39" s="313">
        <v>0.02</v>
      </c>
      <c r="BS39" s="247">
        <f>BT39/D39+AY39</f>
        <v>478.21640000000002</v>
      </c>
      <c r="BT39" s="172">
        <f t="shared" si="56"/>
        <v>6.5829599999999999</v>
      </c>
      <c r="BU39" s="172">
        <f t="shared" ca="1" si="57"/>
        <v>372.15565808685875</v>
      </c>
      <c r="BV39" s="172">
        <f ca="1">BU39-BQ39</f>
        <v>28.498146086858753</v>
      </c>
      <c r="BW39" s="170">
        <f t="shared" ca="1" si="59"/>
        <v>39.580758453970489</v>
      </c>
      <c r="BX39" s="193"/>
    </row>
    <row r="40" spans="1:76" ht="15.95" customHeight="1">
      <c r="A40" s="168">
        <v>18</v>
      </c>
      <c r="B40" s="814" t="s">
        <v>78</v>
      </c>
      <c r="C40" s="165" t="s">
        <v>77</v>
      </c>
      <c r="D40" s="176">
        <f>'T-1'!R44</f>
        <v>36</v>
      </c>
      <c r="E40" s="617">
        <f>D40-F40</f>
        <v>35.567999999999998</v>
      </c>
      <c r="F40" s="818">
        <f>D40*1.2%</f>
        <v>0.432</v>
      </c>
      <c r="G40" s="170">
        <f>'T-1'!P44</f>
        <v>71</v>
      </c>
      <c r="H40" s="170">
        <f>'T-1'!Q44</f>
        <v>28783</v>
      </c>
      <c r="I40" s="202"/>
      <c r="J40" s="816">
        <v>250</v>
      </c>
      <c r="K40" s="816">
        <f t="shared" ref="K40:K49" si="68">535+20+30</f>
        <v>585</v>
      </c>
      <c r="L40" s="819">
        <f t="shared" ref="L40:L49" si="69">425+20+30</f>
        <v>475</v>
      </c>
      <c r="M40" s="816"/>
      <c r="N40" s="820"/>
      <c r="O40" s="248">
        <v>250</v>
      </c>
      <c r="P40" s="195"/>
      <c r="Q40" s="171"/>
      <c r="R40" s="247">
        <f>X40/D40*10</f>
        <v>772.47611111111109</v>
      </c>
      <c r="S40" s="195">
        <v>0.8</v>
      </c>
      <c r="T40" s="825">
        <f t="shared" ref="T40:T50" si="70">(H40*J40*S40*12)/100000</f>
        <v>690.79200000000003</v>
      </c>
      <c r="U40" s="825">
        <f>((E40*K40+F40*L40)/10)-((3.314*2*20)/10)</f>
        <v>2087.9920000000002</v>
      </c>
      <c r="V40" s="193"/>
      <c r="W40" s="817">
        <f t="shared" si="38"/>
        <v>2.13</v>
      </c>
      <c r="X40" s="172">
        <f t="shared" si="62"/>
        <v>2780.9140000000002</v>
      </c>
      <c r="Y40" s="195"/>
      <c r="Z40" s="619">
        <f t="shared" si="66"/>
        <v>764.75135000000012</v>
      </c>
      <c r="AA40" s="195"/>
      <c r="AB40" s="817"/>
      <c r="AC40" s="261">
        <f t="shared" si="39"/>
        <v>2780.9140000000002</v>
      </c>
      <c r="AD40" s="817">
        <f>X40*1%</f>
        <v>27.809140000000003</v>
      </c>
      <c r="AE40" s="817">
        <f>(T40+U40)*0%</f>
        <v>0</v>
      </c>
      <c r="AF40" s="817">
        <f t="shared" si="40"/>
        <v>0</v>
      </c>
      <c r="AG40" s="817">
        <f>(T40+U40)*0%</f>
        <v>0</v>
      </c>
      <c r="AH40" s="171">
        <f t="shared" si="42"/>
        <v>2753.1048600000004</v>
      </c>
      <c r="AI40" s="816">
        <v>250</v>
      </c>
      <c r="AJ40" s="816">
        <f t="shared" ref="AJ40:AJ49" si="71">535+20+30</f>
        <v>585</v>
      </c>
      <c r="AK40" s="819">
        <f t="shared" ref="AK40:AK49" si="72">425+20+30</f>
        <v>475</v>
      </c>
      <c r="AL40" s="820"/>
      <c r="AM40" s="820"/>
      <c r="AN40" s="248">
        <v>250</v>
      </c>
      <c r="AO40" s="193"/>
      <c r="AP40" s="193"/>
      <c r="AQ40" s="170">
        <f t="shared" si="67"/>
        <v>772.47611111111109</v>
      </c>
      <c r="AR40" s="172">
        <v>0.8</v>
      </c>
      <c r="AS40" s="172">
        <f t="shared" ref="AS40:AS51" si="73">(H40*AI40*AR40*12)/100000</f>
        <v>690.79200000000003</v>
      </c>
      <c r="AT40" s="817">
        <f>((E40*AJ40+F40*AK40)/10)-((3.314*2*20)/10)</f>
        <v>2087.9920000000002</v>
      </c>
      <c r="AU40" s="193"/>
      <c r="AV40" s="172">
        <f t="shared" si="43"/>
        <v>2.13</v>
      </c>
      <c r="AW40" s="172">
        <f t="shared" si="44"/>
        <v>2780.9140000000002</v>
      </c>
      <c r="AX40" s="826"/>
      <c r="AY40" s="170">
        <f t="shared" si="45"/>
        <v>764.75135000000012</v>
      </c>
      <c r="AZ40" s="195"/>
      <c r="BA40" s="172"/>
      <c r="BB40" s="172">
        <f t="shared" si="46"/>
        <v>2780.9140000000002</v>
      </c>
      <c r="BC40" s="172">
        <f t="shared" si="47"/>
        <v>2780.9140000000002</v>
      </c>
      <c r="BD40" s="172">
        <f t="shared" si="48"/>
        <v>0</v>
      </c>
      <c r="BE40" s="172">
        <f t="shared" si="49"/>
        <v>0</v>
      </c>
      <c r="BF40" s="172">
        <f t="shared" si="50"/>
        <v>0</v>
      </c>
      <c r="BG40" s="172"/>
      <c r="BH40" s="172">
        <f t="shared" si="51"/>
        <v>0</v>
      </c>
      <c r="BI40" s="172">
        <f t="shared" si="52"/>
        <v>0</v>
      </c>
      <c r="BJ40" s="170">
        <f t="shared" ref="BJ40:BJ53" si="74">AY40-Z40</f>
        <v>0</v>
      </c>
      <c r="BK40" s="170">
        <f t="shared" ref="BK40:BK53" si="75">BJ40/Z40*100</f>
        <v>0</v>
      </c>
      <c r="BL40" s="170">
        <f t="shared" ca="1" si="53"/>
        <v>147.95448088323533</v>
      </c>
      <c r="BM40" s="261">
        <f>AD40/X40*AW40</f>
        <v>27.809140000000003</v>
      </c>
      <c r="BN40" s="172">
        <f>AE40/(T40+U40+W40)*(AS40+AT40+AV40)</f>
        <v>0</v>
      </c>
      <c r="BO40" s="172">
        <f>AF40/(T40+U40+W40)*(AS40+AT40+AV40)</f>
        <v>0</v>
      </c>
      <c r="BP40" s="172">
        <f t="shared" si="54"/>
        <v>0</v>
      </c>
      <c r="BQ40" s="171">
        <f t="shared" si="55"/>
        <v>2753.1048600000004</v>
      </c>
      <c r="BR40" s="313">
        <v>0.08</v>
      </c>
      <c r="BS40" s="247">
        <f t="shared" ref="BS40:BS51" si="76">BT40/D40+AY40</f>
        <v>769.39133222222233</v>
      </c>
      <c r="BT40" s="172">
        <f t="shared" si="56"/>
        <v>167.03936000000002</v>
      </c>
      <c r="BU40" s="172">
        <f t="shared" ca="1" si="57"/>
        <v>1860.7782904342937</v>
      </c>
      <c r="BV40" s="172">
        <f t="shared" ca="1" si="58"/>
        <v>-892.32656956570668</v>
      </c>
      <c r="BW40" s="170">
        <f t="shared" ca="1" si="59"/>
        <v>-247.86849154602962</v>
      </c>
      <c r="BX40" s="195"/>
    </row>
    <row r="41" spans="1:76" ht="15.95" customHeight="1">
      <c r="A41" s="203">
        <v>19</v>
      </c>
      <c r="B41" s="814" t="s">
        <v>375</v>
      </c>
      <c r="C41" s="165" t="s">
        <v>77</v>
      </c>
      <c r="D41" s="176">
        <f>'T-1'!R45</f>
        <v>0.1</v>
      </c>
      <c r="E41" s="617">
        <f>D41-F41</f>
        <v>0.1</v>
      </c>
      <c r="F41" s="818"/>
      <c r="G41" s="170">
        <f>'T-1'!P45</f>
        <v>1</v>
      </c>
      <c r="H41" s="170">
        <f>'T-1'!Q45</f>
        <v>150</v>
      </c>
      <c r="I41" s="202"/>
      <c r="J41" s="816">
        <v>250</v>
      </c>
      <c r="K41" s="816">
        <f t="shared" si="68"/>
        <v>585</v>
      </c>
      <c r="L41" s="819">
        <f t="shared" si="69"/>
        <v>475</v>
      </c>
      <c r="M41" s="816"/>
      <c r="N41" s="820"/>
      <c r="O41" s="248">
        <v>250</v>
      </c>
      <c r="P41" s="195"/>
      <c r="Q41" s="171"/>
      <c r="R41" s="247"/>
      <c r="S41" s="195">
        <v>0.8</v>
      </c>
      <c r="T41" s="825">
        <f t="shared" si="70"/>
        <v>3.6</v>
      </c>
      <c r="U41" s="825">
        <f>((E41*K41+F41*L41)/10)-((0*2*20)/10)</f>
        <v>5.85</v>
      </c>
      <c r="V41" s="193"/>
      <c r="W41" s="817">
        <f t="shared" si="38"/>
        <v>0.03</v>
      </c>
      <c r="X41" s="172">
        <f>SUM(T41:W41)</f>
        <v>9.4799999999999986</v>
      </c>
      <c r="Y41" s="195">
        <v>0.1</v>
      </c>
      <c r="Z41" s="619">
        <f t="shared" si="66"/>
        <v>947.99999999999977</v>
      </c>
      <c r="AA41" s="195"/>
      <c r="AB41" s="172">
        <f>AA41*Y41*10</f>
        <v>0</v>
      </c>
      <c r="AC41" s="261">
        <f t="shared" si="39"/>
        <v>9.4799999999999986</v>
      </c>
      <c r="AD41" s="817"/>
      <c r="AE41" s="817"/>
      <c r="AF41" s="817">
        <f t="shared" si="40"/>
        <v>0</v>
      </c>
      <c r="AG41" s="817">
        <f>(T41+U41)*0%</f>
        <v>0</v>
      </c>
      <c r="AH41" s="171">
        <f t="shared" si="42"/>
        <v>9.4799999999999986</v>
      </c>
      <c r="AI41" s="816">
        <v>250</v>
      </c>
      <c r="AJ41" s="816">
        <f t="shared" si="71"/>
        <v>585</v>
      </c>
      <c r="AK41" s="819">
        <f t="shared" si="72"/>
        <v>475</v>
      </c>
      <c r="AL41" s="820"/>
      <c r="AM41" s="820"/>
      <c r="AN41" s="248">
        <v>250</v>
      </c>
      <c r="AO41" s="193"/>
      <c r="AP41" s="193"/>
      <c r="AQ41" s="170">
        <f t="shared" si="67"/>
        <v>947.99999999999977</v>
      </c>
      <c r="AR41" s="172">
        <v>0.8</v>
      </c>
      <c r="AS41" s="172">
        <f t="shared" si="73"/>
        <v>3.6</v>
      </c>
      <c r="AT41" s="817">
        <f>D41*AJ41/10</f>
        <v>5.85</v>
      </c>
      <c r="AU41" s="193"/>
      <c r="AV41" s="172">
        <f t="shared" si="43"/>
        <v>0.03</v>
      </c>
      <c r="AW41" s="172">
        <f>SUM(AS41:AV41)</f>
        <v>9.4799999999999986</v>
      </c>
      <c r="AX41" s="826"/>
      <c r="AY41" s="170">
        <f t="shared" si="45"/>
        <v>947.99999999999977</v>
      </c>
      <c r="AZ41" s="195"/>
      <c r="BA41" s="172"/>
      <c r="BB41" s="172">
        <f>AW41-BA41</f>
        <v>9.4799999999999986</v>
      </c>
      <c r="BC41" s="172">
        <f t="shared" si="47"/>
        <v>9.4799999999999986</v>
      </c>
      <c r="BD41" s="172">
        <f>BB41-BC41</f>
        <v>0</v>
      </c>
      <c r="BE41" s="172">
        <f t="shared" si="49"/>
        <v>0</v>
      </c>
      <c r="BF41" s="172">
        <f t="shared" si="50"/>
        <v>0</v>
      </c>
      <c r="BG41" s="172"/>
      <c r="BH41" s="172">
        <f t="shared" si="51"/>
        <v>0</v>
      </c>
      <c r="BI41" s="172">
        <f t="shared" si="52"/>
        <v>0</v>
      </c>
      <c r="BJ41" s="170">
        <f t="shared" si="74"/>
        <v>0</v>
      </c>
      <c r="BK41" s="170">
        <f t="shared" si="75"/>
        <v>0</v>
      </c>
      <c r="BL41" s="170">
        <f t="shared" ca="1" si="53"/>
        <v>183.40712687503859</v>
      </c>
      <c r="BM41" s="261"/>
      <c r="BN41" s="172"/>
      <c r="BO41" s="172"/>
      <c r="BP41" s="172"/>
      <c r="BQ41" s="171">
        <f t="shared" si="55"/>
        <v>9.4799999999999986</v>
      </c>
      <c r="BR41" s="313">
        <v>0.08</v>
      </c>
      <c r="BS41" s="247">
        <f t="shared" si="76"/>
        <v>952.67999999999972</v>
      </c>
      <c r="BT41" s="172">
        <f t="shared" si="56"/>
        <v>0.46799999999999997</v>
      </c>
      <c r="BU41" s="172">
        <f t="shared" ca="1" si="57"/>
        <v>5.1688285845397051</v>
      </c>
      <c r="BV41" s="172">
        <f t="shared" ca="1" si="58"/>
        <v>-4.3111714154602936</v>
      </c>
      <c r="BW41" s="170">
        <f t="shared" ca="1" si="59"/>
        <v>-431.11714154602936</v>
      </c>
      <c r="BX41" s="195"/>
    </row>
    <row r="42" spans="1:76" ht="15.95" customHeight="1">
      <c r="A42" s="168">
        <v>20</v>
      </c>
      <c r="B42" s="814" t="s">
        <v>303</v>
      </c>
      <c r="C42" s="165" t="s">
        <v>77</v>
      </c>
      <c r="D42" s="176">
        <f>'T-1'!R47</f>
        <v>0</v>
      </c>
      <c r="E42" s="176"/>
      <c r="F42" s="818"/>
      <c r="G42" s="170">
        <f>'T-1'!P47</f>
        <v>0</v>
      </c>
      <c r="H42" s="170">
        <f>'T-1'!Q47</f>
        <v>0</v>
      </c>
      <c r="I42" s="202"/>
      <c r="J42" s="816">
        <v>150</v>
      </c>
      <c r="K42" s="816">
        <f t="shared" si="68"/>
        <v>585</v>
      </c>
      <c r="L42" s="819">
        <f t="shared" si="69"/>
        <v>475</v>
      </c>
      <c r="M42" s="816"/>
      <c r="N42" s="820"/>
      <c r="O42" s="248">
        <v>250</v>
      </c>
      <c r="P42" s="195"/>
      <c r="Q42" s="171"/>
      <c r="R42" s="247" t="e">
        <f t="shared" ref="R42:R51" si="77">X42/D42*10</f>
        <v>#DIV/0!</v>
      </c>
      <c r="S42" s="195">
        <v>0.8</v>
      </c>
      <c r="T42" s="825">
        <f t="shared" si="70"/>
        <v>0</v>
      </c>
      <c r="U42" s="825">
        <f>((E42*K42+F42*L42)/10)-((0*2*20)/10)</f>
        <v>0</v>
      </c>
      <c r="V42" s="193"/>
      <c r="W42" s="817">
        <f t="shared" si="38"/>
        <v>0</v>
      </c>
      <c r="X42" s="172">
        <f t="shared" si="62"/>
        <v>0</v>
      </c>
      <c r="Y42" s="195"/>
      <c r="Z42" s="619" t="e">
        <f t="shared" si="66"/>
        <v>#DIV/0!</v>
      </c>
      <c r="AA42" s="195"/>
      <c r="AB42" s="817"/>
      <c r="AC42" s="261">
        <f t="shared" si="39"/>
        <v>0</v>
      </c>
      <c r="AD42" s="817"/>
      <c r="AE42" s="817"/>
      <c r="AF42" s="817">
        <f t="shared" si="40"/>
        <v>0</v>
      </c>
      <c r="AG42" s="817">
        <f t="shared" ref="AG42" si="78">(T42+U42)*1.5%</f>
        <v>0</v>
      </c>
      <c r="AH42" s="171">
        <f t="shared" si="42"/>
        <v>0</v>
      </c>
      <c r="AI42" s="816">
        <v>150</v>
      </c>
      <c r="AJ42" s="816">
        <f t="shared" si="71"/>
        <v>585</v>
      </c>
      <c r="AK42" s="819">
        <f t="shared" si="72"/>
        <v>475</v>
      </c>
      <c r="AL42" s="820"/>
      <c r="AM42" s="820"/>
      <c r="AN42" s="248">
        <v>250</v>
      </c>
      <c r="AO42" s="193"/>
      <c r="AP42" s="193"/>
      <c r="AQ42" s="170" t="e">
        <f t="shared" si="67"/>
        <v>#DIV/0!</v>
      </c>
      <c r="AR42" s="172">
        <v>0.8</v>
      </c>
      <c r="AS42" s="172">
        <f t="shared" si="73"/>
        <v>0</v>
      </c>
      <c r="AT42" s="817">
        <f>(D42*AJ42/10)-(0*2*20)/10</f>
        <v>0</v>
      </c>
      <c r="AU42" s="193"/>
      <c r="AV42" s="172">
        <f t="shared" si="43"/>
        <v>0</v>
      </c>
      <c r="AW42" s="172">
        <f t="shared" si="44"/>
        <v>0</v>
      </c>
      <c r="AX42" s="826"/>
      <c r="AY42" s="170" t="e">
        <f t="shared" si="45"/>
        <v>#DIV/0!</v>
      </c>
      <c r="AZ42" s="195"/>
      <c r="BA42" s="172"/>
      <c r="BB42" s="172">
        <f t="shared" si="46"/>
        <v>0</v>
      </c>
      <c r="BC42" s="172">
        <f t="shared" si="47"/>
        <v>0</v>
      </c>
      <c r="BD42" s="172">
        <f t="shared" si="48"/>
        <v>0</v>
      </c>
      <c r="BE42" s="172">
        <f t="shared" si="49"/>
        <v>0</v>
      </c>
      <c r="BF42" s="172">
        <f t="shared" si="50"/>
        <v>0</v>
      </c>
      <c r="BG42" s="172"/>
      <c r="BH42" s="172">
        <f t="shared" si="51"/>
        <v>0</v>
      </c>
      <c r="BI42" s="172">
        <f t="shared" si="52"/>
        <v>0</v>
      </c>
      <c r="BJ42" s="170" t="e">
        <f t="shared" si="74"/>
        <v>#DIV/0!</v>
      </c>
      <c r="BK42" s="170" t="e">
        <f t="shared" si="75"/>
        <v>#DIV/0!</v>
      </c>
      <c r="BL42" s="170" t="e">
        <f t="shared" ca="1" si="53"/>
        <v>#DIV/0!</v>
      </c>
      <c r="BM42" s="261"/>
      <c r="BN42" s="172">
        <v>0</v>
      </c>
      <c r="BO42" s="172"/>
      <c r="BP42" s="172"/>
      <c r="BQ42" s="171">
        <f t="shared" si="55"/>
        <v>0</v>
      </c>
      <c r="BR42" s="313">
        <v>0.08</v>
      </c>
      <c r="BS42" s="247" t="e">
        <f t="shared" si="76"/>
        <v>#DIV/0!</v>
      </c>
      <c r="BT42" s="172">
        <f t="shared" si="56"/>
        <v>0</v>
      </c>
      <c r="BU42" s="172">
        <f t="shared" ca="1" si="57"/>
        <v>0</v>
      </c>
      <c r="BV42" s="172">
        <f t="shared" ca="1" si="58"/>
        <v>0</v>
      </c>
      <c r="BW42" s="170" t="e">
        <f t="shared" ca="1" si="59"/>
        <v>#DIV/0!</v>
      </c>
      <c r="BX42" s="195"/>
    </row>
    <row r="43" spans="1:76" ht="15.95" customHeight="1">
      <c r="A43" s="203">
        <v>21</v>
      </c>
      <c r="B43" s="832" t="s">
        <v>190</v>
      </c>
      <c r="C43" s="165" t="s">
        <v>77</v>
      </c>
      <c r="D43" s="176">
        <f>'T-1'!R46</f>
        <v>168</v>
      </c>
      <c r="E43" s="617">
        <f t="shared" ref="E43:E51" si="79">D43-F43</f>
        <v>149.52000000000001</v>
      </c>
      <c r="F43" s="818">
        <f>D43*11%</f>
        <v>18.48</v>
      </c>
      <c r="G43" s="170">
        <f>'T-1'!P46</f>
        <v>198</v>
      </c>
      <c r="H43" s="170">
        <f>'T-1'!Q46</f>
        <v>66392.602222222224</v>
      </c>
      <c r="I43" s="202"/>
      <c r="J43" s="816">
        <v>250</v>
      </c>
      <c r="K43" s="816">
        <f t="shared" si="68"/>
        <v>585</v>
      </c>
      <c r="L43" s="819">
        <f t="shared" si="69"/>
        <v>475</v>
      </c>
      <c r="M43" s="816"/>
      <c r="N43" s="820"/>
      <c r="O43" s="248">
        <v>250</v>
      </c>
      <c r="P43" s="195"/>
      <c r="Q43" s="171"/>
      <c r="R43" s="247">
        <f t="shared" si="77"/>
        <v>663.96514603174614</v>
      </c>
      <c r="S43" s="195">
        <v>0.8</v>
      </c>
      <c r="T43" s="825">
        <f t="shared" si="70"/>
        <v>1593.4224533333334</v>
      </c>
      <c r="U43" s="825">
        <f>((E43*K43+F43*L43)/10)-((17.367*2*20)/10)</f>
        <v>9555.2520000000004</v>
      </c>
      <c r="V43" s="193"/>
      <c r="W43" s="817">
        <f t="shared" si="38"/>
        <v>5.94</v>
      </c>
      <c r="X43" s="172">
        <f t="shared" si="62"/>
        <v>11154.614453333334</v>
      </c>
      <c r="Y43" s="195"/>
      <c r="Z43" s="619">
        <f t="shared" si="66"/>
        <v>657.32549457142864</v>
      </c>
      <c r="AA43" s="195"/>
      <c r="AB43" s="817"/>
      <c r="AC43" s="381">
        <f t="shared" si="39"/>
        <v>11154.614453333334</v>
      </c>
      <c r="AD43" s="817">
        <f t="shared" ref="AD43:AD51" si="80">X43*1%</f>
        <v>111.54614453333333</v>
      </c>
      <c r="AE43" s="817">
        <f>(T43+U43)*0%</f>
        <v>0</v>
      </c>
      <c r="AF43" s="817">
        <f t="shared" si="40"/>
        <v>0</v>
      </c>
      <c r="AG43" s="817">
        <f t="shared" ref="AG43:AG51" si="81">(T43+U43)*0%</f>
        <v>0</v>
      </c>
      <c r="AH43" s="171">
        <f t="shared" si="42"/>
        <v>11043.068308800001</v>
      </c>
      <c r="AI43" s="816">
        <v>250</v>
      </c>
      <c r="AJ43" s="816">
        <f t="shared" si="71"/>
        <v>585</v>
      </c>
      <c r="AK43" s="819">
        <f t="shared" si="72"/>
        <v>475</v>
      </c>
      <c r="AL43" s="820"/>
      <c r="AM43" s="820"/>
      <c r="AN43" s="248">
        <v>250</v>
      </c>
      <c r="AO43" s="193"/>
      <c r="AP43" s="193"/>
      <c r="AQ43" s="170">
        <f t="shared" si="67"/>
        <v>663.96514603174614</v>
      </c>
      <c r="AR43" s="172">
        <v>0.8</v>
      </c>
      <c r="AS43" s="172">
        <f t="shared" si="73"/>
        <v>1593.4224533333334</v>
      </c>
      <c r="AT43" s="817">
        <f>((E43*AJ43+F43*AK43)/10)-((17.367*2*20)/10)</f>
        <v>9555.2520000000004</v>
      </c>
      <c r="AU43" s="193"/>
      <c r="AV43" s="172">
        <f t="shared" si="43"/>
        <v>5.94</v>
      </c>
      <c r="AW43" s="172">
        <f t="shared" si="44"/>
        <v>11154.614453333334</v>
      </c>
      <c r="AX43" s="826"/>
      <c r="AY43" s="170">
        <f t="shared" si="45"/>
        <v>657.32549457142864</v>
      </c>
      <c r="AZ43" s="195"/>
      <c r="BA43" s="172"/>
      <c r="BB43" s="172">
        <f t="shared" si="46"/>
        <v>11154.614453333334</v>
      </c>
      <c r="BC43" s="172">
        <f t="shared" si="47"/>
        <v>11154.614453333334</v>
      </c>
      <c r="BD43" s="172">
        <f t="shared" si="48"/>
        <v>0</v>
      </c>
      <c r="BE43" s="172">
        <f t="shared" si="49"/>
        <v>0</v>
      </c>
      <c r="BF43" s="172">
        <f t="shared" si="50"/>
        <v>0</v>
      </c>
      <c r="BG43" s="172"/>
      <c r="BH43" s="172">
        <f t="shared" si="51"/>
        <v>0</v>
      </c>
      <c r="BI43" s="172">
        <f t="shared" si="52"/>
        <v>0</v>
      </c>
      <c r="BJ43" s="170">
        <f t="shared" si="74"/>
        <v>0</v>
      </c>
      <c r="BK43" s="170">
        <f t="shared" si="75"/>
        <v>0</v>
      </c>
      <c r="BL43" s="170">
        <f t="shared" ca="1" si="53"/>
        <v>127.17107635132862</v>
      </c>
      <c r="BM43" s="261">
        <f t="shared" ref="BM43:BM51" si="82">AD43/X43*AW43</f>
        <v>111.54614453333333</v>
      </c>
      <c r="BN43" s="172">
        <f t="shared" ref="BN43:BN49" si="83">AE43/(T43+U43+W43)*(AS43+AT43+AV43)</f>
        <v>0</v>
      </c>
      <c r="BO43" s="172">
        <f t="shared" ref="BO43:BO49" si="84">AF43/(T43+U43+W43)*(AS43+AT43+AV43)</f>
        <v>0</v>
      </c>
      <c r="BP43" s="172">
        <f t="shared" si="54"/>
        <v>0</v>
      </c>
      <c r="BQ43" s="171">
        <f t="shared" si="55"/>
        <v>11043.068308800001</v>
      </c>
      <c r="BR43" s="313">
        <v>0.08</v>
      </c>
      <c r="BS43" s="247">
        <f t="shared" si="76"/>
        <v>661.87561457142863</v>
      </c>
      <c r="BT43" s="172">
        <f t="shared" si="56"/>
        <v>764.42016000000001</v>
      </c>
      <c r="BU43" s="172">
        <f t="shared" ca="1" si="57"/>
        <v>8683.6320220267044</v>
      </c>
      <c r="BV43" s="172">
        <f t="shared" ca="1" si="58"/>
        <v>-2359.4362867732962</v>
      </c>
      <c r="BW43" s="170">
        <f t="shared" ca="1" si="59"/>
        <v>-140.44263611745811</v>
      </c>
      <c r="BX43" s="193"/>
    </row>
    <row r="44" spans="1:76" ht="15.95" customHeight="1">
      <c r="A44" s="168">
        <v>22</v>
      </c>
      <c r="B44" s="60" t="s">
        <v>192</v>
      </c>
      <c r="C44" s="165" t="s">
        <v>77</v>
      </c>
      <c r="D44" s="176">
        <f>'T-1'!R48</f>
        <v>43</v>
      </c>
      <c r="E44" s="617">
        <f t="shared" si="79"/>
        <v>36.119999999999997</v>
      </c>
      <c r="F44" s="818">
        <f>D44*16%</f>
        <v>6.88</v>
      </c>
      <c r="G44" s="170">
        <f>'T-1'!P48</f>
        <v>51</v>
      </c>
      <c r="H44" s="170">
        <f>'T-1'!Q48</f>
        <v>17630.888888888887</v>
      </c>
      <c r="I44" s="202"/>
      <c r="J44" s="816">
        <v>250</v>
      </c>
      <c r="K44" s="816">
        <f t="shared" si="68"/>
        <v>585</v>
      </c>
      <c r="L44" s="819">
        <f t="shared" si="69"/>
        <v>475</v>
      </c>
      <c r="M44" s="816"/>
      <c r="N44" s="820"/>
      <c r="O44" s="248">
        <v>250</v>
      </c>
      <c r="P44" s="195"/>
      <c r="Q44" s="171"/>
      <c r="R44" s="247">
        <f t="shared" si="77"/>
        <v>661.58961240310077</v>
      </c>
      <c r="S44" s="195">
        <v>0.8</v>
      </c>
      <c r="T44" s="825">
        <f t="shared" si="70"/>
        <v>423.14133333333336</v>
      </c>
      <c r="U44" s="825">
        <f>((E44*K44+F44*L44)/10)-((4.914*2*20)/10)</f>
        <v>2420.1639999999998</v>
      </c>
      <c r="V44" s="193"/>
      <c r="W44" s="817">
        <f t="shared" si="38"/>
        <v>1.53</v>
      </c>
      <c r="X44" s="172">
        <f t="shared" si="62"/>
        <v>2844.8353333333334</v>
      </c>
      <c r="Y44" s="195">
        <v>0.1</v>
      </c>
      <c r="Z44" s="619">
        <f t="shared" si="66"/>
        <v>654.04106976744185</v>
      </c>
      <c r="AA44" s="176">
        <f>2.00519*2</f>
        <v>4.0103799999999996</v>
      </c>
      <c r="AB44" s="172">
        <f>AA44*Y44*10</f>
        <v>4.0103799999999996</v>
      </c>
      <c r="AC44" s="381">
        <f t="shared" si="39"/>
        <v>2840.8249533333333</v>
      </c>
      <c r="AD44" s="817">
        <f t="shared" si="80"/>
        <v>28.448353333333333</v>
      </c>
      <c r="AE44" s="817">
        <f>(T44+U44)*0%</f>
        <v>0</v>
      </c>
      <c r="AF44" s="817">
        <f t="shared" si="40"/>
        <v>0</v>
      </c>
      <c r="AG44" s="817">
        <f t="shared" si="81"/>
        <v>0</v>
      </c>
      <c r="AH44" s="171">
        <f t="shared" si="42"/>
        <v>2812.3766000000001</v>
      </c>
      <c r="AI44" s="816">
        <v>250</v>
      </c>
      <c r="AJ44" s="816">
        <f t="shared" si="71"/>
        <v>585</v>
      </c>
      <c r="AK44" s="819">
        <f t="shared" si="72"/>
        <v>475</v>
      </c>
      <c r="AL44" s="820"/>
      <c r="AM44" s="820"/>
      <c r="AN44" s="248">
        <v>250</v>
      </c>
      <c r="AO44" s="193"/>
      <c r="AP44" s="193"/>
      <c r="AQ44" s="170">
        <f t="shared" si="67"/>
        <v>661.58961240310077</v>
      </c>
      <c r="AR44" s="172">
        <v>0.8</v>
      </c>
      <c r="AS44" s="172">
        <f t="shared" si="73"/>
        <v>423.14133333333336</v>
      </c>
      <c r="AT44" s="817">
        <f>((E44*AJ44+F44*AK44)/10)-((4.914*2*20)/10)</f>
        <v>2420.1639999999998</v>
      </c>
      <c r="AU44" s="193"/>
      <c r="AV44" s="172">
        <f t="shared" si="43"/>
        <v>1.53</v>
      </c>
      <c r="AW44" s="172">
        <f t="shared" si="44"/>
        <v>2844.8353333333334</v>
      </c>
      <c r="AX44" s="831">
        <v>0.1</v>
      </c>
      <c r="AY44" s="170">
        <f t="shared" si="45"/>
        <v>654.04106976744185</v>
      </c>
      <c r="AZ44" s="173">
        <f>AA44</f>
        <v>4.0103799999999996</v>
      </c>
      <c r="BA44" s="172">
        <f>AZ44*AX44*10</f>
        <v>4.0103799999999996</v>
      </c>
      <c r="BB44" s="173">
        <f t="shared" si="46"/>
        <v>2840.8249533333333</v>
      </c>
      <c r="BC44" s="173">
        <f t="shared" si="47"/>
        <v>2840.8249533333333</v>
      </c>
      <c r="BD44" s="172">
        <f t="shared" si="48"/>
        <v>0</v>
      </c>
      <c r="BE44" s="172">
        <f t="shared" si="49"/>
        <v>0</v>
      </c>
      <c r="BF44" s="172">
        <f t="shared" si="50"/>
        <v>0</v>
      </c>
      <c r="BG44" s="172"/>
      <c r="BH44" s="172">
        <f t="shared" si="51"/>
        <v>0</v>
      </c>
      <c r="BI44" s="172">
        <f t="shared" si="52"/>
        <v>0</v>
      </c>
      <c r="BJ44" s="170">
        <f t="shared" si="74"/>
        <v>0</v>
      </c>
      <c r="BK44" s="170">
        <f t="shared" si="75"/>
        <v>0</v>
      </c>
      <c r="BL44" s="170">
        <f t="shared" ca="1" si="53"/>
        <v>126.53564711426499</v>
      </c>
      <c r="BM44" s="261">
        <f t="shared" si="82"/>
        <v>28.448353333333333</v>
      </c>
      <c r="BN44" s="172">
        <f t="shared" si="83"/>
        <v>0</v>
      </c>
      <c r="BO44" s="172">
        <f t="shared" si="84"/>
        <v>0</v>
      </c>
      <c r="BP44" s="172">
        <f t="shared" si="54"/>
        <v>0</v>
      </c>
      <c r="BQ44" s="171">
        <f t="shared" si="55"/>
        <v>2812.3766000000001</v>
      </c>
      <c r="BR44" s="313">
        <v>0</v>
      </c>
      <c r="BS44" s="247">
        <f t="shared" si="76"/>
        <v>654.04106976744185</v>
      </c>
      <c r="BT44" s="172">
        <f t="shared" si="56"/>
        <v>0</v>
      </c>
      <c r="BU44" s="172">
        <f t="shared" ca="1" si="57"/>
        <v>2222.596291352073</v>
      </c>
      <c r="BV44" s="172">
        <f t="shared" ca="1" si="58"/>
        <v>-589.78030864792709</v>
      </c>
      <c r="BW44" s="170">
        <f t="shared" ca="1" si="59"/>
        <v>-137.15821131347141</v>
      </c>
      <c r="BX44" s="193"/>
    </row>
    <row r="45" spans="1:76" ht="15.95" customHeight="1">
      <c r="A45" s="203">
        <v>23</v>
      </c>
      <c r="B45" s="60" t="s">
        <v>73</v>
      </c>
      <c r="C45" s="165" t="s">
        <v>77</v>
      </c>
      <c r="D45" s="176">
        <f>'T-1'!R49</f>
        <v>1026.0416666666667</v>
      </c>
      <c r="E45" s="617">
        <f t="shared" si="79"/>
        <v>872.13541666666674</v>
      </c>
      <c r="F45" s="818">
        <f>D45*15%</f>
        <v>153.90625</v>
      </c>
      <c r="G45" s="170">
        <f>'T-1'!P49</f>
        <v>734</v>
      </c>
      <c r="H45" s="170">
        <f>'T-1'!Q49</f>
        <v>345528.72222222219</v>
      </c>
      <c r="I45" s="202"/>
      <c r="J45" s="816">
        <v>250</v>
      </c>
      <c r="K45" s="816">
        <f t="shared" si="68"/>
        <v>585</v>
      </c>
      <c r="L45" s="819">
        <f t="shared" si="69"/>
        <v>475</v>
      </c>
      <c r="M45" s="816"/>
      <c r="N45" s="820"/>
      <c r="O45" s="248">
        <v>250</v>
      </c>
      <c r="P45" s="195"/>
      <c r="Q45" s="171"/>
      <c r="R45" s="247">
        <f t="shared" si="77"/>
        <v>643.98517360406095</v>
      </c>
      <c r="S45" s="195">
        <v>0.8</v>
      </c>
      <c r="T45" s="825">
        <f t="shared" si="70"/>
        <v>8292.6893333333337</v>
      </c>
      <c r="U45" s="825">
        <f>((E45*K45+F45*L45)/10)-((142.404*2*20)/10)</f>
        <v>57760.852749999998</v>
      </c>
      <c r="V45" s="193"/>
      <c r="W45" s="817">
        <f t="shared" si="38"/>
        <v>22.02</v>
      </c>
      <c r="X45" s="172">
        <f t="shared" si="62"/>
        <v>66075.562083333338</v>
      </c>
      <c r="Y45" s="195"/>
      <c r="Z45" s="619">
        <f t="shared" si="66"/>
        <v>637.54532186802032</v>
      </c>
      <c r="AA45" s="195"/>
      <c r="AB45" s="817"/>
      <c r="AC45" s="381">
        <f t="shared" si="39"/>
        <v>66075.562083333338</v>
      </c>
      <c r="AD45" s="817">
        <f t="shared" si="80"/>
        <v>660.75562083333341</v>
      </c>
      <c r="AE45" s="817">
        <f>(T45+U45)*0%</f>
        <v>0</v>
      </c>
      <c r="AF45" s="817">
        <f t="shared" si="40"/>
        <v>0</v>
      </c>
      <c r="AG45" s="817">
        <f t="shared" si="81"/>
        <v>0</v>
      </c>
      <c r="AH45" s="171">
        <f t="shared" si="42"/>
        <v>65414.806462500004</v>
      </c>
      <c r="AI45" s="816">
        <v>250</v>
      </c>
      <c r="AJ45" s="816">
        <f t="shared" si="71"/>
        <v>585</v>
      </c>
      <c r="AK45" s="819">
        <f t="shared" si="72"/>
        <v>475</v>
      </c>
      <c r="AL45" s="820"/>
      <c r="AM45" s="820"/>
      <c r="AN45" s="248">
        <v>250</v>
      </c>
      <c r="AO45" s="193"/>
      <c r="AP45" s="193"/>
      <c r="AQ45" s="170">
        <f t="shared" si="67"/>
        <v>643.98517360406095</v>
      </c>
      <c r="AR45" s="172">
        <v>0.8</v>
      </c>
      <c r="AS45" s="172">
        <f t="shared" si="73"/>
        <v>8292.6893333333337</v>
      </c>
      <c r="AT45" s="817">
        <f>((E45*AJ45+F45*AK45)/10)-((142.404*2*20)/10)</f>
        <v>57760.852749999998</v>
      </c>
      <c r="AU45" s="193"/>
      <c r="AV45" s="172">
        <f t="shared" si="43"/>
        <v>22.02</v>
      </c>
      <c r="AW45" s="172">
        <f t="shared" si="44"/>
        <v>66075.562083333338</v>
      </c>
      <c r="AX45" s="826"/>
      <c r="AY45" s="170">
        <f t="shared" si="45"/>
        <v>637.54532186802032</v>
      </c>
      <c r="AZ45" s="195"/>
      <c r="BA45" s="172"/>
      <c r="BB45" s="172">
        <f t="shared" si="46"/>
        <v>66075.562083333338</v>
      </c>
      <c r="BC45" s="172">
        <f t="shared" si="47"/>
        <v>66075.562083333338</v>
      </c>
      <c r="BD45" s="172">
        <f t="shared" si="48"/>
        <v>0</v>
      </c>
      <c r="BE45" s="172">
        <f t="shared" si="49"/>
        <v>0</v>
      </c>
      <c r="BF45" s="172">
        <f t="shared" si="50"/>
        <v>0</v>
      </c>
      <c r="BG45" s="172"/>
      <c r="BH45" s="172">
        <f t="shared" si="51"/>
        <v>0</v>
      </c>
      <c r="BI45" s="172">
        <f t="shared" si="52"/>
        <v>0</v>
      </c>
      <c r="BJ45" s="170">
        <f t="shared" si="74"/>
        <v>0</v>
      </c>
      <c r="BK45" s="170">
        <f t="shared" si="75"/>
        <v>0</v>
      </c>
      <c r="BL45" s="170">
        <f t="shared" ca="1" si="53"/>
        <v>123.34425710594445</v>
      </c>
      <c r="BM45" s="261">
        <f t="shared" si="82"/>
        <v>660.75562083333341</v>
      </c>
      <c r="BN45" s="172">
        <f t="shared" si="83"/>
        <v>0</v>
      </c>
      <c r="BO45" s="172">
        <f t="shared" si="84"/>
        <v>0</v>
      </c>
      <c r="BP45" s="172">
        <f t="shared" si="54"/>
        <v>0</v>
      </c>
      <c r="BQ45" s="171">
        <f t="shared" si="55"/>
        <v>65414.806462500004</v>
      </c>
      <c r="BR45" s="313">
        <v>0.08</v>
      </c>
      <c r="BS45" s="247">
        <f t="shared" si="76"/>
        <v>642.04890916873103</v>
      </c>
      <c r="BT45" s="172">
        <f t="shared" si="56"/>
        <v>4620.8682200000003</v>
      </c>
      <c r="BU45" s="172">
        <f t="shared" ca="1" si="57"/>
        <v>53034.334955954262</v>
      </c>
      <c r="BV45" s="172">
        <f t="shared" ca="1" si="58"/>
        <v>-12380.471506545742</v>
      </c>
      <c r="BW45" s="170">
        <f t="shared" ca="1" si="59"/>
        <v>-120.66246341404985</v>
      </c>
      <c r="BX45" s="193"/>
    </row>
    <row r="46" spans="1:76" ht="15.95" customHeight="1">
      <c r="A46" s="203"/>
      <c r="B46" s="62" t="s">
        <v>2128</v>
      </c>
      <c r="C46" s="165" t="s">
        <v>77</v>
      </c>
      <c r="D46" s="176">
        <f>'T-1'!R50</f>
        <v>15.625</v>
      </c>
      <c r="E46" s="617">
        <f t="shared" si="79"/>
        <v>15.625</v>
      </c>
      <c r="F46" s="818"/>
      <c r="G46" s="170"/>
      <c r="H46" s="170"/>
      <c r="I46" s="202"/>
      <c r="J46" s="816"/>
      <c r="K46" s="816">
        <v>430</v>
      </c>
      <c r="L46" s="819"/>
      <c r="M46" s="816"/>
      <c r="N46" s="820"/>
      <c r="O46" s="248"/>
      <c r="P46" s="195"/>
      <c r="Q46" s="171"/>
      <c r="R46" s="247">
        <f t="shared" si="77"/>
        <v>430</v>
      </c>
      <c r="S46" s="195"/>
      <c r="T46" s="825"/>
      <c r="U46" s="825">
        <f>((E46*K46+F46*L46)/10)</f>
        <v>671.875</v>
      </c>
      <c r="V46" s="193"/>
      <c r="W46" s="817"/>
      <c r="X46" s="172">
        <f t="shared" si="62"/>
        <v>671.875</v>
      </c>
      <c r="Y46" s="195"/>
      <c r="Z46" s="619">
        <f t="shared" si="66"/>
        <v>430</v>
      </c>
      <c r="AA46" s="195"/>
      <c r="AB46" s="817"/>
      <c r="AC46" s="381">
        <f t="shared" si="39"/>
        <v>671.875</v>
      </c>
      <c r="AD46" s="817"/>
      <c r="AE46" s="817"/>
      <c r="AF46" s="817"/>
      <c r="AG46" s="817"/>
      <c r="AH46" s="171">
        <f t="shared" si="42"/>
        <v>671.875</v>
      </c>
      <c r="AI46" s="816"/>
      <c r="AJ46" s="816">
        <v>430</v>
      </c>
      <c r="AK46" s="819"/>
      <c r="AL46" s="820"/>
      <c r="AM46" s="820"/>
      <c r="AN46" s="248"/>
      <c r="AO46" s="193"/>
      <c r="AP46" s="193"/>
      <c r="AQ46" s="170">
        <f t="shared" si="67"/>
        <v>430</v>
      </c>
      <c r="AR46" s="172"/>
      <c r="AS46" s="172"/>
      <c r="AT46" s="817">
        <f>((E46*AJ46+F46*AK46)/10)</f>
        <v>671.875</v>
      </c>
      <c r="AU46" s="193"/>
      <c r="AV46" s="172"/>
      <c r="AW46" s="172">
        <f t="shared" si="44"/>
        <v>671.875</v>
      </c>
      <c r="AX46" s="826"/>
      <c r="AY46" s="170">
        <f t="shared" si="45"/>
        <v>430</v>
      </c>
      <c r="AZ46" s="195"/>
      <c r="BA46" s="172"/>
      <c r="BB46" s="172">
        <f t="shared" ref="BB46" si="85">AW46-BA46</f>
        <v>671.875</v>
      </c>
      <c r="BC46" s="172">
        <f t="shared" ref="BC46" si="86">AC46</f>
        <v>671.875</v>
      </c>
      <c r="BD46" s="172">
        <f t="shared" ref="BD46" si="87">BB46-BC46</f>
        <v>0</v>
      </c>
      <c r="BE46" s="172">
        <f t="shared" ref="BE46" si="88">AS46-T46</f>
        <v>0</v>
      </c>
      <c r="BF46" s="172">
        <f t="shared" ref="BF46" si="89">AT46-U46</f>
        <v>0</v>
      </c>
      <c r="BG46" s="172"/>
      <c r="BH46" s="172">
        <f t="shared" ref="BH46" si="90">AV46-W46</f>
        <v>0</v>
      </c>
      <c r="BI46" s="172">
        <f t="shared" ref="BI46" si="91">AW46-X46</f>
        <v>0</v>
      </c>
      <c r="BJ46" s="170">
        <f t="shared" ref="BJ46" si="92">AY46-Z46</f>
        <v>0</v>
      </c>
      <c r="BK46" s="170">
        <f t="shared" ref="BK46" si="93">BJ46/Z46*100</f>
        <v>0</v>
      </c>
      <c r="BL46" s="170">
        <f t="shared" ca="1" si="53"/>
        <v>83.190996367369848</v>
      </c>
      <c r="BM46" s="261">
        <f t="shared" si="82"/>
        <v>0</v>
      </c>
      <c r="BN46" s="172"/>
      <c r="BO46" s="172"/>
      <c r="BP46" s="172"/>
      <c r="BQ46" s="171">
        <f t="shared" si="55"/>
        <v>671.875</v>
      </c>
      <c r="BR46" s="313">
        <v>0.08</v>
      </c>
      <c r="BS46" s="247">
        <f t="shared" ref="BS46" si="94">BT46/D46+AY46</f>
        <v>433.44</v>
      </c>
      <c r="BT46" s="172">
        <f t="shared" ref="BT46" si="95">BR46*AT46</f>
        <v>53.75</v>
      </c>
      <c r="BU46" s="172">
        <f t="shared" ca="1" si="57"/>
        <v>807.62946633432887</v>
      </c>
      <c r="BV46" s="172">
        <f t="shared" ref="BV46" ca="1" si="96">BU46-BQ46</f>
        <v>135.75446633432887</v>
      </c>
      <c r="BW46" s="170">
        <f t="shared" ref="BW46" ca="1" si="97">BV46/D46*10</f>
        <v>86.882858453970471</v>
      </c>
      <c r="BX46" s="193"/>
    </row>
    <row r="47" spans="1:76" ht="15.95" customHeight="1">
      <c r="A47" s="168">
        <v>24</v>
      </c>
      <c r="B47" s="60" t="s">
        <v>83</v>
      </c>
      <c r="C47" s="165" t="s">
        <v>77</v>
      </c>
      <c r="D47" s="176">
        <f>'T-1'!R51</f>
        <v>620.48621706845699</v>
      </c>
      <c r="E47" s="617">
        <f t="shared" si="79"/>
        <v>452.95493845997362</v>
      </c>
      <c r="F47" s="818">
        <f>D47*27%</f>
        <v>167.5312786084834</v>
      </c>
      <c r="G47" s="170">
        <f>'T-1'!P51</f>
        <v>13</v>
      </c>
      <c r="H47" s="170">
        <f>'T-1'!Q51</f>
        <v>95550</v>
      </c>
      <c r="I47" s="202"/>
      <c r="J47" s="816">
        <v>250</v>
      </c>
      <c r="K47" s="816">
        <f t="shared" si="68"/>
        <v>585</v>
      </c>
      <c r="L47" s="819">
        <f t="shared" si="69"/>
        <v>475</v>
      </c>
      <c r="M47" s="816"/>
      <c r="N47" s="820"/>
      <c r="O47" s="248">
        <v>250</v>
      </c>
      <c r="P47" s="195"/>
      <c r="Q47" s="171"/>
      <c r="R47" s="247">
        <f t="shared" si="77"/>
        <v>587.61675329508205</v>
      </c>
      <c r="S47" s="195">
        <v>0.8</v>
      </c>
      <c r="T47" s="825">
        <f t="shared" si="70"/>
        <v>2293.1999999999998</v>
      </c>
      <c r="U47" s="825">
        <f>((E47*K47+F47*L47)/10)-((72.095*2*20)/10)</f>
        <v>34167.219633811423</v>
      </c>
      <c r="V47" s="193"/>
      <c r="W47" s="817">
        <f t="shared" si="38"/>
        <v>0.39</v>
      </c>
      <c r="X47" s="172">
        <f t="shared" si="62"/>
        <v>36460.809633811419</v>
      </c>
      <c r="Y47" s="195"/>
      <c r="Z47" s="619">
        <f t="shared" si="66"/>
        <v>581.7405857621311</v>
      </c>
      <c r="AA47" s="195"/>
      <c r="AB47" s="817"/>
      <c r="AC47" s="261">
        <f t="shared" si="39"/>
        <v>36460.809633811419</v>
      </c>
      <c r="AD47" s="817">
        <f t="shared" si="80"/>
        <v>364.60809633811419</v>
      </c>
      <c r="AE47" s="817">
        <f>(T47+U47)*0%</f>
        <v>0</v>
      </c>
      <c r="AF47" s="817">
        <f t="shared" si="40"/>
        <v>0</v>
      </c>
      <c r="AG47" s="817">
        <f t="shared" si="81"/>
        <v>0</v>
      </c>
      <c r="AH47" s="171">
        <f t="shared" si="42"/>
        <v>36096.201537473302</v>
      </c>
      <c r="AI47" s="816">
        <v>250</v>
      </c>
      <c r="AJ47" s="816">
        <f t="shared" si="71"/>
        <v>585</v>
      </c>
      <c r="AK47" s="819">
        <f t="shared" si="72"/>
        <v>475</v>
      </c>
      <c r="AL47" s="820"/>
      <c r="AM47" s="820"/>
      <c r="AN47" s="248">
        <v>250</v>
      </c>
      <c r="AO47" s="193"/>
      <c r="AP47" s="193"/>
      <c r="AQ47" s="170">
        <f t="shared" si="67"/>
        <v>587.61675329508205</v>
      </c>
      <c r="AR47" s="172">
        <v>0.8</v>
      </c>
      <c r="AS47" s="172">
        <f t="shared" si="73"/>
        <v>2293.1999999999998</v>
      </c>
      <c r="AT47" s="817">
        <f>((E47*AJ47+F47*AK47)/10)-((72.095*2*20)/10)</f>
        <v>34167.219633811423</v>
      </c>
      <c r="AU47" s="193"/>
      <c r="AV47" s="172">
        <f t="shared" si="43"/>
        <v>0.39</v>
      </c>
      <c r="AW47" s="172">
        <f t="shared" si="44"/>
        <v>36460.809633811419</v>
      </c>
      <c r="AX47" s="826"/>
      <c r="AY47" s="170">
        <f t="shared" si="45"/>
        <v>581.7405857621311</v>
      </c>
      <c r="AZ47" s="195"/>
      <c r="BA47" s="172"/>
      <c r="BB47" s="172">
        <f t="shared" si="46"/>
        <v>36460.809633811419</v>
      </c>
      <c r="BC47" s="172">
        <f t="shared" si="47"/>
        <v>36460.809633811419</v>
      </c>
      <c r="BD47" s="172">
        <f t="shared" si="48"/>
        <v>0</v>
      </c>
      <c r="BE47" s="172">
        <f t="shared" si="49"/>
        <v>0</v>
      </c>
      <c r="BF47" s="172">
        <f t="shared" si="50"/>
        <v>0</v>
      </c>
      <c r="BG47" s="172"/>
      <c r="BH47" s="172">
        <f t="shared" si="51"/>
        <v>0</v>
      </c>
      <c r="BI47" s="172">
        <f t="shared" si="52"/>
        <v>0</v>
      </c>
      <c r="BJ47" s="170">
        <f t="shared" si="74"/>
        <v>0</v>
      </c>
      <c r="BK47" s="170">
        <f t="shared" si="75"/>
        <v>0</v>
      </c>
      <c r="BL47" s="170">
        <f t="shared" ca="1" si="53"/>
        <v>112.54785803927687</v>
      </c>
      <c r="BM47" s="261">
        <f t="shared" si="82"/>
        <v>364.60809633811419</v>
      </c>
      <c r="BN47" s="172">
        <f t="shared" si="83"/>
        <v>0</v>
      </c>
      <c r="BO47" s="172">
        <f t="shared" si="84"/>
        <v>0</v>
      </c>
      <c r="BP47" s="172">
        <f t="shared" si="54"/>
        <v>0</v>
      </c>
      <c r="BQ47" s="171">
        <f t="shared" si="55"/>
        <v>36096.201537473302</v>
      </c>
      <c r="BR47" s="313">
        <v>0.08</v>
      </c>
      <c r="BS47" s="247">
        <f t="shared" si="76"/>
        <v>586.14580459780325</v>
      </c>
      <c r="BT47" s="172">
        <f t="shared" si="56"/>
        <v>2733.377570704914</v>
      </c>
      <c r="BU47" s="172">
        <f t="shared" ca="1" si="57"/>
        <v>32071.868950963486</v>
      </c>
      <c r="BV47" s="172">
        <f t="shared" ca="1" si="58"/>
        <v>-4024.3325865098159</v>
      </c>
      <c r="BW47" s="170">
        <f t="shared" ca="1" si="59"/>
        <v>-64.857727308160648</v>
      </c>
      <c r="BX47" s="195"/>
    </row>
    <row r="48" spans="1:76" ht="15.95" customHeight="1">
      <c r="A48" s="203">
        <v>25</v>
      </c>
      <c r="B48" s="60" t="s">
        <v>93</v>
      </c>
      <c r="C48" s="165" t="s">
        <v>77</v>
      </c>
      <c r="D48" s="176">
        <f>'T-1'!R52</f>
        <v>177.0717393503997</v>
      </c>
      <c r="E48" s="617">
        <f t="shared" si="79"/>
        <v>132.80380451279979</v>
      </c>
      <c r="F48" s="818">
        <f>D48*25%</f>
        <v>44.267934837599924</v>
      </c>
      <c r="G48" s="170">
        <f>'T-1'!P52</f>
        <v>4</v>
      </c>
      <c r="H48" s="170">
        <f>'T-1'!Q52</f>
        <v>29500</v>
      </c>
      <c r="I48" s="202"/>
      <c r="J48" s="816">
        <v>250</v>
      </c>
      <c r="K48" s="816">
        <f t="shared" si="68"/>
        <v>585</v>
      </c>
      <c r="L48" s="819">
        <f t="shared" si="69"/>
        <v>475</v>
      </c>
      <c r="M48" s="816"/>
      <c r="N48" s="820"/>
      <c r="O48" s="248">
        <v>250</v>
      </c>
      <c r="P48" s="195"/>
      <c r="Q48" s="171"/>
      <c r="R48" s="247">
        <f t="shared" si="77"/>
        <v>593.30582662857148</v>
      </c>
      <c r="S48" s="195">
        <v>0.8</v>
      </c>
      <c r="T48" s="825">
        <f t="shared" si="70"/>
        <v>708</v>
      </c>
      <c r="U48" s="825">
        <f>(E48*K48+F48*L48)/10-(18.525*2*20)/10</f>
        <v>9797.6494687847826</v>
      </c>
      <c r="V48" s="193"/>
      <c r="W48" s="817">
        <f t="shared" si="38"/>
        <v>0.12</v>
      </c>
      <c r="X48" s="172">
        <f t="shared" si="62"/>
        <v>10505.769468784783</v>
      </c>
      <c r="Y48" s="195"/>
      <c r="Z48" s="619">
        <f t="shared" si="66"/>
        <v>587.3727683622858</v>
      </c>
      <c r="AA48" s="195"/>
      <c r="AB48" s="817"/>
      <c r="AC48" s="261">
        <f t="shared" si="39"/>
        <v>10505.769468784783</v>
      </c>
      <c r="AD48" s="817">
        <f t="shared" si="80"/>
        <v>105.05769468784784</v>
      </c>
      <c r="AE48" s="817">
        <f>(T48+U48)*0%</f>
        <v>0</v>
      </c>
      <c r="AF48" s="817">
        <f t="shared" si="40"/>
        <v>0</v>
      </c>
      <c r="AG48" s="817">
        <f t="shared" si="81"/>
        <v>0</v>
      </c>
      <c r="AH48" s="171">
        <f t="shared" si="42"/>
        <v>10400.711774096935</v>
      </c>
      <c r="AI48" s="816">
        <v>250</v>
      </c>
      <c r="AJ48" s="816">
        <f t="shared" si="71"/>
        <v>585</v>
      </c>
      <c r="AK48" s="819">
        <f t="shared" si="72"/>
        <v>475</v>
      </c>
      <c r="AL48" s="820"/>
      <c r="AM48" s="820"/>
      <c r="AN48" s="248">
        <v>250</v>
      </c>
      <c r="AO48" s="193"/>
      <c r="AP48" s="193"/>
      <c r="AQ48" s="170">
        <f t="shared" si="67"/>
        <v>593.30582662857148</v>
      </c>
      <c r="AR48" s="172">
        <v>0.8</v>
      </c>
      <c r="AS48" s="172">
        <f t="shared" si="73"/>
        <v>708</v>
      </c>
      <c r="AT48" s="817">
        <f>((E48*AJ48+F48*AK48)/10)-((18.525*2*20)/10)</f>
        <v>9797.6494687847826</v>
      </c>
      <c r="AU48" s="193"/>
      <c r="AV48" s="172">
        <f t="shared" si="43"/>
        <v>0.12</v>
      </c>
      <c r="AW48" s="172">
        <f t="shared" si="44"/>
        <v>10505.769468784783</v>
      </c>
      <c r="AX48" s="826"/>
      <c r="AY48" s="170">
        <f t="shared" si="45"/>
        <v>587.3727683622858</v>
      </c>
      <c r="AZ48" s="195"/>
      <c r="BA48" s="172"/>
      <c r="BB48" s="172">
        <f t="shared" si="46"/>
        <v>10505.769468784783</v>
      </c>
      <c r="BC48" s="172">
        <f t="shared" si="47"/>
        <v>10505.769468784783</v>
      </c>
      <c r="BD48" s="172">
        <f t="shared" si="48"/>
        <v>0</v>
      </c>
      <c r="BE48" s="172">
        <f t="shared" si="49"/>
        <v>0</v>
      </c>
      <c r="BF48" s="172">
        <f t="shared" si="50"/>
        <v>0</v>
      </c>
      <c r="BG48" s="172"/>
      <c r="BH48" s="172">
        <f t="shared" si="51"/>
        <v>0</v>
      </c>
      <c r="BI48" s="172">
        <f t="shared" si="52"/>
        <v>0</v>
      </c>
      <c r="BJ48" s="170">
        <f t="shared" si="74"/>
        <v>0</v>
      </c>
      <c r="BK48" s="170">
        <f t="shared" si="75"/>
        <v>0</v>
      </c>
      <c r="BL48" s="170">
        <f t="shared" ca="1" si="53"/>
        <v>113.63750195143926</v>
      </c>
      <c r="BM48" s="261">
        <f t="shared" si="82"/>
        <v>105.05769468784784</v>
      </c>
      <c r="BN48" s="172">
        <f t="shared" si="83"/>
        <v>0</v>
      </c>
      <c r="BO48" s="172">
        <f t="shared" si="84"/>
        <v>0</v>
      </c>
      <c r="BP48" s="172">
        <f t="shared" si="54"/>
        <v>0</v>
      </c>
      <c r="BQ48" s="171">
        <f t="shared" si="55"/>
        <v>10400.711774096935</v>
      </c>
      <c r="BR48" s="313">
        <v>0.08</v>
      </c>
      <c r="BS48" s="247">
        <f t="shared" si="76"/>
        <v>591.79929040571437</v>
      </c>
      <c r="BT48" s="172">
        <f t="shared" si="56"/>
        <v>783.81195750278266</v>
      </c>
      <c r="BU48" s="172">
        <f t="shared" ca="1" si="57"/>
        <v>9152.5346786851005</v>
      </c>
      <c r="BV48" s="172">
        <f t="shared" ca="1" si="58"/>
        <v>-1248.1770954118347</v>
      </c>
      <c r="BW48" s="170">
        <f t="shared" ca="1" si="59"/>
        <v>-70.489909908315212</v>
      </c>
      <c r="BX48" s="195"/>
    </row>
    <row r="49" spans="1:76" ht="15.95" customHeight="1">
      <c r="A49" s="168">
        <v>26</v>
      </c>
      <c r="B49" s="60" t="s">
        <v>85</v>
      </c>
      <c r="C49" s="165" t="s">
        <v>77</v>
      </c>
      <c r="D49" s="176">
        <f>'T-1'!R53</f>
        <v>9.9999999999999995E-7</v>
      </c>
      <c r="E49" s="617">
        <f t="shared" si="79"/>
        <v>9.9999999999999995E-7</v>
      </c>
      <c r="F49" s="818">
        <f>D49*0%</f>
        <v>0</v>
      </c>
      <c r="G49" s="170">
        <f>'T-1'!P53</f>
        <v>0</v>
      </c>
      <c r="H49" s="170">
        <f>'T-1'!Q53</f>
        <v>0</v>
      </c>
      <c r="I49" s="202"/>
      <c r="J49" s="816">
        <v>250</v>
      </c>
      <c r="K49" s="816">
        <f t="shared" si="68"/>
        <v>585</v>
      </c>
      <c r="L49" s="819">
        <f t="shared" si="69"/>
        <v>475</v>
      </c>
      <c r="M49" s="816"/>
      <c r="N49" s="820"/>
      <c r="O49" s="248">
        <v>250</v>
      </c>
      <c r="P49" s="195"/>
      <c r="Q49" s="171"/>
      <c r="R49" s="247">
        <f t="shared" si="77"/>
        <v>585</v>
      </c>
      <c r="S49" s="195">
        <v>0.8</v>
      </c>
      <c r="T49" s="825">
        <f t="shared" si="70"/>
        <v>0</v>
      </c>
      <c r="U49" s="825">
        <f>(E49*K49+F49*L49)/10-((0*2*20)/10)</f>
        <v>5.8499999999999999E-5</v>
      </c>
      <c r="V49" s="193"/>
      <c r="W49" s="817">
        <f t="shared" si="38"/>
        <v>0</v>
      </c>
      <c r="X49" s="172">
        <f t="shared" si="62"/>
        <v>5.8499999999999999E-5</v>
      </c>
      <c r="Y49" s="195"/>
      <c r="Z49" s="619">
        <f t="shared" si="66"/>
        <v>569.90699999999993</v>
      </c>
      <c r="AA49" s="195"/>
      <c r="AB49" s="817"/>
      <c r="AC49" s="261">
        <f t="shared" si="39"/>
        <v>5.8499999999999999E-5</v>
      </c>
      <c r="AD49" s="817">
        <f t="shared" si="80"/>
        <v>5.8500000000000001E-7</v>
      </c>
      <c r="AE49" s="817">
        <f>(T49+U49)*1.58%</f>
        <v>9.2430000000000009E-7</v>
      </c>
      <c r="AF49" s="817">
        <f t="shared" si="40"/>
        <v>0</v>
      </c>
      <c r="AG49" s="817">
        <f t="shared" si="81"/>
        <v>0</v>
      </c>
      <c r="AH49" s="171">
        <f t="shared" si="42"/>
        <v>5.8839299999999998E-5</v>
      </c>
      <c r="AI49" s="816">
        <v>250</v>
      </c>
      <c r="AJ49" s="816">
        <f t="shared" si="71"/>
        <v>585</v>
      </c>
      <c r="AK49" s="819">
        <f t="shared" si="72"/>
        <v>475</v>
      </c>
      <c r="AL49" s="820"/>
      <c r="AM49" s="820"/>
      <c r="AN49" s="248">
        <v>250</v>
      </c>
      <c r="AO49" s="193"/>
      <c r="AP49" s="193"/>
      <c r="AQ49" s="170">
        <f t="shared" si="67"/>
        <v>585</v>
      </c>
      <c r="AR49" s="172">
        <v>0.8</v>
      </c>
      <c r="AS49" s="172">
        <f t="shared" si="73"/>
        <v>0</v>
      </c>
      <c r="AT49" s="817">
        <f>((E49*AJ49+F49*AK49))/10-((0*2*20)/10)</f>
        <v>5.8499999999999999E-5</v>
      </c>
      <c r="AU49" s="193"/>
      <c r="AV49" s="172">
        <f t="shared" si="43"/>
        <v>0</v>
      </c>
      <c r="AW49" s="172">
        <f t="shared" si="44"/>
        <v>5.8499999999999999E-5</v>
      </c>
      <c r="AX49" s="826"/>
      <c r="AY49" s="170">
        <f t="shared" si="45"/>
        <v>569.90699999999993</v>
      </c>
      <c r="AZ49" s="195"/>
      <c r="BA49" s="172"/>
      <c r="BB49" s="172">
        <f t="shared" si="46"/>
        <v>5.8499999999999999E-5</v>
      </c>
      <c r="BC49" s="172">
        <f t="shared" si="47"/>
        <v>5.8499999999999999E-5</v>
      </c>
      <c r="BD49" s="172">
        <f t="shared" si="48"/>
        <v>0</v>
      </c>
      <c r="BE49" s="172">
        <f t="shared" si="49"/>
        <v>0</v>
      </c>
      <c r="BF49" s="172">
        <f t="shared" si="50"/>
        <v>0</v>
      </c>
      <c r="BG49" s="172"/>
      <c r="BH49" s="172">
        <f t="shared" si="51"/>
        <v>0</v>
      </c>
      <c r="BI49" s="172">
        <f t="shared" si="52"/>
        <v>0</v>
      </c>
      <c r="BJ49" s="170">
        <f t="shared" si="74"/>
        <v>0</v>
      </c>
      <c r="BK49" s="170">
        <f t="shared" si="75"/>
        <v>0</v>
      </c>
      <c r="BL49" s="170">
        <f t="shared" ca="1" si="53"/>
        <v>110.25844457381081</v>
      </c>
      <c r="BM49" s="261">
        <f t="shared" si="82"/>
        <v>5.8500000000000001E-7</v>
      </c>
      <c r="BN49" s="172">
        <f t="shared" si="83"/>
        <v>9.2430000000000009E-7</v>
      </c>
      <c r="BO49" s="172">
        <f t="shared" si="84"/>
        <v>0</v>
      </c>
      <c r="BP49" s="172">
        <f t="shared" si="54"/>
        <v>0</v>
      </c>
      <c r="BQ49" s="171">
        <f t="shared" si="55"/>
        <v>5.8839299999999998E-5</v>
      </c>
      <c r="BR49" s="313">
        <v>0</v>
      </c>
      <c r="BS49" s="247">
        <f t="shared" si="76"/>
        <v>569.90699999999993</v>
      </c>
      <c r="BT49" s="172">
        <f t="shared" si="56"/>
        <v>0</v>
      </c>
      <c r="BU49" s="172">
        <f t="shared" ca="1" si="57"/>
        <v>5.1688285845397045E-5</v>
      </c>
      <c r="BV49" s="172">
        <f t="shared" ca="1" si="58"/>
        <v>-7.151014154602952E-6</v>
      </c>
      <c r="BW49" s="170">
        <f t="shared" ca="1" si="59"/>
        <v>-71.51014154602953</v>
      </c>
      <c r="BX49" s="193"/>
    </row>
    <row r="50" spans="1:76" ht="15.95" customHeight="1">
      <c r="A50" s="203">
        <v>27</v>
      </c>
      <c r="B50" s="60" t="s">
        <v>304</v>
      </c>
      <c r="C50" s="165" t="s">
        <v>77</v>
      </c>
      <c r="D50" s="176">
        <f>'T-1'!R54</f>
        <v>0</v>
      </c>
      <c r="E50" s="617">
        <f t="shared" si="79"/>
        <v>0</v>
      </c>
      <c r="F50" s="201"/>
      <c r="G50" s="170">
        <f>'T-1'!P54</f>
        <v>0</v>
      </c>
      <c r="H50" s="170">
        <f>'T-1'!Q54</f>
        <v>0</v>
      </c>
      <c r="I50" s="202"/>
      <c r="J50" s="816">
        <v>0</v>
      </c>
      <c r="K50" s="816">
        <f>730+20+30</f>
        <v>780</v>
      </c>
      <c r="L50" s="817"/>
      <c r="M50" s="816"/>
      <c r="N50" s="820"/>
      <c r="O50" s="248">
        <v>250</v>
      </c>
      <c r="P50" s="195"/>
      <c r="Q50" s="195"/>
      <c r="R50" s="247" t="e">
        <f t="shared" si="77"/>
        <v>#DIV/0!</v>
      </c>
      <c r="S50" s="248"/>
      <c r="T50" s="825">
        <f t="shared" si="70"/>
        <v>0</v>
      </c>
      <c r="U50" s="825">
        <f>((E50*K50+F50*L50))/10-(0*2*20)/10</f>
        <v>0</v>
      </c>
      <c r="V50" s="193"/>
      <c r="W50" s="817">
        <f t="shared" si="38"/>
        <v>0</v>
      </c>
      <c r="X50" s="172">
        <f t="shared" si="62"/>
        <v>0</v>
      </c>
      <c r="Y50" s="195"/>
      <c r="Z50" s="619" t="e">
        <f t="shared" si="66"/>
        <v>#DIV/0!</v>
      </c>
      <c r="AA50" s="195"/>
      <c r="AB50" s="817"/>
      <c r="AC50" s="261">
        <f t="shared" si="39"/>
        <v>0</v>
      </c>
      <c r="AD50" s="817">
        <f t="shared" si="80"/>
        <v>0</v>
      </c>
      <c r="AE50" s="817">
        <f>(T50+U50)*0%</f>
        <v>0</v>
      </c>
      <c r="AF50" s="817">
        <f t="shared" si="40"/>
        <v>0</v>
      </c>
      <c r="AG50" s="817">
        <f t="shared" si="81"/>
        <v>0</v>
      </c>
      <c r="AH50" s="171">
        <f t="shared" si="42"/>
        <v>0</v>
      </c>
      <c r="AI50" s="816">
        <v>0</v>
      </c>
      <c r="AJ50" s="816">
        <f>730+20+30</f>
        <v>780</v>
      </c>
      <c r="AK50" s="817"/>
      <c r="AL50" s="820"/>
      <c r="AM50" s="820"/>
      <c r="AN50" s="248">
        <v>250</v>
      </c>
      <c r="AO50" s="193"/>
      <c r="AP50" s="193"/>
      <c r="AQ50" s="170" t="e">
        <f t="shared" si="67"/>
        <v>#DIV/0!</v>
      </c>
      <c r="AR50" s="172"/>
      <c r="AS50" s="172">
        <f t="shared" si="73"/>
        <v>0</v>
      </c>
      <c r="AT50" s="172">
        <f>(E50*AJ50+F50*AK50)/10-(0*2*20)/10</f>
        <v>0</v>
      </c>
      <c r="AU50" s="193"/>
      <c r="AV50" s="172">
        <f t="shared" si="43"/>
        <v>0</v>
      </c>
      <c r="AW50" s="172">
        <f>SUM(AS50:AV50)</f>
        <v>0</v>
      </c>
      <c r="AX50" s="828"/>
      <c r="AY50" s="170" t="e">
        <f t="shared" si="45"/>
        <v>#DIV/0!</v>
      </c>
      <c r="AZ50" s="195"/>
      <c r="BA50" s="193"/>
      <c r="BB50" s="172">
        <f>AW50-BA50</f>
        <v>0</v>
      </c>
      <c r="BC50" s="172">
        <f>AC50</f>
        <v>0</v>
      </c>
      <c r="BD50" s="172">
        <f t="shared" si="48"/>
        <v>0</v>
      </c>
      <c r="BE50" s="172">
        <f t="shared" si="49"/>
        <v>0</v>
      </c>
      <c r="BF50" s="172">
        <f t="shared" si="50"/>
        <v>0</v>
      </c>
      <c r="BG50" s="172"/>
      <c r="BH50" s="172">
        <f t="shared" si="51"/>
        <v>0</v>
      </c>
      <c r="BI50" s="172">
        <f t="shared" si="52"/>
        <v>0</v>
      </c>
      <c r="BJ50" s="170" t="e">
        <f t="shared" si="74"/>
        <v>#DIV/0!</v>
      </c>
      <c r="BK50" s="170" t="e">
        <f t="shared" si="75"/>
        <v>#DIV/0!</v>
      </c>
      <c r="BL50" s="170" t="e">
        <f t="shared" ca="1" si="53"/>
        <v>#DIV/0!</v>
      </c>
      <c r="BM50" s="261"/>
      <c r="BN50" s="172"/>
      <c r="BO50" s="172"/>
      <c r="BP50" s="172"/>
      <c r="BQ50" s="171">
        <f t="shared" si="55"/>
        <v>0</v>
      </c>
      <c r="BR50" s="313">
        <v>0.08</v>
      </c>
      <c r="BS50" s="247" t="e">
        <f t="shared" si="76"/>
        <v>#DIV/0!</v>
      </c>
      <c r="BT50" s="172">
        <f t="shared" si="56"/>
        <v>0</v>
      </c>
      <c r="BU50" s="172">
        <f t="shared" ca="1" si="57"/>
        <v>0</v>
      </c>
      <c r="BV50" s="172">
        <f ca="1">BU50-BQ50</f>
        <v>0</v>
      </c>
      <c r="BW50" s="170" t="e">
        <f t="shared" ca="1" si="59"/>
        <v>#DIV/0!</v>
      </c>
      <c r="BX50" s="195"/>
    </row>
    <row r="51" spans="1:76" ht="15.95" customHeight="1">
      <c r="A51" s="168">
        <v>28</v>
      </c>
      <c r="B51" s="60" t="s">
        <v>87</v>
      </c>
      <c r="C51" s="165" t="s">
        <v>77</v>
      </c>
      <c r="D51" s="176">
        <f>'T-1'!R55</f>
        <v>4.2</v>
      </c>
      <c r="E51" s="617">
        <f t="shared" si="79"/>
        <v>4.2</v>
      </c>
      <c r="F51" s="201"/>
      <c r="G51" s="170">
        <f>'T-1'!P55</f>
        <v>0</v>
      </c>
      <c r="H51" s="170">
        <f>'T-1'!Q55</f>
        <v>0</v>
      </c>
      <c r="I51" s="202"/>
      <c r="J51" s="816">
        <v>0</v>
      </c>
      <c r="K51" s="816">
        <f>440+20+30</f>
        <v>490</v>
      </c>
      <c r="L51" s="817"/>
      <c r="M51" s="816"/>
      <c r="N51" s="820"/>
      <c r="O51" s="248">
        <v>0</v>
      </c>
      <c r="P51" s="195"/>
      <c r="Q51" s="171"/>
      <c r="R51" s="247">
        <f t="shared" si="77"/>
        <v>490</v>
      </c>
      <c r="S51" s="248"/>
      <c r="T51" s="825">
        <f>(H51*J51*0.8*12)/100000</f>
        <v>0</v>
      </c>
      <c r="U51" s="825">
        <f>((E51*K51+F51*L51))/10</f>
        <v>205.8</v>
      </c>
      <c r="V51" s="193"/>
      <c r="W51" s="817">
        <f t="shared" si="38"/>
        <v>0</v>
      </c>
      <c r="X51" s="172">
        <f t="shared" si="62"/>
        <v>205.8</v>
      </c>
      <c r="Y51" s="195"/>
      <c r="Z51" s="619">
        <f t="shared" si="66"/>
        <v>485.1</v>
      </c>
      <c r="AA51" s="195"/>
      <c r="AB51" s="817"/>
      <c r="AC51" s="261">
        <f>X51-AB51</f>
        <v>205.8</v>
      </c>
      <c r="AD51" s="817">
        <f t="shared" si="80"/>
        <v>2.0580000000000003</v>
      </c>
      <c r="AE51" s="817"/>
      <c r="AF51" s="817"/>
      <c r="AG51" s="817">
        <f t="shared" si="81"/>
        <v>0</v>
      </c>
      <c r="AH51" s="171">
        <f t="shared" si="42"/>
        <v>203.74200000000002</v>
      </c>
      <c r="AI51" s="816">
        <v>0</v>
      </c>
      <c r="AJ51" s="816">
        <f>440+20+30</f>
        <v>490</v>
      </c>
      <c r="AK51" s="817"/>
      <c r="AL51" s="820"/>
      <c r="AM51" s="820"/>
      <c r="AN51" s="248">
        <v>0</v>
      </c>
      <c r="AO51" s="193"/>
      <c r="AP51" s="193"/>
      <c r="AQ51" s="170">
        <f t="shared" si="67"/>
        <v>490</v>
      </c>
      <c r="AR51" s="172">
        <v>0.8</v>
      </c>
      <c r="AS51" s="172">
        <f t="shared" si="73"/>
        <v>0</v>
      </c>
      <c r="AT51" s="172">
        <f>((E51*AJ51+F51*AK51))/10</f>
        <v>205.8</v>
      </c>
      <c r="AU51" s="193"/>
      <c r="AV51" s="172">
        <f t="shared" si="43"/>
        <v>0</v>
      </c>
      <c r="AW51" s="172">
        <f t="shared" si="44"/>
        <v>205.8</v>
      </c>
      <c r="AX51" s="829"/>
      <c r="AY51" s="170">
        <f>(BB51-BM51-BN51+BO51-BP51)/D51*10</f>
        <v>485.1</v>
      </c>
      <c r="AZ51" s="195"/>
      <c r="BA51" s="172"/>
      <c r="BB51" s="172">
        <f>AW51-BA51</f>
        <v>205.8</v>
      </c>
      <c r="BC51" s="172">
        <f>AC51</f>
        <v>205.8</v>
      </c>
      <c r="BD51" s="172">
        <f t="shared" si="48"/>
        <v>0</v>
      </c>
      <c r="BE51" s="172">
        <f t="shared" si="49"/>
        <v>0</v>
      </c>
      <c r="BF51" s="172">
        <f t="shared" si="50"/>
        <v>0</v>
      </c>
      <c r="BG51" s="172"/>
      <c r="BH51" s="172">
        <f t="shared" si="51"/>
        <v>0</v>
      </c>
      <c r="BI51" s="172">
        <f t="shared" si="52"/>
        <v>0</v>
      </c>
      <c r="BJ51" s="170">
        <f t="shared" si="74"/>
        <v>0</v>
      </c>
      <c r="BK51" s="170">
        <f t="shared" si="75"/>
        <v>0</v>
      </c>
      <c r="BL51" s="170">
        <f t="shared" ca="1" si="53"/>
        <v>93.851051948397952</v>
      </c>
      <c r="BM51" s="261">
        <f t="shared" si="82"/>
        <v>2.0580000000000003</v>
      </c>
      <c r="BN51" s="172"/>
      <c r="BO51" s="172"/>
      <c r="BP51" s="172">
        <f t="shared" si="54"/>
        <v>0</v>
      </c>
      <c r="BQ51" s="171">
        <f t="shared" si="55"/>
        <v>203.74200000000002</v>
      </c>
      <c r="BR51" s="313">
        <v>0.08</v>
      </c>
      <c r="BS51" s="247">
        <f t="shared" si="76"/>
        <v>489.02000000000004</v>
      </c>
      <c r="BT51" s="172">
        <f t="shared" si="56"/>
        <v>16.464000000000002</v>
      </c>
      <c r="BU51" s="172">
        <f t="shared" ca="1" si="57"/>
        <v>217.09080055066761</v>
      </c>
      <c r="BV51" s="172">
        <f t="shared" ca="1" si="58"/>
        <v>13.34880055066759</v>
      </c>
      <c r="BW51" s="170">
        <f t="shared" ca="1" si="59"/>
        <v>31.782858453970452</v>
      </c>
      <c r="BX51" s="193"/>
    </row>
    <row r="52" spans="1:76" ht="15.95" customHeight="1">
      <c r="A52" s="203"/>
      <c r="B52" s="60"/>
      <c r="C52" s="165"/>
      <c r="D52" s="200"/>
      <c r="E52" s="200"/>
      <c r="F52" s="201"/>
      <c r="G52" s="202"/>
      <c r="H52" s="202"/>
      <c r="I52" s="202"/>
      <c r="J52" s="193"/>
      <c r="K52" s="817"/>
      <c r="L52" s="817"/>
      <c r="M52" s="820"/>
      <c r="N52" s="820"/>
      <c r="O52" s="195"/>
      <c r="P52" s="195"/>
      <c r="Q52" s="195"/>
      <c r="R52" s="248"/>
      <c r="S52" s="248"/>
      <c r="T52" s="195"/>
      <c r="U52" s="195"/>
      <c r="V52" s="193"/>
      <c r="W52" s="193"/>
      <c r="X52" s="193"/>
      <c r="Y52" s="195"/>
      <c r="Z52" s="193"/>
      <c r="AA52" s="195"/>
      <c r="AB52" s="193"/>
      <c r="AC52" s="262"/>
      <c r="AD52" s="817"/>
      <c r="AE52" s="817"/>
      <c r="AF52" s="817"/>
      <c r="AG52" s="817"/>
      <c r="AH52" s="171"/>
      <c r="AI52" s="193"/>
      <c r="AJ52" s="817"/>
      <c r="AK52" s="817"/>
      <c r="AL52" s="820"/>
      <c r="AM52" s="820"/>
      <c r="AN52" s="195"/>
      <c r="AO52" s="193"/>
      <c r="AP52" s="193"/>
      <c r="AQ52" s="193"/>
      <c r="AR52" s="193"/>
      <c r="AS52" s="193"/>
      <c r="AT52" s="193"/>
      <c r="AU52" s="193"/>
      <c r="AV52" s="193"/>
      <c r="AW52" s="193"/>
      <c r="AX52" s="826"/>
      <c r="AY52" s="193"/>
      <c r="AZ52" s="195"/>
      <c r="BA52" s="193"/>
      <c r="BB52" s="193"/>
      <c r="BC52" s="193"/>
      <c r="BD52" s="193"/>
      <c r="BE52" s="193"/>
      <c r="BF52" s="193"/>
      <c r="BG52" s="193"/>
      <c r="BH52" s="172">
        <f t="shared" si="51"/>
        <v>0</v>
      </c>
      <c r="BI52" s="172">
        <f t="shared" si="52"/>
        <v>0</v>
      </c>
      <c r="BJ52" s="170">
        <f t="shared" si="74"/>
        <v>0</v>
      </c>
      <c r="BK52" s="170" t="e">
        <f t="shared" si="75"/>
        <v>#DIV/0!</v>
      </c>
      <c r="BL52" s="170">
        <f t="shared" ca="1" si="53"/>
        <v>0</v>
      </c>
      <c r="BM52" s="262"/>
      <c r="BN52" s="193"/>
      <c r="BO52" s="193"/>
      <c r="BP52" s="172"/>
      <c r="BQ52" s="171">
        <f t="shared" si="55"/>
        <v>0</v>
      </c>
      <c r="BR52" s="313">
        <v>0.08</v>
      </c>
      <c r="BS52" s="248"/>
      <c r="BT52" s="193"/>
      <c r="BU52" s="193"/>
      <c r="BV52" s="193"/>
      <c r="BW52" s="170" t="e">
        <f t="shared" si="59"/>
        <v>#DIV/0!</v>
      </c>
      <c r="BX52" s="195"/>
    </row>
    <row r="53" spans="1:76" ht="15.95" customHeight="1">
      <c r="A53" s="168"/>
      <c r="B53" s="192" t="s">
        <v>88</v>
      </c>
      <c r="C53" s="63"/>
      <c r="D53" s="632">
        <f t="shared" ref="D53:I53" si="98">SUM(D36:D52)</f>
        <v>2177.2246240855229</v>
      </c>
      <c r="E53" s="632">
        <f t="shared" si="98"/>
        <v>1785.7271606394404</v>
      </c>
      <c r="F53" s="632">
        <f t="shared" si="98"/>
        <v>391.49746344608332</v>
      </c>
      <c r="G53" s="633">
        <f t="shared" si="98"/>
        <v>1158</v>
      </c>
      <c r="H53" s="633">
        <f t="shared" si="98"/>
        <v>722892.81333333324</v>
      </c>
      <c r="I53" s="633">
        <f t="shared" si="98"/>
        <v>139271.59999999998</v>
      </c>
      <c r="J53" s="193"/>
      <c r="K53" s="822"/>
      <c r="L53" s="822"/>
      <c r="M53" s="821"/>
      <c r="N53" s="821"/>
      <c r="O53" s="195"/>
      <c r="P53" s="195"/>
      <c r="Q53" s="171"/>
      <c r="R53" s="252">
        <f>X53/D53*10</f>
        <v>611.49720292954555</v>
      </c>
      <c r="S53" s="252"/>
      <c r="T53" s="197">
        <f>SUM(T36:T51)</f>
        <v>14501.801866666669</v>
      </c>
      <c r="U53" s="635">
        <f>SUM(U36:U52)</f>
        <v>118600.1349110962</v>
      </c>
      <c r="V53" s="193"/>
      <c r="W53" s="634">
        <f>SUM(W36:W52)</f>
        <v>34.739999999999995</v>
      </c>
      <c r="X53" s="634">
        <f>SUM(X36:X52)</f>
        <v>133136.67677776286</v>
      </c>
      <c r="Y53" s="195"/>
      <c r="Z53" s="241">
        <f>(AC53-AD53-AE53+AF53-AG53)/D53*10</f>
        <v>605.3735907652964</v>
      </c>
      <c r="AA53" s="634">
        <f t="shared" ref="AA53:AH53" si="99">SUM(AA36:AA52)</f>
        <v>29.493580000000001</v>
      </c>
      <c r="AB53" s="634">
        <f t="shared" si="99"/>
        <v>29.493580000000001</v>
      </c>
      <c r="AC53" s="635">
        <f t="shared" si="99"/>
        <v>133107.18319776285</v>
      </c>
      <c r="AD53" s="634">
        <f t="shared" si="99"/>
        <v>1303.7543383109619</v>
      </c>
      <c r="AE53" s="822">
        <f>SUM(AE36:AE52)</f>
        <v>9.2430000000000009E-7</v>
      </c>
      <c r="AF53" s="822">
        <f>SUM(AF36:AF52)</f>
        <v>0</v>
      </c>
      <c r="AG53" s="822">
        <f>SUM(AG36:AG52)</f>
        <v>0</v>
      </c>
      <c r="AH53" s="634">
        <f t="shared" si="99"/>
        <v>131803.42886037621</v>
      </c>
      <c r="AI53" s="193"/>
      <c r="AJ53" s="822"/>
      <c r="AK53" s="822"/>
      <c r="AL53" s="821"/>
      <c r="AM53" s="821"/>
      <c r="AN53" s="195"/>
      <c r="AO53" s="193"/>
      <c r="AP53" s="193"/>
      <c r="AQ53" s="257">
        <f>(AW53/D53)*10</f>
        <v>611.49720292954555</v>
      </c>
      <c r="AR53" s="181"/>
      <c r="AS53" s="198">
        <f>SUM(AS36:AS51)</f>
        <v>14501.801866666669</v>
      </c>
      <c r="AT53" s="198">
        <f>SUM(AT36:AT51)</f>
        <v>118600.1349110962</v>
      </c>
      <c r="AU53" s="198">
        <f>SUM(AU36:AU51)</f>
        <v>0</v>
      </c>
      <c r="AV53" s="198">
        <f>SUM(AV36:AV51)</f>
        <v>34.739999999999995</v>
      </c>
      <c r="AW53" s="198">
        <f>SUM(AW36:AW51)</f>
        <v>133136.67677776286</v>
      </c>
      <c r="AX53" s="826"/>
      <c r="AY53" s="257">
        <f>(BB53-BM53-BN53+BO53-BP53)/(D53*0.985)*10</f>
        <v>614.59247793431109</v>
      </c>
      <c r="AZ53" s="199">
        <f t="shared" ref="AZ53:BI53" si="100">SUM(AZ36:AZ51)</f>
        <v>29.493580000000001</v>
      </c>
      <c r="BA53" s="198">
        <f t="shared" si="100"/>
        <v>29.493580000000001</v>
      </c>
      <c r="BB53" s="198">
        <f t="shared" si="100"/>
        <v>133107.18319776285</v>
      </c>
      <c r="BC53" s="198">
        <f t="shared" si="100"/>
        <v>133107.18319776285</v>
      </c>
      <c r="BD53" s="198">
        <f t="shared" si="100"/>
        <v>0</v>
      </c>
      <c r="BE53" s="198">
        <f t="shared" si="100"/>
        <v>0</v>
      </c>
      <c r="BF53" s="198">
        <f t="shared" si="100"/>
        <v>0</v>
      </c>
      <c r="BG53" s="198">
        <f t="shared" si="100"/>
        <v>0</v>
      </c>
      <c r="BH53" s="198">
        <f t="shared" si="100"/>
        <v>0</v>
      </c>
      <c r="BI53" s="198">
        <f t="shared" si="100"/>
        <v>0</v>
      </c>
      <c r="BJ53" s="257">
        <f t="shared" si="74"/>
        <v>9.2188871690146925</v>
      </c>
      <c r="BK53" s="257">
        <f t="shared" si="75"/>
        <v>1.522842639593913</v>
      </c>
      <c r="BL53" s="257">
        <f t="shared" ca="1" si="53"/>
        <v>118.90362930057235</v>
      </c>
      <c r="BM53" s="258">
        <f>SUM(BM36:BM51)</f>
        <v>1303.7543383109619</v>
      </c>
      <c r="BN53" s="198">
        <f>SUM(BN36:BN51)</f>
        <v>9.2430000000000009E-7</v>
      </c>
      <c r="BO53" s="198">
        <f>SUM(BO36:BO51)</f>
        <v>0</v>
      </c>
      <c r="BP53" s="198">
        <f>SUM(BP36:BP51)</f>
        <v>0</v>
      </c>
      <c r="BQ53" s="198">
        <f>SUM(BQ36:BQ51)</f>
        <v>131803.42886037621</v>
      </c>
      <c r="BR53" s="193"/>
      <c r="BS53" s="252">
        <f>BT53/D53+AY53</f>
        <v>618.82764263261629</v>
      </c>
      <c r="BT53" s="198">
        <f>SUM(BT36:BT51)</f>
        <v>9220.9048682076973</v>
      </c>
      <c r="BU53" s="198">
        <f ca="1">SUM(BU36:BU51)</f>
        <v>112537.00871936967</v>
      </c>
      <c r="BV53" s="198">
        <f ca="1">SUM(BV36:BV51)</f>
        <v>-19266.420141006543</v>
      </c>
      <c r="BW53" s="257">
        <f t="shared" ca="1" si="59"/>
        <v>-88.490732319816644</v>
      </c>
      <c r="BX53" s="195"/>
    </row>
    <row r="54" spans="1:76" ht="15.95" customHeight="1">
      <c r="A54" s="64"/>
      <c r="B54" s="204" t="s">
        <v>89</v>
      </c>
      <c r="C54" s="63"/>
      <c r="D54" s="200"/>
      <c r="E54" s="200"/>
      <c r="F54" s="201"/>
      <c r="G54" s="202"/>
      <c r="H54" s="202"/>
      <c r="I54" s="202"/>
      <c r="J54" s="193"/>
      <c r="K54" s="817"/>
      <c r="L54" s="817"/>
      <c r="M54" s="820"/>
      <c r="N54" s="820"/>
      <c r="O54" s="195"/>
      <c r="P54" s="195"/>
      <c r="Q54" s="195"/>
      <c r="R54" s="248"/>
      <c r="S54" s="248"/>
      <c r="T54" s="195"/>
      <c r="U54" s="195"/>
      <c r="V54" s="193"/>
      <c r="W54" s="193"/>
      <c r="X54" s="193"/>
      <c r="Y54" s="195"/>
      <c r="Z54" s="193"/>
      <c r="AA54" s="195"/>
      <c r="AB54" s="193"/>
      <c r="AC54" s="262"/>
      <c r="AD54" s="193"/>
      <c r="AE54" s="817"/>
      <c r="AF54" s="817"/>
      <c r="AG54" s="817"/>
      <c r="AH54" s="193"/>
      <c r="AI54" s="193"/>
      <c r="AJ54" s="817"/>
      <c r="AK54" s="817"/>
      <c r="AL54" s="820"/>
      <c r="AM54" s="820"/>
      <c r="AN54" s="195"/>
      <c r="AO54" s="193"/>
      <c r="AP54" s="193"/>
      <c r="AQ54" s="193"/>
      <c r="AR54" s="193"/>
      <c r="AS54" s="193"/>
      <c r="AT54" s="193"/>
      <c r="AU54" s="193"/>
      <c r="AV54" s="193"/>
      <c r="AW54" s="193"/>
      <c r="AX54" s="826"/>
      <c r="AY54" s="193"/>
      <c r="AZ54" s="195"/>
      <c r="BA54" s="193"/>
      <c r="BB54" s="193"/>
      <c r="BC54" s="193"/>
      <c r="BD54" s="193"/>
      <c r="BE54" s="193"/>
      <c r="BF54" s="193"/>
      <c r="BG54" s="193"/>
      <c r="BH54" s="193"/>
      <c r="BI54" s="193"/>
      <c r="BJ54" s="193"/>
      <c r="BK54" s="193"/>
      <c r="BL54" s="193"/>
      <c r="BM54" s="262"/>
      <c r="BN54" s="193"/>
      <c r="BO54" s="193"/>
      <c r="BP54" s="193"/>
      <c r="BQ54" s="193"/>
      <c r="BR54" s="193"/>
      <c r="BS54" s="248"/>
      <c r="BT54" s="193"/>
      <c r="BU54" s="193"/>
      <c r="BV54" s="193"/>
      <c r="BW54" s="193"/>
      <c r="BX54" s="195"/>
    </row>
    <row r="55" spans="1:76" ht="15.95" customHeight="1">
      <c r="A55" s="64">
        <v>29</v>
      </c>
      <c r="B55" s="60" t="s">
        <v>90</v>
      </c>
      <c r="C55" s="63" t="s">
        <v>91</v>
      </c>
      <c r="D55" s="176">
        <f>'T-1'!R59</f>
        <v>0</v>
      </c>
      <c r="E55" s="617">
        <f t="shared" ref="E55:E65" si="101">D55-F55</f>
        <v>0</v>
      </c>
      <c r="F55" s="818">
        <f>D55*0.37%</f>
        <v>0</v>
      </c>
      <c r="G55" s="170">
        <f>'T-1'!P59</f>
        <v>0</v>
      </c>
      <c r="H55" s="170">
        <f>'T-1'!Q59</f>
        <v>0</v>
      </c>
      <c r="I55" s="202"/>
      <c r="J55" s="193">
        <v>250</v>
      </c>
      <c r="K55" s="816">
        <f t="shared" ref="K55:K62" si="102">530+20+30</f>
        <v>580</v>
      </c>
      <c r="L55" s="816">
        <f t="shared" ref="L55:L62" si="103">420+20+30</f>
        <v>470</v>
      </c>
      <c r="M55" s="820"/>
      <c r="N55" s="820"/>
      <c r="O55" s="195">
        <v>700</v>
      </c>
      <c r="P55" s="195"/>
      <c r="Q55" s="171"/>
      <c r="R55" s="247"/>
      <c r="S55" s="195"/>
      <c r="T55" s="825"/>
      <c r="U55" s="825"/>
      <c r="V55" s="193"/>
      <c r="W55" s="817"/>
      <c r="X55" s="172"/>
      <c r="Y55" s="195"/>
      <c r="Z55" s="619"/>
      <c r="AA55" s="195"/>
      <c r="AB55" s="817"/>
      <c r="AC55" s="261"/>
      <c r="AD55" s="817"/>
      <c r="AE55" s="817"/>
      <c r="AF55" s="817"/>
      <c r="AG55" s="817"/>
      <c r="AH55" s="171"/>
      <c r="AI55" s="193"/>
      <c r="AJ55" s="816">
        <f t="shared" ref="AJ55:AJ62" si="104">530+20+30</f>
        <v>580</v>
      </c>
      <c r="AK55" s="816">
        <f t="shared" ref="AK55:AK62" si="105">420+20+30</f>
        <v>470</v>
      </c>
      <c r="AL55" s="820"/>
      <c r="AM55" s="820"/>
      <c r="AN55" s="195"/>
      <c r="AO55" s="193"/>
      <c r="AP55" s="193"/>
      <c r="AQ55" s="170"/>
      <c r="AR55" s="172"/>
      <c r="AS55" s="172"/>
      <c r="AT55" s="172"/>
      <c r="AU55" s="193"/>
      <c r="AV55" s="172"/>
      <c r="AW55" s="172"/>
      <c r="AX55" s="826"/>
      <c r="AY55" s="170"/>
      <c r="AZ55" s="195"/>
      <c r="BA55" s="172"/>
      <c r="BB55" s="172"/>
      <c r="BC55" s="172"/>
      <c r="BD55" s="172"/>
      <c r="BE55" s="172"/>
      <c r="BF55" s="172"/>
      <c r="BG55" s="172"/>
      <c r="BH55" s="172"/>
      <c r="BI55" s="172"/>
      <c r="BJ55" s="170"/>
      <c r="BK55" s="170"/>
      <c r="BL55" s="170"/>
      <c r="BM55" s="261"/>
      <c r="BN55" s="172"/>
      <c r="BO55" s="172"/>
      <c r="BP55" s="172"/>
      <c r="BQ55" s="171"/>
      <c r="BR55" s="313"/>
      <c r="BS55" s="247"/>
      <c r="BT55" s="172"/>
      <c r="BU55" s="172"/>
      <c r="BV55" s="172"/>
      <c r="BW55" s="170"/>
      <c r="BX55" s="195"/>
    </row>
    <row r="56" spans="1:76" ht="15.95" customHeight="1">
      <c r="A56" s="64">
        <v>30</v>
      </c>
      <c r="B56" s="60" t="s">
        <v>73</v>
      </c>
      <c r="C56" s="63" t="s">
        <v>91</v>
      </c>
      <c r="D56" s="176">
        <f>'T-1'!R60</f>
        <v>358.31285831285834</v>
      </c>
      <c r="E56" s="617">
        <f t="shared" si="101"/>
        <v>329.64782964782967</v>
      </c>
      <c r="F56" s="818">
        <f>D56*8%</f>
        <v>28.665028665028668</v>
      </c>
      <c r="G56" s="170">
        <f>'T-1'!P60</f>
        <v>14</v>
      </c>
      <c r="H56" s="170">
        <f>'T-1'!Q60</f>
        <v>226750</v>
      </c>
      <c r="I56" s="202"/>
      <c r="J56" s="193">
        <v>250</v>
      </c>
      <c r="K56" s="816">
        <f t="shared" si="102"/>
        <v>580</v>
      </c>
      <c r="L56" s="816">
        <f t="shared" si="103"/>
        <v>470</v>
      </c>
      <c r="M56" s="820"/>
      <c r="N56" s="820"/>
      <c r="O56" s="195">
        <v>700</v>
      </c>
      <c r="P56" s="196"/>
      <c r="Q56" s="167"/>
      <c r="R56" s="247">
        <f t="shared" ref="R56:R64" si="106">X56/D56*10</f>
        <v>718.35754340571441</v>
      </c>
      <c r="S56" s="195">
        <v>0.8</v>
      </c>
      <c r="T56" s="825">
        <f>((H56*J56*S56*12)/100000)+(((80000+25550+27728+3334)*250*S56*2)*0/100000)</f>
        <v>5442</v>
      </c>
      <c r="U56" s="825">
        <f>((E56*K56+F56*L56))/10-((42.583*2*20)/10)</f>
        <v>20296.498466830471</v>
      </c>
      <c r="V56" s="193"/>
      <c r="W56" s="817">
        <f t="shared" ref="W56:W65" si="107">(O56*G56*12)/100000</f>
        <v>1.1759999999999999</v>
      </c>
      <c r="X56" s="172">
        <f t="shared" ref="X56:X65" si="108">SUM(T56:W56)</f>
        <v>25739.674466830471</v>
      </c>
      <c r="Y56" s="196"/>
      <c r="Z56" s="619">
        <f t="shared" ref="Z56:Z64" si="109">(AC56-AD56-AE56+AF56-AG56)/D56*10</f>
        <v>711.17396797165725</v>
      </c>
      <c r="AA56" s="196"/>
      <c r="AB56" s="817"/>
      <c r="AC56" s="261">
        <f t="shared" ref="AC56:AC63" si="110">X56-AB56</f>
        <v>25739.674466830471</v>
      </c>
      <c r="AD56" s="817">
        <f t="shared" ref="AD56:AD64" si="111">X56*1%</f>
        <v>257.39674466830473</v>
      </c>
      <c r="AE56" s="817">
        <f t="shared" ref="AE56:AE63" si="112">(T56+U56)*0%</f>
        <v>0</v>
      </c>
      <c r="AF56" s="817">
        <f t="shared" ref="AF56:AF63" si="113">(T56+U56)*0%</f>
        <v>0</v>
      </c>
      <c r="AG56" s="817">
        <f>(T56+U56)*0</f>
        <v>0</v>
      </c>
      <c r="AH56" s="171">
        <f t="shared" ref="AH56:AH64" si="114">AC56-AD56+AE56+AF56-AG56</f>
        <v>25482.277722162165</v>
      </c>
      <c r="AI56" s="193">
        <v>250</v>
      </c>
      <c r="AJ56" s="816">
        <f t="shared" si="104"/>
        <v>580</v>
      </c>
      <c r="AK56" s="816">
        <f t="shared" si="105"/>
        <v>470</v>
      </c>
      <c r="AL56" s="820"/>
      <c r="AM56" s="820"/>
      <c r="AN56" s="195">
        <v>700</v>
      </c>
      <c r="AO56" s="193"/>
      <c r="AP56" s="193"/>
      <c r="AQ56" s="170">
        <f t="shared" ref="AQ56:AQ64" si="115">(AW56/D56)*10</f>
        <v>718.35754340571441</v>
      </c>
      <c r="AR56" s="172">
        <v>0.8</v>
      </c>
      <c r="AS56" s="172">
        <f>(H56*AI56*AR56*12)/100000</f>
        <v>5442</v>
      </c>
      <c r="AT56" s="172">
        <f>(E56*AJ56+F56*AK56)/10-((42.583*2*20)/10)</f>
        <v>20296.498466830471</v>
      </c>
      <c r="AU56" s="193"/>
      <c r="AV56" s="172">
        <f t="shared" ref="AV56:AV65" si="116">(AN56*G56*12)/100000</f>
        <v>1.1759999999999999</v>
      </c>
      <c r="AW56" s="172">
        <f t="shared" ref="AW56:AW65" si="117">SUM(AS56:AV56)</f>
        <v>25739.674466830471</v>
      </c>
      <c r="AX56" s="826"/>
      <c r="AY56" s="170">
        <f t="shared" ref="AY56:AY63" si="118">(BB56-BM56-BN56+BO56-BP56)/D56*10</f>
        <v>711.17396797165725</v>
      </c>
      <c r="AZ56" s="196"/>
      <c r="BA56" s="172"/>
      <c r="BB56" s="172">
        <f t="shared" ref="BB56:BB65" si="119">AW56-BA56</f>
        <v>25739.674466830471</v>
      </c>
      <c r="BC56" s="172">
        <f t="shared" ref="BC56:BC65" si="120">AC56</f>
        <v>25739.674466830471</v>
      </c>
      <c r="BD56" s="172">
        <f t="shared" ref="BD56:BD65" si="121">BB56-BC56</f>
        <v>0</v>
      </c>
      <c r="BE56" s="172">
        <f t="shared" ref="BE56:BE65" si="122">AS56-T56</f>
        <v>0</v>
      </c>
      <c r="BF56" s="172">
        <f t="shared" ref="BF56:BF65" si="123">AT56-U56</f>
        <v>0</v>
      </c>
      <c r="BG56" s="172"/>
      <c r="BH56" s="172">
        <f t="shared" ref="BH56:BH65" si="124">AV56-W56</f>
        <v>0</v>
      </c>
      <c r="BI56" s="172">
        <f t="shared" ref="BI56:BI65" si="125">AW56-X56</f>
        <v>0</v>
      </c>
      <c r="BJ56" s="170">
        <f t="shared" ref="BJ56:BJ67" si="126">AY56-Z56</f>
        <v>0</v>
      </c>
      <c r="BK56" s="170">
        <f t="shared" ref="BK56:BK67" si="127">BJ56/Z56*100</f>
        <v>0</v>
      </c>
      <c r="BL56" s="170">
        <f t="shared" ref="BL56:BL66" ca="1" si="128">AY56/$E$74*100</f>
        <v>155.5025749410878</v>
      </c>
      <c r="BM56" s="261">
        <f t="shared" ref="BM56:BM64" si="129">AD56/X56*AW56</f>
        <v>257.39674466830473</v>
      </c>
      <c r="BN56" s="172">
        <f t="shared" ref="BN56:BN63" si="130">AE56/(T56+U56+W56)*(AS56+AT56+AV56)</f>
        <v>0</v>
      </c>
      <c r="BO56" s="172">
        <f t="shared" ref="BO56:BO63" si="131">AF56/(T56+U56+W56)*(AS56+AT56+AV56)</f>
        <v>0</v>
      </c>
      <c r="BP56" s="172">
        <f t="shared" ref="BP56:BP64" si="132">AG56/(T56+U56+W56)*(AS56+AT56+AV56)</f>
        <v>0</v>
      </c>
      <c r="BQ56" s="171">
        <f t="shared" ref="BQ56:BQ65" si="133">BB56-BM56+BN56+BO56-BP56</f>
        <v>25482.277722162165</v>
      </c>
      <c r="BR56" s="313">
        <v>0.09</v>
      </c>
      <c r="BS56" s="247">
        <f t="shared" ref="BS56:BS67" si="134">BT56/D56+AY56</f>
        <v>716.27198446656007</v>
      </c>
      <c r="BT56" s="172">
        <f t="shared" ref="BT56:BT65" si="135">BR56*AT56</f>
        <v>1826.6848620147423</v>
      </c>
      <c r="BU56" s="172">
        <f t="shared" ref="BU56:BU65" ca="1" si="136">D56*$E$74/10</f>
        <v>16387.045508292154</v>
      </c>
      <c r="BV56" s="172">
        <f t="shared" ref="BV56:BV65" ca="1" si="137">BU56-BQ56</f>
        <v>-9095.232213870011</v>
      </c>
      <c r="BW56" s="170">
        <f t="shared" ref="BW56:BW67" ca="1" si="138">BV56/D56*10</f>
        <v>-253.83493790023505</v>
      </c>
      <c r="BX56" s="194"/>
    </row>
    <row r="57" spans="1:76" ht="15.95" customHeight="1">
      <c r="A57" s="64"/>
      <c r="B57" s="62" t="s">
        <v>2128</v>
      </c>
      <c r="C57" s="63" t="s">
        <v>91</v>
      </c>
      <c r="D57" s="176">
        <f>'T-1'!R61</f>
        <v>153.56265356265357</v>
      </c>
      <c r="E57" s="617">
        <f t="shared" si="101"/>
        <v>153.56265356265357</v>
      </c>
      <c r="F57" s="818"/>
      <c r="G57" s="170"/>
      <c r="H57" s="170"/>
      <c r="I57" s="202"/>
      <c r="J57" s="193"/>
      <c r="K57" s="816">
        <v>430</v>
      </c>
      <c r="L57" s="816"/>
      <c r="M57" s="820"/>
      <c r="N57" s="820"/>
      <c r="O57" s="195"/>
      <c r="P57" s="196"/>
      <c r="Q57" s="167"/>
      <c r="R57" s="247">
        <f t="shared" si="106"/>
        <v>430.00000000000006</v>
      </c>
      <c r="S57" s="195"/>
      <c r="T57" s="825"/>
      <c r="U57" s="825">
        <f>((E57*K57+F57*L57))/10</f>
        <v>6603.1941031941042</v>
      </c>
      <c r="V57" s="193"/>
      <c r="W57" s="817"/>
      <c r="X57" s="172">
        <f t="shared" si="108"/>
        <v>6603.1941031941042</v>
      </c>
      <c r="Y57" s="196"/>
      <c r="Z57" s="619">
        <f t="shared" si="109"/>
        <v>430.00000000000006</v>
      </c>
      <c r="AA57" s="196"/>
      <c r="AB57" s="817"/>
      <c r="AC57" s="261">
        <f t="shared" si="110"/>
        <v>6603.1941031941042</v>
      </c>
      <c r="AD57" s="817"/>
      <c r="AE57" s="817"/>
      <c r="AF57" s="817"/>
      <c r="AG57" s="817"/>
      <c r="AH57" s="171">
        <f t="shared" si="114"/>
        <v>6603.1941031941042</v>
      </c>
      <c r="AI57" s="193"/>
      <c r="AJ57" s="816">
        <v>430</v>
      </c>
      <c r="AK57" s="816"/>
      <c r="AL57" s="820"/>
      <c r="AM57" s="820"/>
      <c r="AN57" s="195"/>
      <c r="AO57" s="193"/>
      <c r="AP57" s="193"/>
      <c r="AQ57" s="170">
        <f t="shared" si="115"/>
        <v>430.00000000000006</v>
      </c>
      <c r="AR57" s="172"/>
      <c r="AS57" s="172"/>
      <c r="AT57" s="172">
        <f>(E57*AJ57+F57*AK57)/10</f>
        <v>6603.1941031941042</v>
      </c>
      <c r="AU57" s="193"/>
      <c r="AV57" s="172"/>
      <c r="AW57" s="172">
        <f t="shared" si="117"/>
        <v>6603.1941031941042</v>
      </c>
      <c r="AX57" s="826"/>
      <c r="AY57" s="170">
        <f t="shared" si="118"/>
        <v>430.00000000000006</v>
      </c>
      <c r="AZ57" s="196"/>
      <c r="BA57" s="172"/>
      <c r="BB57" s="172">
        <f t="shared" ref="BB57" si="139">AW57-BA57</f>
        <v>6603.1941031941042</v>
      </c>
      <c r="BC57" s="172">
        <f t="shared" ref="BC57" si="140">AC57</f>
        <v>6603.1941031941042</v>
      </c>
      <c r="BD57" s="172">
        <f t="shared" ref="BD57" si="141">BB57-BC57</f>
        <v>0</v>
      </c>
      <c r="BE57" s="172">
        <f t="shared" ref="BE57" si="142">AS57-T57</f>
        <v>0</v>
      </c>
      <c r="BF57" s="172">
        <f t="shared" ref="BF57" si="143">AT57-U57</f>
        <v>0</v>
      </c>
      <c r="BG57" s="172"/>
      <c r="BH57" s="172">
        <f t="shared" ref="BH57" si="144">AV57-W57</f>
        <v>0</v>
      </c>
      <c r="BI57" s="172">
        <f t="shared" ref="BI57" si="145">AW57-X57</f>
        <v>0</v>
      </c>
      <c r="BJ57" s="170">
        <f>AY57-Z57</f>
        <v>0</v>
      </c>
      <c r="BK57" s="170"/>
      <c r="BL57" s="170">
        <f t="shared" ca="1" si="128"/>
        <v>94.022152435327328</v>
      </c>
      <c r="BM57" s="261"/>
      <c r="BN57" s="172"/>
      <c r="BO57" s="172"/>
      <c r="BP57" s="172"/>
      <c r="BQ57" s="171">
        <f t="shared" si="133"/>
        <v>6603.1941031941042</v>
      </c>
      <c r="BR57" s="313">
        <v>0.09</v>
      </c>
      <c r="BS57" s="247">
        <f t="shared" ref="BS57" si="146">BT57/D57+AY57</f>
        <v>433.87000000000006</v>
      </c>
      <c r="BT57" s="172">
        <f t="shared" ref="BT57" si="147">BR57*AT57</f>
        <v>594.28746928746932</v>
      </c>
      <c r="BU57" s="172">
        <f t="shared" ca="1" si="136"/>
        <v>7023.0195035537809</v>
      </c>
      <c r="BV57" s="172">
        <f t="shared" ref="BV57" ca="1" si="148">BU57-BQ57</f>
        <v>419.82540035967668</v>
      </c>
      <c r="BW57" s="170">
        <f t="shared" ref="BW57" ca="1" si="149">BV57/D57*10</f>
        <v>27.339030071422144</v>
      </c>
      <c r="BX57" s="194"/>
    </row>
    <row r="58" spans="1:76" ht="15.95" customHeight="1">
      <c r="A58" s="64">
        <v>31</v>
      </c>
      <c r="B58" s="60" t="s">
        <v>85</v>
      </c>
      <c r="C58" s="63" t="s">
        <v>91</v>
      </c>
      <c r="D58" s="176">
        <f>'T-1'!R62</f>
        <v>878.37837837837844</v>
      </c>
      <c r="E58" s="617">
        <f t="shared" si="101"/>
        <v>843.24324324324334</v>
      </c>
      <c r="F58" s="818">
        <f>D58*4%</f>
        <v>35.135135135135137</v>
      </c>
      <c r="G58" s="170">
        <f>'T-1'!P62</f>
        <v>18</v>
      </c>
      <c r="H58" s="170">
        <f>'T-1'!Q62</f>
        <v>276000</v>
      </c>
      <c r="I58" s="202"/>
      <c r="J58" s="193">
        <v>250</v>
      </c>
      <c r="K58" s="816">
        <f t="shared" si="102"/>
        <v>580</v>
      </c>
      <c r="L58" s="816">
        <f t="shared" si="103"/>
        <v>470</v>
      </c>
      <c r="M58" s="820"/>
      <c r="N58" s="820"/>
      <c r="O58" s="195">
        <v>700</v>
      </c>
      <c r="P58" s="195"/>
      <c r="Q58" s="171"/>
      <c r="R58" s="247">
        <f t="shared" si="106"/>
        <v>651.02890584615375</v>
      </c>
      <c r="S58" s="195">
        <v>0.8</v>
      </c>
      <c r="T58" s="825">
        <f>(H58*J58*S58*12)/100000</f>
        <v>6624</v>
      </c>
      <c r="U58" s="825">
        <f>((E58*K58+F58*L58))/10-((0*2*20)/10)</f>
        <v>50559.45945945946</v>
      </c>
      <c r="V58" s="193"/>
      <c r="W58" s="817">
        <f t="shared" si="107"/>
        <v>1.512</v>
      </c>
      <c r="X58" s="172">
        <f t="shared" si="108"/>
        <v>57184.971459459462</v>
      </c>
      <c r="Y58" s="195"/>
      <c r="Z58" s="619">
        <f t="shared" si="109"/>
        <v>644.51861678769228</v>
      </c>
      <c r="AA58" s="195"/>
      <c r="AB58" s="817"/>
      <c r="AC58" s="261">
        <f t="shared" si="110"/>
        <v>57184.971459459462</v>
      </c>
      <c r="AD58" s="817">
        <f t="shared" si="111"/>
        <v>571.84971459459462</v>
      </c>
      <c r="AE58" s="817">
        <f t="shared" si="112"/>
        <v>0</v>
      </c>
      <c r="AF58" s="817">
        <f t="shared" si="113"/>
        <v>0</v>
      </c>
      <c r="AG58" s="817">
        <f t="shared" ref="AG58:AG64" si="150">(T58+U58)*0%</f>
        <v>0</v>
      </c>
      <c r="AH58" s="171">
        <f t="shared" si="114"/>
        <v>56613.121744864868</v>
      </c>
      <c r="AI58" s="193">
        <v>250</v>
      </c>
      <c r="AJ58" s="816">
        <f t="shared" si="104"/>
        <v>580</v>
      </c>
      <c r="AK58" s="816">
        <f t="shared" si="105"/>
        <v>470</v>
      </c>
      <c r="AL58" s="820"/>
      <c r="AM58" s="820"/>
      <c r="AN58" s="195">
        <v>700</v>
      </c>
      <c r="AO58" s="193"/>
      <c r="AP58" s="193"/>
      <c r="AQ58" s="170">
        <f t="shared" si="115"/>
        <v>651.02890584615375</v>
      </c>
      <c r="AR58" s="172">
        <v>0.8</v>
      </c>
      <c r="AS58" s="172">
        <f>(H58*AI58*AR58*12)/100000</f>
        <v>6624</v>
      </c>
      <c r="AT58" s="172">
        <f>(E58*AJ58+F58*AK58)/10-((0*2*20)/10)</f>
        <v>50559.45945945946</v>
      </c>
      <c r="AU58" s="193"/>
      <c r="AV58" s="172">
        <f t="shared" si="116"/>
        <v>1.512</v>
      </c>
      <c r="AW58" s="172">
        <f t="shared" si="117"/>
        <v>57184.971459459462</v>
      </c>
      <c r="AX58" s="826"/>
      <c r="AY58" s="170">
        <f t="shared" si="118"/>
        <v>644.51861678769228</v>
      </c>
      <c r="AZ58" s="195"/>
      <c r="BA58" s="172"/>
      <c r="BB58" s="172">
        <f t="shared" si="119"/>
        <v>57184.971459459462</v>
      </c>
      <c r="BC58" s="172">
        <f t="shared" si="120"/>
        <v>57184.971459459462</v>
      </c>
      <c r="BD58" s="172">
        <f t="shared" si="121"/>
        <v>0</v>
      </c>
      <c r="BE58" s="172">
        <f t="shared" si="122"/>
        <v>0</v>
      </c>
      <c r="BF58" s="172">
        <f t="shared" si="123"/>
        <v>0</v>
      </c>
      <c r="BG58" s="172"/>
      <c r="BH58" s="172">
        <f t="shared" si="124"/>
        <v>0</v>
      </c>
      <c r="BI58" s="172">
        <f t="shared" si="125"/>
        <v>0</v>
      </c>
      <c r="BJ58" s="170">
        <f t="shared" si="126"/>
        <v>0</v>
      </c>
      <c r="BK58" s="170">
        <f t="shared" si="127"/>
        <v>0</v>
      </c>
      <c r="BL58" s="170">
        <f t="shared" ca="1" si="128"/>
        <v>140.92797124422958</v>
      </c>
      <c r="BM58" s="261">
        <f t="shared" si="129"/>
        <v>571.84971459459462</v>
      </c>
      <c r="BN58" s="172">
        <f t="shared" si="130"/>
        <v>0</v>
      </c>
      <c r="BO58" s="172">
        <f t="shared" si="131"/>
        <v>0</v>
      </c>
      <c r="BP58" s="172">
        <f t="shared" si="132"/>
        <v>0</v>
      </c>
      <c r="BQ58" s="171">
        <f t="shared" si="133"/>
        <v>56613.121744864868</v>
      </c>
      <c r="BR58" s="313">
        <v>0</v>
      </c>
      <c r="BS58" s="247">
        <f t="shared" si="134"/>
        <v>644.51861678769228</v>
      </c>
      <c r="BT58" s="172">
        <f t="shared" si="135"/>
        <v>0</v>
      </c>
      <c r="BU58" s="172">
        <f t="shared" ca="1" si="136"/>
        <v>40171.671560327624</v>
      </c>
      <c r="BV58" s="172">
        <f t="shared" ca="1" si="137"/>
        <v>-16441.450184537243</v>
      </c>
      <c r="BW58" s="170">
        <f t="shared" ca="1" si="138"/>
        <v>-187.17958671627014</v>
      </c>
      <c r="BX58" s="193"/>
    </row>
    <row r="59" spans="1:76" ht="15.95" customHeight="1">
      <c r="A59" s="64">
        <v>32</v>
      </c>
      <c r="B59" s="60" t="s">
        <v>92</v>
      </c>
      <c r="C59" s="63" t="s">
        <v>91</v>
      </c>
      <c r="D59" s="176">
        <f>'T-1'!R63</f>
        <v>698.09902266136828</v>
      </c>
      <c r="E59" s="617">
        <f t="shared" si="101"/>
        <v>698.09902266136828</v>
      </c>
      <c r="F59" s="818">
        <f>D59*0%</f>
        <v>0</v>
      </c>
      <c r="G59" s="170">
        <f>'T-1'!P63</f>
        <v>3</v>
      </c>
      <c r="H59" s="170">
        <f>'T-1'!Q63</f>
        <v>248556</v>
      </c>
      <c r="I59" s="202"/>
      <c r="J59" s="193">
        <v>250</v>
      </c>
      <c r="K59" s="816">
        <f t="shared" si="102"/>
        <v>580</v>
      </c>
      <c r="L59" s="816">
        <f t="shared" si="103"/>
        <v>470</v>
      </c>
      <c r="M59" s="820"/>
      <c r="N59" s="820"/>
      <c r="O59" s="195">
        <v>700</v>
      </c>
      <c r="P59" s="195"/>
      <c r="Q59" s="171"/>
      <c r="R59" s="247">
        <f t="shared" si="106"/>
        <v>660.22019539076928</v>
      </c>
      <c r="S59" s="195">
        <v>0.8</v>
      </c>
      <c r="T59" s="817">
        <f>(H59*J59*S59*12)/100000+(0*J59*S59*3)/100000</f>
        <v>5965.3440000000001</v>
      </c>
      <c r="U59" s="825">
        <f>((E59*K59+F59*L59)/10)-((91.358*2*20)/10)</f>
        <v>40124.311314359358</v>
      </c>
      <c r="V59" s="193"/>
      <c r="W59" s="817">
        <f t="shared" si="107"/>
        <v>0.252</v>
      </c>
      <c r="X59" s="172">
        <f t="shared" si="108"/>
        <v>46089.907314359356</v>
      </c>
      <c r="Y59" s="195"/>
      <c r="Z59" s="619">
        <f t="shared" si="109"/>
        <v>653.61799343686141</v>
      </c>
      <c r="AA59" s="195"/>
      <c r="AB59" s="817"/>
      <c r="AC59" s="261">
        <f t="shared" si="110"/>
        <v>46089.907314359356</v>
      </c>
      <c r="AD59" s="817">
        <f t="shared" si="111"/>
        <v>460.89907314359357</v>
      </c>
      <c r="AE59" s="817">
        <f t="shared" si="112"/>
        <v>0</v>
      </c>
      <c r="AF59" s="817">
        <f t="shared" si="113"/>
        <v>0</v>
      </c>
      <c r="AG59" s="817">
        <f t="shared" si="150"/>
        <v>0</v>
      </c>
      <c r="AH59" s="171">
        <f t="shared" si="114"/>
        <v>45629.008241215764</v>
      </c>
      <c r="AI59" s="193">
        <v>250</v>
      </c>
      <c r="AJ59" s="816">
        <f t="shared" si="104"/>
        <v>580</v>
      </c>
      <c r="AK59" s="816">
        <f t="shared" si="105"/>
        <v>470</v>
      </c>
      <c r="AL59" s="820"/>
      <c r="AM59" s="820"/>
      <c r="AN59" s="195">
        <v>700</v>
      </c>
      <c r="AO59" s="193"/>
      <c r="AP59" s="193"/>
      <c r="AQ59" s="170">
        <f t="shared" si="115"/>
        <v>660.22019539076928</v>
      </c>
      <c r="AR59" s="172">
        <v>0.8</v>
      </c>
      <c r="AS59" s="172">
        <f>(H59*AI59*AR59*12)/100000+(0*AI59*AR59*3)/100000</f>
        <v>5965.3440000000001</v>
      </c>
      <c r="AT59" s="172">
        <f>(E59*AJ59+F59*AK59)/10-((91.358*2*20)/10)</f>
        <v>40124.311314359358</v>
      </c>
      <c r="AU59" s="193"/>
      <c r="AV59" s="172">
        <f t="shared" si="116"/>
        <v>0.252</v>
      </c>
      <c r="AW59" s="172">
        <f t="shared" si="117"/>
        <v>46089.907314359356</v>
      </c>
      <c r="AX59" s="826"/>
      <c r="AY59" s="170">
        <f t="shared" si="118"/>
        <v>653.61799343686141</v>
      </c>
      <c r="AZ59" s="195"/>
      <c r="BA59" s="172"/>
      <c r="BB59" s="172">
        <f t="shared" si="119"/>
        <v>46089.907314359356</v>
      </c>
      <c r="BC59" s="172">
        <f t="shared" si="120"/>
        <v>46089.907314359356</v>
      </c>
      <c r="BD59" s="172">
        <f t="shared" si="121"/>
        <v>0</v>
      </c>
      <c r="BE59" s="172">
        <f t="shared" si="122"/>
        <v>0</v>
      </c>
      <c r="BF59" s="172">
        <f t="shared" si="123"/>
        <v>0</v>
      </c>
      <c r="BG59" s="172"/>
      <c r="BH59" s="172">
        <f t="shared" si="124"/>
        <v>0</v>
      </c>
      <c r="BI59" s="172">
        <f t="shared" si="125"/>
        <v>0</v>
      </c>
      <c r="BJ59" s="170">
        <f t="shared" si="126"/>
        <v>0</v>
      </c>
      <c r="BK59" s="170">
        <f t="shared" si="127"/>
        <v>0</v>
      </c>
      <c r="BL59" s="170">
        <f t="shared" ca="1" si="128"/>
        <v>142.91760607765897</v>
      </c>
      <c r="BM59" s="261">
        <f t="shared" si="129"/>
        <v>460.89907314359357</v>
      </c>
      <c r="BN59" s="172">
        <f t="shared" si="130"/>
        <v>0</v>
      </c>
      <c r="BO59" s="172">
        <f t="shared" si="131"/>
        <v>0</v>
      </c>
      <c r="BP59" s="172">
        <f t="shared" si="132"/>
        <v>0</v>
      </c>
      <c r="BQ59" s="171">
        <f t="shared" si="133"/>
        <v>45629.008241215764</v>
      </c>
      <c r="BR59" s="313">
        <v>0.09</v>
      </c>
      <c r="BS59" s="247">
        <f t="shared" si="134"/>
        <v>658.79088138121836</v>
      </c>
      <c r="BT59" s="172">
        <f t="shared" si="135"/>
        <v>3611.1880182923419</v>
      </c>
      <c r="BU59" s="172">
        <f t="shared" ca="1" si="136"/>
        <v>31926.792991775794</v>
      </c>
      <c r="BV59" s="172">
        <f t="shared" ca="1" si="137"/>
        <v>-13702.215249439971</v>
      </c>
      <c r="BW59" s="170">
        <f t="shared" ca="1" si="138"/>
        <v>-196.27896336543932</v>
      </c>
      <c r="BX59" s="193"/>
    </row>
    <row r="60" spans="1:76" ht="15.95" customHeight="1">
      <c r="A60" s="64">
        <v>33</v>
      </c>
      <c r="B60" s="60" t="s">
        <v>83</v>
      </c>
      <c r="C60" s="63" t="s">
        <v>91</v>
      </c>
      <c r="D60" s="176">
        <f>'T-1'!R64</f>
        <v>995.68212192865224</v>
      </c>
      <c r="E60" s="617">
        <f t="shared" si="101"/>
        <v>916.02755217436004</v>
      </c>
      <c r="F60" s="818">
        <f>D60*8%</f>
        <v>79.654569754292183</v>
      </c>
      <c r="G60" s="170">
        <f>'T-1'!P64</f>
        <v>7</v>
      </c>
      <c r="H60" s="170">
        <f>'T-1'!Q64</f>
        <v>725501</v>
      </c>
      <c r="I60" s="202"/>
      <c r="J60" s="193">
        <v>250</v>
      </c>
      <c r="K60" s="816">
        <f t="shared" si="102"/>
        <v>580</v>
      </c>
      <c r="L60" s="816">
        <f t="shared" si="103"/>
        <v>470</v>
      </c>
      <c r="M60" s="820"/>
      <c r="N60" s="820"/>
      <c r="O60" s="195">
        <v>700</v>
      </c>
      <c r="P60" s="195"/>
      <c r="Q60" s="171"/>
      <c r="R60" s="247">
        <f t="shared" si="106"/>
        <v>745.9253226391329</v>
      </c>
      <c r="S60" s="195">
        <v>0.8</v>
      </c>
      <c r="T60" s="825">
        <f>(H60*J60*S60*12)/100000</f>
        <v>17412.024000000001</v>
      </c>
      <c r="U60" s="825">
        <f>((E60*K60+F60*L60))/10-(3.881*2*20)/10</f>
        <v>56857.838804564628</v>
      </c>
      <c r="V60" s="193"/>
      <c r="W60" s="817">
        <f t="shared" si="107"/>
        <v>0.58799999999999997</v>
      </c>
      <c r="X60" s="172">
        <f t="shared" si="108"/>
        <v>74270.450804564636</v>
      </c>
      <c r="Y60" s="195"/>
      <c r="Z60" s="619">
        <f t="shared" si="109"/>
        <v>738.4660694127416</v>
      </c>
      <c r="AA60" s="195"/>
      <c r="AB60" s="817"/>
      <c r="AC60" s="261">
        <f t="shared" si="110"/>
        <v>74270.450804564636</v>
      </c>
      <c r="AD60" s="817">
        <f t="shared" si="111"/>
        <v>742.70450804564632</v>
      </c>
      <c r="AE60" s="817">
        <f t="shared" si="112"/>
        <v>0</v>
      </c>
      <c r="AF60" s="817">
        <f t="shared" si="113"/>
        <v>0</v>
      </c>
      <c r="AG60" s="817">
        <f t="shared" si="150"/>
        <v>0</v>
      </c>
      <c r="AH60" s="171">
        <f t="shared" si="114"/>
        <v>73527.746296518992</v>
      </c>
      <c r="AI60" s="193">
        <v>250</v>
      </c>
      <c r="AJ60" s="816">
        <f t="shared" si="104"/>
        <v>580</v>
      </c>
      <c r="AK60" s="816">
        <f t="shared" si="105"/>
        <v>470</v>
      </c>
      <c r="AL60" s="820"/>
      <c r="AM60" s="820"/>
      <c r="AN60" s="195">
        <v>700</v>
      </c>
      <c r="AO60" s="193"/>
      <c r="AP60" s="193"/>
      <c r="AQ60" s="170">
        <f t="shared" si="115"/>
        <v>745.9253226391329</v>
      </c>
      <c r="AR60" s="172">
        <v>0.8</v>
      </c>
      <c r="AS60" s="172">
        <f>(H60*AI60*AR60*12)/100000</f>
        <v>17412.024000000001</v>
      </c>
      <c r="AT60" s="172">
        <f>(E60*AJ60+F60*AK60)/10-(3.881*2*20)/10</f>
        <v>56857.838804564628</v>
      </c>
      <c r="AU60" s="193"/>
      <c r="AV60" s="172">
        <f t="shared" si="116"/>
        <v>0.58799999999999997</v>
      </c>
      <c r="AW60" s="172">
        <f t="shared" si="117"/>
        <v>74270.450804564636</v>
      </c>
      <c r="AX60" s="826"/>
      <c r="AY60" s="170">
        <f t="shared" si="118"/>
        <v>738.4660694127416</v>
      </c>
      <c r="AZ60" s="195"/>
      <c r="BA60" s="172"/>
      <c r="BB60" s="172">
        <f t="shared" si="119"/>
        <v>74270.450804564636</v>
      </c>
      <c r="BC60" s="172">
        <f t="shared" si="120"/>
        <v>74270.450804564636</v>
      </c>
      <c r="BD60" s="172">
        <f t="shared" si="121"/>
        <v>0</v>
      </c>
      <c r="BE60" s="172">
        <f t="shared" si="122"/>
        <v>0</v>
      </c>
      <c r="BF60" s="172">
        <f t="shared" si="123"/>
        <v>0</v>
      </c>
      <c r="BG60" s="172"/>
      <c r="BH60" s="172">
        <f t="shared" si="124"/>
        <v>0</v>
      </c>
      <c r="BI60" s="172">
        <f t="shared" si="125"/>
        <v>0</v>
      </c>
      <c r="BJ60" s="170">
        <f t="shared" si="126"/>
        <v>0</v>
      </c>
      <c r="BK60" s="170">
        <f t="shared" si="127"/>
        <v>0</v>
      </c>
      <c r="BL60" s="170">
        <f t="shared" ca="1" si="128"/>
        <v>161.47016127126</v>
      </c>
      <c r="BM60" s="261">
        <f t="shared" si="129"/>
        <v>742.70450804564632</v>
      </c>
      <c r="BN60" s="172">
        <f t="shared" si="130"/>
        <v>0</v>
      </c>
      <c r="BO60" s="172">
        <f t="shared" si="131"/>
        <v>0</v>
      </c>
      <c r="BP60" s="172">
        <f t="shared" si="132"/>
        <v>0</v>
      </c>
      <c r="BQ60" s="171">
        <f t="shared" si="133"/>
        <v>73527.746296518992</v>
      </c>
      <c r="BR60" s="313">
        <v>0.09</v>
      </c>
      <c r="BS60" s="247">
        <f t="shared" si="134"/>
        <v>743.60546619381341</v>
      </c>
      <c r="BT60" s="172">
        <f t="shared" si="135"/>
        <v>5117.2054924108161</v>
      </c>
      <c r="BU60" s="172">
        <f t="shared" ca="1" si="136"/>
        <v>45536.429590230531</v>
      </c>
      <c r="BV60" s="172">
        <f t="shared" ca="1" si="137"/>
        <v>-27991.31670628846</v>
      </c>
      <c r="BW60" s="170">
        <f t="shared" ca="1" si="138"/>
        <v>-281.1270393413194</v>
      </c>
      <c r="BX60" s="193"/>
    </row>
    <row r="61" spans="1:76" ht="15.95" customHeight="1">
      <c r="A61" s="64"/>
      <c r="B61" s="62" t="s">
        <v>2129</v>
      </c>
      <c r="C61" s="63" t="s">
        <v>91</v>
      </c>
      <c r="D61" s="176">
        <f>'T-1'!R65</f>
        <v>2056.1324149275215</v>
      </c>
      <c r="E61" s="617">
        <f t="shared" si="101"/>
        <v>2056.1324149275215</v>
      </c>
      <c r="F61" s="818"/>
      <c r="G61" s="170"/>
      <c r="H61" s="170"/>
      <c r="I61" s="202"/>
      <c r="J61" s="193"/>
      <c r="K61" s="816">
        <v>475</v>
      </c>
      <c r="L61" s="816"/>
      <c r="M61" s="820"/>
      <c r="N61" s="820"/>
      <c r="O61" s="195"/>
      <c r="P61" s="195"/>
      <c r="Q61" s="171"/>
      <c r="R61" s="247">
        <f t="shared" si="106"/>
        <v>475.00000000000006</v>
      </c>
      <c r="S61" s="195"/>
      <c r="T61" s="825"/>
      <c r="U61" s="825">
        <f>((E61*K61+F61*L61))/10</f>
        <v>97666.289709057281</v>
      </c>
      <c r="V61" s="193"/>
      <c r="W61" s="817"/>
      <c r="X61" s="172">
        <f t="shared" si="108"/>
        <v>97666.289709057281</v>
      </c>
      <c r="Y61" s="195"/>
      <c r="Z61" s="619">
        <f t="shared" si="109"/>
        <v>475.00000000000006</v>
      </c>
      <c r="AA61" s="195"/>
      <c r="AB61" s="817"/>
      <c r="AC61" s="261">
        <f t="shared" si="110"/>
        <v>97666.289709057281</v>
      </c>
      <c r="AD61" s="817"/>
      <c r="AE61" s="817"/>
      <c r="AF61" s="817"/>
      <c r="AG61" s="817"/>
      <c r="AH61" s="171">
        <f t="shared" si="114"/>
        <v>97666.289709057281</v>
      </c>
      <c r="AI61" s="193"/>
      <c r="AJ61" s="816">
        <v>475</v>
      </c>
      <c r="AK61" s="816"/>
      <c r="AL61" s="820"/>
      <c r="AM61" s="820"/>
      <c r="AN61" s="195"/>
      <c r="AO61" s="193"/>
      <c r="AP61" s="193"/>
      <c r="AQ61" s="170">
        <f t="shared" si="115"/>
        <v>475.00000000000006</v>
      </c>
      <c r="AR61" s="172"/>
      <c r="AS61" s="172"/>
      <c r="AT61" s="172">
        <f>(E61*AJ61+F61*AK61)/10</f>
        <v>97666.289709057281</v>
      </c>
      <c r="AU61" s="193"/>
      <c r="AV61" s="172"/>
      <c r="AW61" s="172">
        <f t="shared" si="117"/>
        <v>97666.289709057281</v>
      </c>
      <c r="AX61" s="826"/>
      <c r="AY61" s="170">
        <f t="shared" si="118"/>
        <v>475.00000000000006</v>
      </c>
      <c r="AZ61" s="195"/>
      <c r="BA61" s="172"/>
      <c r="BB61" s="172">
        <f t="shared" ref="BB61" si="151">AW61-BA61</f>
        <v>97666.289709057281</v>
      </c>
      <c r="BC61" s="172">
        <f t="shared" ref="BC61" si="152">AC61</f>
        <v>97666.289709057281</v>
      </c>
      <c r="BD61" s="172">
        <f t="shared" ref="BD61" si="153">BB61-BC61</f>
        <v>0</v>
      </c>
      <c r="BE61" s="172">
        <f t="shared" ref="BE61" si="154">AS61-T61</f>
        <v>0</v>
      </c>
      <c r="BF61" s="172">
        <f t="shared" ref="BF61" si="155">AT61-U61</f>
        <v>0</v>
      </c>
      <c r="BG61" s="172"/>
      <c r="BH61" s="172">
        <f t="shared" si="124"/>
        <v>0</v>
      </c>
      <c r="BI61" s="172">
        <f t="shared" si="125"/>
        <v>0</v>
      </c>
      <c r="BJ61" s="170">
        <f t="shared" ref="BJ61" si="156">AY61-Z61</f>
        <v>0</v>
      </c>
      <c r="BK61" s="170">
        <f t="shared" ref="BK61" si="157">BJ61/Z61*100</f>
        <v>0</v>
      </c>
      <c r="BL61" s="170">
        <f t="shared" ca="1" si="128"/>
        <v>103.86168001576857</v>
      </c>
      <c r="BM61" s="261">
        <f t="shared" si="129"/>
        <v>0</v>
      </c>
      <c r="BN61" s="172"/>
      <c r="BO61" s="172"/>
      <c r="BP61" s="172"/>
      <c r="BQ61" s="171">
        <f t="shared" si="133"/>
        <v>97666.289709057281</v>
      </c>
      <c r="BR61" s="313">
        <v>0.09</v>
      </c>
      <c r="BS61" s="247">
        <f t="shared" ref="BS61" si="158">BT61/D61+AY61</f>
        <v>479.27500000000003</v>
      </c>
      <c r="BT61" s="172">
        <f t="shared" ref="BT61" si="159">BR61*AT61</f>
        <v>8789.9660738151542</v>
      </c>
      <c r="BU61" s="172">
        <f t="shared" ca="1" si="136"/>
        <v>94034.960434136359</v>
      </c>
      <c r="BV61" s="172">
        <f t="shared" ref="BV61" ca="1" si="160">BU61-BQ61</f>
        <v>-3631.3292749209213</v>
      </c>
      <c r="BW61" s="170">
        <f t="shared" ref="BW61" ca="1" si="161">BV61/D61*10</f>
        <v>-17.660969928577899</v>
      </c>
      <c r="BX61" s="193"/>
    </row>
    <row r="62" spans="1:76" ht="15.95" customHeight="1">
      <c r="A62" s="64">
        <v>34</v>
      </c>
      <c r="B62" s="60" t="s">
        <v>93</v>
      </c>
      <c r="C62" s="63" t="s">
        <v>91</v>
      </c>
      <c r="D62" s="176">
        <f>'T-1'!R66</f>
        <v>7.560483870967742</v>
      </c>
      <c r="E62" s="617">
        <f t="shared" si="101"/>
        <v>7.560483870967742</v>
      </c>
      <c r="F62" s="818">
        <f>D62*0%</f>
        <v>0</v>
      </c>
      <c r="G62" s="170">
        <f>'T-1'!P66</f>
        <v>1</v>
      </c>
      <c r="H62" s="170">
        <f>'T-1'!Q66</f>
        <v>5000</v>
      </c>
      <c r="I62" s="202"/>
      <c r="J62" s="193">
        <v>250</v>
      </c>
      <c r="K62" s="816">
        <f t="shared" si="102"/>
        <v>580</v>
      </c>
      <c r="L62" s="816">
        <f t="shared" si="103"/>
        <v>470</v>
      </c>
      <c r="M62" s="820"/>
      <c r="N62" s="820"/>
      <c r="O62" s="195">
        <v>700</v>
      </c>
      <c r="P62" s="196"/>
      <c r="Q62" s="167"/>
      <c r="R62" s="247">
        <f t="shared" si="106"/>
        <v>734.68322133333334</v>
      </c>
      <c r="S62" s="195">
        <v>0.8</v>
      </c>
      <c r="T62" s="825">
        <f>(H62*J62*S62*12)/100000</f>
        <v>120</v>
      </c>
      <c r="U62" s="825">
        <f>(E62*K62+F62*L62)/10-(0.784*2*20)/10</f>
        <v>435.37206451612906</v>
      </c>
      <c r="V62" s="193"/>
      <c r="W62" s="817">
        <f t="shared" si="107"/>
        <v>8.4000000000000005E-2</v>
      </c>
      <c r="X62" s="172">
        <f t="shared" si="108"/>
        <v>555.456064516129</v>
      </c>
      <c r="Y62" s="196"/>
      <c r="Z62" s="619">
        <f t="shared" si="109"/>
        <v>727.33638912000004</v>
      </c>
      <c r="AA62" s="196"/>
      <c r="AB62" s="817"/>
      <c r="AC62" s="261">
        <f t="shared" si="110"/>
        <v>555.456064516129</v>
      </c>
      <c r="AD62" s="817">
        <f t="shared" si="111"/>
        <v>5.5545606451612901</v>
      </c>
      <c r="AE62" s="817">
        <f t="shared" si="112"/>
        <v>0</v>
      </c>
      <c r="AF62" s="817">
        <f t="shared" si="113"/>
        <v>0</v>
      </c>
      <c r="AG62" s="817">
        <f t="shared" si="150"/>
        <v>0</v>
      </c>
      <c r="AH62" s="171">
        <f t="shared" si="114"/>
        <v>549.90150387096776</v>
      </c>
      <c r="AI62" s="193">
        <v>250</v>
      </c>
      <c r="AJ62" s="816">
        <f t="shared" si="104"/>
        <v>580</v>
      </c>
      <c r="AK62" s="816">
        <f t="shared" si="105"/>
        <v>470</v>
      </c>
      <c r="AL62" s="820"/>
      <c r="AM62" s="820"/>
      <c r="AN62" s="195">
        <v>700</v>
      </c>
      <c r="AO62" s="193"/>
      <c r="AP62" s="193"/>
      <c r="AQ62" s="170">
        <f t="shared" si="115"/>
        <v>734.68322133333334</v>
      </c>
      <c r="AR62" s="172">
        <v>0.8</v>
      </c>
      <c r="AS62" s="172">
        <f>(H62*AI62*AR62*12)/100000</f>
        <v>120</v>
      </c>
      <c r="AT62" s="172">
        <f>(E62*AJ62+F62*AK62)/10-((0.784*2*20)/10)</f>
        <v>435.37206451612906</v>
      </c>
      <c r="AU62" s="193"/>
      <c r="AV62" s="172">
        <f t="shared" si="116"/>
        <v>8.4000000000000005E-2</v>
      </c>
      <c r="AW62" s="172">
        <f t="shared" si="117"/>
        <v>555.456064516129</v>
      </c>
      <c r="AX62" s="826"/>
      <c r="AY62" s="170">
        <f t="shared" si="118"/>
        <v>727.33638912000004</v>
      </c>
      <c r="AZ62" s="196"/>
      <c r="BA62" s="172"/>
      <c r="BB62" s="172">
        <f t="shared" si="119"/>
        <v>555.456064516129</v>
      </c>
      <c r="BC62" s="172">
        <f t="shared" si="120"/>
        <v>555.456064516129</v>
      </c>
      <c r="BD62" s="172">
        <f t="shared" si="121"/>
        <v>0</v>
      </c>
      <c r="BE62" s="172">
        <f t="shared" si="122"/>
        <v>0</v>
      </c>
      <c r="BF62" s="172">
        <f t="shared" si="123"/>
        <v>0</v>
      </c>
      <c r="BG62" s="172"/>
      <c r="BH62" s="172">
        <f t="shared" si="124"/>
        <v>0</v>
      </c>
      <c r="BI62" s="172">
        <f t="shared" si="125"/>
        <v>0</v>
      </c>
      <c r="BJ62" s="170">
        <f t="shared" si="126"/>
        <v>0</v>
      </c>
      <c r="BK62" s="170">
        <f t="shared" si="127"/>
        <v>0</v>
      </c>
      <c r="BL62" s="170">
        <f t="shared" ca="1" si="128"/>
        <v>159.03658802232837</v>
      </c>
      <c r="BM62" s="261">
        <f t="shared" si="129"/>
        <v>5.5545606451612901</v>
      </c>
      <c r="BN62" s="172">
        <f t="shared" si="130"/>
        <v>0</v>
      </c>
      <c r="BO62" s="172">
        <f t="shared" si="131"/>
        <v>0</v>
      </c>
      <c r="BP62" s="172">
        <f t="shared" si="132"/>
        <v>0</v>
      </c>
      <c r="BQ62" s="171">
        <f t="shared" si="133"/>
        <v>549.90150387096776</v>
      </c>
      <c r="BR62" s="313">
        <v>0.09</v>
      </c>
      <c r="BS62" s="247">
        <f t="shared" si="134"/>
        <v>732.51905817600004</v>
      </c>
      <c r="BT62" s="172">
        <f t="shared" si="135"/>
        <v>39.183485806451614</v>
      </c>
      <c r="BU62" s="172">
        <f t="shared" ca="1" si="136"/>
        <v>345.7704360419018</v>
      </c>
      <c r="BV62" s="172">
        <f t="shared" ca="1" si="137"/>
        <v>-204.13106782906596</v>
      </c>
      <c r="BW62" s="170">
        <f t="shared" ca="1" si="138"/>
        <v>-269.99735904857789</v>
      </c>
      <c r="BX62" s="194"/>
    </row>
    <row r="63" spans="1:76" ht="15.95" customHeight="1">
      <c r="A63" s="64">
        <v>35</v>
      </c>
      <c r="B63" s="60" t="s">
        <v>86</v>
      </c>
      <c r="C63" s="63" t="s">
        <v>91</v>
      </c>
      <c r="D63" s="176">
        <f>'T-1'!R67</f>
        <v>2.1003990758244067</v>
      </c>
      <c r="E63" s="617">
        <f t="shared" si="101"/>
        <v>2.1003990758244067</v>
      </c>
      <c r="F63" s="201"/>
      <c r="G63" s="170">
        <f>'T-1'!P67</f>
        <v>1</v>
      </c>
      <c r="H63" s="170">
        <f>'T-1'!Q67</f>
        <v>5000</v>
      </c>
      <c r="I63" s="188"/>
      <c r="J63" s="193"/>
      <c r="K63" s="816">
        <f>720+20+30</f>
        <v>770</v>
      </c>
      <c r="L63" s="814"/>
      <c r="M63" s="820"/>
      <c r="N63" s="820"/>
      <c r="O63" s="195">
        <v>700</v>
      </c>
      <c r="P63" s="190"/>
      <c r="Q63" s="251"/>
      <c r="R63" s="247">
        <f t="shared" si="106"/>
        <v>770.39992400000006</v>
      </c>
      <c r="S63" s="195">
        <v>0.8</v>
      </c>
      <c r="T63" s="825">
        <f>(H63*J63*S63*12)/100000</f>
        <v>0</v>
      </c>
      <c r="U63" s="825">
        <f>((E63*K63+F63*L63))/10-((0*2*20)/10)</f>
        <v>161.73072883847931</v>
      </c>
      <c r="V63" s="189"/>
      <c r="W63" s="817">
        <f t="shared" si="107"/>
        <v>8.4000000000000005E-2</v>
      </c>
      <c r="X63" s="172">
        <f t="shared" si="108"/>
        <v>161.81472883847931</v>
      </c>
      <c r="Y63" s="190"/>
      <c r="Z63" s="619">
        <f t="shared" si="109"/>
        <v>762.69592476000003</v>
      </c>
      <c r="AA63" s="190"/>
      <c r="AB63" s="817"/>
      <c r="AC63" s="261">
        <f t="shared" si="110"/>
        <v>161.81472883847931</v>
      </c>
      <c r="AD63" s="817">
        <f t="shared" si="111"/>
        <v>1.6181472883847932</v>
      </c>
      <c r="AE63" s="817">
        <f t="shared" si="112"/>
        <v>0</v>
      </c>
      <c r="AF63" s="817">
        <f t="shared" si="113"/>
        <v>0</v>
      </c>
      <c r="AG63" s="817">
        <f t="shared" si="150"/>
        <v>0</v>
      </c>
      <c r="AH63" s="171">
        <f t="shared" si="114"/>
        <v>160.19658155009452</v>
      </c>
      <c r="AI63" s="193"/>
      <c r="AJ63" s="816">
        <f>720+20+30</f>
        <v>770</v>
      </c>
      <c r="AK63" s="814"/>
      <c r="AL63" s="820"/>
      <c r="AM63" s="820"/>
      <c r="AN63" s="195">
        <v>700</v>
      </c>
      <c r="AO63" s="207"/>
      <c r="AP63" s="206"/>
      <c r="AQ63" s="170">
        <f t="shared" si="115"/>
        <v>770.39992400000006</v>
      </c>
      <c r="AR63" s="172">
        <v>0.8</v>
      </c>
      <c r="AS63" s="172">
        <f>(H63*AI63*0.8*12)/100000</f>
        <v>0</v>
      </c>
      <c r="AT63" s="172">
        <f>(E63*AJ63+F63*AK63)/10-((0*2*20)/10)</f>
        <v>161.73072883847931</v>
      </c>
      <c r="AU63" s="205"/>
      <c r="AV63" s="172">
        <f t="shared" si="116"/>
        <v>8.4000000000000005E-2</v>
      </c>
      <c r="AW63" s="172">
        <f t="shared" si="117"/>
        <v>161.81472883847931</v>
      </c>
      <c r="AX63" s="828"/>
      <c r="AY63" s="170">
        <f t="shared" si="118"/>
        <v>762.69592476000003</v>
      </c>
      <c r="AZ63" s="206"/>
      <c r="BA63" s="172"/>
      <c r="BB63" s="172">
        <f t="shared" si="119"/>
        <v>161.81472883847931</v>
      </c>
      <c r="BC63" s="172">
        <f t="shared" si="120"/>
        <v>161.81472883847931</v>
      </c>
      <c r="BD63" s="172">
        <f t="shared" si="121"/>
        <v>0</v>
      </c>
      <c r="BE63" s="172">
        <f t="shared" si="122"/>
        <v>0</v>
      </c>
      <c r="BF63" s="172">
        <f t="shared" si="123"/>
        <v>0</v>
      </c>
      <c r="BG63" s="172"/>
      <c r="BH63" s="172">
        <f t="shared" si="124"/>
        <v>0</v>
      </c>
      <c r="BI63" s="172">
        <f t="shared" si="125"/>
        <v>0</v>
      </c>
      <c r="BJ63" s="170">
        <f t="shared" si="126"/>
        <v>0</v>
      </c>
      <c r="BK63" s="170">
        <f t="shared" si="127"/>
        <v>0</v>
      </c>
      <c r="BL63" s="170">
        <f t="shared" ca="1" si="128"/>
        <v>166.76816860369223</v>
      </c>
      <c r="BM63" s="261">
        <f t="shared" si="129"/>
        <v>1.6181472883847932</v>
      </c>
      <c r="BN63" s="172">
        <f t="shared" si="130"/>
        <v>0</v>
      </c>
      <c r="BO63" s="172">
        <f t="shared" si="131"/>
        <v>0</v>
      </c>
      <c r="BP63" s="172">
        <f t="shared" si="132"/>
        <v>0</v>
      </c>
      <c r="BQ63" s="171">
        <f t="shared" si="133"/>
        <v>160.19658155009452</v>
      </c>
      <c r="BR63" s="313">
        <v>0.09</v>
      </c>
      <c r="BS63" s="247">
        <f t="shared" si="134"/>
        <v>769.62592475999998</v>
      </c>
      <c r="BT63" s="172">
        <f t="shared" si="135"/>
        <v>14.555765595463138</v>
      </c>
      <c r="BU63" s="172">
        <f t="shared" ca="1" si="136"/>
        <v>96.059447610044558</v>
      </c>
      <c r="BV63" s="172">
        <f t="shared" ca="1" si="137"/>
        <v>-64.137133940049964</v>
      </c>
      <c r="BW63" s="170">
        <f t="shared" ca="1" si="138"/>
        <v>-305.35689468857788</v>
      </c>
      <c r="BX63" s="206"/>
    </row>
    <row r="64" spans="1:76" ht="15.95" customHeight="1">
      <c r="A64" s="64">
        <v>36</v>
      </c>
      <c r="B64" s="60" t="s">
        <v>87</v>
      </c>
      <c r="C64" s="63" t="s">
        <v>91</v>
      </c>
      <c r="D64" s="176">
        <f>'T-1'!R68</f>
        <v>72</v>
      </c>
      <c r="E64" s="617">
        <f t="shared" si="101"/>
        <v>72</v>
      </c>
      <c r="F64" s="201"/>
      <c r="G64" s="170">
        <f>'T-1'!P68</f>
        <v>0</v>
      </c>
      <c r="H64" s="170">
        <f>'T-1'!Q68</f>
        <v>0</v>
      </c>
      <c r="I64" s="202"/>
      <c r="J64" s="193"/>
      <c r="K64" s="816">
        <f>435+20+30</f>
        <v>485</v>
      </c>
      <c r="L64" s="814"/>
      <c r="M64" s="814"/>
      <c r="N64" s="814"/>
      <c r="O64" s="195">
        <v>0</v>
      </c>
      <c r="P64" s="196"/>
      <c r="Q64" s="167"/>
      <c r="R64" s="247">
        <f t="shared" si="106"/>
        <v>485</v>
      </c>
      <c r="S64" s="195">
        <v>0.8</v>
      </c>
      <c r="T64" s="825">
        <f>(H64*J64*S64*12)/100000</f>
        <v>0</v>
      </c>
      <c r="U64" s="825">
        <f>((E64*K64+F64*L64))/10</f>
        <v>3492</v>
      </c>
      <c r="V64" s="193"/>
      <c r="W64" s="817">
        <f t="shared" si="107"/>
        <v>0</v>
      </c>
      <c r="X64" s="172">
        <f t="shared" si="108"/>
        <v>3492</v>
      </c>
      <c r="Y64" s="196"/>
      <c r="Z64" s="619">
        <f t="shared" si="109"/>
        <v>480.15</v>
      </c>
      <c r="AA64" s="196"/>
      <c r="AB64" s="817"/>
      <c r="AC64" s="261">
        <f>X64-AB64</f>
        <v>3492</v>
      </c>
      <c r="AD64" s="817">
        <f t="shared" si="111"/>
        <v>34.92</v>
      </c>
      <c r="AE64" s="817"/>
      <c r="AF64" s="817"/>
      <c r="AG64" s="817">
        <f t="shared" si="150"/>
        <v>0</v>
      </c>
      <c r="AH64" s="171">
        <f t="shared" si="114"/>
        <v>3457.08</v>
      </c>
      <c r="AI64" s="193"/>
      <c r="AJ64" s="816">
        <f>435+20+30</f>
        <v>485</v>
      </c>
      <c r="AK64" s="814"/>
      <c r="AL64" s="814"/>
      <c r="AM64" s="814"/>
      <c r="AN64" s="195">
        <v>0</v>
      </c>
      <c r="AO64" s="206"/>
      <c r="AP64" s="206"/>
      <c r="AQ64" s="170">
        <f t="shared" si="115"/>
        <v>485</v>
      </c>
      <c r="AR64" s="172"/>
      <c r="AS64" s="172">
        <f>(H64*AI64*0.8*12)/100000</f>
        <v>0</v>
      </c>
      <c r="AT64" s="172">
        <f>(E64*AJ64+F64*AK64)/10</f>
        <v>3492</v>
      </c>
      <c r="AU64" s="205"/>
      <c r="AV64" s="172">
        <f t="shared" si="116"/>
        <v>0</v>
      </c>
      <c r="AW64" s="172">
        <f t="shared" si="117"/>
        <v>3492</v>
      </c>
      <c r="AX64" s="828"/>
      <c r="AY64" s="170">
        <f>(BB64-BM64-BN64+BO64-BP64)/D64*10</f>
        <v>480.15</v>
      </c>
      <c r="AZ64" s="206"/>
      <c r="BA64" s="172"/>
      <c r="BB64" s="172">
        <f t="shared" si="119"/>
        <v>3492</v>
      </c>
      <c r="BC64" s="172">
        <f t="shared" si="120"/>
        <v>3492</v>
      </c>
      <c r="BD64" s="172">
        <f t="shared" si="121"/>
        <v>0</v>
      </c>
      <c r="BE64" s="172">
        <f t="shared" si="122"/>
        <v>0</v>
      </c>
      <c r="BF64" s="172">
        <f t="shared" si="123"/>
        <v>0</v>
      </c>
      <c r="BG64" s="172"/>
      <c r="BH64" s="172">
        <f t="shared" si="124"/>
        <v>0</v>
      </c>
      <c r="BI64" s="172">
        <f t="shared" si="125"/>
        <v>0</v>
      </c>
      <c r="BJ64" s="170">
        <f t="shared" si="126"/>
        <v>0</v>
      </c>
      <c r="BK64" s="170">
        <f t="shared" si="127"/>
        <v>0</v>
      </c>
      <c r="BL64" s="170">
        <f t="shared" ca="1" si="128"/>
        <v>104.98775928330795</v>
      </c>
      <c r="BM64" s="261">
        <f t="shared" si="129"/>
        <v>34.92</v>
      </c>
      <c r="BN64" s="172"/>
      <c r="BO64" s="172"/>
      <c r="BP64" s="172">
        <f t="shared" si="132"/>
        <v>0</v>
      </c>
      <c r="BQ64" s="171">
        <f t="shared" si="133"/>
        <v>3457.08</v>
      </c>
      <c r="BR64" s="313">
        <v>0.09</v>
      </c>
      <c r="BS64" s="247">
        <f t="shared" si="134"/>
        <v>484.51499999999999</v>
      </c>
      <c r="BT64" s="172">
        <f t="shared" si="135"/>
        <v>314.27999999999997</v>
      </c>
      <c r="BU64" s="172">
        <f t="shared" ca="1" si="136"/>
        <v>3292.8410165142391</v>
      </c>
      <c r="BV64" s="172">
        <f t="shared" ca="1" si="137"/>
        <v>-164.23898348576085</v>
      </c>
      <c r="BW64" s="170">
        <f t="shared" ca="1" si="138"/>
        <v>-22.810969928577897</v>
      </c>
      <c r="BX64" s="209"/>
    </row>
    <row r="65" spans="1:76" ht="15.95" customHeight="1">
      <c r="A65" s="64">
        <v>37</v>
      </c>
      <c r="B65" s="60" t="s">
        <v>376</v>
      </c>
      <c r="C65" s="63" t="s">
        <v>91</v>
      </c>
      <c r="D65" s="176">
        <f>'T-1'!R69</f>
        <v>0</v>
      </c>
      <c r="E65" s="617">
        <f t="shared" si="101"/>
        <v>0</v>
      </c>
      <c r="F65" s="201"/>
      <c r="G65" s="170">
        <f>'T-1'!P69</f>
        <v>0</v>
      </c>
      <c r="H65" s="170">
        <f>'T-1'!Q69</f>
        <v>0</v>
      </c>
      <c r="I65" s="202"/>
      <c r="J65" s="193"/>
      <c r="K65" s="816"/>
      <c r="L65" s="814"/>
      <c r="M65" s="814"/>
      <c r="N65" s="814"/>
      <c r="O65" s="195"/>
      <c r="P65" s="196"/>
      <c r="Q65" s="167"/>
      <c r="R65" s="247"/>
      <c r="S65" s="247"/>
      <c r="T65" s="195"/>
      <c r="U65" s="825">
        <f>((E65*K65+F65*L65))/10</f>
        <v>0</v>
      </c>
      <c r="V65" s="193"/>
      <c r="W65" s="817">
        <f t="shared" si="107"/>
        <v>0</v>
      </c>
      <c r="X65" s="172">
        <f t="shared" si="108"/>
        <v>0</v>
      </c>
      <c r="Y65" s="196"/>
      <c r="Z65" s="613"/>
      <c r="AA65" s="196"/>
      <c r="AB65" s="817"/>
      <c r="AC65" s="261">
        <f>X65-AB65</f>
        <v>0</v>
      </c>
      <c r="AD65" s="817"/>
      <c r="AE65" s="817"/>
      <c r="AF65" s="817"/>
      <c r="AG65" s="822"/>
      <c r="AH65" s="171"/>
      <c r="AI65" s="255"/>
      <c r="AJ65" s="816"/>
      <c r="AK65" s="814"/>
      <c r="AL65" s="256"/>
      <c r="AM65" s="256"/>
      <c r="AN65" s="202"/>
      <c r="AO65" s="207"/>
      <c r="AP65" s="206"/>
      <c r="AQ65" s="207"/>
      <c r="AR65" s="172"/>
      <c r="AS65" s="172"/>
      <c r="AT65" s="172">
        <f>(E65*AJ65+F65*AK65)/10</f>
        <v>0</v>
      </c>
      <c r="AU65" s="205"/>
      <c r="AV65" s="172">
        <f t="shared" si="116"/>
        <v>0</v>
      </c>
      <c r="AW65" s="172">
        <f t="shared" si="117"/>
        <v>0</v>
      </c>
      <c r="AX65" s="828"/>
      <c r="AY65" s="170"/>
      <c r="AZ65" s="206"/>
      <c r="BA65" s="207"/>
      <c r="BB65" s="172">
        <f t="shared" si="119"/>
        <v>0</v>
      </c>
      <c r="BC65" s="172">
        <f t="shared" si="120"/>
        <v>0</v>
      </c>
      <c r="BD65" s="172">
        <f t="shared" si="121"/>
        <v>0</v>
      </c>
      <c r="BE65" s="172">
        <f t="shared" si="122"/>
        <v>0</v>
      </c>
      <c r="BF65" s="172">
        <f t="shared" si="123"/>
        <v>0</v>
      </c>
      <c r="BG65" s="172"/>
      <c r="BH65" s="172">
        <f t="shared" si="124"/>
        <v>0</v>
      </c>
      <c r="BI65" s="172">
        <f t="shared" si="125"/>
        <v>0</v>
      </c>
      <c r="BJ65" s="170">
        <f t="shared" si="126"/>
        <v>0</v>
      </c>
      <c r="BK65" s="170"/>
      <c r="BL65" s="170">
        <f t="shared" ca="1" si="128"/>
        <v>0</v>
      </c>
      <c r="BM65" s="261"/>
      <c r="BN65" s="207"/>
      <c r="BO65" s="207"/>
      <c r="BP65" s="207"/>
      <c r="BQ65" s="171">
        <f t="shared" si="133"/>
        <v>0</v>
      </c>
      <c r="BR65" s="313">
        <v>0.09</v>
      </c>
      <c r="BS65" s="247"/>
      <c r="BT65" s="172">
        <f t="shared" si="135"/>
        <v>0</v>
      </c>
      <c r="BU65" s="172">
        <f t="shared" ca="1" si="136"/>
        <v>0</v>
      </c>
      <c r="BV65" s="172">
        <f t="shared" ca="1" si="137"/>
        <v>0</v>
      </c>
      <c r="BW65" s="170"/>
      <c r="BX65" s="209"/>
    </row>
    <row r="66" spans="1:76" ht="15.95" customHeight="1">
      <c r="A66" s="168"/>
      <c r="B66" s="192" t="s">
        <v>193</v>
      </c>
      <c r="C66" s="63"/>
      <c r="D66" s="632">
        <f t="shared" ref="D66:I66" si="162">SUM(D54:D65)</f>
        <v>5221.8283327182244</v>
      </c>
      <c r="E66" s="632">
        <f t="shared" si="162"/>
        <v>5078.3735991637686</v>
      </c>
      <c r="F66" s="632">
        <f t="shared" si="162"/>
        <v>143.45473355445597</v>
      </c>
      <c r="G66" s="633">
        <f t="shared" si="162"/>
        <v>44</v>
      </c>
      <c r="H66" s="633">
        <f t="shared" si="162"/>
        <v>1486807</v>
      </c>
      <c r="I66" s="633">
        <f t="shared" si="162"/>
        <v>0</v>
      </c>
      <c r="J66" s="193"/>
      <c r="K66" s="827"/>
      <c r="L66" s="827"/>
      <c r="M66" s="827"/>
      <c r="N66" s="827"/>
      <c r="O66" s="195"/>
      <c r="P66" s="195"/>
      <c r="Q66" s="171"/>
      <c r="R66" s="252">
        <f>X66/D66*10</f>
        <v>597.03946354845266</v>
      </c>
      <c r="S66" s="252"/>
      <c r="T66" s="197">
        <f>SUM(T55:T64)</f>
        <v>35563.368000000002</v>
      </c>
      <c r="U66" s="635">
        <f t="shared" ref="U66:AB66" si="163">SUM(U54:U65)</f>
        <v>276196.69465081993</v>
      </c>
      <c r="V66" s="634">
        <f t="shared" si="163"/>
        <v>0</v>
      </c>
      <c r="W66" s="634">
        <f t="shared" si="163"/>
        <v>3.6959999999999997</v>
      </c>
      <c r="X66" s="634">
        <f t="shared" si="163"/>
        <v>311763.75865081995</v>
      </c>
      <c r="Y66" s="195"/>
      <c r="Z66" s="254">
        <f>(AC66-AD66-AE66+AF66-AG66)/D66*10</f>
        <v>593.06586921294991</v>
      </c>
      <c r="AA66" s="635">
        <f>SUM(AA54:AA65)</f>
        <v>0</v>
      </c>
      <c r="AB66" s="634">
        <f t="shared" si="163"/>
        <v>0</v>
      </c>
      <c r="AC66" s="635">
        <f>SUM(AC54:AC65)</f>
        <v>311763.75865081995</v>
      </c>
      <c r="AD66" s="635">
        <f>SUM(AD54:AD65)</f>
        <v>2074.9427483856853</v>
      </c>
      <c r="AE66" s="634">
        <f>SUM(AE54:AE65)</f>
        <v>0</v>
      </c>
      <c r="AF66" s="822">
        <f>SUM(AF55:AF65)</f>
        <v>0</v>
      </c>
      <c r="AG66" s="822">
        <f>SUM(AG55:AG65)</f>
        <v>0</v>
      </c>
      <c r="AH66" s="634">
        <f>SUM(AH54:AH65)</f>
        <v>309688.81590243429</v>
      </c>
      <c r="AI66" s="255"/>
      <c r="AJ66" s="256"/>
      <c r="AK66" s="256"/>
      <c r="AL66" s="256"/>
      <c r="AM66" s="256"/>
      <c r="AN66" s="256"/>
      <c r="AO66" s="208"/>
      <c r="AP66" s="208"/>
      <c r="AQ66" s="257">
        <f>(AW66/D66)*10</f>
        <v>597.03946354845266</v>
      </c>
      <c r="AR66" s="181"/>
      <c r="AS66" s="198">
        <f>SUM(AS55:AS65)</f>
        <v>35563.368000000002</v>
      </c>
      <c r="AT66" s="198">
        <f>SUM(AT55:AT65)</f>
        <v>276196.69465081993</v>
      </c>
      <c r="AU66" s="198">
        <f>SUM(AU55:AU64)</f>
        <v>0</v>
      </c>
      <c r="AV66" s="198">
        <f>SUM(AV55:AV65)</f>
        <v>3.6959999999999997</v>
      </c>
      <c r="AW66" s="198">
        <f>SUM(AW55:AW65)</f>
        <v>311763.75865081995</v>
      </c>
      <c r="AX66" s="828"/>
      <c r="AY66" s="257">
        <f>(BB66-BM66-BN66+BO66-BP66)/(D66*0.98)*10</f>
        <v>605.16925429892854</v>
      </c>
      <c r="AZ66" s="259">
        <f>SUM(AZ55:AZ65)</f>
        <v>0</v>
      </c>
      <c r="BA66" s="258">
        <f>SUM(BA55:BA65)</f>
        <v>0</v>
      </c>
      <c r="BB66" s="336">
        <f>SUM(BB55:BB65)</f>
        <v>311763.75865081995</v>
      </c>
      <c r="BC66" s="336">
        <f>SUM(BC55:BC65)</f>
        <v>311763.75865081995</v>
      </c>
      <c r="BD66" s="198">
        <f t="shared" ref="BD66:BI66" si="164">SUM(BD55:BD64)</f>
        <v>0</v>
      </c>
      <c r="BE66" s="198">
        <f t="shared" si="164"/>
        <v>0</v>
      </c>
      <c r="BF66" s="198">
        <f t="shared" si="164"/>
        <v>0</v>
      </c>
      <c r="BG66" s="198">
        <f t="shared" si="164"/>
        <v>0</v>
      </c>
      <c r="BH66" s="198">
        <f t="shared" si="164"/>
        <v>0</v>
      </c>
      <c r="BI66" s="198">
        <f t="shared" si="164"/>
        <v>0</v>
      </c>
      <c r="BJ66" s="257">
        <f t="shared" si="126"/>
        <v>12.10338508597863</v>
      </c>
      <c r="BK66" s="257">
        <f t="shared" si="127"/>
        <v>2.0408163265306225</v>
      </c>
      <c r="BL66" s="257">
        <f t="shared" ca="1" si="128"/>
        <v>132.32399041131913</v>
      </c>
      <c r="BM66" s="258">
        <f>SUM(BM55:BM65)</f>
        <v>2074.9427483856853</v>
      </c>
      <c r="BN66" s="198">
        <f>SUM(BN55:BN65)</f>
        <v>0</v>
      </c>
      <c r="BO66" s="258">
        <f>SUM(BO55:BO65)</f>
        <v>0</v>
      </c>
      <c r="BP66" s="258">
        <f>SUM(BP55:BP65)</f>
        <v>0</v>
      </c>
      <c r="BQ66" s="258">
        <f>SUM(BQ55:BQ65)</f>
        <v>309688.81590243429</v>
      </c>
      <c r="BR66" s="205"/>
      <c r="BS66" s="252">
        <f t="shared" si="134"/>
        <v>609.05818933725288</v>
      </c>
      <c r="BT66" s="198">
        <f>SUM(BT55:BT65)</f>
        <v>20307.351167222434</v>
      </c>
      <c r="BU66" s="210">
        <f ca="1">SUM(BU55:BU65)</f>
        <v>238814.59048848244</v>
      </c>
      <c r="BV66" s="210">
        <f ca="1">SUM(BV55:BV65)</f>
        <v>-70874.225413951805</v>
      </c>
      <c r="BW66" s="257">
        <f t="shared" ca="1" si="138"/>
        <v>-135.72683914152768</v>
      </c>
      <c r="BX66" s="208"/>
    </row>
    <row r="67" spans="1:76" ht="15.95" customHeight="1">
      <c r="A67" s="168"/>
      <c r="B67" s="192" t="s">
        <v>377</v>
      </c>
      <c r="C67" s="63"/>
      <c r="D67" s="632">
        <f t="shared" ref="D67:I67" si="165">D66+D53+D34</f>
        <v>10713.052956803747</v>
      </c>
      <c r="E67" s="632">
        <f t="shared" si="165"/>
        <v>6864.1007598032093</v>
      </c>
      <c r="F67" s="632">
        <f t="shared" si="165"/>
        <v>534.95219700053929</v>
      </c>
      <c r="G67" s="633">
        <f t="shared" si="165"/>
        <v>2356761</v>
      </c>
      <c r="H67" s="633">
        <f t="shared" si="165"/>
        <v>5305483.7890133355</v>
      </c>
      <c r="I67" s="633">
        <f t="shared" si="165"/>
        <v>1407400.4604199999</v>
      </c>
      <c r="J67" s="193"/>
      <c r="K67" s="819"/>
      <c r="L67" s="819"/>
      <c r="M67" s="819"/>
      <c r="N67" s="819"/>
      <c r="O67" s="196"/>
      <c r="P67" s="196"/>
      <c r="Q67" s="167"/>
      <c r="R67" s="252">
        <f>X67/D67*10</f>
        <v>580.22192470686616</v>
      </c>
      <c r="S67" s="252"/>
      <c r="T67" s="635">
        <f>T66+T53+T34</f>
        <v>51294.422602666673</v>
      </c>
      <c r="U67" s="635">
        <f>U66+U53+U34</f>
        <v>561965.93811255856</v>
      </c>
      <c r="V67" s="635">
        <f>V66+V53+V34</f>
        <v>8295.9266931000057</v>
      </c>
      <c r="W67" s="634">
        <f>W66+W53+W34</f>
        <v>38.533199999999994</v>
      </c>
      <c r="X67" s="635">
        <f>X66+X53+X34</f>
        <v>621594.8206083253</v>
      </c>
      <c r="Y67" s="196"/>
      <c r="Z67" s="254">
        <f>(AC67-AD67-AE67+AF67-AG67)/D67*10</f>
        <v>575.02915236061062</v>
      </c>
      <c r="AA67" s="636">
        <f t="shared" ref="AA67:AH67" si="166">AA66+AA53+AA34</f>
        <v>934.8921499999999</v>
      </c>
      <c r="AB67" s="635">
        <f t="shared" si="166"/>
        <v>934.89215000000002</v>
      </c>
      <c r="AC67" s="635">
        <f t="shared" si="166"/>
        <v>620659.92845832522</v>
      </c>
      <c r="AD67" s="635">
        <f t="shared" si="166"/>
        <v>4628.1523628817422</v>
      </c>
      <c r="AE67" s="635">
        <f t="shared" si="166"/>
        <v>9.2430000000000009E-7</v>
      </c>
      <c r="AF67" s="822">
        <f>AF66+AF53+AF34</f>
        <v>0</v>
      </c>
      <c r="AG67" s="822">
        <f>AG66+AG53+AG34</f>
        <v>0</v>
      </c>
      <c r="AH67" s="635">
        <f t="shared" si="166"/>
        <v>617182.38281384495</v>
      </c>
      <c r="AI67" s="255"/>
      <c r="AJ67" s="256"/>
      <c r="AK67" s="256"/>
      <c r="AL67" s="206"/>
      <c r="AM67" s="206"/>
      <c r="AN67" s="256"/>
      <c r="AO67" s="206"/>
      <c r="AP67" s="206"/>
      <c r="AQ67" s="257">
        <f>(AW67/D67)*10</f>
        <v>580.22192470686616</v>
      </c>
      <c r="AR67" s="181"/>
      <c r="AS67" s="635">
        <f>AS66+AS53+AS34</f>
        <v>51294.422602666673</v>
      </c>
      <c r="AT67" s="635">
        <f>AT66+AT53+AT34</f>
        <v>561965.93811255856</v>
      </c>
      <c r="AU67" s="635">
        <f>AU66+AU53+AU34</f>
        <v>8295.9266931000057</v>
      </c>
      <c r="AV67" s="635">
        <f>AV66+AV53+AV34</f>
        <v>38.533199999999994</v>
      </c>
      <c r="AW67" s="635">
        <f>AW66+AW53+AW34</f>
        <v>621594.8206083253</v>
      </c>
      <c r="AX67" s="206"/>
      <c r="AY67" s="257">
        <f>(BB67-BM67-BN67+BO67-BP67)/(D67*0.976)*10</f>
        <v>589.16921348423216</v>
      </c>
      <c r="AZ67" s="636">
        <f t="shared" ref="AZ67:BI67" si="167">AZ66+AZ53+AZ34</f>
        <v>934.8921499999999</v>
      </c>
      <c r="BA67" s="635">
        <f t="shared" si="167"/>
        <v>934.89215000000002</v>
      </c>
      <c r="BB67" s="635">
        <f t="shared" si="167"/>
        <v>620659.92845832522</v>
      </c>
      <c r="BC67" s="635">
        <f t="shared" si="167"/>
        <v>620659.92845832522</v>
      </c>
      <c r="BD67" s="634">
        <f t="shared" si="167"/>
        <v>0</v>
      </c>
      <c r="BE67" s="634">
        <f t="shared" si="167"/>
        <v>0</v>
      </c>
      <c r="BF67" s="634">
        <f t="shared" si="167"/>
        <v>0</v>
      </c>
      <c r="BG67" s="634">
        <f t="shared" si="167"/>
        <v>0</v>
      </c>
      <c r="BH67" s="634">
        <f t="shared" si="167"/>
        <v>0</v>
      </c>
      <c r="BI67" s="634">
        <f t="shared" si="167"/>
        <v>0</v>
      </c>
      <c r="BJ67" s="257">
        <f t="shared" si="126"/>
        <v>14.140061123621535</v>
      </c>
      <c r="BK67" s="181">
        <f t="shared" si="127"/>
        <v>2.4590163934426164</v>
      </c>
      <c r="BL67" s="257">
        <f ca="1">AY67/$E$75*100</f>
        <v>92.638941917721965</v>
      </c>
      <c r="BM67" s="635">
        <f>BM66+BM53+BM34</f>
        <v>4628.1523628817422</v>
      </c>
      <c r="BN67" s="635">
        <f>BN66+BN53+BN34</f>
        <v>9.2430000000000009E-7</v>
      </c>
      <c r="BO67" s="635">
        <f>BO66+BO53+BO34</f>
        <v>0</v>
      </c>
      <c r="BP67" s="635">
        <f>BP66+BP53+BP34</f>
        <v>0</v>
      </c>
      <c r="BQ67" s="635">
        <f>BQ66+BQ53+BQ34</f>
        <v>617182.38281384495</v>
      </c>
      <c r="BR67" s="205"/>
      <c r="BS67" s="252">
        <f t="shared" si="134"/>
        <v>592.5374798694495</v>
      </c>
      <c r="BT67" s="635">
        <f>BT66+BT53+BT34</f>
        <v>36084.416157455831</v>
      </c>
      <c r="BU67" s="635">
        <f ca="1">BU66+BU53+BU34</f>
        <v>578926.6771813517</v>
      </c>
      <c r="BV67" s="634">
        <f ca="1">BV66+BV53+BV34</f>
        <v>-38255.705632493133</v>
      </c>
      <c r="BW67" s="257">
        <f t="shared" ca="1" si="138"/>
        <v>-35.709433890362071</v>
      </c>
      <c r="BX67" s="206"/>
    </row>
    <row r="68" spans="1:76" ht="15.95" customHeight="1">
      <c r="A68" s="64"/>
      <c r="B68" s="61"/>
      <c r="C68" s="64"/>
      <c r="D68" s="637"/>
      <c r="E68" s="637"/>
      <c r="F68" s="637"/>
      <c r="G68" s="638"/>
      <c r="H68" s="638"/>
      <c r="I68" s="638"/>
      <c r="J68" s="207"/>
      <c r="K68" s="260"/>
      <c r="L68" s="260"/>
      <c r="M68" s="253"/>
      <c r="N68" s="253"/>
      <c r="O68" s="245"/>
      <c r="P68" s="245"/>
      <c r="Q68" s="245"/>
      <c r="R68" s="317"/>
      <c r="S68" s="317"/>
      <c r="T68" s="639"/>
      <c r="U68" s="639"/>
      <c r="V68" s="639"/>
      <c r="W68" s="639"/>
      <c r="X68" s="639"/>
      <c r="Y68" s="245"/>
      <c r="Z68" s="318"/>
      <c r="AA68" s="640"/>
      <c r="AB68" s="639"/>
      <c r="AC68" s="639"/>
      <c r="AD68" s="639"/>
      <c r="AE68" s="639"/>
      <c r="AF68" s="639"/>
      <c r="AG68" s="639"/>
      <c r="AH68" s="639"/>
      <c r="AI68" s="260"/>
      <c r="AJ68" s="253"/>
      <c r="AK68" s="253"/>
      <c r="AL68" s="245"/>
      <c r="AM68" s="245"/>
      <c r="AN68" s="253"/>
      <c r="AO68" s="245"/>
      <c r="AP68" s="245"/>
      <c r="AQ68" s="319"/>
      <c r="AR68" s="319"/>
      <c r="AS68" s="319"/>
      <c r="AT68" s="319"/>
      <c r="AU68" s="319"/>
      <c r="AV68" s="319"/>
      <c r="AW68" s="319"/>
      <c r="AX68" s="319"/>
      <c r="AY68" s="319"/>
      <c r="AZ68" s="319"/>
      <c r="BA68" s="319"/>
      <c r="BB68" s="319"/>
      <c r="BC68" s="463"/>
      <c r="BD68" s="319"/>
      <c r="BE68" s="319"/>
      <c r="BF68" s="319"/>
      <c r="BG68" s="319"/>
      <c r="BH68" s="319"/>
      <c r="BI68" s="319"/>
      <c r="BJ68" s="319"/>
      <c r="BK68" s="319"/>
      <c r="BL68" s="319"/>
      <c r="BM68" s="319"/>
      <c r="BN68" s="319"/>
      <c r="BO68" s="319"/>
      <c r="BP68" s="319"/>
      <c r="BQ68" s="320"/>
      <c r="BR68" s="319"/>
      <c r="BS68" s="319"/>
      <c r="BT68" s="319"/>
      <c r="BU68" s="319"/>
      <c r="BV68" s="319"/>
      <c r="BW68" s="319"/>
      <c r="BX68" s="245"/>
    </row>
    <row r="69" spans="1:76" ht="15.95" customHeight="1">
      <c r="A69" s="64"/>
      <c r="B69" s="61"/>
      <c r="C69" s="64"/>
      <c r="D69" s="637"/>
      <c r="E69" s="637"/>
      <c r="F69" s="637"/>
      <c r="G69" s="638"/>
      <c r="H69" s="638"/>
      <c r="I69" s="638"/>
      <c r="J69" s="207"/>
      <c r="K69" s="260"/>
      <c r="L69" s="260"/>
      <c r="M69" s="253"/>
      <c r="N69" s="253"/>
      <c r="O69" s="245"/>
      <c r="P69" s="245"/>
      <c r="Q69" s="245"/>
      <c r="R69" s="317"/>
      <c r="S69" s="317"/>
      <c r="T69" s="639"/>
      <c r="U69" s="639"/>
      <c r="V69" s="639"/>
      <c r="W69" s="639"/>
      <c r="X69" s="639"/>
      <c r="Y69" s="245"/>
      <c r="Z69" s="318"/>
      <c r="AA69" s="640"/>
      <c r="AB69" s="639"/>
      <c r="AC69" s="639"/>
      <c r="AD69" s="639"/>
      <c r="AE69" s="639"/>
      <c r="AF69" s="639"/>
      <c r="AG69" s="639"/>
      <c r="AH69" s="639"/>
      <c r="AI69" s="260"/>
      <c r="AJ69" s="253"/>
      <c r="AK69" s="253"/>
      <c r="AL69" s="245"/>
      <c r="AM69" s="245"/>
      <c r="AN69" s="253"/>
      <c r="AO69" s="245"/>
      <c r="AP69" s="245"/>
      <c r="AQ69" s="319"/>
      <c r="AR69" s="320"/>
      <c r="AS69" s="639"/>
      <c r="AT69" s="639"/>
      <c r="AU69" s="639"/>
      <c r="AV69" s="639"/>
      <c r="AW69" s="639"/>
      <c r="AX69" s="245"/>
      <c r="AY69" s="319"/>
      <c r="AZ69" s="640"/>
      <c r="BA69" s="639"/>
      <c r="BB69" s="639"/>
      <c r="BC69" s="639"/>
      <c r="BD69" s="641"/>
      <c r="BE69" s="641"/>
      <c r="BF69" s="641"/>
      <c r="BG69" s="641"/>
      <c r="BH69" s="641"/>
      <c r="BI69" s="641"/>
      <c r="BJ69" s="319"/>
      <c r="BK69" s="320"/>
      <c r="BL69" s="319"/>
      <c r="BM69" s="639"/>
      <c r="BN69" s="639"/>
      <c r="BO69" s="639"/>
      <c r="BP69" s="639"/>
      <c r="BQ69" s="639"/>
      <c r="BR69" s="207"/>
      <c r="BS69" s="321"/>
      <c r="BT69" s="639"/>
      <c r="BU69" s="639"/>
      <c r="BV69" s="641"/>
      <c r="BW69" s="319"/>
      <c r="BX69" s="245"/>
    </row>
    <row r="70" spans="1:76" ht="15.95" customHeight="1">
      <c r="A70" s="64"/>
      <c r="B70" s="61"/>
      <c r="C70" s="64"/>
      <c r="D70" s="637"/>
      <c r="E70" s="637"/>
      <c r="F70" s="637"/>
      <c r="G70" s="638"/>
      <c r="H70" s="638"/>
      <c r="I70" s="638"/>
      <c r="J70" s="207"/>
      <c r="K70" s="260"/>
      <c r="L70" s="260"/>
      <c r="M70" s="253"/>
      <c r="N70" s="253"/>
      <c r="O70" s="245"/>
      <c r="P70" s="245"/>
      <c r="Q70" s="245"/>
      <c r="R70" s="317"/>
      <c r="S70" s="317"/>
      <c r="T70" s="639"/>
      <c r="U70" s="639"/>
      <c r="V70" s="639"/>
      <c r="W70" s="639"/>
      <c r="X70" s="639"/>
      <c r="Y70" s="639"/>
      <c r="Z70" s="639"/>
      <c r="AA70" s="639"/>
      <c r="AB70" s="639"/>
      <c r="AC70" s="639"/>
      <c r="AD70" s="639"/>
      <c r="AE70" s="639"/>
      <c r="AF70" s="639"/>
      <c r="AG70" s="639"/>
      <c r="AH70" s="639"/>
      <c r="AI70" s="639"/>
      <c r="AJ70" s="639"/>
      <c r="AK70" s="639"/>
      <c r="AL70" s="639"/>
      <c r="AM70" s="639"/>
      <c r="AN70" s="639"/>
      <c r="AO70" s="639"/>
      <c r="AP70" s="639"/>
      <c r="AQ70" s="639"/>
      <c r="AR70" s="639"/>
      <c r="AS70" s="639"/>
      <c r="AT70" s="639"/>
      <c r="AU70" s="639"/>
      <c r="AV70" s="639"/>
      <c r="AW70" s="639"/>
      <c r="AX70" s="639"/>
      <c r="AY70" s="639"/>
      <c r="AZ70" s="639"/>
      <c r="BA70" s="639"/>
      <c r="BB70" s="639"/>
      <c r="BC70" s="639"/>
      <c r="BD70" s="639"/>
      <c r="BE70" s="639"/>
      <c r="BF70" s="639"/>
      <c r="BG70" s="639"/>
      <c r="BH70" s="639"/>
      <c r="BI70" s="642"/>
      <c r="BJ70" s="639"/>
      <c r="BK70" s="639"/>
      <c r="BL70" s="639"/>
      <c r="BM70" s="639"/>
      <c r="BN70" s="639"/>
      <c r="BO70" s="639"/>
      <c r="BP70" s="639"/>
      <c r="BQ70" s="639"/>
      <c r="BR70" s="639"/>
      <c r="BS70" s="639"/>
      <c r="BT70" s="639"/>
      <c r="BU70" s="639"/>
      <c r="BV70" s="639"/>
      <c r="BW70" s="639"/>
      <c r="BX70" s="639"/>
    </row>
    <row r="71" spans="1:76" ht="33" customHeight="1">
      <c r="A71" s="64"/>
      <c r="B71" s="833"/>
      <c r="C71" s="273" t="s">
        <v>378</v>
      </c>
      <c r="D71" s="273" t="s">
        <v>379</v>
      </c>
      <c r="E71" s="273" t="s">
        <v>380</v>
      </c>
      <c r="K71" s="106"/>
      <c r="M71" s="249"/>
      <c r="N71" s="249"/>
      <c r="R71" s="249"/>
      <c r="S71" s="249"/>
      <c r="AC71" s="106"/>
      <c r="AD71" s="106"/>
      <c r="AI71" s="249"/>
      <c r="AJ71" s="249"/>
      <c r="AK71" s="249"/>
      <c r="AN71" s="249"/>
      <c r="BA71" s="834"/>
      <c r="BB71" s="639"/>
      <c r="BC71" s="238"/>
      <c r="BF71" s="106"/>
      <c r="BG71" s="106"/>
      <c r="BH71" s="106"/>
      <c r="BI71" s="106"/>
      <c r="BJ71" s="106"/>
      <c r="BK71" s="106"/>
      <c r="BL71" s="177"/>
      <c r="BM71" s="263"/>
      <c r="BR71" s="177"/>
      <c r="BT71" s="177"/>
      <c r="BU71" s="106"/>
    </row>
    <row r="72" spans="1:76" ht="15.75">
      <c r="A72" s="64"/>
      <c r="B72" s="833" t="s">
        <v>381</v>
      </c>
      <c r="C72" s="125">
        <f>D34</f>
        <v>3313.9999999999995</v>
      </c>
      <c r="D72" s="274">
        <f ca="1">E72/100</f>
        <v>6.8670814113910579</v>
      </c>
      <c r="E72" s="275">
        <f ca="1">'F-5'!N21</f>
        <v>686.70814113910581</v>
      </c>
      <c r="F72" s="61"/>
      <c r="K72" s="249"/>
      <c r="M72" s="249"/>
      <c r="N72" s="249"/>
      <c r="R72" s="249"/>
      <c r="S72" s="249"/>
      <c r="T72" s="106"/>
      <c r="U72" s="106"/>
      <c r="V72" s="106"/>
      <c r="W72" s="106"/>
      <c r="X72" s="106"/>
      <c r="Z72" s="106"/>
      <c r="AA72" s="106"/>
      <c r="AB72" s="106"/>
      <c r="AC72" s="106"/>
      <c r="AD72" s="106"/>
      <c r="AE72" s="106"/>
      <c r="AF72" s="106"/>
      <c r="AG72" s="106"/>
      <c r="AH72" s="106"/>
      <c r="AI72" s="249"/>
      <c r="AJ72" s="249"/>
      <c r="AK72" s="249"/>
      <c r="AN72" s="249"/>
      <c r="AS72" s="106"/>
      <c r="AT72" s="106"/>
      <c r="AU72" s="106"/>
      <c r="AV72" s="106"/>
      <c r="AW72" s="106"/>
      <c r="AX72" s="106"/>
      <c r="BB72" s="106"/>
      <c r="BE72" s="106"/>
      <c r="BF72" s="106"/>
      <c r="BM72" s="263"/>
      <c r="BN72" s="106"/>
      <c r="BO72" s="106"/>
      <c r="BP72" s="106"/>
      <c r="BQ72" s="106"/>
      <c r="BU72" s="106"/>
    </row>
    <row r="73" spans="1:76" ht="15.75">
      <c r="A73" s="64"/>
      <c r="B73" s="833" t="s">
        <v>382</v>
      </c>
      <c r="C73" s="125">
        <f>D53</f>
        <v>2177.2246240855229</v>
      </c>
      <c r="D73" s="274">
        <f ca="1">E73/100</f>
        <v>5.1688285845397051</v>
      </c>
      <c r="E73" s="275">
        <f ca="1">'F-5'!M21</f>
        <v>516.88285845397047</v>
      </c>
      <c r="F73" s="106"/>
      <c r="G73" s="61"/>
      <c r="H73" s="211"/>
      <c r="M73" s="249"/>
      <c r="N73" s="249"/>
      <c r="R73" s="249"/>
      <c r="S73" s="249"/>
      <c r="T73" s="106"/>
      <c r="U73" s="106"/>
      <c r="V73" s="106"/>
      <c r="W73" s="106"/>
      <c r="X73" s="106"/>
      <c r="Y73" s="106"/>
      <c r="Z73" s="106"/>
      <c r="AA73" s="106"/>
      <c r="AB73" s="106"/>
      <c r="AC73" s="106"/>
      <c r="AD73" s="106"/>
      <c r="AE73" s="106"/>
      <c r="AF73" s="106"/>
      <c r="AG73" s="106"/>
      <c r="AH73" s="106"/>
      <c r="AI73" s="249"/>
      <c r="AN73" s="249"/>
      <c r="BU73" s="106"/>
    </row>
    <row r="74" spans="1:76" ht="15.75">
      <c r="A74" s="64"/>
      <c r="B74" s="833" t="s">
        <v>383</v>
      </c>
      <c r="C74" s="125">
        <f>D66</f>
        <v>5221.8283327182244</v>
      </c>
      <c r="D74" s="274">
        <f ca="1">E74/100</f>
        <v>4.5733903007142214</v>
      </c>
      <c r="E74" s="275">
        <f ca="1">'F-5'!L21</f>
        <v>457.33903007142214</v>
      </c>
      <c r="F74" s="106"/>
      <c r="G74" s="61"/>
      <c r="H74" s="211"/>
      <c r="M74" s="249"/>
      <c r="N74" s="249"/>
      <c r="R74" s="249"/>
      <c r="S74" s="249"/>
      <c r="T74" s="106"/>
      <c r="U74" s="106"/>
      <c r="V74" s="106"/>
      <c r="W74" s="106"/>
      <c r="X74" s="106"/>
      <c r="Y74" s="106"/>
      <c r="Z74" s="106"/>
      <c r="AA74" s="106"/>
      <c r="AB74" s="106"/>
      <c r="AC74" s="106"/>
      <c r="AD74" s="106"/>
      <c r="AE74" s="106"/>
      <c r="AF74" s="106"/>
      <c r="AG74" s="106"/>
      <c r="AH74" s="106"/>
      <c r="AI74" s="249"/>
      <c r="AN74" s="249"/>
      <c r="BU74" s="106"/>
    </row>
    <row r="75" spans="1:76" ht="15.75">
      <c r="A75" s="64"/>
      <c r="B75" s="833" t="s">
        <v>147</v>
      </c>
      <c r="C75" s="1041">
        <f>SUM(C72:C74)</f>
        <v>10713.052956803745</v>
      </c>
      <c r="D75" s="274">
        <f ca="1">E75/100</f>
        <v>6.3598439413039456</v>
      </c>
      <c r="E75" s="275">
        <f ca="1">'F-5'!O21</f>
        <v>635.98439413039455</v>
      </c>
      <c r="F75" s="106"/>
      <c r="G75" s="61"/>
      <c r="H75" s="211"/>
      <c r="M75" s="249"/>
      <c r="N75" s="249"/>
      <c r="R75" s="249"/>
      <c r="S75" s="249"/>
      <c r="AI75" s="249"/>
      <c r="AN75" s="249"/>
    </row>
    <row r="76" spans="1:76" ht="15.75">
      <c r="A76" s="64"/>
      <c r="B76" s="833" t="s">
        <v>384</v>
      </c>
      <c r="F76" s="106"/>
      <c r="G76" s="61"/>
      <c r="H76" s="211"/>
      <c r="M76" s="249"/>
      <c r="N76" s="249"/>
      <c r="AI76" s="249"/>
      <c r="AN76" s="249"/>
    </row>
    <row r="77" spans="1:76">
      <c r="A77" s="64"/>
      <c r="M77" s="249"/>
      <c r="N77" s="249"/>
      <c r="AI77" s="249"/>
      <c r="AN77" s="249"/>
      <c r="BB77" s="106"/>
      <c r="BC77" s="106"/>
    </row>
    <row r="78" spans="1:76">
      <c r="A78" s="64"/>
      <c r="M78" s="249"/>
      <c r="N78" s="249"/>
      <c r="AI78" s="249"/>
      <c r="AN78" s="249"/>
      <c r="BB78" s="106"/>
      <c r="BC78" s="106"/>
    </row>
    <row r="79" spans="1:76" ht="16.5">
      <c r="A79" s="64"/>
      <c r="M79" s="249"/>
      <c r="N79" s="249"/>
      <c r="AI79" s="249"/>
      <c r="AN79" s="249"/>
      <c r="BL79" s="455"/>
      <c r="BN79" s="834"/>
      <c r="BO79" s="299"/>
      <c r="BP79" s="299"/>
      <c r="BQ79" s="299"/>
    </row>
    <row r="80" spans="1:76">
      <c r="A80" s="64"/>
      <c r="M80" s="249"/>
      <c r="N80" s="249"/>
      <c r="AI80" s="249"/>
      <c r="AN80" s="249"/>
      <c r="BO80" s="249"/>
      <c r="BP80" s="249"/>
      <c r="BQ80" s="249"/>
    </row>
    <row r="81" spans="1:69">
      <c r="A81" s="64"/>
      <c r="M81" s="249"/>
      <c r="N81" s="249"/>
      <c r="AI81" s="249"/>
      <c r="AN81" s="249"/>
      <c r="BN81" s="835"/>
      <c r="BO81" s="836"/>
      <c r="BP81" s="836"/>
      <c r="BQ81" s="836"/>
    </row>
    <row r="82" spans="1:69">
      <c r="A82" s="64"/>
      <c r="M82" s="249"/>
      <c r="N82" s="249"/>
      <c r="AI82" s="249"/>
      <c r="AN82" s="249"/>
      <c r="BO82" s="106"/>
      <c r="BP82" s="106"/>
      <c r="BQ82" s="106"/>
    </row>
    <row r="83" spans="1:69" ht="16.5">
      <c r="A83" s="64"/>
      <c r="AN83" s="249"/>
      <c r="BO83" s="238"/>
      <c r="BP83" s="238"/>
      <c r="BQ83" s="238"/>
    </row>
    <row r="84" spans="1:69" ht="16.5">
      <c r="A84" s="64"/>
      <c r="AN84" s="249"/>
      <c r="BN84" s="834"/>
      <c r="BO84" s="238"/>
      <c r="BP84" s="238"/>
      <c r="BQ84" s="238"/>
    </row>
    <row r="85" spans="1:69">
      <c r="A85" s="64"/>
      <c r="AN85" s="249"/>
    </row>
    <row r="86" spans="1:69">
      <c r="A86" s="64"/>
      <c r="AN86" s="249"/>
    </row>
    <row r="87" spans="1:69">
      <c r="A87" s="64"/>
      <c r="AN87" s="249"/>
    </row>
    <row r="88" spans="1:69">
      <c r="A88" s="64"/>
      <c r="AN88" s="249"/>
    </row>
    <row r="89" spans="1:69">
      <c r="A89" s="64"/>
      <c r="AN89" s="249"/>
    </row>
    <row r="96" spans="1:69">
      <c r="BB96" s="228"/>
      <c r="BC96" s="228" t="s">
        <v>385</v>
      </c>
      <c r="BD96" s="228" t="s">
        <v>386</v>
      </c>
      <c r="BE96" s="228" t="s">
        <v>147</v>
      </c>
      <c r="BG96" s="228" t="s">
        <v>387</v>
      </c>
    </row>
    <row r="97" spans="54:59">
      <c r="BB97" s="228" t="s">
        <v>45</v>
      </c>
      <c r="BC97" s="229">
        <f>BB34</f>
        <v>175788.98660974239</v>
      </c>
      <c r="BD97" s="229"/>
      <c r="BE97" s="229">
        <f>SUM(BC97:BD97)</f>
        <v>175788.98660974239</v>
      </c>
      <c r="BG97" s="230">
        <f>BE97/BE99</f>
        <v>0.56908762164091831</v>
      </c>
    </row>
    <row r="98" spans="54:59">
      <c r="BB98" s="228" t="s">
        <v>77</v>
      </c>
      <c r="BC98" s="229">
        <f>BB53</f>
        <v>133107.18319776285</v>
      </c>
      <c r="BD98" s="229"/>
      <c r="BE98" s="229">
        <f>SUM(BC98:BD98)</f>
        <v>133107.18319776285</v>
      </c>
      <c r="BG98" s="230">
        <f>BE98/BE99</f>
        <v>0.43091237835908175</v>
      </c>
    </row>
    <row r="99" spans="54:59">
      <c r="BB99" s="228"/>
      <c r="BC99" s="228"/>
      <c r="BD99" s="228"/>
      <c r="BE99" s="229">
        <f>SUM(BE97:BE98)</f>
        <v>308896.16980750521</v>
      </c>
      <c r="BG99" s="228"/>
    </row>
  </sheetData>
  <mergeCells count="4">
    <mergeCell ref="M6:N6"/>
    <mergeCell ref="P6:Q6"/>
    <mergeCell ref="AO6:AP6"/>
    <mergeCell ref="AL6:AM6"/>
  </mergeCells>
  <phoneticPr fontId="0" type="noConversion"/>
  <printOptions horizontalCentered="1" gridLines="1"/>
  <pageMargins left="0.23622047244094491" right="0" top="0.19685039370078741" bottom="0.59055118110236227" header="0" footer="0.39370078740157483"/>
  <pageSetup paperSize="9" scale="77" fitToWidth="12" fitToHeight="12" orientation="landscape" blackAndWhite="1" r:id="rId1"/>
  <headerFooter alignWithMargins="0">
    <oddFooter xml:space="preserve">&amp;R
&amp;"Arial,Bold"&amp;12OERC FORM-&amp;A&amp;"Arial,Regular"&amp;10
</oddFooter>
  </headerFooter>
  <rowBreaks count="2" manualBreakCount="2">
    <brk id="34" max="77" man="1"/>
    <brk id="53" max="67" man="1"/>
  </rowBreaks>
  <colBreaks count="1" manualBreakCount="1">
    <brk id="64" max="72"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C181"/>
  <sheetViews>
    <sheetView view="pageBreakPreview" zoomScaleSheetLayoutView="100" workbookViewId="0">
      <pane xSplit="4" ySplit="5" topLeftCell="E30" activePane="bottomRight" state="frozen"/>
      <selection activeCell="L45" sqref="L45"/>
      <selection pane="topRight" activeCell="L45" sqref="L45"/>
      <selection pane="bottomLeft" activeCell="L45" sqref="L45"/>
      <selection pane="bottomRight" activeCell="E17" sqref="E17"/>
    </sheetView>
  </sheetViews>
  <sheetFormatPr defaultColWidth="9.140625" defaultRowHeight="15"/>
  <cols>
    <col min="1" max="1" width="6.85546875" style="837" customWidth="1"/>
    <col min="2" max="2" width="9.140625" style="837"/>
    <col min="3" max="3" width="39.140625" style="837" bestFit="1" customWidth="1"/>
    <col min="4" max="4" width="11.7109375" style="942" customWidth="1"/>
    <col min="5" max="5" width="6.42578125" style="942" customWidth="1"/>
    <col min="6" max="6" width="10.5703125" style="837" customWidth="1"/>
    <col min="7" max="7" width="12.42578125" style="837" customWidth="1"/>
    <col min="8" max="8" width="8.28515625" style="837" bestFit="1" customWidth="1"/>
    <col min="9" max="12" width="8.140625" style="837" customWidth="1"/>
    <col min="13" max="13" width="8.42578125" style="837" customWidth="1"/>
    <col min="14" max="14" width="8.5703125" style="837" customWidth="1"/>
    <col min="15" max="15" width="9.42578125" style="837" customWidth="1"/>
    <col min="16" max="16" width="9.140625" style="837" customWidth="1"/>
    <col min="17" max="17" width="9.140625" style="837"/>
    <col min="18" max="18" width="7.7109375" style="837" bestFit="1" customWidth="1"/>
    <col min="19" max="19" width="9" style="837" bestFit="1" customWidth="1"/>
    <col min="20" max="16384" width="9.140625" style="837"/>
  </cols>
  <sheetData>
    <row r="1" spans="1:55" s="471" customFormat="1" ht="15" customHeight="1">
      <c r="B1" s="472" t="s">
        <v>388</v>
      </c>
      <c r="D1" s="943" t="s">
        <v>389</v>
      </c>
      <c r="E1" s="939"/>
      <c r="Q1" s="59" t="s">
        <v>390</v>
      </c>
      <c r="Z1" s="473"/>
      <c r="AA1" s="474"/>
      <c r="AN1" s="473" t="s">
        <v>0</v>
      </c>
      <c r="AO1" s="474" t="s">
        <v>317</v>
      </c>
      <c r="BB1" s="473" t="s">
        <v>0</v>
      </c>
      <c r="BC1" s="474" t="s">
        <v>317</v>
      </c>
    </row>
    <row r="2" spans="1:55" ht="15.75">
      <c r="A2" s="1813" t="s">
        <v>391</v>
      </c>
      <c r="B2" s="1814"/>
      <c r="C2" s="1814"/>
      <c r="D2" s="1814"/>
      <c r="E2" s="1814"/>
      <c r="F2" s="1814"/>
      <c r="G2" s="1814"/>
      <c r="H2" s="1814"/>
      <c r="I2" s="1814"/>
      <c r="J2" s="1814"/>
      <c r="K2" s="1814"/>
      <c r="L2" s="1814"/>
      <c r="M2" s="1814"/>
      <c r="N2" s="1814"/>
      <c r="O2" s="1814"/>
      <c r="P2" s="1814"/>
      <c r="Q2" s="1814"/>
      <c r="R2" s="1814"/>
      <c r="S2" s="1815"/>
    </row>
    <row r="3" spans="1:55" s="839" customFormat="1" ht="12.75" customHeight="1">
      <c r="A3" s="1816" t="s">
        <v>392</v>
      </c>
      <c r="B3" s="1816" t="s">
        <v>393</v>
      </c>
      <c r="C3" s="1816" t="s">
        <v>394</v>
      </c>
      <c r="D3" s="1816" t="s">
        <v>395</v>
      </c>
      <c r="E3" s="1816" t="s">
        <v>396</v>
      </c>
      <c r="F3" s="1816" t="s">
        <v>397</v>
      </c>
      <c r="G3" s="1816" t="s">
        <v>398</v>
      </c>
      <c r="H3" s="1816" t="s">
        <v>399</v>
      </c>
      <c r="I3" s="1817" t="s">
        <v>400</v>
      </c>
      <c r="J3" s="1817"/>
      <c r="K3" s="1817"/>
      <c r="L3" s="1817"/>
      <c r="M3" s="1817"/>
      <c r="N3" s="1817"/>
      <c r="O3" s="1817"/>
      <c r="P3" s="838"/>
      <c r="Q3" s="1812" t="s">
        <v>401</v>
      </c>
      <c r="R3" s="1812" t="s">
        <v>402</v>
      </c>
      <c r="S3" s="1812" t="s">
        <v>403</v>
      </c>
    </row>
    <row r="4" spans="1:55" s="839" customFormat="1" ht="45" customHeight="1">
      <c r="A4" s="1816"/>
      <c r="B4" s="1816"/>
      <c r="C4" s="1816"/>
      <c r="D4" s="1816"/>
      <c r="E4" s="1816"/>
      <c r="F4" s="1816"/>
      <c r="G4" s="1816"/>
      <c r="H4" s="1816"/>
      <c r="I4" s="937">
        <v>44652</v>
      </c>
      <c r="J4" s="937">
        <v>44682</v>
      </c>
      <c r="K4" s="937">
        <v>44713</v>
      </c>
      <c r="L4" s="937">
        <v>44743</v>
      </c>
      <c r="M4" s="937">
        <v>44774</v>
      </c>
      <c r="N4" s="937">
        <v>44805</v>
      </c>
      <c r="O4" s="938" t="s">
        <v>231</v>
      </c>
      <c r="P4" s="938" t="s">
        <v>231</v>
      </c>
      <c r="Q4" s="1812"/>
      <c r="R4" s="1812"/>
      <c r="S4" s="1812"/>
    </row>
    <row r="5" spans="1:55" s="843" customFormat="1">
      <c r="A5" s="840" t="s">
        <v>404</v>
      </c>
      <c r="B5" s="840" t="s">
        <v>2014</v>
      </c>
      <c r="C5" s="840"/>
      <c r="D5" s="940"/>
      <c r="E5" s="940"/>
      <c r="F5" s="840"/>
      <c r="G5" s="840"/>
      <c r="H5" s="840"/>
      <c r="I5" s="841"/>
      <c r="J5" s="841"/>
      <c r="K5" s="841"/>
      <c r="L5" s="841"/>
      <c r="M5" s="841"/>
      <c r="N5" s="841"/>
      <c r="O5" s="935" t="s">
        <v>405</v>
      </c>
      <c r="P5" s="935" t="s">
        <v>406</v>
      </c>
      <c r="Q5" s="936"/>
      <c r="R5" s="936"/>
      <c r="S5" s="841"/>
      <c r="X5" s="934">
        <f>10^6</f>
        <v>1000000</v>
      </c>
    </row>
    <row r="6" spans="1:55">
      <c r="A6" s="844">
        <v>1</v>
      </c>
      <c r="B6" s="997" t="s">
        <v>1983</v>
      </c>
      <c r="C6" s="844" t="s">
        <v>407</v>
      </c>
      <c r="D6" s="941" t="s">
        <v>408</v>
      </c>
      <c r="E6" s="941" t="s">
        <v>453</v>
      </c>
      <c r="F6" s="844">
        <v>15000</v>
      </c>
      <c r="G6" s="844">
        <v>0</v>
      </c>
      <c r="H6" s="844">
        <f>F6+G6</f>
        <v>15000</v>
      </c>
      <c r="I6" s="998">
        <f>7412500/(10^6)</f>
        <v>7.4124999999999996</v>
      </c>
      <c r="J6" s="998">
        <f>6795450/(10^6)</f>
        <v>6.7954499999999998</v>
      </c>
      <c r="K6" s="998">
        <f>6810189/(10^6)</f>
        <v>6.8101890000000003</v>
      </c>
      <c r="L6" s="998">
        <f>6597050/(10^6)</f>
        <v>6.5970500000000003</v>
      </c>
      <c r="M6" s="998">
        <f>7523457/(10^6)</f>
        <v>7.5234569999999996</v>
      </c>
      <c r="N6" s="998">
        <f>6292200/(10^6)</f>
        <v>6.2922000000000002</v>
      </c>
      <c r="O6" s="999">
        <f>SUM(I6:N6)</f>
        <v>41.430846000000003</v>
      </c>
      <c r="P6" s="998">
        <f>40979852/(10^6)</f>
        <v>40.979852000000001</v>
      </c>
      <c r="Q6" s="845">
        <f>O6+N6*6</f>
        <v>79.184045999999995</v>
      </c>
      <c r="R6" s="1507">
        <f>(Q6*10^6)/(F6*24*30*12)</f>
        <v>0.61098800925925922</v>
      </c>
      <c r="S6" s="845">
        <v>82</v>
      </c>
      <c r="T6" s="1013">
        <f>P6/O6</f>
        <v>0.98911453558056717</v>
      </c>
    </row>
    <row r="7" spans="1:55">
      <c r="A7" s="844">
        <v>2</v>
      </c>
      <c r="B7" s="997" t="s">
        <v>1983</v>
      </c>
      <c r="C7" s="844" t="s">
        <v>2075</v>
      </c>
      <c r="D7" s="941" t="s">
        <v>408</v>
      </c>
      <c r="E7" s="941" t="s">
        <v>453</v>
      </c>
      <c r="F7" s="844">
        <v>4000</v>
      </c>
      <c r="G7" s="844">
        <v>0</v>
      </c>
      <c r="H7" s="844">
        <f t="shared" ref="H7:H44" si="0">F7+G7</f>
        <v>4000</v>
      </c>
      <c r="I7" s="998">
        <f>3404261.32/(10^6)</f>
        <v>3.4042613199999998</v>
      </c>
      <c r="J7" s="998">
        <f>4289999/(10^6)</f>
        <v>4.2899989999999999</v>
      </c>
      <c r="K7" s="998">
        <f>3529001/(10^6)</f>
        <v>3.5290010000000001</v>
      </c>
      <c r="L7" s="998">
        <f>4529358.84/(10^6)</f>
        <v>4.5293588399999996</v>
      </c>
      <c r="M7" s="998">
        <f>2000948.43/(10^6)</f>
        <v>2.0009484299999998</v>
      </c>
      <c r="N7" s="998">
        <f>803865/(10^6)</f>
        <v>0.80386500000000005</v>
      </c>
      <c r="O7" s="999">
        <f t="shared" ref="O7:O44" si="1">SUM(I7:N7)</f>
        <v>18.557433590000002</v>
      </c>
      <c r="P7" s="998">
        <f>18455982.62/(10^6)</f>
        <v>18.45598262</v>
      </c>
      <c r="Q7" s="845">
        <f>O7+1</f>
        <v>19.557433590000002</v>
      </c>
      <c r="R7" s="1507">
        <f t="shared" ref="R7:R45" si="2">(Q7*10^6)/(F7*24*30*12)</f>
        <v>0.56589796267361125</v>
      </c>
      <c r="S7" s="845">
        <v>20</v>
      </c>
    </row>
    <row r="8" spans="1:55">
      <c r="A8" s="844">
        <v>3</v>
      </c>
      <c r="B8" s="997" t="s">
        <v>1984</v>
      </c>
      <c r="C8" s="844" t="s">
        <v>410</v>
      </c>
      <c r="D8" s="941" t="s">
        <v>408</v>
      </c>
      <c r="E8" s="941" t="s">
        <v>453</v>
      </c>
      <c r="F8" s="844">
        <v>22250</v>
      </c>
      <c r="G8" s="844">
        <v>0</v>
      </c>
      <c r="H8" s="844">
        <f t="shared" si="0"/>
        <v>22250</v>
      </c>
      <c r="I8" s="998">
        <f>8725700/(10^6)</f>
        <v>8.7256999999999998</v>
      </c>
      <c r="J8" s="998">
        <f>9917300/(10^6)</f>
        <v>9.9172999999999991</v>
      </c>
      <c r="K8" s="998">
        <f>10408600/(10^6)</f>
        <v>10.4086</v>
      </c>
      <c r="L8" s="998">
        <f>10393100/(10^6)</f>
        <v>10.3931</v>
      </c>
      <c r="M8" s="998">
        <f>10659000/(10^6)</f>
        <v>10.659000000000001</v>
      </c>
      <c r="N8" s="998">
        <f>12164400/(10^6)</f>
        <v>12.164400000000001</v>
      </c>
      <c r="O8" s="999">
        <f t="shared" si="1"/>
        <v>62.268099999999997</v>
      </c>
      <c r="P8" s="998">
        <f>61232300/(10^6)</f>
        <v>61.232300000000002</v>
      </c>
      <c r="Q8" s="845">
        <f>O8+N8*6</f>
        <v>135.25450000000001</v>
      </c>
      <c r="R8" s="1507">
        <f t="shared" si="2"/>
        <v>0.70357105701206824</v>
      </c>
      <c r="S8" s="845">
        <v>125</v>
      </c>
    </row>
    <row r="9" spans="1:55">
      <c r="A9" s="844">
        <v>4</v>
      </c>
      <c r="B9" s="997" t="s">
        <v>1985</v>
      </c>
      <c r="C9" s="844" t="s">
        <v>412</v>
      </c>
      <c r="D9" s="941" t="s">
        <v>408</v>
      </c>
      <c r="E9" s="941" t="s">
        <v>1990</v>
      </c>
      <c r="F9" s="844">
        <v>6000</v>
      </c>
      <c r="G9" s="844">
        <v>0</v>
      </c>
      <c r="H9" s="844">
        <f t="shared" si="0"/>
        <v>6000</v>
      </c>
      <c r="I9" s="998">
        <f>1577999.29/(10^6)</f>
        <v>1.5779992899999999</v>
      </c>
      <c r="J9" s="998">
        <f>1748000/(10^6)</f>
        <v>1.748</v>
      </c>
      <c r="K9" s="998">
        <f>1684000.04/(10^6)</f>
        <v>1.6840000400000001</v>
      </c>
      <c r="L9" s="998">
        <f>1503001/(10^6)</f>
        <v>1.503001</v>
      </c>
      <c r="M9" s="998">
        <f>1733893/(10^6)</f>
        <v>1.7338929999999999</v>
      </c>
      <c r="N9" s="998">
        <f>1929001/(10^6)</f>
        <v>1.929001</v>
      </c>
      <c r="O9" s="999">
        <f t="shared" si="1"/>
        <v>10.17589433</v>
      </c>
      <c r="P9" s="998">
        <f>10175000/(10^6)</f>
        <v>10.175000000000001</v>
      </c>
      <c r="Q9" s="845">
        <f>O9+N9*6</f>
        <v>21.749900330000003</v>
      </c>
      <c r="R9" s="1507">
        <f t="shared" si="2"/>
        <v>0.41955826253858031</v>
      </c>
      <c r="S9" s="845">
        <v>22</v>
      </c>
    </row>
    <row r="10" spans="1:55">
      <c r="A10" s="844">
        <v>5</v>
      </c>
      <c r="B10" s="997" t="s">
        <v>1986</v>
      </c>
      <c r="C10" s="844" t="s">
        <v>1989</v>
      </c>
      <c r="D10" s="941" t="s">
        <v>408</v>
      </c>
      <c r="E10" s="941" t="s">
        <v>453</v>
      </c>
      <c r="F10" s="844">
        <v>12000</v>
      </c>
      <c r="G10" s="844">
        <v>0</v>
      </c>
      <c r="H10" s="844">
        <f t="shared" si="0"/>
        <v>12000</v>
      </c>
      <c r="I10" s="998">
        <f>1541114/(10^6)</f>
        <v>1.5411140000000001</v>
      </c>
      <c r="J10" s="998">
        <f>184420/(10^6)</f>
        <v>0.18442</v>
      </c>
      <c r="K10" s="998">
        <f>91277.66/(10^6)</f>
        <v>9.1277659999999997E-2</v>
      </c>
      <c r="L10" s="998">
        <f>339185/(10^6)</f>
        <v>0.33918500000000001</v>
      </c>
      <c r="M10" s="998">
        <f>79115.1/(10^6)</f>
        <v>7.9115100000000008E-2</v>
      </c>
      <c r="N10" s="998">
        <f>175493/(10^6)</f>
        <v>0.17549300000000001</v>
      </c>
      <c r="O10" s="999">
        <f t="shared" si="1"/>
        <v>2.41060476</v>
      </c>
      <c r="P10" s="998">
        <f>2265887/(10^6)</f>
        <v>2.2658870000000002</v>
      </c>
      <c r="Q10" s="845">
        <f t="shared" ref="Q10:Q45" si="3">O10+N10*6</f>
        <v>3.4635627600000003</v>
      </c>
      <c r="R10" s="1507">
        <f t="shared" si="2"/>
        <v>3.3406276620370372E-2</v>
      </c>
      <c r="S10" s="845">
        <v>4</v>
      </c>
    </row>
    <row r="11" spans="1:55">
      <c r="A11" s="844">
        <v>6</v>
      </c>
      <c r="B11" s="997" t="s">
        <v>1987</v>
      </c>
      <c r="C11" s="844" t="s">
        <v>2074</v>
      </c>
      <c r="D11" s="941" t="s">
        <v>408</v>
      </c>
      <c r="E11" s="941" t="s">
        <v>453</v>
      </c>
      <c r="F11" s="844">
        <v>15000</v>
      </c>
      <c r="G11" s="844">
        <v>0</v>
      </c>
      <c r="H11" s="844">
        <f t="shared" si="0"/>
        <v>15000</v>
      </c>
      <c r="I11" s="998">
        <f>1765388.18/(10^6)</f>
        <v>1.76538818</v>
      </c>
      <c r="J11" s="998">
        <f>2089893.6172/(10^6)</f>
        <v>2.0898936172</v>
      </c>
      <c r="K11" s="998">
        <f>2938757.3/(10^6)</f>
        <v>2.9387572999999998</v>
      </c>
      <c r="L11" s="998">
        <f>5247245.61/(10^6)</f>
        <v>5.2472456100000002</v>
      </c>
      <c r="M11" s="998">
        <f>4081566.07/(10^6)</f>
        <v>4.08156607</v>
      </c>
      <c r="N11" s="998">
        <f>3657167/(10^6)</f>
        <v>3.6571669999999998</v>
      </c>
      <c r="O11" s="999">
        <f t="shared" si="1"/>
        <v>19.780017777200001</v>
      </c>
      <c r="P11" s="998">
        <f>19282262.62/(10^6)</f>
        <v>19.282262620000001</v>
      </c>
      <c r="Q11" s="845">
        <f>O11+N11*6</f>
        <v>41.723019777200001</v>
      </c>
      <c r="R11" s="1507">
        <f t="shared" si="2"/>
        <v>0.32193688099691359</v>
      </c>
      <c r="S11" s="845">
        <v>44</v>
      </c>
      <c r="V11" s="837">
        <f>5045-3283.5</f>
        <v>1761.5</v>
      </c>
    </row>
    <row r="12" spans="1:55">
      <c r="A12" s="844">
        <v>7</v>
      </c>
      <c r="B12" s="997" t="s">
        <v>1988</v>
      </c>
      <c r="C12" s="844" t="s">
        <v>414</v>
      </c>
      <c r="D12" s="941" t="s">
        <v>408</v>
      </c>
      <c r="E12" s="941" t="s">
        <v>453</v>
      </c>
      <c r="F12" s="844">
        <v>4500</v>
      </c>
      <c r="G12" s="844">
        <v>0</v>
      </c>
      <c r="H12" s="844">
        <f t="shared" si="0"/>
        <v>4500</v>
      </c>
      <c r="I12" s="998">
        <f>534728/(10^6)</f>
        <v>0.53472799999999998</v>
      </c>
      <c r="J12" s="998">
        <f>604716.3/(10^6)</f>
        <v>0.6047163000000001</v>
      </c>
      <c r="K12" s="998">
        <f>674780.1/(10^6)</f>
        <v>0.67478009999999999</v>
      </c>
      <c r="L12" s="998">
        <f>718669.75/(10^6)</f>
        <v>0.71866975</v>
      </c>
      <c r="M12" s="998">
        <f>714714.1/(10^6)</f>
        <v>0.71471410000000002</v>
      </c>
      <c r="N12" s="998">
        <f>853479/(10^6)</f>
        <v>0.85347899999999999</v>
      </c>
      <c r="O12" s="999">
        <f t="shared" si="1"/>
        <v>4.10108725</v>
      </c>
      <c r="P12" s="998">
        <f>4066554.72/(10^6)</f>
        <v>4.0665547200000001</v>
      </c>
      <c r="Q12" s="845">
        <f t="shared" si="3"/>
        <v>9.2219612499999997</v>
      </c>
      <c r="R12" s="1507">
        <f t="shared" si="2"/>
        <v>0.23719036136831276</v>
      </c>
      <c r="S12" s="845">
        <v>9</v>
      </c>
    </row>
    <row r="13" spans="1:55">
      <c r="A13" s="844">
        <v>8</v>
      </c>
      <c r="B13" s="997" t="s">
        <v>1991</v>
      </c>
      <c r="C13" s="844" t="s">
        <v>409</v>
      </c>
      <c r="D13" s="941" t="s">
        <v>408</v>
      </c>
      <c r="E13" s="941" t="s">
        <v>453</v>
      </c>
      <c r="F13" s="844">
        <v>18000</v>
      </c>
      <c r="G13" s="844">
        <v>2000</v>
      </c>
      <c r="H13" s="844">
        <f t="shared" si="0"/>
        <v>20000</v>
      </c>
      <c r="I13" s="1000">
        <f>5575043/(10^6)</f>
        <v>5.575043</v>
      </c>
      <c r="J13" s="1000">
        <f>4888266/(10^6)</f>
        <v>4.8882659999999998</v>
      </c>
      <c r="K13" s="1000">
        <f>10106482/(10^6)</f>
        <v>10.106482</v>
      </c>
      <c r="L13" s="1000">
        <f>15706339/(10^6)</f>
        <v>15.706339</v>
      </c>
      <c r="M13" s="1000">
        <f>15387283/(10^6)</f>
        <v>15.387283</v>
      </c>
      <c r="N13" s="1000">
        <f>19327626/(10^6)</f>
        <v>19.327625999999999</v>
      </c>
      <c r="O13" s="999">
        <f t="shared" si="1"/>
        <v>70.991038999999986</v>
      </c>
      <c r="P13" s="1000">
        <f>68020800/(10^6)</f>
        <v>68.020799999999994</v>
      </c>
      <c r="Q13" s="845">
        <f t="shared" si="3"/>
        <v>186.956795</v>
      </c>
      <c r="R13" s="1507">
        <f t="shared" si="2"/>
        <v>1.2021398855452674</v>
      </c>
      <c r="S13" s="845">
        <v>140</v>
      </c>
    </row>
    <row r="14" spans="1:55">
      <c r="A14" s="844">
        <v>9</v>
      </c>
      <c r="B14" s="997" t="s">
        <v>1992</v>
      </c>
      <c r="C14" s="844" t="s">
        <v>411</v>
      </c>
      <c r="D14" s="941" t="s">
        <v>408</v>
      </c>
      <c r="E14" s="941" t="s">
        <v>453</v>
      </c>
      <c r="F14" s="844">
        <v>5000</v>
      </c>
      <c r="G14" s="844">
        <v>0</v>
      </c>
      <c r="H14" s="844">
        <f t="shared" si="0"/>
        <v>5000</v>
      </c>
      <c r="I14" s="1000">
        <f>586112/(10^6)</f>
        <v>0.58611199999999997</v>
      </c>
      <c r="J14" s="1000">
        <f>526464/(10^6)</f>
        <v>0.52646400000000004</v>
      </c>
      <c r="K14" s="1000">
        <f>5004480/(10^6)</f>
        <v>5.00448</v>
      </c>
      <c r="L14" s="1000">
        <f>4716240/(10^6)</f>
        <v>4.71624</v>
      </c>
      <c r="M14" s="1000">
        <f>4535520/(10^6)</f>
        <v>4.53552</v>
      </c>
      <c r="N14" s="1000">
        <f>3758880/(10^6)</f>
        <v>3.75888</v>
      </c>
      <c r="O14" s="999">
        <f t="shared" si="1"/>
        <v>19.127696</v>
      </c>
      <c r="P14" s="1000">
        <f>18485099/(10^6)</f>
        <v>18.485099000000002</v>
      </c>
      <c r="Q14" s="845">
        <f t="shared" si="3"/>
        <v>41.680976000000001</v>
      </c>
      <c r="R14" s="1507">
        <f t="shared" si="2"/>
        <v>0.96483740740740742</v>
      </c>
      <c r="S14" s="845">
        <v>35</v>
      </c>
    </row>
    <row r="15" spans="1:55">
      <c r="A15" s="844">
        <v>10</v>
      </c>
      <c r="B15" s="997" t="s">
        <v>1986</v>
      </c>
      <c r="C15" s="844" t="s">
        <v>413</v>
      </c>
      <c r="D15" s="941" t="s">
        <v>408</v>
      </c>
      <c r="E15" s="941" t="s">
        <v>453</v>
      </c>
      <c r="F15" s="844">
        <v>3000</v>
      </c>
      <c r="G15" s="844">
        <v>0</v>
      </c>
      <c r="H15" s="844">
        <f t="shared" si="0"/>
        <v>3000</v>
      </c>
      <c r="I15" s="1000">
        <f>791254/(10^6)</f>
        <v>0.79125400000000001</v>
      </c>
      <c r="J15" s="1000">
        <f>553554.66/(10^6)</f>
        <v>0.55355466000000009</v>
      </c>
      <c r="K15" s="1000">
        <f>977826.5625/(10^6)</f>
        <v>0.9778265625</v>
      </c>
      <c r="L15" s="1000">
        <f>958102.29/(10^6)</f>
        <v>0.95810229000000002</v>
      </c>
      <c r="M15" s="1000">
        <f>1327782/(10^6)</f>
        <v>1.327782</v>
      </c>
      <c r="N15" s="1000">
        <f>2831119/(10^6)</f>
        <v>2.8311190000000002</v>
      </c>
      <c r="O15" s="999">
        <f t="shared" ref="O15:O36" si="4">SUM(I15:N15)</f>
        <v>7.4396385125000002</v>
      </c>
      <c r="P15" s="1000">
        <f>7364682/(10^6)</f>
        <v>7.3646820000000002</v>
      </c>
      <c r="Q15" s="845">
        <f>O15+N15*6-10</f>
        <v>14.426352512499999</v>
      </c>
      <c r="R15" s="1507">
        <f t="shared" si="2"/>
        <v>0.55657224199459876</v>
      </c>
      <c r="S15" s="845">
        <v>13</v>
      </c>
    </row>
    <row r="16" spans="1:55">
      <c r="A16" s="844">
        <v>11</v>
      </c>
      <c r="B16" s="997" t="s">
        <v>1983</v>
      </c>
      <c r="C16" s="844" t="s">
        <v>415</v>
      </c>
      <c r="D16" s="941" t="s">
        <v>416</v>
      </c>
      <c r="E16" s="1001" t="s">
        <v>453</v>
      </c>
      <c r="F16" s="844">
        <v>30500</v>
      </c>
      <c r="G16" s="844">
        <v>0</v>
      </c>
      <c r="H16" s="844">
        <f t="shared" ref="H16:H36" si="5">F16+G16</f>
        <v>30500</v>
      </c>
      <c r="I16" s="1000">
        <f>9906943.8476/(10^6)</f>
        <v>9.9069438475999991</v>
      </c>
      <c r="J16" s="1000">
        <f>10437119.1/(10^6)</f>
        <v>10.4371191</v>
      </c>
      <c r="K16" s="1000">
        <f>10748538.77/(10^6)</f>
        <v>10.74853877</v>
      </c>
      <c r="L16" s="1000">
        <f>11060834.05/(10^6)</f>
        <v>11.06083405</v>
      </c>
      <c r="M16" s="1000">
        <f>11234144/(10^6)</f>
        <v>11.234144000000001</v>
      </c>
      <c r="N16" s="1000">
        <f>11326698.15/(10^6)</f>
        <v>11.32669815</v>
      </c>
      <c r="O16" s="845">
        <f t="shared" si="4"/>
        <v>64.7142779176</v>
      </c>
      <c r="P16" s="1000">
        <f>61912200/(10^6)</f>
        <v>61.912199999999999</v>
      </c>
      <c r="Q16" s="845">
        <f t="shared" ref="Q16:Q23" si="6">O16+N16*6</f>
        <v>132.67446681760001</v>
      </c>
      <c r="R16" s="1507">
        <f t="shared" si="2"/>
        <v>0.50347019891317557</v>
      </c>
      <c r="S16" s="845">
        <v>135</v>
      </c>
    </row>
    <row r="17" spans="1:20">
      <c r="A17" s="844">
        <v>12</v>
      </c>
      <c r="B17" s="997" t="s">
        <v>1983</v>
      </c>
      <c r="C17" s="844" t="s">
        <v>415</v>
      </c>
      <c r="D17" s="941" t="s">
        <v>416</v>
      </c>
      <c r="E17" s="1001" t="s">
        <v>453</v>
      </c>
      <c r="F17" s="844">
        <v>20500</v>
      </c>
      <c r="G17" s="844">
        <v>0</v>
      </c>
      <c r="H17" s="844">
        <f t="shared" si="5"/>
        <v>20500</v>
      </c>
      <c r="I17" s="1000">
        <f>6789600/(10^6)</f>
        <v>6.7896000000000001</v>
      </c>
      <c r="J17" s="1000">
        <f>7113360/(10^6)</f>
        <v>7.1133600000000001</v>
      </c>
      <c r="K17" s="1000">
        <f>8052720/(10^6)</f>
        <v>8.0527200000000008</v>
      </c>
      <c r="L17" s="1000">
        <f>7770360/(10^6)</f>
        <v>7.7703600000000002</v>
      </c>
      <c r="M17" s="1000">
        <f>7804920/(10^6)</f>
        <v>7.8049200000000001</v>
      </c>
      <c r="N17" s="1000">
        <f>8034000/(10^6)</f>
        <v>8.0340000000000007</v>
      </c>
      <c r="O17" s="845">
        <f t="shared" si="4"/>
        <v>45.564959999999999</v>
      </c>
      <c r="P17" s="1000">
        <f>43966080/(10^6)</f>
        <v>43.966079999999998</v>
      </c>
      <c r="Q17" s="845">
        <f t="shared" si="6"/>
        <v>93.768960000000007</v>
      </c>
      <c r="R17" s="1507">
        <f t="shared" si="2"/>
        <v>0.52940921409214092</v>
      </c>
      <c r="S17" s="845">
        <v>95</v>
      </c>
    </row>
    <row r="18" spans="1:20">
      <c r="A18" s="844">
        <v>13</v>
      </c>
      <c r="B18" s="997" t="s">
        <v>1991</v>
      </c>
      <c r="C18" s="844" t="s">
        <v>417</v>
      </c>
      <c r="D18" s="941" t="s">
        <v>416</v>
      </c>
      <c r="E18" s="1001" t="s">
        <v>453</v>
      </c>
      <c r="F18" s="844">
        <v>18000</v>
      </c>
      <c r="G18" s="844">
        <v>0</v>
      </c>
      <c r="H18" s="844">
        <f t="shared" si="5"/>
        <v>18000</v>
      </c>
      <c r="I18" s="1000">
        <f>5642875.3699/(10^6)</f>
        <v>5.6428753699000005</v>
      </c>
      <c r="J18" s="1000">
        <f>5813228/(10^6)</f>
        <v>5.8132279999999996</v>
      </c>
      <c r="K18" s="1000">
        <f>6264256.07/(10^6)</f>
        <v>6.2642560700000001</v>
      </c>
      <c r="L18" s="1000">
        <f>5562098.78/(10^6)</f>
        <v>5.5620987800000004</v>
      </c>
      <c r="M18" s="1000">
        <f>5682250/(10^6)</f>
        <v>5.6822499999999998</v>
      </c>
      <c r="N18" s="1000">
        <f>6460224.6/(10^6)</f>
        <v>6.4602245999999992</v>
      </c>
      <c r="O18" s="845">
        <f t="shared" si="4"/>
        <v>35.4249328199</v>
      </c>
      <c r="P18" s="1000">
        <f>33760000/(10^6)</f>
        <v>33.76</v>
      </c>
      <c r="Q18" s="845">
        <f t="shared" si="6"/>
        <v>74.186280419899987</v>
      </c>
      <c r="R18" s="1507">
        <f t="shared" si="2"/>
        <v>0.47702083603330753</v>
      </c>
      <c r="S18" s="845">
        <v>76</v>
      </c>
    </row>
    <row r="19" spans="1:20">
      <c r="A19" s="844">
        <v>14</v>
      </c>
      <c r="B19" s="997" t="s">
        <v>1991</v>
      </c>
      <c r="C19" s="844" t="s">
        <v>418</v>
      </c>
      <c r="D19" s="941" t="s">
        <v>416</v>
      </c>
      <c r="E19" s="1001" t="s">
        <v>453</v>
      </c>
      <c r="F19" s="844">
        <v>11000</v>
      </c>
      <c r="G19" s="844">
        <v>0</v>
      </c>
      <c r="H19" s="844">
        <f t="shared" si="5"/>
        <v>11000</v>
      </c>
      <c r="I19" s="1000">
        <f>2016841.342/(10^6)</f>
        <v>2.0168413419999998</v>
      </c>
      <c r="J19" s="1000">
        <f>2089642.5/(10^6)</f>
        <v>2.0896425000000001</v>
      </c>
      <c r="K19" s="1000">
        <f>2188524.15/(10^6)</f>
        <v>2.1885241500000001</v>
      </c>
      <c r="L19" s="1000">
        <f>2003658.344/(10^6)</f>
        <v>2.0036583440000002</v>
      </c>
      <c r="M19" s="1000">
        <f>2147375/(10^6)</f>
        <v>2.1473749999999998</v>
      </c>
      <c r="N19" s="1000">
        <f>2310140/(10^6)</f>
        <v>2.3101400000000001</v>
      </c>
      <c r="O19" s="845">
        <f t="shared" si="4"/>
        <v>12.756181336000001</v>
      </c>
      <c r="P19" s="1000">
        <f>12735200/(10^6)</f>
        <v>12.735200000000001</v>
      </c>
      <c r="Q19" s="845">
        <f t="shared" si="6"/>
        <v>26.617021336000001</v>
      </c>
      <c r="R19" s="1507">
        <f t="shared" si="2"/>
        <v>0.28006125143097643</v>
      </c>
      <c r="S19" s="845">
        <v>28</v>
      </c>
    </row>
    <row r="20" spans="1:20">
      <c r="A20" s="844">
        <v>15</v>
      </c>
      <c r="B20" s="997" t="s">
        <v>1984</v>
      </c>
      <c r="C20" s="844" t="s">
        <v>419</v>
      </c>
      <c r="D20" s="941" t="s">
        <v>416</v>
      </c>
      <c r="E20" s="1001" t="s">
        <v>453</v>
      </c>
      <c r="F20" s="844">
        <v>6500</v>
      </c>
      <c r="G20" s="844">
        <v>0</v>
      </c>
      <c r="H20" s="844">
        <f t="shared" si="5"/>
        <v>6500</v>
      </c>
      <c r="I20" s="1000">
        <f>1391848.41129/(10^6)</f>
        <v>1.39184841129</v>
      </c>
      <c r="J20" s="1000">
        <f>1402462.1/(10^6)</f>
        <v>1.4024621000000002</v>
      </c>
      <c r="K20" s="1000">
        <f>1457901.58/(10^6)</f>
        <v>1.4579015800000001</v>
      </c>
      <c r="L20" s="1000">
        <f>1550014.52/(10^6)</f>
        <v>1.55001452</v>
      </c>
      <c r="M20" s="1000">
        <f>1507943.31/(10^6)</f>
        <v>1.5079433100000001</v>
      </c>
      <c r="N20" s="1000">
        <f>1587588.43/(10^6)</f>
        <v>1.5875884299999998</v>
      </c>
      <c r="O20" s="845">
        <f t="shared" si="4"/>
        <v>8.8977583512899994</v>
      </c>
      <c r="P20" s="1000">
        <f>8609000/(10^6)</f>
        <v>8.609</v>
      </c>
      <c r="Q20" s="845">
        <f t="shared" si="6"/>
        <v>18.423288931289996</v>
      </c>
      <c r="R20" s="1507">
        <f t="shared" si="2"/>
        <v>0.32805001658279909</v>
      </c>
      <c r="S20" s="845">
        <v>19</v>
      </c>
    </row>
    <row r="21" spans="1:20">
      <c r="A21" s="844">
        <v>16</v>
      </c>
      <c r="B21" s="997" t="s">
        <v>1992</v>
      </c>
      <c r="C21" s="844" t="s">
        <v>431</v>
      </c>
      <c r="D21" s="941" t="s">
        <v>416</v>
      </c>
      <c r="E21" s="1001" t="s">
        <v>453</v>
      </c>
      <c r="F21" s="844">
        <v>10000</v>
      </c>
      <c r="G21" s="844">
        <v>0</v>
      </c>
      <c r="H21" s="844">
        <f t="shared" si="5"/>
        <v>10000</v>
      </c>
      <c r="I21" s="1000">
        <f>1926266.7001/(10^6)</f>
        <v>1.9262667001</v>
      </c>
      <c r="J21" s="1000">
        <f>2028456.41/(10^6)</f>
        <v>2.02845641</v>
      </c>
      <c r="K21" s="1000">
        <f>2137662.0968/(10^6)</f>
        <v>2.1376620967999997</v>
      </c>
      <c r="L21" s="1000">
        <f>2016112.7/(10^6)</f>
        <v>2.0161126999999999</v>
      </c>
      <c r="M21" s="1000">
        <f>1867494.72/(10^6)</f>
        <v>1.8674947200000001</v>
      </c>
      <c r="N21" s="1000">
        <f>1896385.21/(10^6)</f>
        <v>1.89638521</v>
      </c>
      <c r="O21" s="845">
        <f t="shared" si="4"/>
        <v>11.872377836899998</v>
      </c>
      <c r="P21" s="1000">
        <f>11857200/(10^6)</f>
        <v>11.857200000000001</v>
      </c>
      <c r="Q21" s="845">
        <f t="shared" si="6"/>
        <v>23.250689096899997</v>
      </c>
      <c r="R21" s="1507">
        <f t="shared" si="2"/>
        <v>0.26910519788078702</v>
      </c>
      <c r="S21" s="845">
        <v>24</v>
      </c>
    </row>
    <row r="22" spans="1:20">
      <c r="A22" s="844">
        <v>17</v>
      </c>
      <c r="B22" s="997" t="s">
        <v>1997</v>
      </c>
      <c r="C22" s="844" t="s">
        <v>415</v>
      </c>
      <c r="D22" s="941" t="s">
        <v>416</v>
      </c>
      <c r="E22" s="1001" t="s">
        <v>453</v>
      </c>
      <c r="F22" s="844">
        <v>17000</v>
      </c>
      <c r="G22" s="844">
        <v>0</v>
      </c>
      <c r="H22" s="844">
        <f t="shared" si="5"/>
        <v>17000</v>
      </c>
      <c r="I22" s="1000">
        <f>3383160/(10^6)</f>
        <v>3.3831600000000002</v>
      </c>
      <c r="J22" s="1000">
        <f>6368400/(10^6)</f>
        <v>6.3684000000000003</v>
      </c>
      <c r="K22" s="1000">
        <f>7002360/(10^6)</f>
        <v>7.0023600000000004</v>
      </c>
      <c r="L22" s="1000">
        <f>6076200/(10^6)</f>
        <v>6.0762</v>
      </c>
      <c r="M22" s="1000">
        <f>6970800/(10^6)</f>
        <v>6.9707999999999997</v>
      </c>
      <c r="N22" s="1000">
        <f>8789400/(10^6)</f>
        <v>8.7894000000000005</v>
      </c>
      <c r="O22" s="845">
        <f t="shared" si="4"/>
        <v>38.590320000000006</v>
      </c>
      <c r="P22" s="1000">
        <f>35886960/(10^6)</f>
        <v>35.886960000000002</v>
      </c>
      <c r="Q22" s="845">
        <f t="shared" si="6"/>
        <v>91.326720000000009</v>
      </c>
      <c r="R22" s="1507">
        <f t="shared" si="2"/>
        <v>0.62177777777777787</v>
      </c>
      <c r="S22" s="845">
        <v>92</v>
      </c>
    </row>
    <row r="23" spans="1:20">
      <c r="A23" s="844">
        <v>18</v>
      </c>
      <c r="B23" s="997" t="s">
        <v>1997</v>
      </c>
      <c r="C23" s="844" t="s">
        <v>2004</v>
      </c>
      <c r="D23" s="941" t="s">
        <v>416</v>
      </c>
      <c r="E23" s="1001" t="s">
        <v>453</v>
      </c>
      <c r="F23" s="844">
        <v>16500</v>
      </c>
      <c r="G23" s="844">
        <v>0</v>
      </c>
      <c r="H23" s="844">
        <f t="shared" si="5"/>
        <v>16500</v>
      </c>
      <c r="I23" s="1000">
        <f>6477575.3369/(10^6)</f>
        <v>6.4775753369000002</v>
      </c>
      <c r="J23" s="1000">
        <f>6628053/(10^6)</f>
        <v>6.6280530000000004</v>
      </c>
      <c r="K23" s="1000">
        <f>7290686.02/(10^6)</f>
        <v>7.2906860199999999</v>
      </c>
      <c r="L23" s="1000">
        <f>6818140/(10^6)</f>
        <v>6.8181399999999996</v>
      </c>
      <c r="M23" s="1000">
        <f>6688519.45/(10^6)</f>
        <v>6.6885194500000003</v>
      </c>
      <c r="N23" s="1000">
        <f>3673146/(10^6)</f>
        <v>3.673146</v>
      </c>
      <c r="O23" s="845">
        <f t="shared" si="4"/>
        <v>37.576119806900003</v>
      </c>
      <c r="P23" s="1000">
        <f>35755000/(10^6)</f>
        <v>35.755000000000003</v>
      </c>
      <c r="Q23" s="845">
        <f t="shared" si="6"/>
        <v>59.614995806900005</v>
      </c>
      <c r="R23" s="1507">
        <f t="shared" si="2"/>
        <v>0.4181747741785915</v>
      </c>
      <c r="S23" s="845">
        <v>60</v>
      </c>
    </row>
    <row r="24" spans="1:20">
      <c r="A24" s="844">
        <v>19</v>
      </c>
      <c r="B24" s="997" t="s">
        <v>1986</v>
      </c>
      <c r="C24" s="844" t="s">
        <v>2005</v>
      </c>
      <c r="D24" s="941" t="s">
        <v>416</v>
      </c>
      <c r="E24" s="1001" t="s">
        <v>453</v>
      </c>
      <c r="F24" s="844">
        <v>17500</v>
      </c>
      <c r="G24" s="844">
        <v>4500</v>
      </c>
      <c r="H24" s="844">
        <f t="shared" si="5"/>
        <v>22000</v>
      </c>
      <c r="I24" s="1000">
        <f>5578680/(10^6)</f>
        <v>5.5786800000000003</v>
      </c>
      <c r="J24" s="1000">
        <f>5428920/(10^6)</f>
        <v>5.4289199999999997</v>
      </c>
      <c r="K24" s="1000">
        <f>5967960/(10^6)</f>
        <v>5.9679599999999997</v>
      </c>
      <c r="L24" s="1000">
        <f>5603880/(10^6)</f>
        <v>5.6038800000000002</v>
      </c>
      <c r="M24" s="1000">
        <f>5329920/(10^6)</f>
        <v>5.3299200000000004</v>
      </c>
      <c r="N24" s="1000">
        <f>5095320/(10^6)</f>
        <v>5.0953200000000001</v>
      </c>
      <c r="O24" s="845">
        <f t="shared" si="4"/>
        <v>33.00468</v>
      </c>
      <c r="P24" s="1000">
        <f>31192560/(10^6)</f>
        <v>31.19256</v>
      </c>
      <c r="Q24" s="845">
        <f>O24+K24*6</f>
        <v>68.812440000000009</v>
      </c>
      <c r="R24" s="1507">
        <f t="shared" si="2"/>
        <v>0.45510873015873027</v>
      </c>
      <c r="S24" s="845">
        <v>70</v>
      </c>
    </row>
    <row r="25" spans="1:20">
      <c r="A25" s="844">
        <v>20</v>
      </c>
      <c r="B25" s="997" t="s">
        <v>1986</v>
      </c>
      <c r="C25" s="844" t="s">
        <v>415</v>
      </c>
      <c r="D25" s="941" t="s">
        <v>416</v>
      </c>
      <c r="E25" s="1001" t="s">
        <v>453</v>
      </c>
      <c r="F25" s="844">
        <v>9500</v>
      </c>
      <c r="G25" s="844">
        <v>0</v>
      </c>
      <c r="H25" s="844">
        <f t="shared" si="5"/>
        <v>9500</v>
      </c>
      <c r="I25" s="1000">
        <f>1325760/(10^6)</f>
        <v>1.32576</v>
      </c>
      <c r="J25" s="1000">
        <f>2846400/(10^6)</f>
        <v>2.8464</v>
      </c>
      <c r="K25" s="1000">
        <f>2618400/(10^6)</f>
        <v>2.6183999999999998</v>
      </c>
      <c r="L25" s="1000">
        <f>3014640/(10^6)</f>
        <v>3.01464</v>
      </c>
      <c r="M25" s="1000">
        <f>3209760/(10^6)</f>
        <v>3.2097600000000002</v>
      </c>
      <c r="N25" s="1000">
        <f>3296640/(10^6)</f>
        <v>3.29664</v>
      </c>
      <c r="O25" s="845">
        <f t="shared" si="4"/>
        <v>16.311599999999999</v>
      </c>
      <c r="P25" s="1000">
        <f>15833280/(10^6)</f>
        <v>15.83328</v>
      </c>
      <c r="Q25" s="845">
        <f t="shared" ref="Q25:Q30" si="7">O25+N25*6</f>
        <v>36.091439999999999</v>
      </c>
      <c r="R25" s="1507">
        <f t="shared" si="2"/>
        <v>0.4397105263157895</v>
      </c>
      <c r="S25" s="845">
        <v>39</v>
      </c>
    </row>
    <row r="26" spans="1:20">
      <c r="A26" s="844">
        <v>21</v>
      </c>
      <c r="B26" s="997" t="s">
        <v>2000</v>
      </c>
      <c r="C26" s="844" t="s">
        <v>415</v>
      </c>
      <c r="D26" s="941" t="s">
        <v>416</v>
      </c>
      <c r="E26" s="1001" t="s">
        <v>1990</v>
      </c>
      <c r="F26" s="844">
        <v>17500</v>
      </c>
      <c r="G26" s="844">
        <v>0</v>
      </c>
      <c r="H26" s="844">
        <f t="shared" si="5"/>
        <v>17500</v>
      </c>
      <c r="I26" s="1000">
        <f>2019750/(10^6)</f>
        <v>2.0197500000000002</v>
      </c>
      <c r="J26" s="1000">
        <f>3305100/(10^6)</f>
        <v>3.3050999999999999</v>
      </c>
      <c r="K26" s="1000">
        <f>3358800/(10^6)</f>
        <v>3.3588</v>
      </c>
      <c r="L26" s="1000">
        <f>2758500/(10^6)</f>
        <v>2.7585000000000002</v>
      </c>
      <c r="M26" s="1000">
        <f>2852700/(10^6)</f>
        <v>2.8527</v>
      </c>
      <c r="N26" s="1000">
        <f>1911300/(10^6)</f>
        <v>1.9113</v>
      </c>
      <c r="O26" s="845">
        <f t="shared" si="4"/>
        <v>16.206150000000001</v>
      </c>
      <c r="P26" s="1000">
        <f>16111500/(10^6)</f>
        <v>16.111499999999999</v>
      </c>
      <c r="Q26" s="845">
        <f t="shared" si="7"/>
        <v>27.673950000000001</v>
      </c>
      <c r="R26" s="1507">
        <f t="shared" si="2"/>
        <v>0.18302876984126984</v>
      </c>
      <c r="S26" s="845">
        <v>28</v>
      </c>
      <c r="T26" s="837">
        <f>80000*24*30</f>
        <v>57600000</v>
      </c>
    </row>
    <row r="27" spans="1:20">
      <c r="A27" s="844">
        <v>22</v>
      </c>
      <c r="B27" s="997" t="s">
        <v>2000</v>
      </c>
      <c r="C27" s="844" t="s">
        <v>2006</v>
      </c>
      <c r="D27" s="941" t="s">
        <v>416</v>
      </c>
      <c r="E27" s="1001" t="s">
        <v>1990</v>
      </c>
      <c r="F27" s="844">
        <v>6500</v>
      </c>
      <c r="G27" s="844">
        <v>6500</v>
      </c>
      <c r="H27" s="844">
        <f t="shared" si="5"/>
        <v>13000</v>
      </c>
      <c r="I27" s="1000">
        <f>2038758.293/(10^6)</f>
        <v>2.0387582929999999</v>
      </c>
      <c r="J27" s="1000">
        <f>1566617.19/(10^6)</f>
        <v>1.5666171899999999</v>
      </c>
      <c r="K27" s="1000">
        <f>1473200.22/(10^6)</f>
        <v>1.4732002200000001</v>
      </c>
      <c r="L27" s="1000">
        <f>1286600.1/(10^6)</f>
        <v>1.2866001</v>
      </c>
      <c r="M27" s="1000">
        <f>1204800/(10^6)</f>
        <v>1.2048000000000001</v>
      </c>
      <c r="N27" s="1000">
        <f>1269400/(10^6)</f>
        <v>1.2694000000000001</v>
      </c>
      <c r="O27" s="845">
        <f t="shared" si="4"/>
        <v>8.8393758029999994</v>
      </c>
      <c r="P27" s="1000">
        <f>6716600/(10^6)</f>
        <v>6.7165999999999997</v>
      </c>
      <c r="Q27" s="845">
        <f t="shared" si="7"/>
        <v>16.455775803000002</v>
      </c>
      <c r="R27" s="1507">
        <f t="shared" si="2"/>
        <v>0.29301595090811966</v>
      </c>
      <c r="S27" s="845">
        <v>17</v>
      </c>
      <c r="T27" s="837">
        <f>T26/1000000</f>
        <v>57.6</v>
      </c>
    </row>
    <row r="28" spans="1:20">
      <c r="A28" s="844">
        <v>23</v>
      </c>
      <c r="B28" s="997" t="s">
        <v>1987</v>
      </c>
      <c r="C28" s="844" t="s">
        <v>2007</v>
      </c>
      <c r="D28" s="941" t="s">
        <v>416</v>
      </c>
      <c r="E28" s="1001" t="s">
        <v>453</v>
      </c>
      <c r="F28" s="844">
        <v>14000</v>
      </c>
      <c r="G28" s="844">
        <v>3000</v>
      </c>
      <c r="H28" s="844">
        <f t="shared" si="5"/>
        <v>17000</v>
      </c>
      <c r="I28" s="1000">
        <f>2658866.63/(10^6)</f>
        <v>2.6588666299999999</v>
      </c>
      <c r="J28" s="1000">
        <f>3477562.0081/(10^6)</f>
        <v>3.4775620081</v>
      </c>
      <c r="K28" s="1000">
        <f>3794617.29/(10^6)</f>
        <v>3.7946172900000001</v>
      </c>
      <c r="L28" s="1000">
        <f>3606478.87/(10^6)</f>
        <v>3.6064788700000001</v>
      </c>
      <c r="M28" s="1000">
        <f>3440865.87/(10^6)</f>
        <v>3.4408658700000001</v>
      </c>
      <c r="N28" s="1000">
        <f>3841027.24/(10^6)</f>
        <v>3.8410272400000003</v>
      </c>
      <c r="O28" s="845">
        <f t="shared" si="4"/>
        <v>20.8194179081</v>
      </c>
      <c r="P28" s="1000">
        <f>20605200/(10^6)</f>
        <v>20.6052</v>
      </c>
      <c r="Q28" s="845">
        <f>O28+N28*6</f>
        <v>43.865581348100001</v>
      </c>
      <c r="R28" s="1507">
        <f t="shared" si="2"/>
        <v>0.36264534844659391</v>
      </c>
      <c r="S28" s="845">
        <v>45</v>
      </c>
    </row>
    <row r="29" spans="1:20">
      <c r="A29" s="844">
        <v>24</v>
      </c>
      <c r="B29" s="997" t="s">
        <v>1987</v>
      </c>
      <c r="C29" s="844" t="s">
        <v>2008</v>
      </c>
      <c r="D29" s="941" t="s">
        <v>416</v>
      </c>
      <c r="E29" s="1001" t="s">
        <v>453</v>
      </c>
      <c r="F29" s="844">
        <v>14000</v>
      </c>
      <c r="G29" s="844">
        <v>5000</v>
      </c>
      <c r="H29" s="844">
        <f t="shared" si="5"/>
        <v>19000</v>
      </c>
      <c r="I29" s="1000">
        <f>3533199.44/(10^6)</f>
        <v>3.5331994399999997</v>
      </c>
      <c r="J29" s="1000">
        <f>3546369.55/(10^6)</f>
        <v>3.5463695499999996</v>
      </c>
      <c r="K29" s="1000">
        <f>3868258.79/(10^6)</f>
        <v>3.8682587900000001</v>
      </c>
      <c r="L29" s="1000">
        <f>3498583.856/(10^6)</f>
        <v>3.4985838560000002</v>
      </c>
      <c r="M29" s="1000">
        <f>3464159.99/(10^6)</f>
        <v>3.4641599900000002</v>
      </c>
      <c r="N29" s="1000">
        <f>3634565/(10^6)</f>
        <v>3.6345649999999998</v>
      </c>
      <c r="O29" s="845">
        <f t="shared" si="4"/>
        <v>21.545136625999998</v>
      </c>
      <c r="P29" s="1000">
        <f>21457000/(10^6)</f>
        <v>21.457000000000001</v>
      </c>
      <c r="Q29" s="845">
        <f t="shared" si="7"/>
        <v>43.352526626</v>
      </c>
      <c r="R29" s="1507">
        <f t="shared" si="2"/>
        <v>0.35840382461970899</v>
      </c>
      <c r="S29" s="845">
        <v>44</v>
      </c>
    </row>
    <row r="30" spans="1:20">
      <c r="A30" s="844">
        <v>25</v>
      </c>
      <c r="B30" s="997" t="s">
        <v>2001</v>
      </c>
      <c r="C30" s="844" t="s">
        <v>2009</v>
      </c>
      <c r="D30" s="941" t="s">
        <v>416</v>
      </c>
      <c r="E30" s="1001" t="s">
        <v>453</v>
      </c>
      <c r="F30" s="844">
        <v>8000</v>
      </c>
      <c r="G30" s="844">
        <v>0</v>
      </c>
      <c r="H30" s="844">
        <f t="shared" si="5"/>
        <v>8000</v>
      </c>
      <c r="I30" s="1000">
        <f>1816925.2709/(10^6)</f>
        <v>1.8169252708999999</v>
      </c>
      <c r="J30" s="1000">
        <f>1749281.967/(10^6)</f>
        <v>1.7492819669999999</v>
      </c>
      <c r="K30" s="1000">
        <f>1938612.42/(10^6)</f>
        <v>1.9386124199999999</v>
      </c>
      <c r="L30" s="1000">
        <f>1859613.05/(10^6)</f>
        <v>1.8596130500000001</v>
      </c>
      <c r="M30" s="1000">
        <f>1931072.46/(10^6)</f>
        <v>1.93107246</v>
      </c>
      <c r="N30" s="1000">
        <f>1875639/(10^6)</f>
        <v>1.8756390000000001</v>
      </c>
      <c r="O30" s="845">
        <f t="shared" si="4"/>
        <v>11.1711441679</v>
      </c>
      <c r="P30" s="1000">
        <f>10919200/(10^6)</f>
        <v>10.9192</v>
      </c>
      <c r="Q30" s="845">
        <f t="shared" si="7"/>
        <v>22.424978167900001</v>
      </c>
      <c r="R30" s="1507">
        <f t="shared" si="2"/>
        <v>0.32443544803096064</v>
      </c>
      <c r="S30" s="845">
        <v>24</v>
      </c>
    </row>
    <row r="31" spans="1:20">
      <c r="A31" s="844">
        <v>26</v>
      </c>
      <c r="B31" s="997" t="s">
        <v>2002</v>
      </c>
      <c r="C31" s="844" t="s">
        <v>2010</v>
      </c>
      <c r="D31" s="941" t="s">
        <v>416</v>
      </c>
      <c r="E31" s="1001" t="s">
        <v>453</v>
      </c>
      <c r="F31" s="844">
        <v>14000</v>
      </c>
      <c r="G31" s="844">
        <v>0</v>
      </c>
      <c r="H31" s="844">
        <f t="shared" si="5"/>
        <v>14000</v>
      </c>
      <c r="I31" s="1000">
        <f>2435721/(10^6)</f>
        <v>2.435721</v>
      </c>
      <c r="J31" s="1000">
        <f>2395498/(10^6)</f>
        <v>2.3954979999999999</v>
      </c>
      <c r="K31" s="1000">
        <f>2680771.1/(10^6)</f>
        <v>2.6807711000000003</v>
      </c>
      <c r="L31" s="1000">
        <f>2488562.9/(10^6)</f>
        <v>2.4885628999999998</v>
      </c>
      <c r="M31" s="1000">
        <f>2193831.81/(10^6)</f>
        <v>2.1938318100000003</v>
      </c>
      <c r="N31" s="1000">
        <f>2331502.82/(10^6)</f>
        <v>2.3315028199999999</v>
      </c>
      <c r="O31" s="845">
        <f t="shared" si="4"/>
        <v>14.52588763</v>
      </c>
      <c r="P31" s="1000">
        <f>14484200/(10^6)</f>
        <v>14.4842</v>
      </c>
      <c r="Q31" s="845">
        <f t="shared" ref="Q31:Q33" si="8">O31+N31*6</f>
        <v>28.514904549999997</v>
      </c>
      <c r="R31" s="1507">
        <f t="shared" si="2"/>
        <v>0.2357382981977513</v>
      </c>
      <c r="S31" s="845">
        <v>29</v>
      </c>
    </row>
    <row r="32" spans="1:20">
      <c r="A32" s="844">
        <v>27</v>
      </c>
      <c r="B32" s="997" t="s">
        <v>1988</v>
      </c>
      <c r="C32" s="844" t="s">
        <v>2011</v>
      </c>
      <c r="D32" s="941" t="s">
        <v>416</v>
      </c>
      <c r="E32" s="1001" t="s">
        <v>453</v>
      </c>
      <c r="F32" s="844">
        <v>12000</v>
      </c>
      <c r="G32" s="844">
        <v>0</v>
      </c>
      <c r="H32" s="844">
        <f t="shared" si="5"/>
        <v>12000</v>
      </c>
      <c r="I32" s="1000">
        <f>1681029.209/(10^6)</f>
        <v>1.6810292090000001</v>
      </c>
      <c r="J32" s="1000">
        <f>1629010.951/(10^6)</f>
        <v>1.6290109509999999</v>
      </c>
      <c r="K32" s="1000">
        <f>1624683.08/(10^6)</f>
        <v>1.6246830800000001</v>
      </c>
      <c r="L32" s="1000">
        <f>1689389.07/(10^6)</f>
        <v>1.68938907</v>
      </c>
      <c r="M32" s="1000">
        <f>1599799.7/(10^6)</f>
        <v>1.5997996999999999</v>
      </c>
      <c r="N32" s="1000">
        <f>1981669.3/(10^6)</f>
        <v>1.9816693000000001</v>
      </c>
      <c r="O32" s="845">
        <f t="shared" si="4"/>
        <v>10.205581309999999</v>
      </c>
      <c r="P32" s="1000">
        <f>10196200/(10^6)</f>
        <v>10.196199999999999</v>
      </c>
      <c r="Q32" s="845">
        <f t="shared" si="8"/>
        <v>22.09559711</v>
      </c>
      <c r="R32" s="1507">
        <f t="shared" si="2"/>
        <v>0.21311339805169752</v>
      </c>
      <c r="S32" s="845">
        <v>23</v>
      </c>
    </row>
    <row r="33" spans="1:21">
      <c r="A33" s="844">
        <v>28</v>
      </c>
      <c r="B33" s="997" t="s">
        <v>2003</v>
      </c>
      <c r="C33" s="844" t="s">
        <v>2012</v>
      </c>
      <c r="D33" s="941" t="s">
        <v>416</v>
      </c>
      <c r="E33" s="1001" t="s">
        <v>453</v>
      </c>
      <c r="F33" s="844">
        <v>14000</v>
      </c>
      <c r="G33" s="844">
        <v>0</v>
      </c>
      <c r="H33" s="844">
        <f t="shared" si="5"/>
        <v>14000</v>
      </c>
      <c r="I33" s="1000">
        <f>3170625/(10^6)</f>
        <v>3.1706249999999998</v>
      </c>
      <c r="J33" s="1000">
        <f>2292385/(10^6)</f>
        <v>2.2923849999999999</v>
      </c>
      <c r="K33" s="1000">
        <f>2484703.42/(10^6)</f>
        <v>2.4847034199999998</v>
      </c>
      <c r="L33" s="1000">
        <f>2380446.35/(10^6)</f>
        <v>2.3804463500000002</v>
      </c>
      <c r="M33" s="1000">
        <f>2154314.84/(10^6)</f>
        <v>2.1543148400000001</v>
      </c>
      <c r="N33" s="1000">
        <f>2278621.5/(10^6)</f>
        <v>2.2786214999999999</v>
      </c>
      <c r="O33" s="845">
        <f t="shared" si="4"/>
        <v>14.761096109999999</v>
      </c>
      <c r="P33" s="1000">
        <f>14725900/(10^6)</f>
        <v>14.725899999999999</v>
      </c>
      <c r="Q33" s="845">
        <f t="shared" si="8"/>
        <v>28.432825109999996</v>
      </c>
      <c r="R33" s="1507">
        <f t="shared" si="2"/>
        <v>0.23505973139880948</v>
      </c>
      <c r="S33" s="845">
        <v>28</v>
      </c>
    </row>
    <row r="34" spans="1:21">
      <c r="A34" s="844">
        <v>29</v>
      </c>
      <c r="B34" s="997" t="s">
        <v>1991</v>
      </c>
      <c r="C34" s="844" t="s">
        <v>420</v>
      </c>
      <c r="D34" s="941" t="s">
        <v>421</v>
      </c>
      <c r="E34" s="941" t="s">
        <v>1990</v>
      </c>
      <c r="F34" s="844">
        <v>55556</v>
      </c>
      <c r="G34" s="844">
        <v>0</v>
      </c>
      <c r="H34" s="844">
        <f t="shared" si="5"/>
        <v>55556</v>
      </c>
      <c r="I34" s="998">
        <f>449700/(10^6)</f>
        <v>0.44969999999999999</v>
      </c>
      <c r="J34" s="998">
        <f>22153377.797/(10^6)</f>
        <v>22.153377796999997</v>
      </c>
      <c r="K34" s="998">
        <f>25664917/(10^6)</f>
        <v>25.664916999999999</v>
      </c>
      <c r="L34" s="998">
        <f>24588126/(10^6)</f>
        <v>24.588125999999999</v>
      </c>
      <c r="M34" s="998">
        <f>21396800/(10^6)</f>
        <v>21.396799999999999</v>
      </c>
      <c r="N34" s="998">
        <f>17945931/(10^6)</f>
        <v>17.945931000000002</v>
      </c>
      <c r="O34" s="845">
        <f t="shared" si="4"/>
        <v>112.198851797</v>
      </c>
      <c r="P34" s="1000">
        <f>112197004/(10^6)</f>
        <v>112.19700400000001</v>
      </c>
      <c r="Q34" s="845">
        <f>O34+N34*6</f>
        <v>219.87443779700001</v>
      </c>
      <c r="R34" s="1507">
        <f t="shared" si="2"/>
        <v>0.45806808086576978</v>
      </c>
      <c r="S34" s="845">
        <v>150</v>
      </c>
    </row>
    <row r="35" spans="1:21">
      <c r="A35" s="844">
        <v>30</v>
      </c>
      <c r="B35" s="997" t="s">
        <v>1997</v>
      </c>
      <c r="C35" s="844" t="s">
        <v>422</v>
      </c>
      <c r="D35" s="941" t="s">
        <v>421</v>
      </c>
      <c r="E35" s="941" t="s">
        <v>1990</v>
      </c>
      <c r="F35" s="844">
        <v>170000</v>
      </c>
      <c r="G35" s="844">
        <v>0</v>
      </c>
      <c r="H35" s="844">
        <f t="shared" si="5"/>
        <v>170000</v>
      </c>
      <c r="I35" s="998">
        <f>51714410/(10^6)</f>
        <v>51.714410000000001</v>
      </c>
      <c r="J35" s="998">
        <f>57959140/(10^6)</f>
        <v>57.959139999999998</v>
      </c>
      <c r="K35" s="998">
        <f>50801590/(10^6)</f>
        <v>50.801589999999997</v>
      </c>
      <c r="L35" s="998">
        <f>54173270/(10^6)</f>
        <v>54.173270000000002</v>
      </c>
      <c r="M35" s="998">
        <f>80709710/(10^6)</f>
        <v>80.709710000000001</v>
      </c>
      <c r="N35" s="998">
        <f>51050590/(10^6)</f>
        <v>51.05059</v>
      </c>
      <c r="O35" s="845">
        <f t="shared" si="4"/>
        <v>346.40870999999999</v>
      </c>
      <c r="P35" s="1000">
        <f>313904080/(10^6)</f>
        <v>313.90408000000002</v>
      </c>
      <c r="Q35" s="845">
        <f>O35+N35*6-100</f>
        <v>552.71225000000004</v>
      </c>
      <c r="R35" s="1507">
        <f t="shared" si="2"/>
        <v>0.37630191312636163</v>
      </c>
      <c r="S35" s="845">
        <v>550</v>
      </c>
    </row>
    <row r="36" spans="1:21">
      <c r="A36" s="844">
        <v>31</v>
      </c>
      <c r="B36" s="997" t="s">
        <v>1986</v>
      </c>
      <c r="C36" s="844" t="s">
        <v>423</v>
      </c>
      <c r="D36" s="941" t="s">
        <v>421</v>
      </c>
      <c r="E36" s="941" t="s">
        <v>453</v>
      </c>
      <c r="F36" s="844">
        <v>23000</v>
      </c>
      <c r="G36" s="844">
        <v>0</v>
      </c>
      <c r="H36" s="844">
        <f t="shared" si="5"/>
        <v>23000</v>
      </c>
      <c r="I36" s="998">
        <f>4215840/(10^6)</f>
        <v>4.21584</v>
      </c>
      <c r="J36" s="998">
        <f>6542880/(10^6)</f>
        <v>6.5428800000000003</v>
      </c>
      <c r="K36" s="998">
        <f>1115520/(10^6)</f>
        <v>1.1155200000000001</v>
      </c>
      <c r="L36" s="998">
        <f>561600/(10^6)</f>
        <v>0.56159999999999999</v>
      </c>
      <c r="M36" s="998">
        <f>581280.1/(10^6)</f>
        <v>0.58128009999999997</v>
      </c>
      <c r="N36" s="998">
        <f>489600/(10^6)</f>
        <v>0.48959999999999998</v>
      </c>
      <c r="O36" s="845">
        <f t="shared" si="4"/>
        <v>13.506720100000001</v>
      </c>
      <c r="P36" s="1000">
        <f>13504800/(10^6)</f>
        <v>13.504799999999999</v>
      </c>
      <c r="Q36" s="845">
        <f>O36+N36*6</f>
        <v>16.444320099999999</v>
      </c>
      <c r="R36" s="1507">
        <f t="shared" si="2"/>
        <v>8.2751208232689208E-2</v>
      </c>
      <c r="S36" s="845">
        <v>16</v>
      </c>
    </row>
    <row r="37" spans="1:21">
      <c r="A37" s="844">
        <v>32</v>
      </c>
      <c r="B37" s="997" t="s">
        <v>1993</v>
      </c>
      <c r="C37" s="844" t="s">
        <v>424</v>
      </c>
      <c r="D37" s="941" t="s">
        <v>2076</v>
      </c>
      <c r="E37" s="941" t="s">
        <v>1990</v>
      </c>
      <c r="F37" s="844">
        <v>40000</v>
      </c>
      <c r="G37" s="844">
        <v>0</v>
      </c>
      <c r="H37" s="844">
        <f t="shared" si="0"/>
        <v>40000</v>
      </c>
      <c r="I37" s="1000">
        <f>1383305/(10^6)</f>
        <v>1.383305</v>
      </c>
      <c r="J37" s="1000">
        <f>1333789/(10^6)</f>
        <v>1.3337889999999999</v>
      </c>
      <c r="K37" s="1000">
        <f>1461570/(10^6)</f>
        <v>1.46157</v>
      </c>
      <c r="L37" s="1000">
        <f>2059326/(10^6)</f>
        <v>2.059326</v>
      </c>
      <c r="M37" s="1000">
        <f>9630739.1/(10^6)</f>
        <v>9.6307390999999996</v>
      </c>
      <c r="N37" s="1000">
        <f>1922457.1/(10^6)</f>
        <v>1.9224571000000001</v>
      </c>
      <c r="O37" s="845">
        <f t="shared" si="1"/>
        <v>17.791186199999999</v>
      </c>
      <c r="P37" s="1000">
        <f>17789140/(10^6)</f>
        <v>17.78914</v>
      </c>
      <c r="Q37" s="845">
        <f>O37+N37*6</f>
        <v>29.3259288</v>
      </c>
      <c r="R37" s="1507">
        <f t="shared" si="2"/>
        <v>8.4855118055555553E-2</v>
      </c>
      <c r="S37" s="845">
        <v>30</v>
      </c>
    </row>
    <row r="38" spans="1:21">
      <c r="A38" s="844">
        <v>33</v>
      </c>
      <c r="B38" s="997" t="s">
        <v>1983</v>
      </c>
      <c r="C38" s="844" t="s">
        <v>425</v>
      </c>
      <c r="D38" s="941" t="s">
        <v>2076</v>
      </c>
      <c r="E38" s="941" t="s">
        <v>1990</v>
      </c>
      <c r="F38" s="844">
        <v>200000</v>
      </c>
      <c r="G38" s="844">
        <v>0</v>
      </c>
      <c r="H38" s="844">
        <f t="shared" si="0"/>
        <v>200000</v>
      </c>
      <c r="I38" s="1000">
        <f>17461000.1/(10^6)</f>
        <v>17.461000100000003</v>
      </c>
      <c r="J38" s="1000">
        <f>14829000.1/(10^6)</f>
        <v>14.8290001</v>
      </c>
      <c r="K38" s="1000">
        <f>18796000.1/(10^6)</f>
        <v>18.796000100000001</v>
      </c>
      <c r="L38" s="1000">
        <f>40804000.2/(10^6)</f>
        <v>40.804000200000004</v>
      </c>
      <c r="M38" s="1000">
        <f>45290000.01/(10^6)</f>
        <v>45.29000001</v>
      </c>
      <c r="N38" s="1000">
        <f>69552000.1/(10^6)</f>
        <v>69.552000100000001</v>
      </c>
      <c r="O38" s="845">
        <f t="shared" si="1"/>
        <v>206.73200061</v>
      </c>
      <c r="P38" s="1000">
        <f>202914000/(10^6)</f>
        <v>202.91399999999999</v>
      </c>
      <c r="Q38" s="845">
        <f>O38+N38*6-220</f>
        <v>404.04400121000003</v>
      </c>
      <c r="R38" s="1507">
        <f t="shared" si="2"/>
        <v>0.23382175995949075</v>
      </c>
      <c r="S38" s="845">
        <v>450</v>
      </c>
    </row>
    <row r="39" spans="1:21">
      <c r="A39" s="844">
        <v>34</v>
      </c>
      <c r="B39" s="997" t="s">
        <v>1983</v>
      </c>
      <c r="C39" s="844" t="s">
        <v>426</v>
      </c>
      <c r="D39" s="941" t="s">
        <v>2076</v>
      </c>
      <c r="E39" s="941" t="s">
        <v>1990</v>
      </c>
      <c r="F39" s="844">
        <v>66667</v>
      </c>
      <c r="G39" s="844">
        <v>0</v>
      </c>
      <c r="H39" s="844">
        <f t="shared" si="0"/>
        <v>66667</v>
      </c>
      <c r="I39" s="1000">
        <f>463994/(10^6)</f>
        <v>0.46399400000000002</v>
      </c>
      <c r="J39" s="1000">
        <f>4840063/(10^6)</f>
        <v>4.8400629999999998</v>
      </c>
      <c r="K39" s="1000">
        <f>25147260/(10^6)</f>
        <v>25.147259999999999</v>
      </c>
      <c r="L39" s="1000">
        <f>17703758/(10^6)</f>
        <v>17.703758000000001</v>
      </c>
      <c r="M39" s="1000">
        <f>9170267.9/(10^6)</f>
        <v>9.1702679000000007</v>
      </c>
      <c r="N39" s="1000">
        <f>17058709/(10^6)</f>
        <v>17.058709</v>
      </c>
      <c r="O39" s="845">
        <f t="shared" si="1"/>
        <v>74.384051900000003</v>
      </c>
      <c r="P39" s="1000">
        <f>74129694.1/(10^6)</f>
        <v>74.129694099999995</v>
      </c>
      <c r="Q39" s="845">
        <f>O39+N39*6</f>
        <v>176.73630589999999</v>
      </c>
      <c r="R39" s="1507">
        <f t="shared" si="2"/>
        <v>0.30683233024807094</v>
      </c>
      <c r="S39" s="845">
        <v>180</v>
      </c>
    </row>
    <row r="40" spans="1:21">
      <c r="A40" s="844">
        <v>35</v>
      </c>
      <c r="B40" s="997" t="s">
        <v>1983</v>
      </c>
      <c r="C40" s="844" t="s">
        <v>1994</v>
      </c>
      <c r="D40" s="941" t="s">
        <v>2076</v>
      </c>
      <c r="E40" s="941" t="s">
        <v>1996</v>
      </c>
      <c r="F40" s="844">
        <v>100000</v>
      </c>
      <c r="G40" s="844">
        <v>100000</v>
      </c>
      <c r="H40" s="844">
        <f t="shared" si="0"/>
        <v>200000</v>
      </c>
      <c r="I40" s="1000">
        <f>30518379.1/(10^6)</f>
        <v>30.518379100000001</v>
      </c>
      <c r="J40" s="1000">
        <f>73463869.1/(10^6)</f>
        <v>73.463869099999997</v>
      </c>
      <c r="K40" s="1000">
        <f>94955886/(10^6)</f>
        <v>94.955886000000007</v>
      </c>
      <c r="L40" s="1000">
        <f>114395408.1/(10^6)</f>
        <v>114.3954081</v>
      </c>
      <c r="M40" s="1000">
        <f>182203697/(10^6)</f>
        <v>182.20369700000001</v>
      </c>
      <c r="N40" s="1000">
        <f>231312874.99/(10^6)</f>
        <v>231.31287499000001</v>
      </c>
      <c r="O40" s="845">
        <f t="shared" si="1"/>
        <v>726.85011428999996</v>
      </c>
      <c r="P40" s="1000">
        <f>703527816.99/(10^6)</f>
        <v>703.52781699000002</v>
      </c>
      <c r="Q40" s="845">
        <f>O40+N40*6+200</f>
        <v>2314.7273642300001</v>
      </c>
      <c r="R40" s="1507">
        <f t="shared" si="2"/>
        <v>2.679082597488426</v>
      </c>
      <c r="S40" s="845">
        <v>2255.5</v>
      </c>
    </row>
    <row r="41" spans="1:21">
      <c r="A41" s="844">
        <v>36</v>
      </c>
      <c r="B41" s="997" t="s">
        <v>1983</v>
      </c>
      <c r="C41" s="844" t="s">
        <v>2077</v>
      </c>
      <c r="D41" s="941" t="s">
        <v>2076</v>
      </c>
      <c r="E41" s="941" t="s">
        <v>1990</v>
      </c>
      <c r="F41" s="844">
        <v>5000</v>
      </c>
      <c r="G41" s="844">
        <v>7500</v>
      </c>
      <c r="H41" s="844">
        <f t="shared" si="0"/>
        <v>12500</v>
      </c>
      <c r="I41" s="1000">
        <f>11106672.87/(10^6)</f>
        <v>11.106672869999999</v>
      </c>
      <c r="J41" s="1000">
        <f>8547860/(10^6)</f>
        <v>8.54786</v>
      </c>
      <c r="K41" s="1000">
        <f>40104/(10^6)</f>
        <v>4.0104000000000001E-2</v>
      </c>
      <c r="L41" s="1000">
        <f>436103.5/(10^6)</f>
        <v>0.43610349999999998</v>
      </c>
      <c r="M41" s="1000">
        <f>14009/(10^6)</f>
        <v>1.4009000000000001E-2</v>
      </c>
      <c r="N41" s="1000">
        <f>356614/(10^6)</f>
        <v>0.35661399999999999</v>
      </c>
      <c r="O41" s="845">
        <f t="shared" si="1"/>
        <v>20.50136337</v>
      </c>
      <c r="P41" s="1000">
        <f>20489545.15/(10^6)</f>
        <v>20.489545149999998</v>
      </c>
      <c r="Q41" s="845">
        <f t="shared" si="3"/>
        <v>22.641047369999999</v>
      </c>
      <c r="R41" s="1507">
        <f t="shared" si="2"/>
        <v>0.5240983187499999</v>
      </c>
      <c r="S41" s="845">
        <v>10</v>
      </c>
    </row>
    <row r="42" spans="1:21">
      <c r="A42" s="844">
        <v>37</v>
      </c>
      <c r="B42" s="997" t="s">
        <v>1991</v>
      </c>
      <c r="C42" s="844" t="s">
        <v>429</v>
      </c>
      <c r="D42" s="941" t="s">
        <v>2076</v>
      </c>
      <c r="E42" s="941" t="s">
        <v>453</v>
      </c>
      <c r="F42" s="844">
        <v>3000</v>
      </c>
      <c r="G42" s="844">
        <v>0</v>
      </c>
      <c r="H42" s="844">
        <f t="shared" si="0"/>
        <v>3000</v>
      </c>
      <c r="I42" s="1000">
        <f>355600/(10^6)</f>
        <v>0.35560000000000003</v>
      </c>
      <c r="J42" s="1000">
        <f>1916900/(10^6)</f>
        <v>1.9169</v>
      </c>
      <c r="K42" s="1000">
        <f>2021200/(10^6)</f>
        <v>2.0211999999999999</v>
      </c>
      <c r="L42" s="1000">
        <f>1600/(10^6)</f>
        <v>1.6000000000000001E-3</v>
      </c>
      <c r="M42" s="1000">
        <f>2664300/(10^6)</f>
        <v>2.6642999999999999</v>
      </c>
      <c r="N42" s="1000">
        <f>889900/(10^6)</f>
        <v>0.88990000000000002</v>
      </c>
      <c r="O42" s="845">
        <f t="shared" si="1"/>
        <v>7.849499999999999</v>
      </c>
      <c r="P42" s="1000">
        <f>6435500/(10^6)</f>
        <v>6.4355000000000002</v>
      </c>
      <c r="Q42" s="845">
        <f>O42+N42*6</f>
        <v>13.1889</v>
      </c>
      <c r="R42" s="1507">
        <f t="shared" si="2"/>
        <v>0.50883101851851853</v>
      </c>
      <c r="S42" s="845">
        <v>15</v>
      </c>
    </row>
    <row r="43" spans="1:21">
      <c r="A43" s="844">
        <v>38</v>
      </c>
      <c r="B43" s="997" t="s">
        <v>1988</v>
      </c>
      <c r="C43" s="844" t="s">
        <v>427</v>
      </c>
      <c r="D43" s="941" t="s">
        <v>428</v>
      </c>
      <c r="E43" s="844" t="s">
        <v>453</v>
      </c>
      <c r="F43" s="844">
        <v>5000</v>
      </c>
      <c r="G43" s="844">
        <v>0</v>
      </c>
      <c r="H43" s="844">
        <f t="shared" si="0"/>
        <v>5000</v>
      </c>
      <c r="I43" s="1000">
        <f>584040/(10^6)</f>
        <v>0.58404</v>
      </c>
      <c r="J43" s="1000">
        <f>606840/(10^6)</f>
        <v>0.60684000000000005</v>
      </c>
      <c r="K43" s="1000">
        <f>595680/(10^6)</f>
        <v>0.59567999999999999</v>
      </c>
      <c r="L43" s="1000">
        <f>823020/(10^6)</f>
        <v>0.82301999999999997</v>
      </c>
      <c r="M43" s="1000">
        <f>717180/(10^6)</f>
        <v>0.71718000000000004</v>
      </c>
      <c r="N43" s="1000">
        <f>564540/(10^6)</f>
        <v>0.56454000000000004</v>
      </c>
      <c r="O43" s="845">
        <f t="shared" si="1"/>
        <v>3.8912999999999998</v>
      </c>
      <c r="P43" s="1000">
        <f>3860340/(10^6)</f>
        <v>3.8603399999999999</v>
      </c>
      <c r="Q43" s="845">
        <f>O43+N43*6</f>
        <v>7.2785399999999996</v>
      </c>
      <c r="R43" s="1507">
        <f t="shared" si="2"/>
        <v>0.16848472222222222</v>
      </c>
      <c r="S43" s="845">
        <v>7</v>
      </c>
      <c r="U43" s="837">
        <f>P43/O43</f>
        <v>0.99204378999306153</v>
      </c>
    </row>
    <row r="44" spans="1:21">
      <c r="A44" s="844">
        <v>39</v>
      </c>
      <c r="B44" s="997" t="s">
        <v>1998</v>
      </c>
      <c r="C44" s="844" t="s">
        <v>438</v>
      </c>
      <c r="D44" s="941" t="s">
        <v>1999</v>
      </c>
      <c r="E44" s="844" t="s">
        <v>453</v>
      </c>
      <c r="F44" s="844">
        <v>13500</v>
      </c>
      <c r="G44" s="844">
        <v>0</v>
      </c>
      <c r="H44" s="844">
        <f t="shared" si="0"/>
        <v>13500</v>
      </c>
      <c r="I44" s="1000">
        <f>25803.53/(10^6)</f>
        <v>2.5803529999999998E-2</v>
      </c>
      <c r="J44" s="1000">
        <f>25900/(10^6)</f>
        <v>2.5899999999999999E-2</v>
      </c>
      <c r="K44" s="1000">
        <f>27400/(10^6)</f>
        <v>2.7400000000000001E-2</v>
      </c>
      <c r="L44" s="1000">
        <f>28700/(10^6)</f>
        <v>2.87E-2</v>
      </c>
      <c r="M44" s="1000">
        <f>1796925.25/(10^6)</f>
        <v>1.7969252499999999</v>
      </c>
      <c r="N44" s="1000">
        <f>2240277.76/(10^6)</f>
        <v>2.2402777599999997</v>
      </c>
      <c r="O44" s="845">
        <f t="shared" si="1"/>
        <v>4.1450065399999998</v>
      </c>
      <c r="P44" s="1000">
        <f>4141600/(10^6)</f>
        <v>4.1416000000000004</v>
      </c>
      <c r="Q44" s="845">
        <f>O44+N44*6-10</f>
        <v>7.5866730999999987</v>
      </c>
      <c r="R44" s="1507">
        <f t="shared" si="2"/>
        <v>6.5043493655692716E-2</v>
      </c>
      <c r="S44" s="845">
        <v>9.5</v>
      </c>
    </row>
    <row r="45" spans="1:21">
      <c r="A45" s="844">
        <v>40</v>
      </c>
      <c r="B45" s="997" t="s">
        <v>1991</v>
      </c>
      <c r="C45" s="844" t="s">
        <v>430</v>
      </c>
      <c r="D45" s="941" t="s">
        <v>2013</v>
      </c>
      <c r="E45" s="1001" t="s">
        <v>453</v>
      </c>
      <c r="F45" s="844">
        <v>5000</v>
      </c>
      <c r="G45" s="844">
        <v>0</v>
      </c>
      <c r="H45" s="844">
        <f>F45+G45</f>
        <v>5000</v>
      </c>
      <c r="I45" s="1000">
        <f>8500/(10^6)</f>
        <v>8.5000000000000006E-3</v>
      </c>
      <c r="J45" s="1000">
        <f>0/(10^6)</f>
        <v>0</v>
      </c>
      <c r="K45" s="1000">
        <f>103000/(10^6)</f>
        <v>0.10299999999999999</v>
      </c>
      <c r="L45" s="1000">
        <f>71100/(10^6)</f>
        <v>7.1099999999999997E-2</v>
      </c>
      <c r="M45" s="1000">
        <f>282600/(10^6)</f>
        <v>0.28260000000000002</v>
      </c>
      <c r="N45" s="1000">
        <f>219500/(10^6)</f>
        <v>0.2195</v>
      </c>
      <c r="O45" s="845">
        <f t="shared" ref="O45" si="9">SUM(I45:N45)</f>
        <v>0.68469999999999998</v>
      </c>
      <c r="P45" s="1000">
        <f>652000/(10^6)</f>
        <v>0.65200000000000002</v>
      </c>
      <c r="Q45" s="845">
        <f t="shared" si="3"/>
        <v>2.0017</v>
      </c>
      <c r="R45" s="1507">
        <f t="shared" si="2"/>
        <v>4.6335648148148147E-2</v>
      </c>
      <c r="S45" s="845">
        <v>2</v>
      </c>
      <c r="U45" s="837">
        <f>P45/O45</f>
        <v>0.95224185774791892</v>
      </c>
    </row>
    <row r="46" spans="1:21" ht="30">
      <c r="A46" s="844">
        <v>41</v>
      </c>
      <c r="B46" s="844"/>
      <c r="C46" s="1002" t="s">
        <v>2078</v>
      </c>
      <c r="D46" s="941"/>
      <c r="E46" s="941"/>
      <c r="F46" s="844"/>
      <c r="G46" s="844"/>
      <c r="H46" s="844"/>
      <c r="I46" s="845"/>
      <c r="J46" s="845"/>
      <c r="K46" s="845"/>
      <c r="L46" s="845"/>
      <c r="M46" s="845"/>
      <c r="O46" s="845"/>
      <c r="P46" s="845">
        <f>815-304</f>
        <v>511</v>
      </c>
      <c r="Q46" s="845">
        <v>2100</v>
      </c>
      <c r="R46" s="686"/>
      <c r="S46" s="845">
        <v>2000</v>
      </c>
    </row>
    <row r="47" spans="1:21" s="843" customFormat="1">
      <c r="A47" s="844"/>
      <c r="B47" s="840" t="s">
        <v>2015</v>
      </c>
      <c r="C47" s="840"/>
      <c r="D47" s="940"/>
      <c r="E47" s="940"/>
      <c r="F47" s="840"/>
      <c r="G47" s="840"/>
      <c r="H47" s="840"/>
      <c r="I47" s="841"/>
      <c r="J47" s="841"/>
      <c r="K47" s="841"/>
      <c r="L47" s="841"/>
      <c r="M47" s="841"/>
      <c r="N47" s="841"/>
      <c r="O47" s="841"/>
      <c r="P47" s="841"/>
      <c r="Q47" s="842"/>
      <c r="R47" s="842"/>
      <c r="S47" s="845"/>
    </row>
    <row r="48" spans="1:21">
      <c r="A48" s="1014">
        <v>1</v>
      </c>
      <c r="B48" s="1014">
        <v>4130</v>
      </c>
      <c r="C48" s="1014" t="s">
        <v>1995</v>
      </c>
      <c r="D48" s="1015" t="s">
        <v>2076</v>
      </c>
      <c r="E48" s="1016" t="s">
        <v>453</v>
      </c>
      <c r="F48" s="1014"/>
      <c r="G48" s="1014">
        <v>3334</v>
      </c>
      <c r="H48" s="1014">
        <f t="shared" ref="H48" si="10">F48+G48</f>
        <v>3334</v>
      </c>
      <c r="I48" s="1014"/>
      <c r="J48" s="1014"/>
      <c r="K48" s="1014"/>
      <c r="L48" s="1014"/>
      <c r="M48" s="1014"/>
      <c r="N48" s="1003">
        <f>37650/(10^6)</f>
        <v>3.7650000000000003E-2</v>
      </c>
      <c r="O48" s="1017">
        <f t="shared" ref="O48" si="11">SUM(I48:N48)</f>
        <v>3.7650000000000003E-2</v>
      </c>
      <c r="P48" s="1003">
        <f>35140/(10^6)</f>
        <v>3.5139999999999998E-2</v>
      </c>
      <c r="Q48" s="1017">
        <f>O48+N48*6</f>
        <v>0.26355000000000001</v>
      </c>
      <c r="R48" s="1254">
        <v>0.15</v>
      </c>
      <c r="S48" s="1017">
        <v>1</v>
      </c>
    </row>
    <row r="49" spans="1:19">
      <c r="A49" s="844">
        <v>2</v>
      </c>
      <c r="B49" s="844"/>
      <c r="C49" s="844" t="s">
        <v>2105</v>
      </c>
      <c r="D49" s="941" t="s">
        <v>408</v>
      </c>
      <c r="E49" s="1016" t="s">
        <v>453</v>
      </c>
      <c r="F49" s="844"/>
      <c r="G49" s="844"/>
      <c r="H49" s="844">
        <v>60000</v>
      </c>
      <c r="I49" s="844"/>
      <c r="J49" s="844"/>
      <c r="K49" s="844"/>
      <c r="L49" s="844"/>
      <c r="M49" s="844"/>
      <c r="N49" s="1000"/>
      <c r="O49" s="845"/>
      <c r="P49" s="1000"/>
      <c r="Q49" s="845"/>
      <c r="R49" s="1255"/>
      <c r="S49" s="1256">
        <f>ROUND((H49*24*30*6*0.2)/1000000,2)</f>
        <v>51.84</v>
      </c>
    </row>
    <row r="50" spans="1:19">
      <c r="A50" s="844">
        <v>3</v>
      </c>
      <c r="B50" s="844"/>
      <c r="C50" s="844" t="s">
        <v>2106</v>
      </c>
      <c r="D50" s="941" t="s">
        <v>408</v>
      </c>
      <c r="E50" s="1016" t="s">
        <v>453</v>
      </c>
      <c r="F50" s="844"/>
      <c r="G50" s="844"/>
      <c r="H50" s="844">
        <v>23000</v>
      </c>
      <c r="I50" s="844"/>
      <c r="J50" s="844"/>
      <c r="K50" s="844"/>
      <c r="L50" s="844"/>
      <c r="M50" s="844"/>
      <c r="N50" s="1000"/>
      <c r="O50" s="845"/>
      <c r="P50" s="1000"/>
      <c r="Q50" s="845"/>
      <c r="R50" s="1255"/>
      <c r="S50" s="1256">
        <f t="shared" ref="S50:S52" si="12">ROUND((H50*24*30*6*0.2)/1000000,2)</f>
        <v>19.87</v>
      </c>
    </row>
    <row r="51" spans="1:19">
      <c r="A51" s="844">
        <v>4</v>
      </c>
      <c r="B51" s="844"/>
      <c r="C51" s="844" t="s">
        <v>2107</v>
      </c>
      <c r="D51" s="941" t="s">
        <v>408</v>
      </c>
      <c r="E51" s="1016" t="s">
        <v>453</v>
      </c>
      <c r="F51" s="844"/>
      <c r="G51" s="844"/>
      <c r="H51" s="844">
        <v>20000</v>
      </c>
      <c r="I51" s="844"/>
      <c r="J51" s="844"/>
      <c r="K51" s="844"/>
      <c r="L51" s="844"/>
      <c r="M51" s="844"/>
      <c r="N51" s="1000"/>
      <c r="O51" s="845"/>
      <c r="P51" s="1000"/>
      <c r="Q51" s="845"/>
      <c r="R51" s="1255"/>
      <c r="S51" s="1256">
        <f t="shared" si="12"/>
        <v>17.28</v>
      </c>
    </row>
    <row r="52" spans="1:19">
      <c r="A52" s="844">
        <v>5</v>
      </c>
      <c r="B52" s="844"/>
      <c r="C52" s="844" t="s">
        <v>2108</v>
      </c>
      <c r="D52" s="941" t="s">
        <v>408</v>
      </c>
      <c r="E52" s="1016" t="s">
        <v>453</v>
      </c>
      <c r="F52" s="844"/>
      <c r="G52" s="844"/>
      <c r="H52" s="844">
        <v>20000</v>
      </c>
      <c r="I52" s="844"/>
      <c r="J52" s="844"/>
      <c r="K52" s="844"/>
      <c r="L52" s="844"/>
      <c r="M52" s="844"/>
      <c r="N52" s="1000"/>
      <c r="O52" s="845"/>
      <c r="P52" s="1000"/>
      <c r="Q52" s="845"/>
      <c r="R52" s="1255"/>
      <c r="S52" s="1256">
        <f t="shared" si="12"/>
        <v>17.28</v>
      </c>
    </row>
    <row r="53" spans="1:19" s="848" customFormat="1">
      <c r="A53" s="844"/>
      <c r="B53" s="1005"/>
      <c r="C53" s="1005"/>
      <c r="D53" s="1006" t="s">
        <v>432</v>
      </c>
      <c r="E53" s="1006"/>
      <c r="F53" s="1005">
        <f>SUM(F6:F48)</f>
        <v>1048473</v>
      </c>
      <c r="G53" s="1005">
        <f>SUM(G6:G48)</f>
        <v>131834</v>
      </c>
      <c r="H53" s="1005">
        <f>SUM(H6:H52)</f>
        <v>1303307</v>
      </c>
      <c r="I53" s="847">
        <f t="shared" ref="I53:Q53" si="13">SUM(I6:I48)</f>
        <v>213.99577024069006</v>
      </c>
      <c r="J53" s="847">
        <f t="shared" si="13"/>
        <v>293.93554835029994</v>
      </c>
      <c r="K53" s="847">
        <f t="shared" si="13"/>
        <v>337.90817576929999</v>
      </c>
      <c r="L53" s="847">
        <f t="shared" si="13"/>
        <v>377.39841588000002</v>
      </c>
      <c r="M53" s="847">
        <f t="shared" si="13"/>
        <v>473.78545821000006</v>
      </c>
      <c r="N53" s="847">
        <f t="shared" si="13"/>
        <v>517.02714120000007</v>
      </c>
      <c r="O53" s="847">
        <f t="shared" si="13"/>
        <v>2214.0505096502898</v>
      </c>
      <c r="P53" s="847">
        <f t="shared" si="13"/>
        <v>2641.6323602000002</v>
      </c>
      <c r="Q53" s="847">
        <f t="shared" si="13"/>
        <v>7277.6260068502888</v>
      </c>
      <c r="R53" s="847"/>
      <c r="S53" s="847">
        <f>SUM(S6:S52)</f>
        <v>7152.2699999999995</v>
      </c>
    </row>
    <row r="54" spans="1:19" s="848" customFormat="1">
      <c r="A54" s="844" t="s">
        <v>2439</v>
      </c>
      <c r="B54" s="1005"/>
      <c r="C54" s="1005"/>
      <c r="D54" s="1006"/>
      <c r="E54" s="1006"/>
      <c r="F54" s="1005"/>
      <c r="G54" s="1005"/>
      <c r="H54" s="1005"/>
      <c r="I54" s="847"/>
      <c r="J54" s="847"/>
      <c r="K54" s="847"/>
      <c r="L54" s="847"/>
      <c r="M54" s="847"/>
      <c r="N54" s="847"/>
      <c r="O54" s="847"/>
      <c r="P54" s="847"/>
      <c r="Q54" s="847"/>
      <c r="R54" s="847"/>
      <c r="S54" s="847"/>
    </row>
    <row r="55" spans="1:19" s="843" customFormat="1">
      <c r="A55" s="844"/>
      <c r="B55" s="840" t="s">
        <v>2016</v>
      </c>
      <c r="C55" s="840"/>
      <c r="D55" s="940"/>
      <c r="E55" s="940"/>
      <c r="F55" s="1012"/>
      <c r="G55" s="1007"/>
      <c r="H55" s="1007"/>
      <c r="I55" s="1008"/>
      <c r="J55" s="1008"/>
      <c r="K55" s="1008"/>
      <c r="L55" s="1008"/>
      <c r="M55" s="1008"/>
      <c r="N55" s="1008"/>
      <c r="O55" s="1009"/>
      <c r="P55" s="1008"/>
      <c r="Q55" s="842"/>
      <c r="R55" s="842"/>
      <c r="S55" s="841"/>
    </row>
    <row r="56" spans="1:19">
      <c r="A56" s="1004"/>
      <c r="B56" s="997" t="s">
        <v>1993</v>
      </c>
      <c r="C56" s="844" t="s">
        <v>433</v>
      </c>
      <c r="D56" s="941" t="s">
        <v>434</v>
      </c>
      <c r="E56" s="1001" t="s">
        <v>435</v>
      </c>
      <c r="F56" s="846">
        <v>1400</v>
      </c>
      <c r="G56" s="844">
        <v>0</v>
      </c>
      <c r="H56" s="846">
        <f>F56+G56</f>
        <v>1400</v>
      </c>
      <c r="I56" s="1000">
        <f>236865.58/(10^6)</f>
        <v>0.23686557999999999</v>
      </c>
      <c r="J56" s="1000">
        <f>418531.75/(10^6)</f>
        <v>0.41853174999999998</v>
      </c>
      <c r="K56" s="1000">
        <f>471806.79/(10^6)</f>
        <v>0.47180678999999998</v>
      </c>
      <c r="L56" s="1000">
        <f>435537.69/(10^6)</f>
        <v>0.43553768999999998</v>
      </c>
      <c r="M56" s="1000">
        <f>356733.45/(10^6)</f>
        <v>0.35673345000000001</v>
      </c>
      <c r="N56" s="1000">
        <f>303153.67/(10^6)</f>
        <v>0.30315366999999999</v>
      </c>
      <c r="O56" s="845">
        <f>SUM(I56:N56)</f>
        <v>2.2226289299999999</v>
      </c>
      <c r="P56" s="998">
        <f>2203740/(10^6)</f>
        <v>2.2037399999999998</v>
      </c>
      <c r="Q56" s="845">
        <f t="shared" ref="Q56:Q119" si="14">O56+N56*6</f>
        <v>4.0415509499999995</v>
      </c>
      <c r="R56" s="849">
        <f t="shared" ref="R56:R119" si="15">Q56/((F56*24*30*12*0.9)/1000000)</f>
        <v>0.37124769896384474</v>
      </c>
      <c r="S56" s="845">
        <f>ROUNDUP(Q56*1.03,0)</f>
        <v>5</v>
      </c>
    </row>
    <row r="57" spans="1:19">
      <c r="A57" s="840" t="s">
        <v>404</v>
      </c>
      <c r="B57" s="997" t="s">
        <v>1986</v>
      </c>
      <c r="C57" s="844" t="s">
        <v>436</v>
      </c>
      <c r="D57" s="941" t="s">
        <v>434</v>
      </c>
      <c r="E57" s="1001" t="s">
        <v>437</v>
      </c>
      <c r="F57" s="846">
        <v>1500</v>
      </c>
      <c r="G57" s="844">
        <v>0</v>
      </c>
      <c r="H57" s="846">
        <f>F57+G57</f>
        <v>1500</v>
      </c>
      <c r="I57" s="1000">
        <f>328960/(10^6)</f>
        <v>0.32895999999999997</v>
      </c>
      <c r="J57" s="1000">
        <f>340980/(10^6)</f>
        <v>0.34098000000000001</v>
      </c>
      <c r="K57" s="1000">
        <f>338480/(10^6)</f>
        <v>0.33848</v>
      </c>
      <c r="L57" s="1000">
        <f>369040/(10^6)</f>
        <v>0.36903999999999998</v>
      </c>
      <c r="M57" s="1000">
        <f>355560/(10^6)</f>
        <v>0.35555999999999999</v>
      </c>
      <c r="N57" s="1000">
        <f>337740/(10^6)</f>
        <v>0.33773999999999998</v>
      </c>
      <c r="O57" s="845">
        <f t="shared" ref="O57:O119" si="16">SUM(I57:N57)</f>
        <v>2.0707600000000004</v>
      </c>
      <c r="P57" s="998">
        <f>1993080/(10^6)</f>
        <v>1.99308</v>
      </c>
      <c r="Q57" s="845">
        <f t="shared" si="14"/>
        <v>4.0972000000000008</v>
      </c>
      <c r="R57" s="849">
        <f t="shared" si="15"/>
        <v>0.35126886145404673</v>
      </c>
      <c r="S57" s="845">
        <f t="shared" ref="S57:S120" si="17">ROUNDUP(Q57*1.03,0)</f>
        <v>5</v>
      </c>
    </row>
    <row r="58" spans="1:19" ht="16.5" customHeight="1">
      <c r="A58" s="844">
        <v>1</v>
      </c>
      <c r="B58" s="997" t="s">
        <v>1997</v>
      </c>
      <c r="C58" s="844" t="s">
        <v>454</v>
      </c>
      <c r="D58" s="941" t="s">
        <v>455</v>
      </c>
      <c r="E58" s="941" t="s">
        <v>437</v>
      </c>
      <c r="F58" s="846">
        <v>3500</v>
      </c>
      <c r="G58" s="844">
        <v>0</v>
      </c>
      <c r="H58" s="846">
        <f t="shared" ref="H58:H121" si="18">F58+G58</f>
        <v>3500</v>
      </c>
      <c r="I58" s="1000">
        <f>784845/(10^6)</f>
        <v>0.78484500000000001</v>
      </c>
      <c r="J58" s="1000">
        <f>1221863/(10^6)</f>
        <v>1.2218629999999999</v>
      </c>
      <c r="K58" s="1000">
        <f>1109858/(10^6)</f>
        <v>1.109858</v>
      </c>
      <c r="L58" s="1000">
        <f>1041615/(10^6)</f>
        <v>1.041615</v>
      </c>
      <c r="M58" s="1000">
        <f>1004737/(10^6)</f>
        <v>1.004737</v>
      </c>
      <c r="N58" s="1000">
        <f>1042943/(10^6)</f>
        <v>1.042943</v>
      </c>
      <c r="O58" s="845">
        <f t="shared" si="16"/>
        <v>6.2058609999999996</v>
      </c>
      <c r="P58" s="1000">
        <f>6166642/(10^6)</f>
        <v>6.1666420000000004</v>
      </c>
      <c r="Q58" s="845">
        <f t="shared" si="14"/>
        <v>12.463518999999998</v>
      </c>
      <c r="R58" s="849">
        <f t="shared" si="15"/>
        <v>0.45794822898295112</v>
      </c>
      <c r="S58" s="845">
        <f t="shared" si="17"/>
        <v>13</v>
      </c>
    </row>
    <row r="59" spans="1:19" ht="16.5" customHeight="1">
      <c r="A59" s="844">
        <v>2</v>
      </c>
      <c r="B59" s="997" t="s">
        <v>1985</v>
      </c>
      <c r="C59" s="844" t="s">
        <v>456</v>
      </c>
      <c r="D59" s="941" t="s">
        <v>455</v>
      </c>
      <c r="E59" s="941" t="s">
        <v>437</v>
      </c>
      <c r="F59" s="846">
        <v>4800</v>
      </c>
      <c r="G59" s="844">
        <v>0</v>
      </c>
      <c r="H59" s="846">
        <f t="shared" si="18"/>
        <v>4800</v>
      </c>
      <c r="I59" s="1000">
        <f>87450/(10^6)</f>
        <v>8.745E-2</v>
      </c>
      <c r="J59" s="1000">
        <f>102780/(10^6)</f>
        <v>0.10278</v>
      </c>
      <c r="K59" s="1000">
        <f>124290/(10^6)</f>
        <v>0.12429</v>
      </c>
      <c r="L59" s="1000">
        <f>160470/(10^6)</f>
        <v>0.16047</v>
      </c>
      <c r="M59" s="1000">
        <f>164850/(10^6)</f>
        <v>0.16485</v>
      </c>
      <c r="N59" s="1000">
        <f>157320/(10^6)</f>
        <v>0.15731999999999999</v>
      </c>
      <c r="O59" s="845">
        <f t="shared" si="16"/>
        <v>0.79715999999999998</v>
      </c>
      <c r="P59" s="1000">
        <f>797130/(10^6)</f>
        <v>0.79713000000000001</v>
      </c>
      <c r="Q59" s="845">
        <f t="shared" si="14"/>
        <v>1.7410799999999997</v>
      </c>
      <c r="R59" s="849">
        <f t="shared" si="15"/>
        <v>4.664673353909464E-2</v>
      </c>
      <c r="S59" s="845">
        <f t="shared" si="17"/>
        <v>2</v>
      </c>
    </row>
    <row r="60" spans="1:19" ht="16.5" customHeight="1">
      <c r="A60" s="844">
        <v>3</v>
      </c>
      <c r="B60" s="997" t="s">
        <v>2002</v>
      </c>
      <c r="C60" s="844" t="s">
        <v>457</v>
      </c>
      <c r="D60" s="941" t="s">
        <v>455</v>
      </c>
      <c r="E60" s="941" t="s">
        <v>437</v>
      </c>
      <c r="F60" s="846">
        <v>1504</v>
      </c>
      <c r="G60" s="844">
        <v>0</v>
      </c>
      <c r="H60" s="846">
        <f t="shared" si="18"/>
        <v>1504</v>
      </c>
      <c r="I60" s="1000">
        <f>71579.25/(10^6)</f>
        <v>7.1579249999999997E-2</v>
      </c>
      <c r="J60" s="1000">
        <f>112590/(10^6)</f>
        <v>0.11259</v>
      </c>
      <c r="K60" s="1000">
        <f>120771/(10^6)</f>
        <v>0.120771</v>
      </c>
      <c r="L60" s="1000">
        <f>101529/(10^6)</f>
        <v>0.10152899999999999</v>
      </c>
      <c r="M60" s="1000">
        <f>109755/(10^6)</f>
        <v>0.10975500000000001</v>
      </c>
      <c r="N60" s="1000">
        <f>92817/(10^6)</f>
        <v>9.2816999999999997E-2</v>
      </c>
      <c r="O60" s="845">
        <f t="shared" si="16"/>
        <v>0.60904125000000009</v>
      </c>
      <c r="P60" s="1000">
        <f>607583.25/(10^6)</f>
        <v>0.60758325000000002</v>
      </c>
      <c r="Q60" s="845">
        <f t="shared" si="14"/>
        <v>1.1659432500000002</v>
      </c>
      <c r="R60" s="849">
        <f t="shared" si="15"/>
        <v>9.9694987748719474E-2</v>
      </c>
      <c r="S60" s="845">
        <f t="shared" si="17"/>
        <v>2</v>
      </c>
    </row>
    <row r="61" spans="1:19" ht="16.5" customHeight="1">
      <c r="A61" s="844">
        <v>4</v>
      </c>
      <c r="B61" s="997" t="s">
        <v>1983</v>
      </c>
      <c r="C61" s="844" t="s">
        <v>458</v>
      </c>
      <c r="D61" s="941" t="s">
        <v>2019</v>
      </c>
      <c r="E61" s="1001" t="s">
        <v>435</v>
      </c>
      <c r="F61" s="846">
        <v>1000</v>
      </c>
      <c r="G61" s="846">
        <v>0</v>
      </c>
      <c r="H61" s="846">
        <f t="shared" si="18"/>
        <v>1000</v>
      </c>
      <c r="I61" s="1000">
        <f>220080/(10^6)</f>
        <v>0.22008</v>
      </c>
      <c r="J61" s="1000">
        <f>289295/(10^6)</f>
        <v>0.28929500000000002</v>
      </c>
      <c r="K61" s="1000">
        <f>311855/(10^6)</f>
        <v>0.31185499999999999</v>
      </c>
      <c r="L61" s="1000">
        <f>292215/(10^6)</f>
        <v>0.292215</v>
      </c>
      <c r="M61" s="1000">
        <f>261595/(10^6)</f>
        <v>0.26159500000000002</v>
      </c>
      <c r="N61" s="1000">
        <f>238185/(10^6)</f>
        <v>0.23818500000000001</v>
      </c>
      <c r="O61" s="845">
        <f t="shared" si="16"/>
        <v>1.6132250000000001</v>
      </c>
      <c r="P61" s="1000">
        <f>1571885/(10^6)</f>
        <v>1.571885</v>
      </c>
      <c r="Q61" s="845">
        <f t="shared" si="14"/>
        <v>3.0423350000000005</v>
      </c>
      <c r="R61" s="849">
        <f t="shared" si="15"/>
        <v>0.39124678497942394</v>
      </c>
      <c r="S61" s="845">
        <f t="shared" si="17"/>
        <v>4</v>
      </c>
    </row>
    <row r="62" spans="1:19" ht="16.5" customHeight="1">
      <c r="A62" s="844">
        <v>5</v>
      </c>
      <c r="B62" s="997" t="s">
        <v>1983</v>
      </c>
      <c r="C62" s="844" t="s">
        <v>459</v>
      </c>
      <c r="D62" s="941" t="s">
        <v>2019</v>
      </c>
      <c r="E62" s="1001" t="s">
        <v>437</v>
      </c>
      <c r="F62" s="844">
        <v>1250</v>
      </c>
      <c r="G62" s="846">
        <v>0</v>
      </c>
      <c r="H62" s="846">
        <f t="shared" si="18"/>
        <v>1250</v>
      </c>
      <c r="I62" s="1000">
        <f>223425/(10^6)</f>
        <v>0.22342500000000001</v>
      </c>
      <c r="J62" s="1000">
        <f>170370/(10^6)</f>
        <v>0.17036999999999999</v>
      </c>
      <c r="K62" s="1000">
        <f>193695/(10^6)</f>
        <v>0.19369500000000001</v>
      </c>
      <c r="L62" s="1000">
        <f>177480/(10^6)</f>
        <v>0.17748</v>
      </c>
      <c r="M62" s="1000">
        <f>163110/(10^6)</f>
        <v>0.16311</v>
      </c>
      <c r="N62" s="1000">
        <f>163845/(10^6)</f>
        <v>0.16384499999999999</v>
      </c>
      <c r="O62" s="845">
        <f t="shared" si="16"/>
        <v>1.091925</v>
      </c>
      <c r="P62" s="1000">
        <f>1091190/(10^6)</f>
        <v>1.0911900000000001</v>
      </c>
      <c r="Q62" s="845">
        <f t="shared" si="14"/>
        <v>2.0749949999999999</v>
      </c>
      <c r="R62" s="849">
        <f t="shared" si="15"/>
        <v>0.21347685185185183</v>
      </c>
      <c r="S62" s="845">
        <f t="shared" si="17"/>
        <v>3</v>
      </c>
    </row>
    <row r="63" spans="1:19" ht="16.5" customHeight="1">
      <c r="A63" s="844">
        <v>6</v>
      </c>
      <c r="B63" s="997" t="s">
        <v>1991</v>
      </c>
      <c r="C63" s="844" t="s">
        <v>460</v>
      </c>
      <c r="D63" s="941" t="s">
        <v>2019</v>
      </c>
      <c r="E63" s="1001" t="s">
        <v>437</v>
      </c>
      <c r="F63" s="846">
        <v>6000</v>
      </c>
      <c r="G63" s="846">
        <v>0</v>
      </c>
      <c r="H63" s="846">
        <f t="shared" si="18"/>
        <v>6000</v>
      </c>
      <c r="I63" s="1000">
        <f>2794108/(10^6)</f>
        <v>2.794108</v>
      </c>
      <c r="J63" s="1000">
        <f>3543750/(10^6)</f>
        <v>3.5437500000000002</v>
      </c>
      <c r="K63" s="1000">
        <f>3700565/(10^6)</f>
        <v>3.7005650000000001</v>
      </c>
      <c r="L63" s="1000">
        <f>3369522/(10^6)</f>
        <v>3.3695219999999999</v>
      </c>
      <c r="M63" s="1000">
        <f>3152250/(10^6)</f>
        <v>3.15225</v>
      </c>
      <c r="N63" s="1000">
        <f>2684054.34/(10^6)</f>
        <v>2.6840543399999999</v>
      </c>
      <c r="O63" s="845">
        <f t="shared" si="16"/>
        <v>19.24424934</v>
      </c>
      <c r="P63" s="1000">
        <f>18399032.3/(10^6)</f>
        <v>18.399032300000002</v>
      </c>
      <c r="Q63" s="845">
        <f t="shared" si="14"/>
        <v>35.34857538</v>
      </c>
      <c r="R63" s="849">
        <f t="shared" si="15"/>
        <v>0.75764264789094649</v>
      </c>
      <c r="S63" s="845">
        <f t="shared" si="17"/>
        <v>37</v>
      </c>
    </row>
    <row r="64" spans="1:19" ht="16.5" customHeight="1">
      <c r="A64" s="844">
        <v>7</v>
      </c>
      <c r="B64" s="997" t="s">
        <v>1991</v>
      </c>
      <c r="C64" s="844" t="s">
        <v>2017</v>
      </c>
      <c r="D64" s="941" t="s">
        <v>2019</v>
      </c>
      <c r="E64" s="1001" t="s">
        <v>437</v>
      </c>
      <c r="F64" s="846">
        <v>3200</v>
      </c>
      <c r="G64" s="846">
        <v>-650</v>
      </c>
      <c r="H64" s="846">
        <f t="shared" si="18"/>
        <v>2550</v>
      </c>
      <c r="I64" s="1000">
        <f>773099.99/(10^6)</f>
        <v>0.77309998999999996</v>
      </c>
      <c r="J64" s="1000">
        <f>948882.09/(10^6)</f>
        <v>0.94888209000000001</v>
      </c>
      <c r="K64" s="1000">
        <f>970537.04/(10^6)</f>
        <v>0.97053704000000007</v>
      </c>
      <c r="L64" s="1000">
        <f>1106431.69/(10^6)</f>
        <v>1.10643169</v>
      </c>
      <c r="M64" s="1000">
        <f>1111889.99/(10^6)</f>
        <v>1.1118899899999999</v>
      </c>
      <c r="N64" s="1000">
        <f>783210.02/(10^6)</f>
        <v>0.78321002000000006</v>
      </c>
      <c r="O64" s="845">
        <f t="shared" si="16"/>
        <v>5.6940508200000002</v>
      </c>
      <c r="P64" s="1000">
        <f>5625510/(10^6)</f>
        <v>5.6255100000000002</v>
      </c>
      <c r="Q64" s="845">
        <f t="shared" si="14"/>
        <v>10.393310939999999</v>
      </c>
      <c r="R64" s="849">
        <f t="shared" si="15"/>
        <v>0.41768385657793211</v>
      </c>
      <c r="S64" s="845">
        <f t="shared" si="17"/>
        <v>11</v>
      </c>
    </row>
    <row r="65" spans="1:19" ht="16.5" customHeight="1">
      <c r="A65" s="844">
        <v>8</v>
      </c>
      <c r="B65" s="997" t="s">
        <v>1984</v>
      </c>
      <c r="C65" s="844" t="s">
        <v>461</v>
      </c>
      <c r="D65" s="941" t="s">
        <v>2019</v>
      </c>
      <c r="E65" s="1001" t="s">
        <v>437</v>
      </c>
      <c r="F65" s="846">
        <v>1700</v>
      </c>
      <c r="G65" s="846">
        <v>0</v>
      </c>
      <c r="H65" s="846">
        <f t="shared" si="18"/>
        <v>1700</v>
      </c>
      <c r="I65" s="1000">
        <f>221220/(10^6)</f>
        <v>0.22122</v>
      </c>
      <c r="J65" s="1000">
        <f>155835/(10^6)</f>
        <v>0.155835</v>
      </c>
      <c r="K65" s="1000">
        <f>126600/(10^6)</f>
        <v>0.12659999999999999</v>
      </c>
      <c r="L65" s="1000">
        <f>134175/(10^6)</f>
        <v>0.13417499999999999</v>
      </c>
      <c r="M65" s="1000">
        <f>128160/(10^6)</f>
        <v>0.12816</v>
      </c>
      <c r="N65" s="1000">
        <f>156075/(10^6)</f>
        <v>0.15607499999999999</v>
      </c>
      <c r="O65" s="845">
        <f t="shared" si="16"/>
        <v>0.92206499999999991</v>
      </c>
      <c r="P65" s="1000">
        <f>909450/(10^6)</f>
        <v>0.90944999999999998</v>
      </c>
      <c r="Q65" s="845">
        <f t="shared" si="14"/>
        <v>1.8585149999999999</v>
      </c>
      <c r="R65" s="849">
        <f t="shared" si="15"/>
        <v>0.14059209331880898</v>
      </c>
      <c r="S65" s="845">
        <f t="shared" si="17"/>
        <v>2</v>
      </c>
    </row>
    <row r="66" spans="1:19" ht="16.5" customHeight="1">
      <c r="A66" s="844">
        <v>9</v>
      </c>
      <c r="B66" s="997" t="s">
        <v>1984</v>
      </c>
      <c r="C66" s="844" t="s">
        <v>2018</v>
      </c>
      <c r="D66" s="941" t="s">
        <v>2019</v>
      </c>
      <c r="E66" s="1001" t="s">
        <v>437</v>
      </c>
      <c r="F66" s="846">
        <v>2223</v>
      </c>
      <c r="G66" s="846">
        <v>0</v>
      </c>
      <c r="H66" s="846">
        <f t="shared" si="18"/>
        <v>2223</v>
      </c>
      <c r="I66" s="1000">
        <f>1273800/(10^6)</f>
        <v>1.2738</v>
      </c>
      <c r="J66" s="1000">
        <f>1289640/(10^6)</f>
        <v>1.2896399999999999</v>
      </c>
      <c r="K66" s="1000">
        <f>551145/(10^6)</f>
        <v>0.551145</v>
      </c>
      <c r="L66" s="1000">
        <f>1053450/(10^6)</f>
        <v>1.05345</v>
      </c>
      <c r="M66" s="1000">
        <f>1132020/(10^6)</f>
        <v>1.13202</v>
      </c>
      <c r="N66" s="1000">
        <f>1253520/(10^6)</f>
        <v>1.25352</v>
      </c>
      <c r="O66" s="845">
        <f t="shared" si="16"/>
        <v>6.5535749999999995</v>
      </c>
      <c r="P66" s="1000">
        <f>5876355/(10^6)</f>
        <v>5.8763550000000002</v>
      </c>
      <c r="Q66" s="845">
        <f t="shared" si="14"/>
        <v>14.074694999999998</v>
      </c>
      <c r="R66" s="849">
        <f t="shared" si="15"/>
        <v>0.8142228345079221</v>
      </c>
      <c r="S66" s="845">
        <f t="shared" si="17"/>
        <v>15</v>
      </c>
    </row>
    <row r="67" spans="1:19" ht="16.5" customHeight="1">
      <c r="A67" s="844">
        <v>10</v>
      </c>
      <c r="B67" s="997" t="s">
        <v>1997</v>
      </c>
      <c r="C67" s="844" t="s">
        <v>462</v>
      </c>
      <c r="D67" s="941" t="s">
        <v>2019</v>
      </c>
      <c r="E67" s="1001" t="s">
        <v>437</v>
      </c>
      <c r="F67" s="846">
        <v>2300</v>
      </c>
      <c r="G67" s="846">
        <v>0</v>
      </c>
      <c r="H67" s="846">
        <f t="shared" si="18"/>
        <v>2300</v>
      </c>
      <c r="I67" s="1000">
        <f>446115/(10^6)</f>
        <v>0.44611499999999998</v>
      </c>
      <c r="J67" s="1000">
        <f>965025/(10^6)</f>
        <v>0.96502500000000002</v>
      </c>
      <c r="K67" s="1000">
        <f>983160/(10^6)</f>
        <v>0.98316000000000003</v>
      </c>
      <c r="L67" s="1000">
        <f>1001940/(10^6)</f>
        <v>1.0019400000000001</v>
      </c>
      <c r="M67" s="1000">
        <f>959760/(10^6)</f>
        <v>0.95975999999999995</v>
      </c>
      <c r="N67" s="1000">
        <f>836220/(10^6)</f>
        <v>0.83621999999999996</v>
      </c>
      <c r="O67" s="845">
        <f t="shared" si="16"/>
        <v>5.1922200000000007</v>
      </c>
      <c r="P67" s="1000">
        <f>5137395/(10^6)</f>
        <v>5.1373949999999997</v>
      </c>
      <c r="Q67" s="845">
        <f t="shared" si="14"/>
        <v>10.209540000000001</v>
      </c>
      <c r="R67" s="849">
        <f t="shared" si="15"/>
        <v>0.57085010735373065</v>
      </c>
      <c r="S67" s="845">
        <f t="shared" si="17"/>
        <v>11</v>
      </c>
    </row>
    <row r="68" spans="1:19" ht="16.5" customHeight="1">
      <c r="A68" s="844">
        <v>11</v>
      </c>
      <c r="B68" s="997" t="s">
        <v>1985</v>
      </c>
      <c r="C68" s="844" t="s">
        <v>463</v>
      </c>
      <c r="D68" s="941" t="s">
        <v>2019</v>
      </c>
      <c r="E68" s="1001" t="s">
        <v>437</v>
      </c>
      <c r="F68" s="846">
        <v>1200</v>
      </c>
      <c r="G68" s="846">
        <v>0</v>
      </c>
      <c r="H68" s="846">
        <f t="shared" si="18"/>
        <v>1200</v>
      </c>
      <c r="I68" s="1000">
        <f>33000/(10^6)</f>
        <v>3.3000000000000002E-2</v>
      </c>
      <c r="J68" s="1000">
        <f>20400/(10^6)</f>
        <v>2.0400000000000001E-2</v>
      </c>
      <c r="K68" s="1000">
        <f>90/(10^6)</f>
        <v>9.0000000000000006E-5</v>
      </c>
      <c r="L68" s="1000">
        <f>7530/(10^6)</f>
        <v>7.5300000000000002E-3</v>
      </c>
      <c r="M68" s="1000">
        <f>9340/(10^6)</f>
        <v>9.3399999999999993E-3</v>
      </c>
      <c r="N68" s="1000">
        <f>0/(10^6)</f>
        <v>0</v>
      </c>
      <c r="O68" s="845">
        <f t="shared" si="16"/>
        <v>7.0360000000000006E-2</v>
      </c>
      <c r="P68" s="1000">
        <f>82280/(10^6)</f>
        <v>8.2280000000000006E-2</v>
      </c>
      <c r="Q68" s="845">
        <f t="shared" si="14"/>
        <v>7.0360000000000006E-2</v>
      </c>
      <c r="R68" s="849">
        <f t="shared" si="15"/>
        <v>7.5402949245541835E-3</v>
      </c>
      <c r="S68" s="845">
        <f t="shared" si="17"/>
        <v>1</v>
      </c>
    </row>
    <row r="69" spans="1:19" ht="16.5" customHeight="1">
      <c r="A69" s="844">
        <v>12</v>
      </c>
      <c r="B69" s="997" t="s">
        <v>2000</v>
      </c>
      <c r="C69" s="844" t="s">
        <v>464</v>
      </c>
      <c r="D69" s="941" t="s">
        <v>2019</v>
      </c>
      <c r="E69" s="1001" t="s">
        <v>437</v>
      </c>
      <c r="F69" s="846">
        <v>1000</v>
      </c>
      <c r="G69" s="846">
        <v>0</v>
      </c>
      <c r="H69" s="846">
        <f t="shared" si="18"/>
        <v>1000</v>
      </c>
      <c r="I69" s="1000">
        <f>378828/(10^6)</f>
        <v>0.378828</v>
      </c>
      <c r="J69" s="1000">
        <f>267318/(10^6)</f>
        <v>0.267318</v>
      </c>
      <c r="K69" s="1000">
        <f>249232/(10^6)</f>
        <v>0.24923200000000001</v>
      </c>
      <c r="L69" s="1000">
        <f>319645/(10^6)</f>
        <v>0.31964500000000001</v>
      </c>
      <c r="M69" s="1000">
        <f>382604/(10^6)</f>
        <v>0.382604</v>
      </c>
      <c r="N69" s="1000">
        <f>342873/(10^6)</f>
        <v>0.34287299999999998</v>
      </c>
      <c r="O69" s="845">
        <f t="shared" si="16"/>
        <v>1.9404999999999999</v>
      </c>
      <c r="P69" s="1000">
        <f>1910336/(10^6)</f>
        <v>1.910336</v>
      </c>
      <c r="Q69" s="845">
        <f t="shared" si="14"/>
        <v>3.997738</v>
      </c>
      <c r="R69" s="849">
        <f t="shared" si="15"/>
        <v>0.51411239711934154</v>
      </c>
      <c r="S69" s="845">
        <f t="shared" si="17"/>
        <v>5</v>
      </c>
    </row>
    <row r="70" spans="1:19" ht="16.5" customHeight="1">
      <c r="A70" s="844">
        <v>13</v>
      </c>
      <c r="B70" s="997" t="s">
        <v>2000</v>
      </c>
      <c r="C70" s="844" t="s">
        <v>465</v>
      </c>
      <c r="D70" s="941" t="s">
        <v>2019</v>
      </c>
      <c r="E70" s="1001" t="s">
        <v>437</v>
      </c>
      <c r="F70" s="846">
        <v>1700</v>
      </c>
      <c r="G70" s="846">
        <v>0</v>
      </c>
      <c r="H70" s="846">
        <f t="shared" si="18"/>
        <v>1700</v>
      </c>
      <c r="I70" s="1000">
        <f>223497/(10^6)</f>
        <v>0.223497</v>
      </c>
      <c r="J70" s="1000">
        <f>339120/(10^6)</f>
        <v>0.33911999999999998</v>
      </c>
      <c r="K70" s="1000">
        <f>353943/(10^6)</f>
        <v>0.35394300000000001</v>
      </c>
      <c r="L70" s="1000">
        <f>342414/(10^6)</f>
        <v>0.342414</v>
      </c>
      <c r="M70" s="1000">
        <f>333495/(10^6)</f>
        <v>0.33349499999999999</v>
      </c>
      <c r="N70" s="1000">
        <f>346716/(10^6)</f>
        <v>0.34671600000000002</v>
      </c>
      <c r="O70" s="845">
        <f t="shared" si="16"/>
        <v>1.9391849999999999</v>
      </c>
      <c r="P70" s="1000">
        <f>1926945/(10^6)</f>
        <v>1.9269449999999999</v>
      </c>
      <c r="Q70" s="845">
        <f t="shared" si="14"/>
        <v>4.0194809999999999</v>
      </c>
      <c r="R70" s="849">
        <f t="shared" si="15"/>
        <v>0.30406386165577337</v>
      </c>
      <c r="S70" s="845">
        <f t="shared" si="17"/>
        <v>5</v>
      </c>
    </row>
    <row r="71" spans="1:19" ht="16.5" customHeight="1">
      <c r="A71" s="844">
        <v>14</v>
      </c>
      <c r="B71" s="997" t="s">
        <v>1993</v>
      </c>
      <c r="C71" s="844" t="s">
        <v>466</v>
      </c>
      <c r="D71" s="941" t="s">
        <v>2020</v>
      </c>
      <c r="E71" s="941" t="s">
        <v>437</v>
      </c>
      <c r="F71" s="846">
        <v>1516</v>
      </c>
      <c r="G71" s="844">
        <v>0</v>
      </c>
      <c r="H71" s="846">
        <f t="shared" si="18"/>
        <v>1516</v>
      </c>
      <c r="I71" s="1000">
        <f>473970/(10^6)</f>
        <v>0.47397</v>
      </c>
      <c r="J71" s="1000">
        <f>474240/(10^6)</f>
        <v>0.47423999999999999</v>
      </c>
      <c r="K71" s="1000">
        <f>532620/(10^6)</f>
        <v>0.53261999999999998</v>
      </c>
      <c r="L71" s="1000">
        <f>509610/(10^6)</f>
        <v>0.50961000000000001</v>
      </c>
      <c r="M71" s="1000">
        <f>540300/(10^6)</f>
        <v>0.5403</v>
      </c>
      <c r="N71" s="1000">
        <f>486780/(10^6)</f>
        <v>0.48677999999999999</v>
      </c>
      <c r="O71" s="845">
        <f t="shared" si="16"/>
        <v>3.0175199999999998</v>
      </c>
      <c r="P71" s="1000">
        <f>2674200/(10^6)</f>
        <v>2.6741999999999999</v>
      </c>
      <c r="Q71" s="845">
        <f t="shared" si="14"/>
        <v>5.9382000000000001</v>
      </c>
      <c r="R71" s="849">
        <f>Q71/((F71*24*30*12*0.9)/1000000)</f>
        <v>0.50373179908140331</v>
      </c>
      <c r="S71" s="845">
        <f t="shared" si="17"/>
        <v>7</v>
      </c>
    </row>
    <row r="72" spans="1:19" ht="16.5" customHeight="1">
      <c r="A72" s="844">
        <v>15</v>
      </c>
      <c r="B72" s="997" t="s">
        <v>2002</v>
      </c>
      <c r="C72" s="844" t="s">
        <v>467</v>
      </c>
      <c r="D72" s="941" t="s">
        <v>2020</v>
      </c>
      <c r="E72" s="941" t="s">
        <v>437</v>
      </c>
      <c r="F72" s="846">
        <v>2000</v>
      </c>
      <c r="G72" s="844">
        <v>0</v>
      </c>
      <c r="H72" s="846">
        <f t="shared" si="18"/>
        <v>2000</v>
      </c>
      <c r="I72" s="1000">
        <f>310219/(10^6)</f>
        <v>0.31021900000000002</v>
      </c>
      <c r="J72" s="1000">
        <f>322046/(10^6)</f>
        <v>0.322046</v>
      </c>
      <c r="K72" s="1000">
        <f>381379/(10^6)</f>
        <v>0.38137900000000002</v>
      </c>
      <c r="L72" s="1000">
        <f>357651/(10^6)</f>
        <v>0.357651</v>
      </c>
      <c r="M72" s="1000">
        <f>342962/(10^6)</f>
        <v>0.34296199999999999</v>
      </c>
      <c r="N72" s="1000">
        <f>358401/(10^6)</f>
        <v>0.35840100000000003</v>
      </c>
      <c r="O72" s="845">
        <f t="shared" si="16"/>
        <v>2.0726580000000001</v>
      </c>
      <c r="P72" s="1000">
        <f>2039726/(10^6)</f>
        <v>2.0397259999999999</v>
      </c>
      <c r="Q72" s="845">
        <f t="shared" si="14"/>
        <v>4.2230640000000008</v>
      </c>
      <c r="R72" s="849">
        <f t="shared" si="15"/>
        <v>0.27154475308641979</v>
      </c>
      <c r="S72" s="845">
        <f t="shared" si="17"/>
        <v>5</v>
      </c>
    </row>
    <row r="73" spans="1:19" ht="16.5" customHeight="1">
      <c r="A73" s="844">
        <v>16</v>
      </c>
      <c r="B73" s="997" t="s">
        <v>1983</v>
      </c>
      <c r="C73" s="844" t="s">
        <v>468</v>
      </c>
      <c r="D73" s="941" t="s">
        <v>408</v>
      </c>
      <c r="E73" s="1001" t="s">
        <v>437</v>
      </c>
      <c r="F73" s="846">
        <v>1200</v>
      </c>
      <c r="G73" s="846">
        <v>0</v>
      </c>
      <c r="H73" s="846">
        <f t="shared" si="18"/>
        <v>1200</v>
      </c>
      <c r="I73" s="1000">
        <f>641133/(10^6)</f>
        <v>0.64113299999999995</v>
      </c>
      <c r="J73" s="1000">
        <f>588843/(10^6)</f>
        <v>0.58884300000000001</v>
      </c>
      <c r="K73" s="1000">
        <f>589401/(10^6)</f>
        <v>0.58940099999999995</v>
      </c>
      <c r="L73" s="1000">
        <f>475191/(10^6)</f>
        <v>0.47519099999999997</v>
      </c>
      <c r="M73" s="1000">
        <f>636705/(10^6)</f>
        <v>0.63670499999999997</v>
      </c>
      <c r="N73" s="1000">
        <f>597753/(10^6)</f>
        <v>0.59775299999999998</v>
      </c>
      <c r="O73" s="845">
        <f t="shared" si="16"/>
        <v>3.529026</v>
      </c>
      <c r="P73" s="1000">
        <f>3527271/(10^6)</f>
        <v>3.5272709999999998</v>
      </c>
      <c r="Q73" s="845">
        <f t="shared" si="14"/>
        <v>7.1155439999999999</v>
      </c>
      <c r="R73" s="849">
        <f t="shared" si="15"/>
        <v>0.76255401234567888</v>
      </c>
      <c r="S73" s="845">
        <f t="shared" si="17"/>
        <v>8</v>
      </c>
    </row>
    <row r="74" spans="1:19" ht="16.5" customHeight="1">
      <c r="A74" s="844">
        <v>17</v>
      </c>
      <c r="B74" s="997" t="s">
        <v>1983</v>
      </c>
      <c r="C74" s="844" t="s">
        <v>469</v>
      </c>
      <c r="D74" s="941" t="s">
        <v>408</v>
      </c>
      <c r="E74" s="1001" t="s">
        <v>437</v>
      </c>
      <c r="F74" s="846">
        <v>1000</v>
      </c>
      <c r="G74" s="846">
        <v>0</v>
      </c>
      <c r="H74" s="846">
        <f t="shared" si="18"/>
        <v>1000</v>
      </c>
      <c r="I74" s="1000">
        <f>446634/(10^6)</f>
        <v>0.44663399999999998</v>
      </c>
      <c r="J74" s="1000">
        <f>390483/(10^6)</f>
        <v>0.39048300000000002</v>
      </c>
      <c r="K74" s="1000">
        <f>281997/(10^6)</f>
        <v>0.281997</v>
      </c>
      <c r="L74" s="1000">
        <f>308385/(10^6)</f>
        <v>0.30838500000000002</v>
      </c>
      <c r="M74" s="1000">
        <f>382626/(10^6)</f>
        <v>0.38262600000000002</v>
      </c>
      <c r="N74" s="1000">
        <f>374292/(10^6)</f>
        <v>0.37429200000000001</v>
      </c>
      <c r="O74" s="845">
        <f t="shared" si="16"/>
        <v>2.1844170000000003</v>
      </c>
      <c r="P74" s="1000">
        <f>2124765/(10^6)</f>
        <v>2.124765</v>
      </c>
      <c r="Q74" s="845">
        <f t="shared" si="14"/>
        <v>4.4301690000000002</v>
      </c>
      <c r="R74" s="849">
        <f t="shared" si="15"/>
        <v>0.56972337962962971</v>
      </c>
      <c r="S74" s="845">
        <f t="shared" si="17"/>
        <v>5</v>
      </c>
    </row>
    <row r="75" spans="1:19">
      <c r="A75" s="844">
        <v>18</v>
      </c>
      <c r="B75" s="997" t="s">
        <v>1983</v>
      </c>
      <c r="C75" s="844" t="s">
        <v>2021</v>
      </c>
      <c r="D75" s="941" t="s">
        <v>408</v>
      </c>
      <c r="E75" s="1001" t="s">
        <v>437</v>
      </c>
      <c r="F75" s="846">
        <v>4000</v>
      </c>
      <c r="G75" s="846">
        <v>3000</v>
      </c>
      <c r="H75" s="846">
        <f t="shared" si="18"/>
        <v>7000</v>
      </c>
      <c r="I75" s="1000">
        <f>599108/(10^6)</f>
        <v>0.59910799999999997</v>
      </c>
      <c r="J75" s="1000">
        <f>626692/(10^6)</f>
        <v>0.62669200000000003</v>
      </c>
      <c r="K75" s="1000">
        <f>1002015/(10^6)</f>
        <v>1.0020150000000001</v>
      </c>
      <c r="L75" s="1000">
        <f>438413/(10^6)</f>
        <v>0.438413</v>
      </c>
      <c r="M75" s="1000">
        <f>686025/(10^6)</f>
        <v>0.686025</v>
      </c>
      <c r="N75" s="1000">
        <f>1754588/(10^6)</f>
        <v>1.754588</v>
      </c>
      <c r="O75" s="845">
        <f t="shared" si="16"/>
        <v>5.1068410000000002</v>
      </c>
      <c r="P75" s="1000">
        <f>4974976/(10^6)</f>
        <v>4.9749759999999998</v>
      </c>
      <c r="Q75" s="845">
        <f t="shared" si="14"/>
        <v>15.634369</v>
      </c>
      <c r="R75" s="849">
        <f t="shared" si="15"/>
        <v>0.5026481802983539</v>
      </c>
      <c r="S75" s="845">
        <f t="shared" si="17"/>
        <v>17</v>
      </c>
    </row>
    <row r="76" spans="1:19" ht="16.5" customHeight="1">
      <c r="A76" s="844">
        <v>19</v>
      </c>
      <c r="B76" s="997" t="s">
        <v>1983</v>
      </c>
      <c r="C76" s="844" t="s">
        <v>470</v>
      </c>
      <c r="D76" s="941" t="s">
        <v>408</v>
      </c>
      <c r="E76" s="1001" t="s">
        <v>437</v>
      </c>
      <c r="F76" s="846">
        <v>1200</v>
      </c>
      <c r="G76" s="846">
        <v>-600</v>
      </c>
      <c r="H76" s="846">
        <f t="shared" si="18"/>
        <v>600</v>
      </c>
      <c r="I76" s="1000">
        <f>117750/(10^6)</f>
        <v>0.11774999999999999</v>
      </c>
      <c r="J76" s="1000">
        <f>21351/(10^6)</f>
        <v>2.1350999999999998E-2</v>
      </c>
      <c r="K76" s="1000">
        <f>16995/(10^6)</f>
        <v>1.6995E-2</v>
      </c>
      <c r="L76" s="1000">
        <f>12900/(10^6)</f>
        <v>1.29E-2</v>
      </c>
      <c r="M76" s="1000">
        <f>4671/(10^6)</f>
        <v>4.6709999999999998E-3</v>
      </c>
      <c r="N76" s="1000">
        <f>4617/(10^6)</f>
        <v>4.6169999999999996E-3</v>
      </c>
      <c r="O76" s="845">
        <f t="shared" si="16"/>
        <v>0.17828400000000003</v>
      </c>
      <c r="P76" s="1000">
        <f>175899/(10^6)</f>
        <v>0.175899</v>
      </c>
      <c r="Q76" s="845">
        <f t="shared" si="14"/>
        <v>0.20598600000000003</v>
      </c>
      <c r="R76" s="849">
        <f t="shared" si="15"/>
        <v>2.2074974279835392E-2</v>
      </c>
      <c r="S76" s="845">
        <f t="shared" si="17"/>
        <v>1</v>
      </c>
    </row>
    <row r="77" spans="1:19" ht="16.5" customHeight="1">
      <c r="A77" s="844">
        <v>20</v>
      </c>
      <c r="B77" s="997" t="s">
        <v>1983</v>
      </c>
      <c r="C77" s="844" t="s">
        <v>471</v>
      </c>
      <c r="D77" s="941" t="s">
        <v>408</v>
      </c>
      <c r="E77" s="1001" t="s">
        <v>437</v>
      </c>
      <c r="F77" s="844">
        <v>3500</v>
      </c>
      <c r="G77" s="846">
        <v>0</v>
      </c>
      <c r="H77" s="846">
        <f t="shared" si="18"/>
        <v>3500</v>
      </c>
      <c r="I77" s="1000">
        <f>765576.41/(10^6)</f>
        <v>0.76557640999999998</v>
      </c>
      <c r="J77" s="1000">
        <f>959917.99/(10^6)</f>
        <v>0.95991799</v>
      </c>
      <c r="K77" s="1000">
        <f>919867.99/(10^6)</f>
        <v>0.91986798999999997</v>
      </c>
      <c r="L77" s="1000">
        <f>1015469.99/(10^6)</f>
        <v>1.0154699899999999</v>
      </c>
      <c r="M77" s="1000">
        <f>806315.93/(10^6)</f>
        <v>0.80631593000000001</v>
      </c>
      <c r="N77" s="1000">
        <f>856755.61/(10^6)</f>
        <v>0.85675561</v>
      </c>
      <c r="O77" s="845">
        <f t="shared" si="16"/>
        <v>5.3239039199999993</v>
      </c>
      <c r="P77" s="1000">
        <f>5316435/(10^6)</f>
        <v>5.3164350000000002</v>
      </c>
      <c r="Q77" s="845">
        <f t="shared" si="14"/>
        <v>10.464437579999998</v>
      </c>
      <c r="R77" s="849">
        <f t="shared" si="15"/>
        <v>0.38449579585537913</v>
      </c>
      <c r="S77" s="845">
        <f t="shared" si="17"/>
        <v>11</v>
      </c>
    </row>
    <row r="78" spans="1:19">
      <c r="A78" s="844">
        <v>21</v>
      </c>
      <c r="B78" s="997" t="s">
        <v>1991</v>
      </c>
      <c r="C78" s="844" t="s">
        <v>2022</v>
      </c>
      <c r="D78" s="941" t="s">
        <v>408</v>
      </c>
      <c r="E78" s="1001" t="s">
        <v>437</v>
      </c>
      <c r="F78" s="846">
        <v>1800</v>
      </c>
      <c r="G78" s="846">
        <v>100</v>
      </c>
      <c r="H78" s="846">
        <f t="shared" si="18"/>
        <v>1900</v>
      </c>
      <c r="I78" s="1000">
        <f>743550/(10^6)</f>
        <v>0.74355000000000004</v>
      </c>
      <c r="J78" s="1000">
        <f>760485/(10^6)</f>
        <v>0.76048499999999997</v>
      </c>
      <c r="K78" s="1000">
        <f>663270/(10^6)</f>
        <v>0.66327000000000003</v>
      </c>
      <c r="L78" s="1000">
        <f>630300/(10^6)</f>
        <v>0.63029999999999997</v>
      </c>
      <c r="M78" s="1000">
        <f>723960/(10^6)</f>
        <v>0.72396000000000005</v>
      </c>
      <c r="N78" s="1000">
        <f>752340/(10^6)</f>
        <v>0.75234000000000001</v>
      </c>
      <c r="O78" s="845">
        <f t="shared" si="16"/>
        <v>4.2739050000000001</v>
      </c>
      <c r="P78" s="1000">
        <f>4232340/(10^6)</f>
        <v>4.2323399999999998</v>
      </c>
      <c r="Q78" s="845">
        <f t="shared" si="14"/>
        <v>8.7879450000000006</v>
      </c>
      <c r="R78" s="849">
        <f t="shared" si="15"/>
        <v>0.62785386659807962</v>
      </c>
      <c r="S78" s="845">
        <f t="shared" si="17"/>
        <v>10</v>
      </c>
    </row>
    <row r="79" spans="1:19">
      <c r="A79" s="844">
        <v>22</v>
      </c>
      <c r="B79" s="997" t="s">
        <v>1984</v>
      </c>
      <c r="C79" s="844" t="s">
        <v>472</v>
      </c>
      <c r="D79" s="941" t="s">
        <v>408</v>
      </c>
      <c r="E79" s="1001" t="s">
        <v>437</v>
      </c>
      <c r="F79" s="846">
        <v>7200</v>
      </c>
      <c r="G79" s="846">
        <v>0</v>
      </c>
      <c r="H79" s="846">
        <f t="shared" si="18"/>
        <v>7200</v>
      </c>
      <c r="I79" s="1000">
        <f>3474480/(10^6)</f>
        <v>3.4744799999999998</v>
      </c>
      <c r="J79" s="1000">
        <f>4076280/(10^6)</f>
        <v>4.0762799999999997</v>
      </c>
      <c r="K79" s="1000">
        <f>4379520/(10^6)</f>
        <v>4.3795200000000003</v>
      </c>
      <c r="L79" s="1000">
        <f>4198080/(10^6)</f>
        <v>4.19808</v>
      </c>
      <c r="M79" s="1000">
        <f>4038120/(10^6)</f>
        <v>4.0381200000000002</v>
      </c>
      <c r="N79" s="1000">
        <f>3912840/(10^6)</f>
        <v>3.9128400000000001</v>
      </c>
      <c r="O79" s="845">
        <f t="shared" si="16"/>
        <v>24.079319999999999</v>
      </c>
      <c r="P79" s="1000">
        <f>23914560/(10^6)</f>
        <v>23.914560000000002</v>
      </c>
      <c r="Q79" s="845">
        <f t="shared" si="14"/>
        <v>47.556359999999998</v>
      </c>
      <c r="R79" s="849">
        <f t="shared" si="15"/>
        <v>0.84941486625514395</v>
      </c>
      <c r="S79" s="845">
        <f t="shared" si="17"/>
        <v>49</v>
      </c>
    </row>
    <row r="80" spans="1:19">
      <c r="A80" s="844">
        <v>23</v>
      </c>
      <c r="B80" s="997" t="s">
        <v>1984</v>
      </c>
      <c r="C80" s="844" t="s">
        <v>473</v>
      </c>
      <c r="D80" s="941" t="s">
        <v>408</v>
      </c>
      <c r="E80" s="1001" t="s">
        <v>437</v>
      </c>
      <c r="F80" s="846">
        <v>1000</v>
      </c>
      <c r="G80" s="846">
        <v>0</v>
      </c>
      <c r="H80" s="846">
        <f t="shared" si="18"/>
        <v>1000</v>
      </c>
      <c r="I80" s="1000">
        <f>13980/(10^6)</f>
        <v>1.3979999999999999E-2</v>
      </c>
      <c r="J80" s="1000">
        <f>13425/(10^6)</f>
        <v>1.3424999999999999E-2</v>
      </c>
      <c r="K80" s="1000">
        <f>16050/(10^6)</f>
        <v>1.6049999999999998E-2</v>
      </c>
      <c r="L80" s="1000">
        <f>14655/(10^6)</f>
        <v>1.4655E-2</v>
      </c>
      <c r="M80" s="1000">
        <f>11505/(10^6)</f>
        <v>1.1505E-2</v>
      </c>
      <c r="N80" s="1000">
        <f>13785/(10^6)</f>
        <v>1.3785E-2</v>
      </c>
      <c r="O80" s="845">
        <f t="shared" si="16"/>
        <v>8.3400000000000002E-2</v>
      </c>
      <c r="P80" s="1000">
        <f>46800/(10^6)</f>
        <v>4.6800000000000001E-2</v>
      </c>
      <c r="Q80" s="845">
        <f t="shared" si="14"/>
        <v>0.16611000000000001</v>
      </c>
      <c r="R80" s="849">
        <f t="shared" si="15"/>
        <v>2.1361882716049385E-2</v>
      </c>
      <c r="S80" s="845">
        <f t="shared" si="17"/>
        <v>1</v>
      </c>
    </row>
    <row r="81" spans="1:19" ht="16.5" customHeight="1">
      <c r="A81" s="844">
        <v>24</v>
      </c>
      <c r="B81" s="997" t="s">
        <v>1997</v>
      </c>
      <c r="C81" s="844" t="s">
        <v>474</v>
      </c>
      <c r="D81" s="941" t="s">
        <v>408</v>
      </c>
      <c r="E81" s="1001" t="s">
        <v>437</v>
      </c>
      <c r="F81" s="846">
        <v>1600</v>
      </c>
      <c r="G81" s="846">
        <v>0</v>
      </c>
      <c r="H81" s="846">
        <f t="shared" si="18"/>
        <v>1600</v>
      </c>
      <c r="I81" s="1000">
        <f>342702/(10^6)</f>
        <v>0.34270200000000001</v>
      </c>
      <c r="J81" s="1000">
        <f>367722/(10^6)</f>
        <v>0.36772199999999999</v>
      </c>
      <c r="K81" s="1000">
        <f>420570/(10^6)</f>
        <v>0.42057</v>
      </c>
      <c r="L81" s="1000">
        <f>377487/(10^6)</f>
        <v>0.37748700000000002</v>
      </c>
      <c r="M81" s="1000">
        <f>459558/(10^6)</f>
        <v>0.45955800000000002</v>
      </c>
      <c r="N81" s="1000">
        <f>473481/(10^6)</f>
        <v>0.47348099999999999</v>
      </c>
      <c r="O81" s="845">
        <f t="shared" si="16"/>
        <v>2.4415199999999997</v>
      </c>
      <c r="P81" s="1000">
        <f>2419227/(10^6)</f>
        <v>2.4192269999999998</v>
      </c>
      <c r="Q81" s="845">
        <f t="shared" si="14"/>
        <v>5.2824059999999999</v>
      </c>
      <c r="R81" s="849">
        <f t="shared" si="15"/>
        <v>0.42457609953703707</v>
      </c>
      <c r="S81" s="845">
        <f t="shared" si="17"/>
        <v>6</v>
      </c>
    </row>
    <row r="82" spans="1:19">
      <c r="A82" s="844">
        <v>25</v>
      </c>
      <c r="B82" s="997" t="s">
        <v>1985</v>
      </c>
      <c r="C82" s="844" t="s">
        <v>475</v>
      </c>
      <c r="D82" s="941" t="s">
        <v>408</v>
      </c>
      <c r="E82" s="1001" t="s">
        <v>437</v>
      </c>
      <c r="F82" s="846">
        <v>1000</v>
      </c>
      <c r="G82" s="846">
        <v>0</v>
      </c>
      <c r="H82" s="846">
        <f t="shared" si="18"/>
        <v>1000</v>
      </c>
      <c r="I82" s="1000">
        <f>414240/(10^6)</f>
        <v>0.41424</v>
      </c>
      <c r="J82" s="1000">
        <f>393300/(10^6)</f>
        <v>0.39329999999999998</v>
      </c>
      <c r="K82" s="1000">
        <f>387270/(10^6)</f>
        <v>0.38727</v>
      </c>
      <c r="L82" s="1000">
        <f>402060/(10^6)</f>
        <v>0.40205999999999997</v>
      </c>
      <c r="M82" s="1000">
        <f>371850/(10^6)</f>
        <v>0.37185000000000001</v>
      </c>
      <c r="N82" s="1000">
        <f>400140/(10^6)</f>
        <v>0.40014</v>
      </c>
      <c r="O82" s="845">
        <f t="shared" si="16"/>
        <v>2.3688600000000002</v>
      </c>
      <c r="P82" s="1000">
        <f>2362980/(10^6)</f>
        <v>2.3629799999999999</v>
      </c>
      <c r="Q82" s="845">
        <f t="shared" si="14"/>
        <v>4.7697000000000003</v>
      </c>
      <c r="R82" s="849">
        <f t="shared" si="15"/>
        <v>0.61338734567901243</v>
      </c>
      <c r="S82" s="845">
        <f t="shared" si="17"/>
        <v>5</v>
      </c>
    </row>
    <row r="83" spans="1:19">
      <c r="A83" s="844">
        <v>26</v>
      </c>
      <c r="B83" s="997" t="s">
        <v>1985</v>
      </c>
      <c r="C83" s="844" t="s">
        <v>476</v>
      </c>
      <c r="D83" s="941" t="s">
        <v>408</v>
      </c>
      <c r="E83" s="1001" t="s">
        <v>437</v>
      </c>
      <c r="F83" s="846">
        <v>2250</v>
      </c>
      <c r="G83" s="846">
        <v>0</v>
      </c>
      <c r="H83" s="846">
        <f t="shared" si="18"/>
        <v>2250</v>
      </c>
      <c r="I83" s="1000">
        <f>30090/(10^6)</f>
        <v>3.0089999999999999E-2</v>
      </c>
      <c r="J83" s="1000">
        <f>165360/(10^6)</f>
        <v>0.16536000000000001</v>
      </c>
      <c r="K83" s="1000">
        <f>266880/(10^6)</f>
        <v>0.26688000000000001</v>
      </c>
      <c r="L83" s="1000">
        <f>248670/(10^6)</f>
        <v>0.24867</v>
      </c>
      <c r="M83" s="1000">
        <f>294000/(10^6)</f>
        <v>0.29399999999999998</v>
      </c>
      <c r="N83" s="1000">
        <f>353865/(10^6)</f>
        <v>0.35386499999999999</v>
      </c>
      <c r="O83" s="845">
        <f t="shared" si="16"/>
        <v>1.3588650000000002</v>
      </c>
      <c r="P83" s="1000">
        <f>1276500/(10^6)</f>
        <v>1.2765</v>
      </c>
      <c r="Q83" s="845">
        <f t="shared" si="14"/>
        <v>3.4820550000000003</v>
      </c>
      <c r="R83" s="849">
        <f t="shared" si="15"/>
        <v>0.19902006172839509</v>
      </c>
      <c r="S83" s="845">
        <f t="shared" si="17"/>
        <v>4</v>
      </c>
    </row>
    <row r="84" spans="1:19">
      <c r="A84" s="844">
        <v>27</v>
      </c>
      <c r="B84" s="997" t="s">
        <v>1985</v>
      </c>
      <c r="C84" s="844" t="s">
        <v>2023</v>
      </c>
      <c r="D84" s="941" t="s">
        <v>408</v>
      </c>
      <c r="E84" s="1001" t="s">
        <v>437</v>
      </c>
      <c r="F84" s="846">
        <v>3500</v>
      </c>
      <c r="G84" s="846">
        <v>0</v>
      </c>
      <c r="H84" s="846">
        <f t="shared" si="18"/>
        <v>3500</v>
      </c>
      <c r="I84" s="1000">
        <f>89834.16/(10^6)</f>
        <v>8.983416000000001E-2</v>
      </c>
      <c r="J84" s="1000">
        <f>113008.43/(10^6)</f>
        <v>0.11300842999999999</v>
      </c>
      <c r="K84" s="1000">
        <f>121100.89/(10^6)</f>
        <v>0.12110089</v>
      </c>
      <c r="L84" s="1000">
        <f>117849.76/(10^6)</f>
        <v>0.11784976</v>
      </c>
      <c r="M84" s="1000">
        <f>119274.27/(10^6)</f>
        <v>0.11927427</v>
      </c>
      <c r="N84" s="1000">
        <f>211391.37/(10^6)</f>
        <v>0.21139137</v>
      </c>
      <c r="O84" s="845">
        <f t="shared" si="16"/>
        <v>0.77245887999999996</v>
      </c>
      <c r="P84" s="1000">
        <f>756756/(10^6)</f>
        <v>0.75675599999999998</v>
      </c>
      <c r="Q84" s="845">
        <f t="shared" si="14"/>
        <v>2.0408070999999999</v>
      </c>
      <c r="R84" s="849">
        <f t="shared" si="15"/>
        <v>7.4985563639035857E-2</v>
      </c>
      <c r="S84" s="845">
        <f t="shared" si="17"/>
        <v>3</v>
      </c>
    </row>
    <row r="85" spans="1:19">
      <c r="A85" s="844">
        <v>28</v>
      </c>
      <c r="B85" s="997" t="s">
        <v>1985</v>
      </c>
      <c r="C85" s="844" t="s">
        <v>2024</v>
      </c>
      <c r="D85" s="941" t="s">
        <v>408</v>
      </c>
      <c r="E85" s="1001" t="s">
        <v>437</v>
      </c>
      <c r="F85" s="846">
        <v>4500</v>
      </c>
      <c r="G85" s="846">
        <v>0</v>
      </c>
      <c r="H85" s="846">
        <f t="shared" si="18"/>
        <v>4500</v>
      </c>
      <c r="I85" s="1000">
        <f>286071/(10^6)</f>
        <v>0.28607100000000002</v>
      </c>
      <c r="J85" s="1000">
        <f>443070/(10^6)</f>
        <v>0.44307000000000002</v>
      </c>
      <c r="K85" s="1000">
        <f>350100/(10^6)</f>
        <v>0.35010000000000002</v>
      </c>
      <c r="L85" s="1000">
        <f>371160/(10^6)</f>
        <v>0.37115999999999999</v>
      </c>
      <c r="M85" s="1000">
        <f>430200/(10^6)</f>
        <v>0.43020000000000003</v>
      </c>
      <c r="N85" s="1000">
        <f>527670/(10^6)</f>
        <v>0.52766999999999997</v>
      </c>
      <c r="O85" s="845">
        <f t="shared" si="16"/>
        <v>2.4082710000000001</v>
      </c>
      <c r="P85" s="1000">
        <f>2284551/(10^6)</f>
        <v>2.284551</v>
      </c>
      <c r="Q85" s="845">
        <f t="shared" si="14"/>
        <v>5.5742909999999997</v>
      </c>
      <c r="R85" s="849">
        <f t="shared" si="15"/>
        <v>0.15930186899862825</v>
      </c>
      <c r="S85" s="845">
        <f t="shared" si="17"/>
        <v>6</v>
      </c>
    </row>
    <row r="86" spans="1:19">
      <c r="A86" s="844">
        <v>29</v>
      </c>
      <c r="B86" s="997" t="s">
        <v>1986</v>
      </c>
      <c r="C86" s="844" t="s">
        <v>2025</v>
      </c>
      <c r="D86" s="941" t="s">
        <v>408</v>
      </c>
      <c r="E86" s="1001" t="s">
        <v>437</v>
      </c>
      <c r="F86" s="846">
        <v>1025</v>
      </c>
      <c r="G86" s="846">
        <v>0</v>
      </c>
      <c r="H86" s="846">
        <f t="shared" si="18"/>
        <v>1025</v>
      </c>
      <c r="I86" s="1000">
        <f>176502/(10^6)</f>
        <v>0.17650199999999999</v>
      </c>
      <c r="J86" s="1000">
        <f>177846/(10^6)</f>
        <v>0.177846</v>
      </c>
      <c r="K86" s="1000">
        <f>162774/(10^6)</f>
        <v>0.162774</v>
      </c>
      <c r="L86" s="1000">
        <f>145980/(10^6)</f>
        <v>0.14598</v>
      </c>
      <c r="M86" s="1000">
        <f>217806/(10^6)</f>
        <v>0.217806</v>
      </c>
      <c r="N86" s="1000">
        <f>189660/(10^6)</f>
        <v>0.18966</v>
      </c>
      <c r="O86" s="845">
        <f t="shared" si="16"/>
        <v>1.070568</v>
      </c>
      <c r="P86" s="1000">
        <f>1013490/(10^6)</f>
        <v>1.01349</v>
      </c>
      <c r="Q86" s="845">
        <f t="shared" si="14"/>
        <v>2.2085280000000003</v>
      </c>
      <c r="R86" s="849">
        <f t="shared" si="15"/>
        <v>0.27709123757904253</v>
      </c>
      <c r="S86" s="845">
        <f t="shared" si="17"/>
        <v>3</v>
      </c>
    </row>
    <row r="87" spans="1:19" ht="16.5" customHeight="1">
      <c r="A87" s="844">
        <v>30</v>
      </c>
      <c r="B87" s="997" t="s">
        <v>1986</v>
      </c>
      <c r="C87" s="844" t="s">
        <v>477</v>
      </c>
      <c r="D87" s="941" t="s">
        <v>408</v>
      </c>
      <c r="E87" s="1001" t="s">
        <v>437</v>
      </c>
      <c r="F87" s="846">
        <v>1800</v>
      </c>
      <c r="G87" s="846">
        <v>0</v>
      </c>
      <c r="H87" s="846">
        <f t="shared" si="18"/>
        <v>1800</v>
      </c>
      <c r="I87" s="1000">
        <f>600600/(10^6)</f>
        <v>0.60060000000000002</v>
      </c>
      <c r="J87" s="1000">
        <f>624210/(10^6)</f>
        <v>0.62421000000000004</v>
      </c>
      <c r="K87" s="1000">
        <f>592860/(10^6)</f>
        <v>0.59286000000000005</v>
      </c>
      <c r="L87" s="1000">
        <f>824370/(10^6)</f>
        <v>0.82437000000000005</v>
      </c>
      <c r="M87" s="1000">
        <f>712875/(10^6)</f>
        <v>0.71287500000000004</v>
      </c>
      <c r="N87" s="1000">
        <f>841350/(10^6)</f>
        <v>0.84135000000000004</v>
      </c>
      <c r="O87" s="845">
        <f t="shared" si="16"/>
        <v>4.1962650000000004</v>
      </c>
      <c r="P87" s="1000">
        <f>4130310/(10^6)</f>
        <v>4.1303099999999997</v>
      </c>
      <c r="Q87" s="845">
        <f t="shared" si="14"/>
        <v>9.2443650000000002</v>
      </c>
      <c r="R87" s="849">
        <f t="shared" si="15"/>
        <v>0.66046274862825793</v>
      </c>
      <c r="S87" s="845">
        <f t="shared" si="17"/>
        <v>10</v>
      </c>
    </row>
    <row r="88" spans="1:19">
      <c r="A88" s="844">
        <v>31</v>
      </c>
      <c r="B88" s="997" t="s">
        <v>1986</v>
      </c>
      <c r="C88" s="844" t="s">
        <v>478</v>
      </c>
      <c r="D88" s="941" t="s">
        <v>408</v>
      </c>
      <c r="E88" s="1001" t="s">
        <v>437</v>
      </c>
      <c r="F88" s="846">
        <v>2400</v>
      </c>
      <c r="G88" s="846">
        <v>0</v>
      </c>
      <c r="H88" s="846">
        <f t="shared" si="18"/>
        <v>2400</v>
      </c>
      <c r="I88" s="1000">
        <f>594780/(10^6)</f>
        <v>0.59477999999999998</v>
      </c>
      <c r="J88" s="1000">
        <f>603105/(10^6)</f>
        <v>0.603105</v>
      </c>
      <c r="K88" s="1000">
        <f>608550/(10^6)</f>
        <v>0.60855000000000004</v>
      </c>
      <c r="L88" s="1000">
        <f>597150/(10^6)</f>
        <v>0.59714999999999996</v>
      </c>
      <c r="M88" s="1000">
        <f>668865/(10^6)</f>
        <v>0.66886500000000004</v>
      </c>
      <c r="N88" s="1000">
        <f>672525/(10^6)</f>
        <v>0.67252500000000004</v>
      </c>
      <c r="O88" s="845">
        <f t="shared" si="16"/>
        <v>3.7449750000000002</v>
      </c>
      <c r="P88" s="1000">
        <f>3685305/(10^6)</f>
        <v>3.6853050000000001</v>
      </c>
      <c r="Q88" s="845">
        <f t="shared" si="14"/>
        <v>7.780125</v>
      </c>
      <c r="R88" s="849">
        <f t="shared" si="15"/>
        <v>0.41688769933127567</v>
      </c>
      <c r="S88" s="845">
        <f t="shared" si="17"/>
        <v>9</v>
      </c>
    </row>
    <row r="89" spans="1:19" ht="16.5" customHeight="1">
      <c r="A89" s="844">
        <v>32</v>
      </c>
      <c r="B89" s="997" t="s">
        <v>1986</v>
      </c>
      <c r="C89" s="844" t="s">
        <v>479</v>
      </c>
      <c r="D89" s="941" t="s">
        <v>408</v>
      </c>
      <c r="E89" s="1001" t="s">
        <v>437</v>
      </c>
      <c r="F89" s="846">
        <v>4800</v>
      </c>
      <c r="G89" s="846">
        <v>0</v>
      </c>
      <c r="H89" s="846">
        <f t="shared" si="18"/>
        <v>4800</v>
      </c>
      <c r="I89" s="1000">
        <f>770490/(10^6)</f>
        <v>0.77049000000000001</v>
      </c>
      <c r="J89" s="1000">
        <f>1071520/(10^6)</f>
        <v>1.07152</v>
      </c>
      <c r="K89" s="1000">
        <f>2571040/(10^6)</f>
        <v>2.57104</v>
      </c>
      <c r="L89" s="1000">
        <f>1637620/(10^6)</f>
        <v>1.6376200000000001</v>
      </c>
      <c r="M89" s="1000">
        <f>1510520/(10^6)</f>
        <v>1.5105200000000001</v>
      </c>
      <c r="N89" s="1000">
        <f>1756210/(10^6)</f>
        <v>1.75621</v>
      </c>
      <c r="O89" s="845">
        <f t="shared" si="16"/>
        <v>9.3173999999999992</v>
      </c>
      <c r="P89" s="1000">
        <f>9018080/(10^6)</f>
        <v>9.0180799999999994</v>
      </c>
      <c r="Q89" s="845">
        <f t="shared" si="14"/>
        <v>19.854659999999999</v>
      </c>
      <c r="R89" s="849">
        <f t="shared" si="15"/>
        <v>0.53194283693415634</v>
      </c>
      <c r="S89" s="845">
        <f t="shared" si="17"/>
        <v>21</v>
      </c>
    </row>
    <row r="90" spans="1:19" ht="16.5" customHeight="1">
      <c r="A90" s="844">
        <v>33</v>
      </c>
      <c r="B90" s="997" t="s">
        <v>1986</v>
      </c>
      <c r="C90" s="844" t="s">
        <v>2026</v>
      </c>
      <c r="D90" s="941" t="s">
        <v>408</v>
      </c>
      <c r="E90" s="1001" t="s">
        <v>437</v>
      </c>
      <c r="F90" s="846">
        <v>1050</v>
      </c>
      <c r="G90" s="846">
        <v>0</v>
      </c>
      <c r="H90" s="846">
        <f t="shared" si="18"/>
        <v>1050</v>
      </c>
      <c r="I90" s="1000">
        <f>297513/(10^6)</f>
        <v>0.29751300000000003</v>
      </c>
      <c r="J90" s="1000">
        <f>315900/(10^6)</f>
        <v>0.31590000000000001</v>
      </c>
      <c r="K90" s="1000">
        <f>314280/(10^6)</f>
        <v>0.31428</v>
      </c>
      <c r="L90" s="1000">
        <f>332208/(10^6)</f>
        <v>0.332208</v>
      </c>
      <c r="M90" s="1000">
        <f>355122/(10^6)</f>
        <v>0.35512199999999999</v>
      </c>
      <c r="N90" s="1000">
        <f>356814/(10^6)</f>
        <v>0.35681400000000002</v>
      </c>
      <c r="O90" s="845">
        <f t="shared" si="16"/>
        <v>1.9718369999999998</v>
      </c>
      <c r="P90" s="1000">
        <f>1932138/(10^6)</f>
        <v>1.9321379999999999</v>
      </c>
      <c r="Q90" s="845">
        <f t="shared" si="14"/>
        <v>4.1127210000000005</v>
      </c>
      <c r="R90" s="849">
        <f t="shared" si="15"/>
        <v>0.50371362433862443</v>
      </c>
      <c r="S90" s="845">
        <f t="shared" si="17"/>
        <v>5</v>
      </c>
    </row>
    <row r="91" spans="1:19">
      <c r="A91" s="844">
        <v>34</v>
      </c>
      <c r="B91" s="997" t="s">
        <v>1986</v>
      </c>
      <c r="C91" s="844" t="s">
        <v>480</v>
      </c>
      <c r="D91" s="941" t="s">
        <v>408</v>
      </c>
      <c r="E91" s="1001" t="s">
        <v>437</v>
      </c>
      <c r="F91" s="846">
        <v>1500</v>
      </c>
      <c r="G91" s="846">
        <v>0</v>
      </c>
      <c r="H91" s="846">
        <f t="shared" si="18"/>
        <v>1500</v>
      </c>
      <c r="I91" s="1000">
        <f>98430/(10^6)</f>
        <v>9.8430000000000004E-2</v>
      </c>
      <c r="J91" s="1000">
        <f>104430/(10^6)</f>
        <v>0.10443</v>
      </c>
      <c r="K91" s="1000">
        <f>100500/(10^6)</f>
        <v>0.10050000000000001</v>
      </c>
      <c r="L91" s="1000">
        <f>107220/(10^6)</f>
        <v>0.10722</v>
      </c>
      <c r="M91" s="1000">
        <f>103290/(10^6)</f>
        <v>0.10329000000000001</v>
      </c>
      <c r="N91" s="1000">
        <f>96810/(10^6)</f>
        <v>9.6809999999999993E-2</v>
      </c>
      <c r="O91" s="845">
        <f t="shared" si="16"/>
        <v>0.61067999999999989</v>
      </c>
      <c r="P91" s="1000">
        <f>610200/(10^6)</f>
        <v>0.61019999999999996</v>
      </c>
      <c r="Q91" s="845">
        <f t="shared" si="14"/>
        <v>1.1915399999999998</v>
      </c>
      <c r="R91" s="849">
        <f t="shared" si="15"/>
        <v>0.10215534979423867</v>
      </c>
      <c r="S91" s="845">
        <f t="shared" si="17"/>
        <v>2</v>
      </c>
    </row>
    <row r="92" spans="1:19">
      <c r="A92" s="844">
        <v>35</v>
      </c>
      <c r="B92" s="997" t="s">
        <v>1986</v>
      </c>
      <c r="C92" s="844" t="s">
        <v>436</v>
      </c>
      <c r="D92" s="941" t="s">
        <v>408</v>
      </c>
      <c r="E92" s="1001" t="s">
        <v>437</v>
      </c>
      <c r="F92" s="846">
        <v>1000</v>
      </c>
      <c r="G92" s="846">
        <v>0</v>
      </c>
      <c r="H92" s="846">
        <f t="shared" si="18"/>
        <v>1000</v>
      </c>
      <c r="I92" s="1000">
        <f>96460/(10^6)</f>
        <v>9.6460000000000004E-2</v>
      </c>
      <c r="J92" s="1000">
        <f>91860/(10^6)</f>
        <v>9.1859999999999997E-2</v>
      </c>
      <c r="K92" s="1000">
        <f>101400/(10^6)</f>
        <v>0.1014</v>
      </c>
      <c r="L92" s="1000">
        <f>133340/(10^6)</f>
        <v>0.13333999999999999</v>
      </c>
      <c r="M92" s="1000">
        <f>150040/(10^6)</f>
        <v>0.15004000000000001</v>
      </c>
      <c r="N92" s="1000">
        <f>140000/(10^6)</f>
        <v>0.14000000000000001</v>
      </c>
      <c r="O92" s="845">
        <f t="shared" si="16"/>
        <v>0.71309999999999996</v>
      </c>
      <c r="P92" s="1000">
        <f>576360/(10^6)</f>
        <v>0.57635999999999998</v>
      </c>
      <c r="Q92" s="845">
        <f t="shared" si="14"/>
        <v>1.5531000000000001</v>
      </c>
      <c r="R92" s="849">
        <f t="shared" si="15"/>
        <v>0.19972993827160496</v>
      </c>
      <c r="S92" s="845">
        <f t="shared" si="17"/>
        <v>2</v>
      </c>
    </row>
    <row r="93" spans="1:19">
      <c r="A93" s="844">
        <v>36</v>
      </c>
      <c r="B93" s="997" t="s">
        <v>1986</v>
      </c>
      <c r="C93" s="844" t="s">
        <v>481</v>
      </c>
      <c r="D93" s="941" t="s">
        <v>408</v>
      </c>
      <c r="E93" s="1001" t="s">
        <v>437</v>
      </c>
      <c r="F93" s="846">
        <v>4000</v>
      </c>
      <c r="G93" s="846">
        <v>0</v>
      </c>
      <c r="H93" s="846">
        <f t="shared" si="18"/>
        <v>4000</v>
      </c>
      <c r="I93" s="1000">
        <f>787725/(10^6)</f>
        <v>0.78772500000000001</v>
      </c>
      <c r="J93" s="1000">
        <f>852570/(10^6)</f>
        <v>0.85257000000000005</v>
      </c>
      <c r="K93" s="1000">
        <f>870525/(10^6)</f>
        <v>0.87052499999999999</v>
      </c>
      <c r="L93" s="1000">
        <f>876240/(10^6)</f>
        <v>0.87624000000000002</v>
      </c>
      <c r="M93" s="1000">
        <f>831105/(10^6)</f>
        <v>0.83110499999999998</v>
      </c>
      <c r="N93" s="1000">
        <f>775350/(10^6)</f>
        <v>0.77534999999999998</v>
      </c>
      <c r="O93" s="845">
        <f t="shared" si="16"/>
        <v>4.9935150000000004</v>
      </c>
      <c r="P93" s="1000">
        <f>4993470/(10^6)</f>
        <v>4.9934700000000003</v>
      </c>
      <c r="Q93" s="845">
        <f t="shared" si="14"/>
        <v>9.6456149999999994</v>
      </c>
      <c r="R93" s="849">
        <f t="shared" si="15"/>
        <v>0.31010850694444442</v>
      </c>
      <c r="S93" s="845">
        <f t="shared" si="17"/>
        <v>10</v>
      </c>
    </row>
    <row r="94" spans="1:19">
      <c r="A94" s="844">
        <v>37</v>
      </c>
      <c r="B94" s="997" t="s">
        <v>1986</v>
      </c>
      <c r="C94" s="844" t="s">
        <v>482</v>
      </c>
      <c r="D94" s="941" t="s">
        <v>408</v>
      </c>
      <c r="E94" s="1001" t="s">
        <v>437</v>
      </c>
      <c r="F94" s="846">
        <v>1200</v>
      </c>
      <c r="G94" s="846">
        <v>0</v>
      </c>
      <c r="H94" s="846">
        <f t="shared" si="18"/>
        <v>1200</v>
      </c>
      <c r="I94" s="1000">
        <f>84195/(10^6)</f>
        <v>8.4195000000000006E-2</v>
      </c>
      <c r="J94" s="1000">
        <f>84765/(10^6)</f>
        <v>8.4764999999999993E-2</v>
      </c>
      <c r="K94" s="1000">
        <f>118590/(10^6)</f>
        <v>0.11859</v>
      </c>
      <c r="L94" s="1000">
        <f>73890/(10^6)</f>
        <v>7.3889999999999997E-2</v>
      </c>
      <c r="M94" s="1000">
        <f>91470/(10^6)</f>
        <v>9.1469999999999996E-2</v>
      </c>
      <c r="N94" s="1000">
        <f>103125/(10^6)</f>
        <v>0.10312499999999999</v>
      </c>
      <c r="O94" s="845">
        <f t="shared" si="16"/>
        <v>0.55603499999999995</v>
      </c>
      <c r="P94" s="1000">
        <f>555690/(10^6)</f>
        <v>0.55569000000000002</v>
      </c>
      <c r="Q94" s="845">
        <f t="shared" si="14"/>
        <v>1.174785</v>
      </c>
      <c r="R94" s="849">
        <f t="shared" si="15"/>
        <v>0.12589859825102878</v>
      </c>
      <c r="S94" s="845">
        <f t="shared" si="17"/>
        <v>2</v>
      </c>
    </row>
    <row r="95" spans="1:19">
      <c r="A95" s="844">
        <v>38</v>
      </c>
      <c r="B95" s="997" t="s">
        <v>1986</v>
      </c>
      <c r="C95" s="844" t="s">
        <v>483</v>
      </c>
      <c r="D95" s="941" t="s">
        <v>408</v>
      </c>
      <c r="E95" s="1001" t="s">
        <v>437</v>
      </c>
      <c r="F95" s="846">
        <v>1300</v>
      </c>
      <c r="G95" s="846">
        <v>0</v>
      </c>
      <c r="H95" s="846">
        <f t="shared" si="18"/>
        <v>1300</v>
      </c>
      <c r="I95" s="1000">
        <f>364035/(10^6)</f>
        <v>0.364035</v>
      </c>
      <c r="J95" s="1000">
        <f>237195/(10^6)</f>
        <v>0.23719499999999999</v>
      </c>
      <c r="K95" s="1000">
        <f>20775/(10^6)</f>
        <v>2.0774999999999998E-2</v>
      </c>
      <c r="L95" s="1000">
        <f>21885/(10^6)</f>
        <v>2.1885000000000002E-2</v>
      </c>
      <c r="M95" s="1000">
        <f>0/(10^6)</f>
        <v>0</v>
      </c>
      <c r="N95" s="1000">
        <f>0/(10^6)</f>
        <v>0</v>
      </c>
      <c r="O95" s="845">
        <f t="shared" si="16"/>
        <v>0.64388999999999996</v>
      </c>
      <c r="P95" s="1000">
        <f>587925/(10^6)</f>
        <v>0.58792500000000003</v>
      </c>
      <c r="Q95" s="845">
        <f t="shared" si="14"/>
        <v>0.64388999999999996</v>
      </c>
      <c r="R95" s="849">
        <f t="shared" si="15"/>
        <v>6.3695987654320982E-2</v>
      </c>
      <c r="S95" s="845">
        <f t="shared" si="17"/>
        <v>1</v>
      </c>
    </row>
    <row r="96" spans="1:19">
      <c r="A96" s="844">
        <v>39</v>
      </c>
      <c r="B96" s="997" t="s">
        <v>1986</v>
      </c>
      <c r="C96" s="844" t="s">
        <v>484</v>
      </c>
      <c r="D96" s="941" t="s">
        <v>408</v>
      </c>
      <c r="E96" s="1001" t="s">
        <v>437</v>
      </c>
      <c r="F96" s="846">
        <v>1500</v>
      </c>
      <c r="G96" s="846">
        <v>0</v>
      </c>
      <c r="H96" s="846">
        <f t="shared" si="18"/>
        <v>1500</v>
      </c>
      <c r="I96" s="1000">
        <f>201087/(10^6)</f>
        <v>0.20108699999999999</v>
      </c>
      <c r="J96" s="1000">
        <f>205227/(10^6)</f>
        <v>0.20522699999999999</v>
      </c>
      <c r="K96" s="1000">
        <f>254466/(10^6)</f>
        <v>0.25446600000000003</v>
      </c>
      <c r="L96" s="1000">
        <f>209313/(10^6)</f>
        <v>0.209313</v>
      </c>
      <c r="M96" s="1000">
        <f>216486/(10^6)</f>
        <v>0.21648600000000001</v>
      </c>
      <c r="N96" s="1000">
        <f>251577/(10^6)</f>
        <v>0.251577</v>
      </c>
      <c r="O96" s="845">
        <f t="shared" si="16"/>
        <v>1.3381559999999999</v>
      </c>
      <c r="P96" s="1000">
        <f>1318545/(10^6)</f>
        <v>1.3185450000000001</v>
      </c>
      <c r="Q96" s="845">
        <f t="shared" si="14"/>
        <v>2.8476179999999998</v>
      </c>
      <c r="R96" s="849">
        <f t="shared" si="15"/>
        <v>0.24413734567901232</v>
      </c>
      <c r="S96" s="845">
        <f t="shared" si="17"/>
        <v>3</v>
      </c>
    </row>
    <row r="97" spans="1:19">
      <c r="A97" s="844">
        <v>40</v>
      </c>
      <c r="B97" s="997" t="s">
        <v>1986</v>
      </c>
      <c r="C97" s="844" t="s">
        <v>485</v>
      </c>
      <c r="D97" s="941" t="s">
        <v>408</v>
      </c>
      <c r="E97" s="1001" t="s">
        <v>437</v>
      </c>
      <c r="F97" s="846">
        <v>5100</v>
      </c>
      <c r="G97" s="846">
        <v>0</v>
      </c>
      <c r="H97" s="846">
        <f t="shared" si="18"/>
        <v>5100</v>
      </c>
      <c r="I97" s="1000">
        <f>1554780/(10^6)</f>
        <v>1.5547800000000001</v>
      </c>
      <c r="J97" s="1000">
        <f>2698490/(10^6)</f>
        <v>2.6984900000000001</v>
      </c>
      <c r="K97" s="1000">
        <f>2627760/(10^6)</f>
        <v>2.6277599999999999</v>
      </c>
      <c r="L97" s="1000">
        <f>1269480/(10^6)</f>
        <v>1.2694799999999999</v>
      </c>
      <c r="M97" s="1000">
        <f>2885980/(10^6)</f>
        <v>2.88598</v>
      </c>
      <c r="N97" s="1000">
        <f>2639180/(10^6)</f>
        <v>2.6391800000000001</v>
      </c>
      <c r="O97" s="845">
        <f t="shared" si="16"/>
        <v>13.67567</v>
      </c>
      <c r="P97" s="1000">
        <f>13590850/(10^6)</f>
        <v>13.59085</v>
      </c>
      <c r="Q97" s="845">
        <f t="shared" si="14"/>
        <v>29.510750000000002</v>
      </c>
      <c r="R97" s="849">
        <f t="shared" si="15"/>
        <v>0.744138576212378</v>
      </c>
      <c r="S97" s="845">
        <f t="shared" si="17"/>
        <v>31</v>
      </c>
    </row>
    <row r="98" spans="1:19">
      <c r="A98" s="844">
        <v>41</v>
      </c>
      <c r="B98" s="997" t="s">
        <v>1986</v>
      </c>
      <c r="C98" s="844" t="s">
        <v>486</v>
      </c>
      <c r="D98" s="941" t="s">
        <v>408</v>
      </c>
      <c r="E98" s="1001" t="s">
        <v>437</v>
      </c>
      <c r="F98" s="846">
        <v>1200</v>
      </c>
      <c r="G98" s="846">
        <v>0</v>
      </c>
      <c r="H98" s="846">
        <f t="shared" si="18"/>
        <v>1200</v>
      </c>
      <c r="I98" s="1000">
        <f>153135/(10^6)</f>
        <v>0.15313499999999999</v>
      </c>
      <c r="J98" s="1000">
        <f>201051/(10^6)</f>
        <v>0.20105100000000001</v>
      </c>
      <c r="K98" s="1000">
        <f>198711/(10^6)</f>
        <v>0.198711</v>
      </c>
      <c r="L98" s="1000">
        <f>213210/(10^6)</f>
        <v>0.21321000000000001</v>
      </c>
      <c r="M98" s="1000">
        <f>207513/(10^6)</f>
        <v>0.207513</v>
      </c>
      <c r="N98" s="1000">
        <f>216270/(10^6)</f>
        <v>0.21626999999999999</v>
      </c>
      <c r="O98" s="845">
        <f t="shared" si="16"/>
        <v>1.1898899999999999</v>
      </c>
      <c r="P98" s="1000">
        <f>1178541/(10^6)</f>
        <v>1.1785410000000001</v>
      </c>
      <c r="Q98" s="845">
        <f t="shared" si="14"/>
        <v>2.4875099999999999</v>
      </c>
      <c r="R98" s="849">
        <f t="shared" si="15"/>
        <v>0.26657986111111109</v>
      </c>
      <c r="S98" s="845">
        <f t="shared" si="17"/>
        <v>3</v>
      </c>
    </row>
    <row r="99" spans="1:19">
      <c r="A99" s="844">
        <v>42</v>
      </c>
      <c r="B99" s="997" t="s">
        <v>1986</v>
      </c>
      <c r="C99" s="844" t="s">
        <v>487</v>
      </c>
      <c r="D99" s="941" t="s">
        <v>408</v>
      </c>
      <c r="E99" s="1001" t="s">
        <v>437</v>
      </c>
      <c r="F99" s="846">
        <v>3000</v>
      </c>
      <c r="G99" s="846">
        <v>0</v>
      </c>
      <c r="H99" s="846">
        <f t="shared" si="18"/>
        <v>3000</v>
      </c>
      <c r="I99" s="1000">
        <f>1764720/(10^6)</f>
        <v>1.7647200000000001</v>
      </c>
      <c r="J99" s="1000">
        <f>1554412/(10^6)</f>
        <v>1.5544119999999999</v>
      </c>
      <c r="K99" s="1000">
        <f>1528178/(10^6)</f>
        <v>1.528178</v>
      </c>
      <c r="L99" s="1000">
        <f>1581840/(10^6)</f>
        <v>1.5818399999999999</v>
      </c>
      <c r="M99" s="1000">
        <f>1704240/(10^6)</f>
        <v>1.70424</v>
      </c>
      <c r="N99" s="1000">
        <f>1737360/(10^6)</f>
        <v>1.73736</v>
      </c>
      <c r="O99" s="845">
        <f t="shared" si="16"/>
        <v>9.870750000000001</v>
      </c>
      <c r="P99" s="1000">
        <f>9860109/(10^6)</f>
        <v>9.8601089999999996</v>
      </c>
      <c r="Q99" s="845">
        <f t="shared" si="14"/>
        <v>20.294910000000002</v>
      </c>
      <c r="R99" s="849">
        <f t="shared" si="15"/>
        <v>0.8699807098765433</v>
      </c>
      <c r="S99" s="845">
        <f t="shared" si="17"/>
        <v>21</v>
      </c>
    </row>
    <row r="100" spans="1:19">
      <c r="A100" s="844">
        <v>43</v>
      </c>
      <c r="B100" s="997" t="s">
        <v>1986</v>
      </c>
      <c r="C100" s="844" t="s">
        <v>488</v>
      </c>
      <c r="D100" s="941" t="s">
        <v>408</v>
      </c>
      <c r="E100" s="1001" t="s">
        <v>437</v>
      </c>
      <c r="F100" s="846">
        <v>4100</v>
      </c>
      <c r="G100" s="846">
        <v>0</v>
      </c>
      <c r="H100" s="846">
        <f t="shared" si="18"/>
        <v>4100</v>
      </c>
      <c r="I100" s="1000">
        <f>2219700/(10^6)</f>
        <v>2.2197</v>
      </c>
      <c r="J100" s="1000">
        <f>2109660/(10^6)</f>
        <v>2.1096599999999999</v>
      </c>
      <c r="K100" s="1000">
        <f>1866150/(10^6)</f>
        <v>1.86615</v>
      </c>
      <c r="L100" s="1000">
        <f>2003610/(10^6)</f>
        <v>2.0036100000000001</v>
      </c>
      <c r="M100" s="1000">
        <f>2032020/(10^6)</f>
        <v>2.0320200000000002</v>
      </c>
      <c r="N100" s="1000">
        <f>2083320/(10^6)</f>
        <v>2.0833200000000001</v>
      </c>
      <c r="O100" s="845">
        <f t="shared" si="16"/>
        <v>12.31446</v>
      </c>
      <c r="P100" s="1000">
        <f>12090030/(10^6)</f>
        <v>12.09003</v>
      </c>
      <c r="Q100" s="845">
        <f t="shared" si="14"/>
        <v>24.81438</v>
      </c>
      <c r="R100" s="849">
        <f t="shared" si="15"/>
        <v>0.77832919301415238</v>
      </c>
      <c r="S100" s="845">
        <f t="shared" si="17"/>
        <v>26</v>
      </c>
    </row>
    <row r="101" spans="1:19">
      <c r="A101" s="844">
        <v>44</v>
      </c>
      <c r="B101" s="997" t="s">
        <v>1986</v>
      </c>
      <c r="C101" s="844" t="s">
        <v>489</v>
      </c>
      <c r="D101" s="941" t="s">
        <v>408</v>
      </c>
      <c r="E101" s="1001" t="s">
        <v>437</v>
      </c>
      <c r="F101" s="846">
        <v>1000</v>
      </c>
      <c r="G101" s="846">
        <v>0</v>
      </c>
      <c r="H101" s="846">
        <f t="shared" si="18"/>
        <v>1000</v>
      </c>
      <c r="I101" s="1000">
        <f>305172/(10^6)</f>
        <v>0.305172</v>
      </c>
      <c r="J101" s="1000">
        <f>48942/(10^6)</f>
        <v>4.8941999999999999E-2</v>
      </c>
      <c r="K101" s="1000">
        <f>116118/(10^6)</f>
        <v>0.116118</v>
      </c>
      <c r="L101" s="1000">
        <f>43074/(10^6)</f>
        <v>4.3074000000000001E-2</v>
      </c>
      <c r="M101" s="1000">
        <f>285309/(10^6)</f>
        <v>0.28530899999999998</v>
      </c>
      <c r="N101" s="1000">
        <f>229374/(10^6)</f>
        <v>0.22937399999999999</v>
      </c>
      <c r="O101" s="845">
        <f t="shared" si="16"/>
        <v>1.027989</v>
      </c>
      <c r="P101" s="1000">
        <f>1004031/(10^6)</f>
        <v>1.0040309999999999</v>
      </c>
      <c r="Q101" s="845">
        <f t="shared" si="14"/>
        <v>2.4042330000000001</v>
      </c>
      <c r="R101" s="849">
        <f t="shared" si="15"/>
        <v>0.30918634259259259</v>
      </c>
      <c r="S101" s="845">
        <f t="shared" si="17"/>
        <v>3</v>
      </c>
    </row>
    <row r="102" spans="1:19">
      <c r="A102" s="844">
        <v>45</v>
      </c>
      <c r="B102" s="997" t="s">
        <v>1986</v>
      </c>
      <c r="C102" s="844" t="s">
        <v>490</v>
      </c>
      <c r="D102" s="941" t="s">
        <v>408</v>
      </c>
      <c r="E102" s="1001" t="s">
        <v>437</v>
      </c>
      <c r="F102" s="846">
        <v>1000</v>
      </c>
      <c r="G102" s="846">
        <v>0</v>
      </c>
      <c r="H102" s="846">
        <f t="shared" si="18"/>
        <v>1000</v>
      </c>
      <c r="I102" s="1000">
        <f>13644/(10^6)</f>
        <v>1.3644E-2</v>
      </c>
      <c r="J102" s="1000">
        <f>15204/(10^6)</f>
        <v>1.5204000000000001E-2</v>
      </c>
      <c r="K102" s="1000">
        <f>10854/(10^6)</f>
        <v>1.0854000000000001E-2</v>
      </c>
      <c r="L102" s="1000">
        <f>11484/(10^6)</f>
        <v>1.1483999999999999E-2</v>
      </c>
      <c r="M102" s="1000">
        <f>10776/(10^6)</f>
        <v>1.0776000000000001E-2</v>
      </c>
      <c r="N102" s="1000">
        <f>9936/(10^6)</f>
        <v>9.9360000000000004E-3</v>
      </c>
      <c r="O102" s="845">
        <f t="shared" si="16"/>
        <v>7.1898000000000004E-2</v>
      </c>
      <c r="P102" s="1000">
        <f>71646/(10^6)</f>
        <v>7.1646000000000001E-2</v>
      </c>
      <c r="Q102" s="845">
        <f t="shared" si="14"/>
        <v>0.13151400000000002</v>
      </c>
      <c r="R102" s="849">
        <f t="shared" si="15"/>
        <v>1.6912808641975311E-2</v>
      </c>
      <c r="S102" s="845">
        <f t="shared" si="17"/>
        <v>1</v>
      </c>
    </row>
    <row r="103" spans="1:19">
      <c r="A103" s="844">
        <v>46</v>
      </c>
      <c r="B103" s="997" t="s">
        <v>1986</v>
      </c>
      <c r="C103" s="844" t="s">
        <v>491</v>
      </c>
      <c r="D103" s="941" t="s">
        <v>408</v>
      </c>
      <c r="E103" s="1001" t="s">
        <v>437</v>
      </c>
      <c r="F103" s="846">
        <v>1500</v>
      </c>
      <c r="G103" s="846">
        <v>0</v>
      </c>
      <c r="H103" s="846">
        <f t="shared" si="18"/>
        <v>1500</v>
      </c>
      <c r="I103" s="1000">
        <f>594810/(10^6)</f>
        <v>0.59480999999999995</v>
      </c>
      <c r="J103" s="1000">
        <f>592020/(10^6)</f>
        <v>0.59201999999999999</v>
      </c>
      <c r="K103" s="1000">
        <f>619245/(10^6)</f>
        <v>0.61924500000000005</v>
      </c>
      <c r="L103" s="1000">
        <f>212229/(10^6)</f>
        <v>0.212229</v>
      </c>
      <c r="M103" s="1000">
        <f>588042/(10^6)</f>
        <v>0.58804199999999995</v>
      </c>
      <c r="N103" s="1000">
        <f>588906/(10^6)</f>
        <v>0.58890600000000004</v>
      </c>
      <c r="O103" s="845">
        <f t="shared" si="16"/>
        <v>3.1952520000000004</v>
      </c>
      <c r="P103" s="1000">
        <f>3166506/(10^6)</f>
        <v>3.166506</v>
      </c>
      <c r="Q103" s="845">
        <f t="shared" si="14"/>
        <v>6.728688</v>
      </c>
      <c r="R103" s="849">
        <f t="shared" si="15"/>
        <v>0.57687654320987658</v>
      </c>
      <c r="S103" s="845">
        <f t="shared" si="17"/>
        <v>7</v>
      </c>
    </row>
    <row r="104" spans="1:19">
      <c r="A104" s="844">
        <v>47</v>
      </c>
      <c r="B104" s="997" t="s">
        <v>1986</v>
      </c>
      <c r="C104" s="844" t="s">
        <v>492</v>
      </c>
      <c r="D104" s="941" t="s">
        <v>408</v>
      </c>
      <c r="E104" s="1001" t="s">
        <v>437</v>
      </c>
      <c r="F104" s="846">
        <v>9500</v>
      </c>
      <c r="G104" s="846">
        <v>0</v>
      </c>
      <c r="H104" s="846">
        <f t="shared" si="18"/>
        <v>9500</v>
      </c>
      <c r="I104" s="1000">
        <f>6371160/(10^6)</f>
        <v>6.3711599999999997</v>
      </c>
      <c r="J104" s="1000">
        <f>6259080/(10^6)</f>
        <v>6.25908</v>
      </c>
      <c r="K104" s="1000">
        <f>6486360/(10^6)</f>
        <v>6.4863600000000003</v>
      </c>
      <c r="L104" s="1000">
        <f>6190706/(10^6)</f>
        <v>6.1907059999999996</v>
      </c>
      <c r="M104" s="1000">
        <f>6559106/(10^6)</f>
        <v>6.5591059999999999</v>
      </c>
      <c r="N104" s="1000">
        <f>5761586/(10^6)</f>
        <v>5.7615860000000003</v>
      </c>
      <c r="O104" s="845">
        <f t="shared" si="16"/>
        <v>37.627997999999998</v>
      </c>
      <c r="P104" s="1000">
        <f>37395918/(10^6)</f>
        <v>37.395918000000002</v>
      </c>
      <c r="Q104" s="845">
        <f t="shared" si="14"/>
        <v>72.197513999999998</v>
      </c>
      <c r="R104" s="849">
        <f t="shared" si="15"/>
        <v>0.97733260233918129</v>
      </c>
      <c r="S104" s="845">
        <f t="shared" si="17"/>
        <v>75</v>
      </c>
    </row>
    <row r="105" spans="1:19">
      <c r="A105" s="844">
        <v>48</v>
      </c>
      <c r="B105" s="997" t="s">
        <v>1986</v>
      </c>
      <c r="C105" s="844" t="s">
        <v>493</v>
      </c>
      <c r="D105" s="941" t="s">
        <v>408</v>
      </c>
      <c r="E105" s="1001" t="s">
        <v>437</v>
      </c>
      <c r="F105" s="846">
        <v>3500</v>
      </c>
      <c r="G105" s="846">
        <v>0</v>
      </c>
      <c r="H105" s="846">
        <f t="shared" si="18"/>
        <v>3500</v>
      </c>
      <c r="I105" s="1000">
        <f>458685/(10^6)</f>
        <v>0.45868500000000001</v>
      </c>
      <c r="J105" s="1000">
        <f>764505/(10^6)</f>
        <v>0.76450499999999999</v>
      </c>
      <c r="K105" s="1000">
        <f>848588/(10^6)</f>
        <v>0.84858800000000001</v>
      </c>
      <c r="L105" s="1000">
        <f>711585/(10^6)</f>
        <v>0.71158500000000002</v>
      </c>
      <c r="M105" s="1000">
        <f>1334992/(10^6)</f>
        <v>1.334992</v>
      </c>
      <c r="N105" s="1000">
        <f>1388227/(10^6)</f>
        <v>1.3882270000000001</v>
      </c>
      <c r="O105" s="845">
        <f t="shared" si="16"/>
        <v>5.5065819999999999</v>
      </c>
      <c r="P105" s="1000">
        <f>5495018/(10^6)</f>
        <v>5.495018</v>
      </c>
      <c r="Q105" s="845">
        <f t="shared" si="14"/>
        <v>13.835944</v>
      </c>
      <c r="R105" s="849">
        <f t="shared" si="15"/>
        <v>0.50837536743092293</v>
      </c>
      <c r="S105" s="845">
        <f t="shared" si="17"/>
        <v>15</v>
      </c>
    </row>
    <row r="106" spans="1:19">
      <c r="A106" s="844">
        <v>49</v>
      </c>
      <c r="B106" s="997" t="s">
        <v>1986</v>
      </c>
      <c r="C106" s="844" t="s">
        <v>494</v>
      </c>
      <c r="D106" s="941" t="s">
        <v>408</v>
      </c>
      <c r="E106" s="1001" t="s">
        <v>437</v>
      </c>
      <c r="F106" s="846">
        <v>4550</v>
      </c>
      <c r="G106" s="846">
        <v>0</v>
      </c>
      <c r="H106" s="846">
        <f t="shared" si="18"/>
        <v>4550</v>
      </c>
      <c r="I106" s="1000">
        <f>1526687.42/(10^6)</f>
        <v>1.52668742</v>
      </c>
      <c r="J106" s="1000">
        <f>1494961.9/(10^6)</f>
        <v>1.4949618999999998</v>
      </c>
      <c r="K106" s="1000">
        <f>1454904.12/(10^6)</f>
        <v>1.4549041200000001</v>
      </c>
      <c r="L106" s="1000">
        <f>1427493.53/(10^6)</f>
        <v>1.42749353</v>
      </c>
      <c r="M106" s="1000">
        <f>1527442.88/(10^6)</f>
        <v>1.5274428799999999</v>
      </c>
      <c r="N106" s="1000">
        <f>1496802.02/(10^6)</f>
        <v>1.4968020200000001</v>
      </c>
      <c r="O106" s="845">
        <f t="shared" si="16"/>
        <v>8.9282918699999989</v>
      </c>
      <c r="P106" s="1000">
        <f>8900270/(10^6)</f>
        <v>8.9002700000000008</v>
      </c>
      <c r="Q106" s="845">
        <f t="shared" si="14"/>
        <v>17.909103989999998</v>
      </c>
      <c r="R106" s="849">
        <f t="shared" si="15"/>
        <v>0.50618143145434802</v>
      </c>
      <c r="S106" s="845">
        <f t="shared" si="17"/>
        <v>19</v>
      </c>
    </row>
    <row r="107" spans="1:19">
      <c r="A107" s="844">
        <v>50</v>
      </c>
      <c r="B107" s="997" t="s">
        <v>1986</v>
      </c>
      <c r="C107" s="844" t="s">
        <v>495</v>
      </c>
      <c r="D107" s="941" t="s">
        <v>408</v>
      </c>
      <c r="E107" s="1001" t="s">
        <v>437</v>
      </c>
      <c r="F107" s="846">
        <v>1800</v>
      </c>
      <c r="G107" s="846">
        <v>0</v>
      </c>
      <c r="H107" s="846">
        <f t="shared" si="18"/>
        <v>1800</v>
      </c>
      <c r="I107" s="1000">
        <f>308610/(10^6)</f>
        <v>0.30861</v>
      </c>
      <c r="J107" s="1000">
        <f>334440/(10^6)</f>
        <v>0.33444000000000002</v>
      </c>
      <c r="K107" s="1000">
        <f>462480/(10^6)</f>
        <v>0.46248</v>
      </c>
      <c r="L107" s="1000">
        <f>432405/(10^6)</f>
        <v>0.43240499999999998</v>
      </c>
      <c r="M107" s="1000">
        <f>351705/(10^6)</f>
        <v>0.35170499999999999</v>
      </c>
      <c r="N107" s="1000">
        <f>356295/(10^6)</f>
        <v>0.35629499999999997</v>
      </c>
      <c r="O107" s="845">
        <f t="shared" si="16"/>
        <v>2.2459349999999998</v>
      </c>
      <c r="P107" s="1000">
        <f>2239005/(10^6)</f>
        <v>2.2390050000000001</v>
      </c>
      <c r="Q107" s="845">
        <f t="shared" si="14"/>
        <v>4.3837049999999991</v>
      </c>
      <c r="R107" s="849">
        <f t="shared" si="15"/>
        <v>0.31319337277091902</v>
      </c>
      <c r="S107" s="845">
        <f t="shared" si="17"/>
        <v>5</v>
      </c>
    </row>
    <row r="108" spans="1:19">
      <c r="A108" s="844">
        <v>51</v>
      </c>
      <c r="B108" s="997" t="s">
        <v>1986</v>
      </c>
      <c r="C108" s="844" t="s">
        <v>2027</v>
      </c>
      <c r="D108" s="941" t="s">
        <v>408</v>
      </c>
      <c r="E108" s="1001" t="s">
        <v>437</v>
      </c>
      <c r="F108" s="846">
        <v>1700</v>
      </c>
      <c r="G108" s="846">
        <v>0</v>
      </c>
      <c r="H108" s="846">
        <f t="shared" si="18"/>
        <v>1700</v>
      </c>
      <c r="I108" s="1000">
        <f>547569/(10^6)</f>
        <v>0.54756899999999997</v>
      </c>
      <c r="J108" s="1000">
        <f>488376/(10^6)</f>
        <v>0.48837599999999998</v>
      </c>
      <c r="K108" s="1000">
        <f>568467/(10^6)</f>
        <v>0.56846699999999994</v>
      </c>
      <c r="L108" s="1000">
        <f>649926/(10^6)</f>
        <v>0.649926</v>
      </c>
      <c r="M108" s="1000">
        <f>695313/(10^6)</f>
        <v>0.69531299999999996</v>
      </c>
      <c r="N108" s="1000">
        <f>630135/(10^6)</f>
        <v>0.630135</v>
      </c>
      <c r="O108" s="845">
        <f t="shared" si="16"/>
        <v>3.5797859999999999</v>
      </c>
      <c r="P108" s="1000">
        <f>3398859/(10^6)</f>
        <v>3.3988589999999999</v>
      </c>
      <c r="Q108" s="845">
        <f t="shared" si="14"/>
        <v>7.3605959999999993</v>
      </c>
      <c r="R108" s="849">
        <f t="shared" si="15"/>
        <v>0.55681100217864909</v>
      </c>
      <c r="S108" s="845">
        <f t="shared" si="17"/>
        <v>8</v>
      </c>
    </row>
    <row r="109" spans="1:19">
      <c r="A109" s="844">
        <v>52</v>
      </c>
      <c r="B109" s="997" t="s">
        <v>1986</v>
      </c>
      <c r="C109" s="844" t="s">
        <v>2028</v>
      </c>
      <c r="D109" s="941" t="s">
        <v>408</v>
      </c>
      <c r="E109" s="1001" t="s">
        <v>437</v>
      </c>
      <c r="F109" s="846">
        <v>1500</v>
      </c>
      <c r="G109" s="846">
        <v>-500</v>
      </c>
      <c r="H109" s="846">
        <f t="shared" si="18"/>
        <v>1000</v>
      </c>
      <c r="I109" s="1000">
        <f>122058/(10^6)</f>
        <v>0.122058</v>
      </c>
      <c r="J109" s="1000">
        <f>121662/(10^6)</f>
        <v>0.12166200000000001</v>
      </c>
      <c r="K109" s="1000">
        <f>109332/(10^6)</f>
        <v>0.109332</v>
      </c>
      <c r="L109" s="1000">
        <f>110358/(10^6)</f>
        <v>0.110358</v>
      </c>
      <c r="M109" s="1000">
        <f>104868/(10^6)</f>
        <v>0.104868</v>
      </c>
      <c r="N109" s="1000">
        <f>81900/(10^6)</f>
        <v>8.1900000000000001E-2</v>
      </c>
      <c r="O109" s="845">
        <f t="shared" si="16"/>
        <v>0.65017799999999992</v>
      </c>
      <c r="P109" s="1000">
        <f>567621/(10^6)</f>
        <v>0.56762100000000004</v>
      </c>
      <c r="Q109" s="845">
        <f t="shared" si="14"/>
        <v>1.141578</v>
      </c>
      <c r="R109" s="849">
        <f t="shared" si="15"/>
        <v>9.7871913580246911E-2</v>
      </c>
      <c r="S109" s="845">
        <f t="shared" si="17"/>
        <v>2</v>
      </c>
    </row>
    <row r="110" spans="1:19">
      <c r="A110" s="844">
        <v>53</v>
      </c>
      <c r="B110" s="997" t="s">
        <v>1986</v>
      </c>
      <c r="C110" s="844" t="s">
        <v>496</v>
      </c>
      <c r="D110" s="941" t="s">
        <v>408</v>
      </c>
      <c r="E110" s="1001" t="s">
        <v>437</v>
      </c>
      <c r="F110" s="846">
        <v>2700</v>
      </c>
      <c r="G110" s="846">
        <v>0</v>
      </c>
      <c r="H110" s="846">
        <f t="shared" si="18"/>
        <v>2700</v>
      </c>
      <c r="I110" s="1000">
        <f>5535/(10^6)</f>
        <v>5.535E-3</v>
      </c>
      <c r="J110" s="1000">
        <f>5895/(10^6)</f>
        <v>5.8950000000000001E-3</v>
      </c>
      <c r="K110" s="1000">
        <f>1486102/(10^6)</f>
        <v>1.486102</v>
      </c>
      <c r="L110" s="1000">
        <f>1523340/(10^6)</f>
        <v>1.5233399999999999</v>
      </c>
      <c r="M110" s="1000">
        <f>1598063/(10^6)</f>
        <v>1.598063</v>
      </c>
      <c r="N110" s="1000">
        <f>1567912/(10^6)</f>
        <v>1.567912</v>
      </c>
      <c r="O110" s="845">
        <f t="shared" si="16"/>
        <v>6.1868469999999993</v>
      </c>
      <c r="P110" s="1000">
        <f>6138720/(10^6)</f>
        <v>6.1387200000000002</v>
      </c>
      <c r="Q110" s="845">
        <f t="shared" si="14"/>
        <v>15.594318999999999</v>
      </c>
      <c r="R110" s="849">
        <f t="shared" si="15"/>
        <v>0.74275639193720466</v>
      </c>
      <c r="S110" s="845">
        <f t="shared" si="17"/>
        <v>17</v>
      </c>
    </row>
    <row r="111" spans="1:19">
      <c r="A111" s="844">
        <v>54</v>
      </c>
      <c r="B111" s="997" t="s">
        <v>1986</v>
      </c>
      <c r="C111" s="844" t="s">
        <v>497</v>
      </c>
      <c r="D111" s="941" t="s">
        <v>408</v>
      </c>
      <c r="E111" s="1001" t="s">
        <v>437</v>
      </c>
      <c r="F111" s="846">
        <v>3300</v>
      </c>
      <c r="G111" s="846">
        <v>0</v>
      </c>
      <c r="H111" s="846">
        <f t="shared" si="18"/>
        <v>3300</v>
      </c>
      <c r="I111" s="1000">
        <f>879007/(10^6)</f>
        <v>0.87900699999999998</v>
      </c>
      <c r="J111" s="1000">
        <f>1133280/(10^6)</f>
        <v>1.1332800000000001</v>
      </c>
      <c r="K111" s="1000">
        <f>1126710/(10^6)</f>
        <v>1.1267100000000001</v>
      </c>
      <c r="L111" s="1000">
        <f>993690/(10^6)</f>
        <v>0.99368999999999996</v>
      </c>
      <c r="M111" s="1000">
        <f>740722/(10^6)</f>
        <v>0.74072199999999999</v>
      </c>
      <c r="N111" s="1000">
        <f>1236735/(10^6)</f>
        <v>1.2367349999999999</v>
      </c>
      <c r="O111" s="845">
        <f t="shared" si="16"/>
        <v>6.110144</v>
      </c>
      <c r="P111" s="1000">
        <f>5961962/(10^6)</f>
        <v>5.9619619999999998</v>
      </c>
      <c r="Q111" s="845">
        <f t="shared" si="14"/>
        <v>13.530553999999999</v>
      </c>
      <c r="R111" s="849">
        <f t="shared" si="15"/>
        <v>0.52728496383588974</v>
      </c>
      <c r="S111" s="845">
        <f t="shared" si="17"/>
        <v>14</v>
      </c>
    </row>
    <row r="112" spans="1:19">
      <c r="A112" s="844">
        <v>55</v>
      </c>
      <c r="B112" s="997" t="s">
        <v>1986</v>
      </c>
      <c r="C112" s="844" t="s">
        <v>498</v>
      </c>
      <c r="D112" s="941" t="s">
        <v>408</v>
      </c>
      <c r="E112" s="1001" t="s">
        <v>437</v>
      </c>
      <c r="F112" s="846">
        <v>4000</v>
      </c>
      <c r="G112" s="846">
        <v>0</v>
      </c>
      <c r="H112" s="846">
        <f t="shared" si="18"/>
        <v>4000</v>
      </c>
      <c r="I112" s="1000">
        <f>1259190/(10^6)</f>
        <v>1.25919</v>
      </c>
      <c r="J112" s="1000">
        <f>963480/(10^6)</f>
        <v>0.96348</v>
      </c>
      <c r="K112" s="1000">
        <f>1054950/(10^6)</f>
        <v>1.0549500000000001</v>
      </c>
      <c r="L112" s="1000">
        <f>843750/(10^6)</f>
        <v>0.84375</v>
      </c>
      <c r="M112" s="1000">
        <f>1036560/(10^6)</f>
        <v>1.0365599999999999</v>
      </c>
      <c r="N112" s="1000">
        <f>1140120/(10^6)</f>
        <v>1.14012</v>
      </c>
      <c r="O112" s="845">
        <f t="shared" si="16"/>
        <v>6.2980499999999999</v>
      </c>
      <c r="P112" s="1000">
        <f>6214500/(10^6)</f>
        <v>6.2145000000000001</v>
      </c>
      <c r="Q112" s="845">
        <f t="shared" si="14"/>
        <v>13.138770000000001</v>
      </c>
      <c r="R112" s="849">
        <f t="shared" si="15"/>
        <v>0.42241415895061735</v>
      </c>
      <c r="S112" s="845">
        <f t="shared" si="17"/>
        <v>14</v>
      </c>
    </row>
    <row r="113" spans="1:19">
      <c r="A113" s="844">
        <v>56</v>
      </c>
      <c r="B113" s="997" t="s">
        <v>1986</v>
      </c>
      <c r="C113" s="844" t="s">
        <v>499</v>
      </c>
      <c r="D113" s="941" t="s">
        <v>408</v>
      </c>
      <c r="E113" s="1001" t="s">
        <v>437</v>
      </c>
      <c r="F113" s="846">
        <v>3100</v>
      </c>
      <c r="G113" s="846">
        <v>0</v>
      </c>
      <c r="H113" s="846">
        <f t="shared" si="18"/>
        <v>3100</v>
      </c>
      <c r="I113" s="1000">
        <f>1688603/(10^6)</f>
        <v>1.6886030000000001</v>
      </c>
      <c r="J113" s="1000">
        <f>1547595/(10^6)</f>
        <v>1.5475950000000001</v>
      </c>
      <c r="K113" s="1000">
        <f>1637775/(10^6)</f>
        <v>1.637775</v>
      </c>
      <c r="L113" s="1000">
        <f>1186943/(10^6)</f>
        <v>1.1869430000000001</v>
      </c>
      <c r="M113" s="1000">
        <f>1701495/(10^6)</f>
        <v>1.701495</v>
      </c>
      <c r="N113" s="1000">
        <f>1493460/(10^6)</f>
        <v>1.49346</v>
      </c>
      <c r="O113" s="845">
        <f t="shared" si="16"/>
        <v>9.2558710000000008</v>
      </c>
      <c r="P113" s="1000">
        <f>9129714/(10^6)</f>
        <v>9.1297139999999999</v>
      </c>
      <c r="Q113" s="845">
        <f t="shared" si="14"/>
        <v>18.216631</v>
      </c>
      <c r="R113" s="849">
        <f t="shared" si="15"/>
        <v>0.75570120635868843</v>
      </c>
      <c r="S113" s="845">
        <f t="shared" si="17"/>
        <v>19</v>
      </c>
    </row>
    <row r="114" spans="1:19">
      <c r="A114" s="844">
        <v>57</v>
      </c>
      <c r="B114" s="997" t="s">
        <v>1986</v>
      </c>
      <c r="C114" s="844" t="s">
        <v>500</v>
      </c>
      <c r="D114" s="941" t="s">
        <v>408</v>
      </c>
      <c r="E114" s="1001" t="s">
        <v>437</v>
      </c>
      <c r="F114" s="846">
        <v>2000</v>
      </c>
      <c r="G114" s="846">
        <v>0</v>
      </c>
      <c r="H114" s="846">
        <f t="shared" si="18"/>
        <v>2000</v>
      </c>
      <c r="I114" s="1000">
        <f>282840/(10^6)</f>
        <v>0.28283999999999998</v>
      </c>
      <c r="J114" s="1000">
        <f>175155/(10^6)</f>
        <v>0.17515500000000001</v>
      </c>
      <c r="K114" s="1000">
        <f>196845/(10^6)</f>
        <v>0.19684499999999999</v>
      </c>
      <c r="L114" s="1000">
        <f>281640/(10^6)</f>
        <v>0.28164</v>
      </c>
      <c r="M114" s="1000">
        <f>211935/(10^6)</f>
        <v>0.21193500000000001</v>
      </c>
      <c r="N114" s="1000">
        <f>238605/(10^6)</f>
        <v>0.23860500000000001</v>
      </c>
      <c r="O114" s="845">
        <f t="shared" si="16"/>
        <v>1.3870199999999999</v>
      </c>
      <c r="P114" s="1000">
        <f>1351425/(10^6)</f>
        <v>1.3514250000000001</v>
      </c>
      <c r="Q114" s="845">
        <f t="shared" si="14"/>
        <v>2.8186499999999999</v>
      </c>
      <c r="R114" s="849">
        <f t="shared" si="15"/>
        <v>0.18124035493827159</v>
      </c>
      <c r="S114" s="845">
        <f t="shared" si="17"/>
        <v>3</v>
      </c>
    </row>
    <row r="115" spans="1:19">
      <c r="A115" s="844">
        <v>58</v>
      </c>
      <c r="B115" s="997" t="s">
        <v>1986</v>
      </c>
      <c r="C115" s="844" t="s">
        <v>501</v>
      </c>
      <c r="D115" s="941" t="s">
        <v>408</v>
      </c>
      <c r="E115" s="1001" t="s">
        <v>437</v>
      </c>
      <c r="F115" s="846">
        <v>1000</v>
      </c>
      <c r="G115" s="846">
        <v>0</v>
      </c>
      <c r="H115" s="846">
        <f t="shared" si="18"/>
        <v>1000</v>
      </c>
      <c r="I115" s="1000">
        <f>433554/(10^6)</f>
        <v>0.43355399999999999</v>
      </c>
      <c r="J115" s="1000">
        <f>381684/(10^6)</f>
        <v>0.38168400000000002</v>
      </c>
      <c r="K115" s="1000">
        <f>259410/(10^6)</f>
        <v>0.25940999999999997</v>
      </c>
      <c r="L115" s="1000">
        <f>362568/(10^6)</f>
        <v>0.362568</v>
      </c>
      <c r="M115" s="1000">
        <f>395820/(10^6)</f>
        <v>0.39582000000000001</v>
      </c>
      <c r="N115" s="1000">
        <f>411282/(10^6)</f>
        <v>0.41128199999999998</v>
      </c>
      <c r="O115" s="845">
        <f t="shared" si="16"/>
        <v>2.2443180000000003</v>
      </c>
      <c r="P115" s="1000">
        <f>2233200/(10^6)</f>
        <v>2.2332000000000001</v>
      </c>
      <c r="Q115" s="845">
        <f t="shared" si="14"/>
        <v>4.7120100000000003</v>
      </c>
      <c r="R115" s="849">
        <f t="shared" si="15"/>
        <v>0.60596836419753086</v>
      </c>
      <c r="S115" s="845">
        <f t="shared" si="17"/>
        <v>5</v>
      </c>
    </row>
    <row r="116" spans="1:19">
      <c r="A116" s="844">
        <v>59</v>
      </c>
      <c r="B116" s="997" t="s">
        <v>1986</v>
      </c>
      <c r="C116" s="844" t="s">
        <v>502</v>
      </c>
      <c r="D116" s="941" t="s">
        <v>408</v>
      </c>
      <c r="E116" s="1001" t="s">
        <v>437</v>
      </c>
      <c r="F116" s="846">
        <v>3000</v>
      </c>
      <c r="G116" s="846">
        <v>0</v>
      </c>
      <c r="H116" s="846">
        <f t="shared" si="18"/>
        <v>3000</v>
      </c>
      <c r="I116" s="1000">
        <f>380340/(10^6)</f>
        <v>0.38034000000000001</v>
      </c>
      <c r="J116" s="1000">
        <f>469282/(10^6)</f>
        <v>0.46928199999999998</v>
      </c>
      <c r="K116" s="1000">
        <f>612758.04543/(10^6)</f>
        <v>0.61275804543000001</v>
      </c>
      <c r="L116" s="1000">
        <f>480127/(10^6)</f>
        <v>0.48012700000000003</v>
      </c>
      <c r="M116" s="1000">
        <f>598860/(10^6)</f>
        <v>0.59885999999999995</v>
      </c>
      <c r="N116" s="1000">
        <f>504112/(10^6)</f>
        <v>0.504112</v>
      </c>
      <c r="O116" s="845">
        <f t="shared" si="16"/>
        <v>3.04547904543</v>
      </c>
      <c r="P116" s="1000">
        <f>2980980/(10^6)</f>
        <v>2.9809800000000002</v>
      </c>
      <c r="Q116" s="845">
        <f t="shared" si="14"/>
        <v>6.0701510454300003</v>
      </c>
      <c r="R116" s="849">
        <f t="shared" si="15"/>
        <v>0.26020880681712966</v>
      </c>
      <c r="S116" s="845">
        <f t="shared" si="17"/>
        <v>7</v>
      </c>
    </row>
    <row r="117" spans="1:19">
      <c r="A117" s="844">
        <v>60</v>
      </c>
      <c r="B117" s="997" t="s">
        <v>1986</v>
      </c>
      <c r="C117" s="844" t="s">
        <v>503</v>
      </c>
      <c r="D117" s="941" t="s">
        <v>408</v>
      </c>
      <c r="E117" s="1001" t="s">
        <v>437</v>
      </c>
      <c r="F117" s="846">
        <v>3300</v>
      </c>
      <c r="G117" s="846">
        <v>0</v>
      </c>
      <c r="H117" s="846">
        <f t="shared" si="18"/>
        <v>3300</v>
      </c>
      <c r="I117" s="1000">
        <f>904275/(10^6)</f>
        <v>0.90427500000000005</v>
      </c>
      <c r="J117" s="1000">
        <f>1023278/(10^6)</f>
        <v>1.0232779999999999</v>
      </c>
      <c r="K117" s="1000">
        <f>760162/(10^6)</f>
        <v>0.760162</v>
      </c>
      <c r="L117" s="1000">
        <f>1045890/(10^6)</f>
        <v>1.04589</v>
      </c>
      <c r="M117" s="1000">
        <f>1031513/(10^6)</f>
        <v>1.0315129999999999</v>
      </c>
      <c r="N117" s="1000">
        <f>938430/(10^6)</f>
        <v>0.93842999999999999</v>
      </c>
      <c r="O117" s="845">
        <f t="shared" si="16"/>
        <v>5.7035479999999996</v>
      </c>
      <c r="P117" s="1000">
        <f>5511668/(10^6)</f>
        <v>5.5116680000000002</v>
      </c>
      <c r="Q117" s="845">
        <f t="shared" si="14"/>
        <v>11.334128</v>
      </c>
      <c r="R117" s="849">
        <f t="shared" si="15"/>
        <v>0.44169036039406412</v>
      </c>
      <c r="S117" s="845">
        <f t="shared" si="17"/>
        <v>12</v>
      </c>
    </row>
    <row r="118" spans="1:19" ht="16.5" customHeight="1">
      <c r="A118" s="844">
        <v>61</v>
      </c>
      <c r="B118" s="997" t="s">
        <v>1986</v>
      </c>
      <c r="C118" s="844" t="s">
        <v>2029</v>
      </c>
      <c r="D118" s="941" t="s">
        <v>408</v>
      </c>
      <c r="E118" s="1001" t="s">
        <v>437</v>
      </c>
      <c r="F118" s="846">
        <v>3100</v>
      </c>
      <c r="G118" s="846">
        <v>0</v>
      </c>
      <c r="H118" s="846">
        <f t="shared" si="18"/>
        <v>3100</v>
      </c>
      <c r="I118" s="1000">
        <f>1671727/(10^6)</f>
        <v>1.671727</v>
      </c>
      <c r="J118" s="1000">
        <f>1381860/(10^6)</f>
        <v>1.3818600000000001</v>
      </c>
      <c r="K118" s="1000">
        <f>1500795/(10^6)</f>
        <v>1.5007950000000001</v>
      </c>
      <c r="L118" s="1000">
        <f>96863/(10^6)</f>
        <v>9.6863000000000005E-2</v>
      </c>
      <c r="M118" s="1000">
        <f>1556483/(10^6)</f>
        <v>1.5564830000000001</v>
      </c>
      <c r="N118" s="1000">
        <f>2017912/(10^6)</f>
        <v>2.0179119999999999</v>
      </c>
      <c r="O118" s="845">
        <f t="shared" si="16"/>
        <v>8.2256400000000003</v>
      </c>
      <c r="P118" s="1000">
        <f>8101192/(10^6)</f>
        <v>8.1011919999999993</v>
      </c>
      <c r="Q118" s="845">
        <f t="shared" si="14"/>
        <v>20.333112</v>
      </c>
      <c r="R118" s="849">
        <f t="shared" si="15"/>
        <v>0.84350159299084038</v>
      </c>
      <c r="S118" s="845">
        <f t="shared" si="17"/>
        <v>21</v>
      </c>
    </row>
    <row r="119" spans="1:19" ht="16.5" customHeight="1">
      <c r="A119" s="844">
        <v>62</v>
      </c>
      <c r="B119" s="997" t="s">
        <v>1986</v>
      </c>
      <c r="C119" s="844" t="s">
        <v>2030</v>
      </c>
      <c r="D119" s="941" t="s">
        <v>408</v>
      </c>
      <c r="E119" s="1001" t="s">
        <v>437</v>
      </c>
      <c r="F119" s="846">
        <v>100</v>
      </c>
      <c r="G119" s="846">
        <v>1400</v>
      </c>
      <c r="H119" s="846">
        <f t="shared" si="18"/>
        <v>1500</v>
      </c>
      <c r="I119" s="1000">
        <f>22158/(10^6)</f>
        <v>2.2158000000000001E-2</v>
      </c>
      <c r="J119" s="1000">
        <f>32166/(10^6)</f>
        <v>3.2166E-2</v>
      </c>
      <c r="K119" s="1000">
        <f>0/(10^6)</f>
        <v>0</v>
      </c>
      <c r="L119" s="1000">
        <f>44271/(10^6)</f>
        <v>4.4270999999999998E-2</v>
      </c>
      <c r="M119" s="1000">
        <f>96750/(10^6)</f>
        <v>9.6750000000000003E-2</v>
      </c>
      <c r="N119" s="1000">
        <f>60714/(10^6)</f>
        <v>6.0713999999999997E-2</v>
      </c>
      <c r="O119" s="845">
        <f t="shared" si="16"/>
        <v>0.25605899999999998</v>
      </c>
      <c r="P119" s="1000">
        <f>211370/(10^6)</f>
        <v>0.21137</v>
      </c>
      <c r="Q119" s="845">
        <f t="shared" si="14"/>
        <v>0.62034299999999998</v>
      </c>
      <c r="R119" s="849">
        <f t="shared" si="15"/>
        <v>0.79776620370370377</v>
      </c>
      <c r="S119" s="845">
        <f t="shared" si="17"/>
        <v>1</v>
      </c>
    </row>
    <row r="120" spans="1:19" ht="16.5" customHeight="1">
      <c r="A120" s="844">
        <v>63</v>
      </c>
      <c r="B120" s="997" t="s">
        <v>2000</v>
      </c>
      <c r="C120" s="844" t="s">
        <v>504</v>
      </c>
      <c r="D120" s="941" t="s">
        <v>408</v>
      </c>
      <c r="E120" s="1001" t="s">
        <v>437</v>
      </c>
      <c r="F120" s="846">
        <v>4000</v>
      </c>
      <c r="G120" s="846">
        <v>0</v>
      </c>
      <c r="H120" s="846">
        <f t="shared" si="18"/>
        <v>4000</v>
      </c>
      <c r="I120" s="1000">
        <f>1487250/(10^6)</f>
        <v>1.48725</v>
      </c>
      <c r="J120" s="1000">
        <f>1411290/(10^6)</f>
        <v>1.4112899999999999</v>
      </c>
      <c r="K120" s="1000">
        <f>1438492/(10^6)</f>
        <v>1.4384920000000001</v>
      </c>
      <c r="L120" s="1000">
        <f>1394663/(10^6)</f>
        <v>1.394663</v>
      </c>
      <c r="M120" s="1000">
        <f>1576598/(10^6)</f>
        <v>1.5765979999999999</v>
      </c>
      <c r="N120" s="1000">
        <f>1568813/(10^6)</f>
        <v>1.568813</v>
      </c>
      <c r="O120" s="845">
        <f t="shared" ref="O120:O170" si="19">SUM(I120:N120)</f>
        <v>8.8771059999999995</v>
      </c>
      <c r="P120" s="1000">
        <f>8640270/(10^6)</f>
        <v>8.6402699999999992</v>
      </c>
      <c r="Q120" s="845">
        <f t="shared" ref="Q120:Q157" si="20">O120+N120*6</f>
        <v>18.289983999999997</v>
      </c>
      <c r="R120" s="849">
        <f t="shared" ref="R120:R156" si="21">Q120/((F120*24*30*12*0.9)/1000000)</f>
        <v>0.58802674897119334</v>
      </c>
      <c r="S120" s="845">
        <f t="shared" si="17"/>
        <v>19</v>
      </c>
    </row>
    <row r="121" spans="1:19" ht="16.5" customHeight="1">
      <c r="A121" s="844">
        <v>64</v>
      </c>
      <c r="B121" s="997" t="s">
        <v>2000</v>
      </c>
      <c r="C121" s="844" t="s">
        <v>505</v>
      </c>
      <c r="D121" s="941" t="s">
        <v>408</v>
      </c>
      <c r="E121" s="1001" t="s">
        <v>437</v>
      </c>
      <c r="F121" s="846">
        <v>2800</v>
      </c>
      <c r="G121" s="846">
        <v>0</v>
      </c>
      <c r="H121" s="846">
        <f t="shared" si="18"/>
        <v>2800</v>
      </c>
      <c r="I121" s="1000">
        <f>150160.69/(10^6)</f>
        <v>0.15016069000000001</v>
      </c>
      <c r="J121" s="1000">
        <f>129679.02/(10^6)</f>
        <v>0.12967902000000001</v>
      </c>
      <c r="K121" s="1000">
        <f>124312.31/(10^6)</f>
        <v>0.12431231</v>
      </c>
      <c r="L121" s="1000">
        <f>194735.22/(10^6)</f>
        <v>0.19473522000000001</v>
      </c>
      <c r="M121" s="1000">
        <f>320134.59/(10^6)</f>
        <v>0.32013459000000005</v>
      </c>
      <c r="N121" s="1000">
        <f>123450.93/(10^6)</f>
        <v>0.12345092999999999</v>
      </c>
      <c r="O121" s="845">
        <f t="shared" si="19"/>
        <v>1.0424727600000001</v>
      </c>
      <c r="P121" s="1000">
        <f>960040/(10^6)</f>
        <v>0.96004</v>
      </c>
      <c r="Q121" s="845">
        <f t="shared" si="20"/>
        <v>1.7831783400000001</v>
      </c>
      <c r="R121" s="849">
        <f t="shared" si="21"/>
        <v>8.1899357914462081E-2</v>
      </c>
      <c r="S121" s="845">
        <f t="shared" ref="S121:S157" si="22">ROUNDUP(Q121*1.03,0)</f>
        <v>2</v>
      </c>
    </row>
    <row r="122" spans="1:19" ht="16.5" customHeight="1">
      <c r="A122" s="844">
        <v>65</v>
      </c>
      <c r="B122" s="997" t="s">
        <v>2000</v>
      </c>
      <c r="C122" s="844" t="s">
        <v>506</v>
      </c>
      <c r="D122" s="941" t="s">
        <v>408</v>
      </c>
      <c r="E122" s="1001" t="s">
        <v>437</v>
      </c>
      <c r="F122" s="846">
        <v>5500</v>
      </c>
      <c r="G122" s="846">
        <v>0</v>
      </c>
      <c r="H122" s="846">
        <f t="shared" ref="H122:H170" si="23">F122+G122</f>
        <v>5500</v>
      </c>
      <c r="I122" s="1000">
        <f>30580/(10^6)</f>
        <v>3.058E-2</v>
      </c>
      <c r="J122" s="1000">
        <f>21980/(10^6)</f>
        <v>2.198E-2</v>
      </c>
      <c r="K122" s="1000">
        <f>76760/(10^6)</f>
        <v>7.6759999999999995E-2</v>
      </c>
      <c r="L122" s="1000">
        <f>10340/(10^6)</f>
        <v>1.034E-2</v>
      </c>
      <c r="M122" s="1000">
        <f>21960/(10^6)</f>
        <v>2.196E-2</v>
      </c>
      <c r="N122" s="1000">
        <f>12401.31/(10^6)</f>
        <v>1.2401309999999999E-2</v>
      </c>
      <c r="O122" s="845">
        <f t="shared" si="19"/>
        <v>0.17402130999999998</v>
      </c>
      <c r="P122" s="1000">
        <f>77260/(10^6)</f>
        <v>7.7259999999999995E-2</v>
      </c>
      <c r="Q122" s="845">
        <f t="shared" si="20"/>
        <v>0.24842916999999998</v>
      </c>
      <c r="R122" s="849">
        <f t="shared" si="21"/>
        <v>5.8087628600823043E-3</v>
      </c>
      <c r="S122" s="845">
        <f t="shared" si="22"/>
        <v>1</v>
      </c>
    </row>
    <row r="123" spans="1:19">
      <c r="A123" s="844">
        <v>66</v>
      </c>
      <c r="B123" s="997" t="s">
        <v>2000</v>
      </c>
      <c r="C123" s="844" t="s">
        <v>507</v>
      </c>
      <c r="D123" s="941" t="s">
        <v>408</v>
      </c>
      <c r="E123" s="1001" t="s">
        <v>437</v>
      </c>
      <c r="F123" s="846">
        <v>18000</v>
      </c>
      <c r="G123" s="846">
        <v>0</v>
      </c>
      <c r="H123" s="846">
        <f t="shared" si="23"/>
        <v>18000</v>
      </c>
      <c r="I123" s="1000">
        <f>7734360/(10^6)</f>
        <v>7.7343599999999997</v>
      </c>
      <c r="J123" s="1000">
        <f>7738200/(10^6)</f>
        <v>7.7382</v>
      </c>
      <c r="K123" s="1000">
        <f>8051520/(10^6)</f>
        <v>8.05152</v>
      </c>
      <c r="L123" s="1000">
        <f>8104200/(10^6)</f>
        <v>8.1042000000000005</v>
      </c>
      <c r="M123" s="1000">
        <f>10630560/(10^6)</f>
        <v>10.630559999999999</v>
      </c>
      <c r="N123" s="1000">
        <f>8272920/(10^6)</f>
        <v>8.2729199999999992</v>
      </c>
      <c r="O123" s="845">
        <f t="shared" si="19"/>
        <v>50.531759999999991</v>
      </c>
      <c r="P123" s="1000">
        <f>50500200/(10^6)</f>
        <v>50.5002</v>
      </c>
      <c r="Q123" s="845">
        <f t="shared" si="20"/>
        <v>100.16927999999999</v>
      </c>
      <c r="R123" s="849">
        <f t="shared" si="21"/>
        <v>0.71565843621399172</v>
      </c>
      <c r="S123" s="845">
        <f t="shared" si="22"/>
        <v>104</v>
      </c>
    </row>
    <row r="124" spans="1:19">
      <c r="A124" s="844">
        <v>67</v>
      </c>
      <c r="B124" s="997" t="s">
        <v>2000</v>
      </c>
      <c r="C124" s="844" t="s">
        <v>508</v>
      </c>
      <c r="D124" s="941" t="s">
        <v>408</v>
      </c>
      <c r="E124" s="1001" t="s">
        <v>437</v>
      </c>
      <c r="F124" s="846">
        <v>2700</v>
      </c>
      <c r="G124" s="846">
        <v>0</v>
      </c>
      <c r="H124" s="846">
        <f t="shared" si="23"/>
        <v>2700</v>
      </c>
      <c r="I124" s="1000">
        <f>849192.88/(10^6)</f>
        <v>0.84919288000000004</v>
      </c>
      <c r="J124" s="1000">
        <f>670622.85/(10^6)</f>
        <v>0.67062284999999999</v>
      </c>
      <c r="K124" s="1000">
        <f>1043633.24/(10^6)</f>
        <v>1.0436332399999999</v>
      </c>
      <c r="L124" s="1000">
        <f>775996.86/(10^6)</f>
        <v>0.77599686000000001</v>
      </c>
      <c r="M124" s="1000">
        <f>1069632.73/(10^6)</f>
        <v>1.0696327299999999</v>
      </c>
      <c r="N124" s="1000">
        <f>1104572.92/(10^6)</f>
        <v>1.1045729199999998</v>
      </c>
      <c r="O124" s="845">
        <f t="shared" si="19"/>
        <v>5.5136514799999992</v>
      </c>
      <c r="P124" s="1000">
        <f>5480708/(10^6)</f>
        <v>5.4807079999999999</v>
      </c>
      <c r="Q124" s="845">
        <f t="shared" si="20"/>
        <v>12.141088999999997</v>
      </c>
      <c r="R124" s="849">
        <f t="shared" si="21"/>
        <v>0.57827927335771967</v>
      </c>
      <c r="S124" s="845">
        <f t="shared" si="22"/>
        <v>13</v>
      </c>
    </row>
    <row r="125" spans="1:19" ht="16.5" customHeight="1">
      <c r="A125" s="844">
        <v>68</v>
      </c>
      <c r="B125" s="997" t="s">
        <v>1986</v>
      </c>
      <c r="C125" s="844" t="s">
        <v>2031</v>
      </c>
      <c r="D125" s="941" t="s">
        <v>408</v>
      </c>
      <c r="E125" s="941" t="s">
        <v>437</v>
      </c>
      <c r="F125" s="846">
        <v>2600</v>
      </c>
      <c r="G125" s="846">
        <v>400</v>
      </c>
      <c r="H125" s="846">
        <f t="shared" si="23"/>
        <v>3000</v>
      </c>
      <c r="I125" s="1000">
        <f>880997/(10^6)</f>
        <v>0.88099700000000003</v>
      </c>
      <c r="J125" s="1000">
        <f>1632397/(10^6)</f>
        <v>1.6323970000000001</v>
      </c>
      <c r="K125" s="1000">
        <f>1221296.464/(10^6)</f>
        <v>1.2212964639999999</v>
      </c>
      <c r="L125" s="1000">
        <f>1731141.344/(10^6)</f>
        <v>1.7311413440000001</v>
      </c>
      <c r="M125" s="1000">
        <f>3222501.056/(10^6)</f>
        <v>3.222501056</v>
      </c>
      <c r="N125" s="1000">
        <f>2972454.76/(10^6)</f>
        <v>2.9724547599999998</v>
      </c>
      <c r="O125" s="845">
        <f t="shared" si="19"/>
        <v>11.660787623999999</v>
      </c>
      <c r="P125" s="1000">
        <f>11919220.1603088/(10^6)</f>
        <v>11.9192201603088</v>
      </c>
      <c r="Q125" s="845">
        <f t="shared" si="20"/>
        <v>29.495516183999996</v>
      </c>
      <c r="R125" s="849">
        <f t="shared" si="21"/>
        <v>1.4589029451566948</v>
      </c>
      <c r="S125" s="845">
        <f t="shared" si="22"/>
        <v>31</v>
      </c>
    </row>
    <row r="126" spans="1:19" ht="16.5" customHeight="1">
      <c r="A126" s="844">
        <v>69</v>
      </c>
      <c r="B126" s="997" t="s">
        <v>1997</v>
      </c>
      <c r="C126" s="844" t="s">
        <v>509</v>
      </c>
      <c r="D126" s="941" t="s">
        <v>2076</v>
      </c>
      <c r="E126" s="1001" t="s">
        <v>437</v>
      </c>
      <c r="F126" s="846">
        <v>43500</v>
      </c>
      <c r="G126" s="846">
        <v>0</v>
      </c>
      <c r="H126" s="846">
        <f t="shared" si="23"/>
        <v>43500</v>
      </c>
      <c r="I126" s="1000">
        <f>27715500/(10^6)</f>
        <v>27.715499999999999</v>
      </c>
      <c r="J126" s="1000">
        <f>26510130/(10^6)</f>
        <v>26.51013</v>
      </c>
      <c r="K126" s="1000">
        <f>27681410/(10^6)</f>
        <v>27.68141</v>
      </c>
      <c r="L126" s="1000">
        <f>25227430/(10^6)</f>
        <v>25.227429999999998</v>
      </c>
      <c r="M126" s="1000">
        <f>27378490/(10^6)</f>
        <v>27.378489999999999</v>
      </c>
      <c r="N126" s="1000">
        <f>27956320/(10^6)</f>
        <v>27.956320000000002</v>
      </c>
      <c r="O126" s="845">
        <f t="shared" si="19"/>
        <v>162.46928</v>
      </c>
      <c r="P126" s="1000">
        <f>162278250/(10^6)</f>
        <v>162.27825000000001</v>
      </c>
      <c r="Q126" s="845">
        <f t="shared" si="20"/>
        <v>330.2072</v>
      </c>
      <c r="R126" s="849">
        <f t="shared" si="21"/>
        <v>0.97620500449363801</v>
      </c>
      <c r="S126" s="845">
        <f t="shared" si="22"/>
        <v>341</v>
      </c>
    </row>
    <row r="127" spans="1:19" ht="16.5" customHeight="1">
      <c r="A127" s="844">
        <v>70</v>
      </c>
      <c r="B127" s="997" t="s">
        <v>1986</v>
      </c>
      <c r="C127" s="844" t="s">
        <v>510</v>
      </c>
      <c r="D127" s="941" t="s">
        <v>2076</v>
      </c>
      <c r="E127" s="1001" t="s">
        <v>437</v>
      </c>
      <c r="F127" s="846">
        <v>6000</v>
      </c>
      <c r="G127" s="846">
        <v>0</v>
      </c>
      <c r="H127" s="846">
        <f t="shared" si="23"/>
        <v>6000</v>
      </c>
      <c r="I127" s="1000">
        <f>2125800/(10^6)</f>
        <v>2.1257999999999999</v>
      </c>
      <c r="J127" s="1000">
        <f>2148300/(10^6)</f>
        <v>2.1482999999999999</v>
      </c>
      <c r="K127" s="1000">
        <f>2185515/(10^6)</f>
        <v>2.1855150000000001</v>
      </c>
      <c r="L127" s="1000">
        <f>2098305/(10^6)</f>
        <v>2.0983049999999999</v>
      </c>
      <c r="M127" s="1000">
        <f>2144790/(10^6)</f>
        <v>2.14479</v>
      </c>
      <c r="N127" s="1000">
        <f>2179665/(10^6)</f>
        <v>2.179665</v>
      </c>
      <c r="O127" s="845">
        <f t="shared" si="19"/>
        <v>12.882375</v>
      </c>
      <c r="P127" s="1000">
        <f>12517740/(10^6)</f>
        <v>12.51774</v>
      </c>
      <c r="Q127" s="845">
        <f t="shared" si="20"/>
        <v>25.960364999999999</v>
      </c>
      <c r="R127" s="849">
        <f t="shared" si="21"/>
        <v>0.5564207175925926</v>
      </c>
      <c r="S127" s="845">
        <f t="shared" si="22"/>
        <v>27</v>
      </c>
    </row>
    <row r="128" spans="1:19" ht="16.5" customHeight="1">
      <c r="A128" s="844">
        <v>71</v>
      </c>
      <c r="B128" s="997" t="s">
        <v>1986</v>
      </c>
      <c r="C128" s="844" t="s">
        <v>2032</v>
      </c>
      <c r="D128" s="941" t="s">
        <v>2076</v>
      </c>
      <c r="E128" s="1001" t="s">
        <v>437</v>
      </c>
      <c r="F128" s="846">
        <v>2500</v>
      </c>
      <c r="G128" s="846">
        <v>0</v>
      </c>
      <c r="H128" s="846">
        <f t="shared" si="23"/>
        <v>2500</v>
      </c>
      <c r="I128" s="1000">
        <f>584550/(10^6)</f>
        <v>0.58455000000000001</v>
      </c>
      <c r="J128" s="1000">
        <f>425160/(10^6)</f>
        <v>0.42515999999999998</v>
      </c>
      <c r="K128" s="1000">
        <f>371160/(10^6)</f>
        <v>0.37115999999999999</v>
      </c>
      <c r="L128" s="1000">
        <f>499410/(10^6)</f>
        <v>0.49941000000000002</v>
      </c>
      <c r="M128" s="1000">
        <f>415260/(10^6)</f>
        <v>0.41526000000000002</v>
      </c>
      <c r="N128" s="1000">
        <f>419535/(10^6)</f>
        <v>0.41953499999999999</v>
      </c>
      <c r="O128" s="845">
        <f t="shared" si="19"/>
        <v>2.7150749999999997</v>
      </c>
      <c r="P128" s="1000">
        <f>2661345/(10^6)</f>
        <v>2.6613449999999998</v>
      </c>
      <c r="Q128" s="845">
        <f t="shared" si="20"/>
        <v>5.2322849999999992</v>
      </c>
      <c r="R128" s="849">
        <f t="shared" si="21"/>
        <v>0.26915046296296291</v>
      </c>
      <c r="S128" s="845">
        <f t="shared" si="22"/>
        <v>6</v>
      </c>
    </row>
    <row r="129" spans="1:19" ht="16.5" customHeight="1">
      <c r="A129" s="844">
        <v>72</v>
      </c>
      <c r="B129" s="997" t="s">
        <v>1986</v>
      </c>
      <c r="C129" s="844" t="s">
        <v>511</v>
      </c>
      <c r="D129" s="941" t="s">
        <v>2076</v>
      </c>
      <c r="E129" s="1001" t="s">
        <v>437</v>
      </c>
      <c r="F129" s="846">
        <v>2850</v>
      </c>
      <c r="G129" s="846">
        <v>0</v>
      </c>
      <c r="H129" s="846">
        <f t="shared" si="23"/>
        <v>2850</v>
      </c>
      <c r="I129" s="1000">
        <f>1625648/(10^6)</f>
        <v>1.625648</v>
      </c>
      <c r="J129" s="1000">
        <f>1557990/(10^6)</f>
        <v>1.55799</v>
      </c>
      <c r="K129" s="1000">
        <f>1645852/(10^6)</f>
        <v>1.6458520000000001</v>
      </c>
      <c r="L129" s="1000">
        <f>1505160/(10^6)</f>
        <v>1.5051600000000001</v>
      </c>
      <c r="M129" s="1000">
        <f>1641082/(10^6)</f>
        <v>1.6410819999999999</v>
      </c>
      <c r="N129" s="1000">
        <f>1555875/(10^6)</f>
        <v>1.5558749999999999</v>
      </c>
      <c r="O129" s="845">
        <f t="shared" si="19"/>
        <v>9.5316069999999993</v>
      </c>
      <c r="P129" s="1000">
        <f>9044864/(10^6)</f>
        <v>9.0448640000000005</v>
      </c>
      <c r="Q129" s="845">
        <f t="shared" si="20"/>
        <v>18.866856999999996</v>
      </c>
      <c r="R129" s="849">
        <f>Q129/((H129*24*30*12*0.9)/1000000)</f>
        <v>0.85133099595697048</v>
      </c>
      <c r="S129" s="845">
        <f t="shared" si="22"/>
        <v>20</v>
      </c>
    </row>
    <row r="130" spans="1:19" ht="16.5" customHeight="1">
      <c r="A130" s="844">
        <v>73</v>
      </c>
      <c r="B130" s="997" t="s">
        <v>1986</v>
      </c>
      <c r="C130" s="844" t="s">
        <v>2033</v>
      </c>
      <c r="D130" s="941" t="s">
        <v>2076</v>
      </c>
      <c r="E130" s="1001" t="s">
        <v>437</v>
      </c>
      <c r="F130" s="846">
        <v>4900</v>
      </c>
      <c r="G130" s="846">
        <v>0</v>
      </c>
      <c r="H130" s="846">
        <f t="shared" si="23"/>
        <v>4900</v>
      </c>
      <c r="I130" s="1000">
        <f>9360/(10^6)</f>
        <v>9.3600000000000003E-3</v>
      </c>
      <c r="J130" s="1000">
        <f>12330/(10^6)</f>
        <v>1.2330000000000001E-2</v>
      </c>
      <c r="K130" s="1000">
        <f>14220/(10^6)</f>
        <v>1.422E-2</v>
      </c>
      <c r="L130" s="1000">
        <f>175530/(10^6)</f>
        <v>0.17552999999999999</v>
      </c>
      <c r="M130" s="1000">
        <f>2250690/(10^6)</f>
        <v>2.2506900000000001</v>
      </c>
      <c r="N130" s="1000">
        <f>323370/(10^6)</f>
        <v>0.32336999999999999</v>
      </c>
      <c r="O130" s="845">
        <f t="shared" si="19"/>
        <v>2.7855000000000003</v>
      </c>
      <c r="P130" s="1000">
        <f>2679720/(10^6)</f>
        <v>2.6797200000000001</v>
      </c>
      <c r="Q130" s="845">
        <f t="shared" si="20"/>
        <v>4.7257200000000008</v>
      </c>
      <c r="R130" s="849">
        <f t="shared" si="21"/>
        <v>0.1240268329554044</v>
      </c>
      <c r="S130" s="845">
        <f t="shared" si="22"/>
        <v>5</v>
      </c>
    </row>
    <row r="131" spans="1:19" ht="16.5" customHeight="1">
      <c r="A131" s="844">
        <v>74</v>
      </c>
      <c r="B131" s="997" t="s">
        <v>1986</v>
      </c>
      <c r="C131" s="844" t="s">
        <v>2034</v>
      </c>
      <c r="D131" s="941" t="s">
        <v>2076</v>
      </c>
      <c r="E131" s="1001" t="s">
        <v>437</v>
      </c>
      <c r="F131" s="846">
        <v>700</v>
      </c>
      <c r="G131" s="846">
        <v>2600</v>
      </c>
      <c r="H131" s="846">
        <f t="shared" si="23"/>
        <v>3300</v>
      </c>
      <c r="I131" s="1000">
        <f>294570/(10^6)</f>
        <v>0.29457</v>
      </c>
      <c r="J131" s="1000">
        <f>288135/(10^6)</f>
        <v>0.28813499999999997</v>
      </c>
      <c r="K131" s="1000">
        <f>296888/(10^6)</f>
        <v>0.29688799999999999</v>
      </c>
      <c r="L131" s="1000">
        <f>248603/(10^6)</f>
        <v>0.24860299999999999</v>
      </c>
      <c r="M131" s="1000">
        <f>1516680/(10^6)</f>
        <v>1.51668</v>
      </c>
      <c r="N131" s="1000">
        <f>1662053/(10^6)</f>
        <v>1.662053</v>
      </c>
      <c r="O131" s="845">
        <f t="shared" si="19"/>
        <v>4.3069290000000002</v>
      </c>
      <c r="P131" s="1000">
        <f>4236031/(10^6)</f>
        <v>4.2360309999999997</v>
      </c>
      <c r="Q131" s="845">
        <f t="shared" si="20"/>
        <v>14.279247</v>
      </c>
      <c r="R131" s="849">
        <f t="shared" si="21"/>
        <v>2.6233184523809525</v>
      </c>
      <c r="S131" s="845">
        <f t="shared" si="22"/>
        <v>15</v>
      </c>
    </row>
    <row r="132" spans="1:19" ht="16.5" customHeight="1">
      <c r="A132" s="844">
        <v>75</v>
      </c>
      <c r="B132" s="997" t="s">
        <v>1986</v>
      </c>
      <c r="C132" s="844" t="s">
        <v>512</v>
      </c>
      <c r="D132" s="941" t="s">
        <v>2076</v>
      </c>
      <c r="E132" s="1001" t="s">
        <v>437</v>
      </c>
      <c r="F132" s="846">
        <v>15000</v>
      </c>
      <c r="G132" s="846">
        <v>0</v>
      </c>
      <c r="H132" s="846">
        <f t="shared" si="23"/>
        <v>15000</v>
      </c>
      <c r="I132" s="1000">
        <f>7843037/(10^6)</f>
        <v>7.8430369999999998</v>
      </c>
      <c r="J132" s="1000">
        <f>6886320/(10^6)</f>
        <v>6.8863200000000004</v>
      </c>
      <c r="K132" s="1000">
        <f>7061520/(10^6)</f>
        <v>7.0615199999999998</v>
      </c>
      <c r="L132" s="1000">
        <f>7085520/(10^6)</f>
        <v>7.0855199999999998</v>
      </c>
      <c r="M132" s="1000">
        <f>7386720/(10^6)</f>
        <v>7.3867200000000004</v>
      </c>
      <c r="N132" s="1000">
        <f>6852480/(10^6)</f>
        <v>6.8524799999999999</v>
      </c>
      <c r="O132" s="845">
        <f t="shared" si="19"/>
        <v>43.115597000000001</v>
      </c>
      <c r="P132" s="1000">
        <f>40124640/(10^6)</f>
        <v>40.124639999999999</v>
      </c>
      <c r="Q132" s="845">
        <f t="shared" si="20"/>
        <v>84.230477000000008</v>
      </c>
      <c r="R132" s="849">
        <f t="shared" si="21"/>
        <v>0.72214057784636498</v>
      </c>
      <c r="S132" s="845">
        <f t="shared" si="22"/>
        <v>87</v>
      </c>
    </row>
    <row r="133" spans="1:19" ht="16.5" customHeight="1">
      <c r="A133" s="844">
        <v>76</v>
      </c>
      <c r="B133" s="997" t="s">
        <v>1986</v>
      </c>
      <c r="C133" s="844" t="s">
        <v>513</v>
      </c>
      <c r="D133" s="941" t="s">
        <v>2076</v>
      </c>
      <c r="E133" s="1001" t="s">
        <v>437</v>
      </c>
      <c r="F133" s="846">
        <v>2900</v>
      </c>
      <c r="G133" s="846">
        <v>0</v>
      </c>
      <c r="H133" s="846">
        <f t="shared" si="23"/>
        <v>2900</v>
      </c>
      <c r="I133" s="1000">
        <f>2857/(10^6)</f>
        <v>2.8570000000000002E-3</v>
      </c>
      <c r="J133" s="1000">
        <f>273150/(10^6)</f>
        <v>0.27315</v>
      </c>
      <c r="K133" s="1000">
        <f>1539653/(10^6)</f>
        <v>1.5396529999999999</v>
      </c>
      <c r="L133" s="1000">
        <f>1464547/(10^6)</f>
        <v>1.464547</v>
      </c>
      <c r="M133" s="1000">
        <f>1642905/(10^6)</f>
        <v>1.6429050000000001</v>
      </c>
      <c r="N133" s="1000">
        <f>1570523/(10^6)</f>
        <v>1.5705229999999999</v>
      </c>
      <c r="O133" s="845">
        <f t="shared" si="19"/>
        <v>6.4936349999999994</v>
      </c>
      <c r="P133" s="1000">
        <f>6439905/(10^6)</f>
        <v>6.4399050000000004</v>
      </c>
      <c r="Q133" s="845">
        <f t="shared" si="20"/>
        <v>15.916772999999999</v>
      </c>
      <c r="R133" s="849">
        <f t="shared" si="21"/>
        <v>0.70583107173265214</v>
      </c>
      <c r="S133" s="845">
        <f t="shared" si="22"/>
        <v>17</v>
      </c>
    </row>
    <row r="134" spans="1:19" ht="16.5" customHeight="1">
      <c r="A134" s="844">
        <v>77</v>
      </c>
      <c r="B134" s="997" t="s">
        <v>1986</v>
      </c>
      <c r="C134" s="844" t="s">
        <v>514</v>
      </c>
      <c r="D134" s="941" t="s">
        <v>2076</v>
      </c>
      <c r="E134" s="1001" t="s">
        <v>437</v>
      </c>
      <c r="F134" s="846">
        <v>2500</v>
      </c>
      <c r="G134" s="846">
        <v>0</v>
      </c>
      <c r="H134" s="846">
        <f t="shared" si="23"/>
        <v>2500</v>
      </c>
      <c r="I134" s="1000">
        <f>13410/(10^6)</f>
        <v>1.341E-2</v>
      </c>
      <c r="J134" s="1000">
        <f>1478340/(10^6)</f>
        <v>1.47834</v>
      </c>
      <c r="K134" s="1000">
        <f>1519830/(10^6)</f>
        <v>1.51983</v>
      </c>
      <c r="L134" s="1000">
        <f>1448550/(10^6)</f>
        <v>1.44855</v>
      </c>
      <c r="M134" s="1000">
        <f>1531125/(10^6)</f>
        <v>1.5311250000000001</v>
      </c>
      <c r="N134" s="1000">
        <f>1515847/(10^6)</f>
        <v>1.5158469999999999</v>
      </c>
      <c r="O134" s="845">
        <f t="shared" si="19"/>
        <v>7.5071019999999997</v>
      </c>
      <c r="P134" s="1000">
        <f>7413974/(10^6)</f>
        <v>7.4139739999999996</v>
      </c>
      <c r="Q134" s="845">
        <f t="shared" si="20"/>
        <v>16.602184000000001</v>
      </c>
      <c r="R134" s="849">
        <f t="shared" si="21"/>
        <v>0.85402181069958849</v>
      </c>
      <c r="S134" s="845">
        <f t="shared" si="22"/>
        <v>18</v>
      </c>
    </row>
    <row r="135" spans="1:19" ht="16.5" customHeight="1">
      <c r="A135" s="844">
        <v>78</v>
      </c>
      <c r="B135" s="997" t="s">
        <v>1986</v>
      </c>
      <c r="C135" s="844" t="s">
        <v>2035</v>
      </c>
      <c r="D135" s="941" t="s">
        <v>2076</v>
      </c>
      <c r="E135" s="1001" t="s">
        <v>437</v>
      </c>
      <c r="F135" s="846">
        <v>2530</v>
      </c>
      <c r="G135" s="846">
        <v>270</v>
      </c>
      <c r="H135" s="846">
        <f t="shared" si="23"/>
        <v>2800</v>
      </c>
      <c r="I135" s="1000">
        <f>1677790/(10^6)</f>
        <v>1.6777899999999999</v>
      </c>
      <c r="J135" s="1000">
        <f>1641680/(10^6)</f>
        <v>1.64168</v>
      </c>
      <c r="K135" s="1000">
        <f>1626430/(10^6)</f>
        <v>1.62643</v>
      </c>
      <c r="L135" s="1000">
        <f>1578010/(10^6)</f>
        <v>1.5780099999999999</v>
      </c>
      <c r="M135" s="1000">
        <f>1670960/(10^6)</f>
        <v>1.67096</v>
      </c>
      <c r="N135" s="1000">
        <f>1678680/(10^6)</f>
        <v>1.6786799999999999</v>
      </c>
      <c r="O135" s="845">
        <f t="shared" si="19"/>
        <v>9.8735499999999998</v>
      </c>
      <c r="P135" s="1000">
        <f>9846950/(10^6)</f>
        <v>9.8469499999999996</v>
      </c>
      <c r="Q135" s="845">
        <f t="shared" si="20"/>
        <v>19.945630000000001</v>
      </c>
      <c r="R135" s="849">
        <f t="shared" si="21"/>
        <v>1.0138436498641814</v>
      </c>
      <c r="S135" s="845">
        <f t="shared" si="22"/>
        <v>21</v>
      </c>
    </row>
    <row r="136" spans="1:19" ht="16.5" customHeight="1">
      <c r="A136" s="844">
        <v>79</v>
      </c>
      <c r="B136" s="997" t="s">
        <v>1986</v>
      </c>
      <c r="C136" s="844" t="s">
        <v>515</v>
      </c>
      <c r="D136" s="941" t="s">
        <v>2076</v>
      </c>
      <c r="E136" s="1001" t="s">
        <v>437</v>
      </c>
      <c r="F136" s="846">
        <v>1800</v>
      </c>
      <c r="G136" s="846">
        <v>0</v>
      </c>
      <c r="H136" s="846">
        <f t="shared" si="23"/>
        <v>1800</v>
      </c>
      <c r="I136" s="1000">
        <f>167280/(10^6)</f>
        <v>0.16728000000000001</v>
      </c>
      <c r="J136" s="1000">
        <f>199395/(10^6)</f>
        <v>0.19939499999999999</v>
      </c>
      <c r="K136" s="1000">
        <f>234540/(10^6)</f>
        <v>0.23454</v>
      </c>
      <c r="L136" s="1000">
        <f>232920/(10^6)</f>
        <v>0.23291999999999999</v>
      </c>
      <c r="M136" s="1000">
        <f>241845/(10^6)</f>
        <v>0.241845</v>
      </c>
      <c r="N136" s="1000">
        <f>284220/(10^6)</f>
        <v>0.28421999999999997</v>
      </c>
      <c r="O136" s="845">
        <f t="shared" si="19"/>
        <v>1.3601999999999999</v>
      </c>
      <c r="P136" s="1000">
        <f>1349175/(10^6)</f>
        <v>1.349175</v>
      </c>
      <c r="Q136" s="845">
        <f t="shared" si="20"/>
        <v>3.0655199999999998</v>
      </c>
      <c r="R136" s="849">
        <f t="shared" si="21"/>
        <v>0.21901577503429354</v>
      </c>
      <c r="S136" s="845">
        <f t="shared" si="22"/>
        <v>4</v>
      </c>
    </row>
    <row r="137" spans="1:19" ht="16.5" customHeight="1">
      <c r="A137" s="844">
        <v>80</v>
      </c>
      <c r="B137" s="997" t="s">
        <v>1986</v>
      </c>
      <c r="C137" s="844" t="s">
        <v>516</v>
      </c>
      <c r="D137" s="941" t="s">
        <v>2076</v>
      </c>
      <c r="E137" s="1001" t="s">
        <v>437</v>
      </c>
      <c r="F137" s="846">
        <v>2500</v>
      </c>
      <c r="G137" s="846">
        <v>0</v>
      </c>
      <c r="H137" s="846">
        <f t="shared" si="23"/>
        <v>2500</v>
      </c>
      <c r="I137" s="1000">
        <f>1496250/(10^6)</f>
        <v>1.4962500000000001</v>
      </c>
      <c r="J137" s="1000">
        <f>1445655/(10^6)</f>
        <v>1.4456549999999999</v>
      </c>
      <c r="K137" s="1000">
        <f>1376610/(10^6)</f>
        <v>1.3766099999999999</v>
      </c>
      <c r="L137" s="1000">
        <f>1392015/(10^6)</f>
        <v>1.392015</v>
      </c>
      <c r="M137" s="1000">
        <f>1437105/(10^6)</f>
        <v>1.4371050000000001</v>
      </c>
      <c r="N137" s="1000">
        <f>1363920/(10^6)</f>
        <v>1.36392</v>
      </c>
      <c r="O137" s="845">
        <f t="shared" si="19"/>
        <v>8.5115549999999995</v>
      </c>
      <c r="P137" s="1000">
        <f>8496045/(10^6)</f>
        <v>8.4960450000000005</v>
      </c>
      <c r="Q137" s="845">
        <f t="shared" si="20"/>
        <v>16.695074999999999</v>
      </c>
      <c r="R137" s="849">
        <f t="shared" si="21"/>
        <v>0.85880015432098755</v>
      </c>
      <c r="S137" s="845">
        <f t="shared" si="22"/>
        <v>18</v>
      </c>
    </row>
    <row r="138" spans="1:19" ht="16.5" customHeight="1">
      <c r="A138" s="844">
        <v>81</v>
      </c>
      <c r="B138" s="997" t="s">
        <v>1986</v>
      </c>
      <c r="C138" s="844" t="s">
        <v>2036</v>
      </c>
      <c r="D138" s="941" t="s">
        <v>2076</v>
      </c>
      <c r="E138" s="1001" t="s">
        <v>437</v>
      </c>
      <c r="F138" s="846">
        <v>5000</v>
      </c>
      <c r="G138" s="846">
        <v>0</v>
      </c>
      <c r="H138" s="846">
        <f t="shared" si="23"/>
        <v>5000</v>
      </c>
      <c r="I138" s="1000">
        <f>2013012.26/(10^6)</f>
        <v>2.01301226</v>
      </c>
      <c r="J138" s="1000">
        <f>1907982.44/(10^6)</f>
        <v>1.9079824399999998</v>
      </c>
      <c r="K138" s="1000">
        <f>2553595.76/(10^6)</f>
        <v>2.5535957599999999</v>
      </c>
      <c r="L138" s="1000">
        <f>2441050.88/(10^6)</f>
        <v>2.4410508799999997</v>
      </c>
      <c r="M138" s="1000">
        <f>2994240.48/(10^6)</f>
        <v>2.9942404799999998</v>
      </c>
      <c r="N138" s="1000">
        <f>2551152.49/(10^6)</f>
        <v>2.5511524900000002</v>
      </c>
      <c r="O138" s="845">
        <f t="shared" si="19"/>
        <v>14.461034310000001</v>
      </c>
      <c r="P138" s="1000">
        <f>14088001/(10^6)</f>
        <v>14.088001</v>
      </c>
      <c r="Q138" s="845">
        <f t="shared" si="20"/>
        <v>29.767949250000001</v>
      </c>
      <c r="R138" s="849">
        <f t="shared" si="21"/>
        <v>0.76563655478395054</v>
      </c>
      <c r="S138" s="845">
        <f t="shared" si="22"/>
        <v>31</v>
      </c>
    </row>
    <row r="139" spans="1:19" ht="16.5" customHeight="1">
      <c r="A139" s="844">
        <v>82</v>
      </c>
      <c r="B139" s="997" t="s">
        <v>1993</v>
      </c>
      <c r="C139" s="844" t="s">
        <v>517</v>
      </c>
      <c r="D139" s="941" t="s">
        <v>428</v>
      </c>
      <c r="E139" s="941" t="s">
        <v>437</v>
      </c>
      <c r="F139" s="846">
        <v>4500</v>
      </c>
      <c r="G139" s="846">
        <v>0</v>
      </c>
      <c r="H139" s="846">
        <f t="shared" si="23"/>
        <v>4500</v>
      </c>
      <c r="I139" s="1000">
        <f>1050240/(10^6)</f>
        <v>1.0502400000000001</v>
      </c>
      <c r="J139" s="1000">
        <f>1430040/(10^6)</f>
        <v>1.43004</v>
      </c>
      <c r="K139" s="1000">
        <f>1369320/(10^6)</f>
        <v>1.3693200000000001</v>
      </c>
      <c r="L139" s="1000">
        <f>1522920/(10^6)</f>
        <v>1.5229200000000001</v>
      </c>
      <c r="M139" s="1000">
        <f>1565220/(10^6)</f>
        <v>1.5652200000000001</v>
      </c>
      <c r="N139" s="1000">
        <f>1229160/(10^6)</f>
        <v>1.22916</v>
      </c>
      <c r="O139" s="845">
        <f t="shared" si="19"/>
        <v>8.1669</v>
      </c>
      <c r="P139" s="1000">
        <f>7947540/(10^6)</f>
        <v>7.94754</v>
      </c>
      <c r="Q139" s="845">
        <f>O139+N139*6</f>
        <v>15.54186</v>
      </c>
      <c r="R139" s="849">
        <f t="shared" si="21"/>
        <v>0.44415466392318248</v>
      </c>
      <c r="S139" s="845">
        <f>ROUNDUP(Q139*1.03,0)</f>
        <v>17</v>
      </c>
    </row>
    <row r="140" spans="1:19" ht="16.5" customHeight="1">
      <c r="A140" s="844">
        <v>83</v>
      </c>
      <c r="B140" s="997" t="s">
        <v>1986</v>
      </c>
      <c r="C140" s="844" t="s">
        <v>518</v>
      </c>
      <c r="D140" s="941" t="s">
        <v>428</v>
      </c>
      <c r="E140" s="941" t="s">
        <v>437</v>
      </c>
      <c r="F140" s="846">
        <v>5500</v>
      </c>
      <c r="G140" s="846">
        <v>0</v>
      </c>
      <c r="H140" s="846">
        <f t="shared" si="23"/>
        <v>5500</v>
      </c>
      <c r="I140" s="1000">
        <f>2818350/(10^6)</f>
        <v>2.8183500000000001</v>
      </c>
      <c r="J140" s="1000">
        <f>2689830/(10^6)</f>
        <v>2.6898300000000002</v>
      </c>
      <c r="K140" s="1000">
        <f>2823390/(10^6)</f>
        <v>2.8233899999999998</v>
      </c>
      <c r="L140" s="1000">
        <f>2658180/(10^6)</f>
        <v>2.6581800000000002</v>
      </c>
      <c r="M140" s="1000">
        <f>2833800/(10^6)</f>
        <v>2.8338000000000001</v>
      </c>
      <c r="N140" s="1000">
        <f>2743320/(10^6)</f>
        <v>2.7433200000000002</v>
      </c>
      <c r="O140" s="845">
        <f t="shared" si="19"/>
        <v>16.566869999999998</v>
      </c>
      <c r="P140" s="1000">
        <f>16490070/(10^6)</f>
        <v>16.490069999999999</v>
      </c>
      <c r="Q140" s="845">
        <f t="shared" si="20"/>
        <v>33.026789999999998</v>
      </c>
      <c r="R140" s="849">
        <f t="shared" si="21"/>
        <v>0.77223134118967451</v>
      </c>
      <c r="S140" s="845">
        <f t="shared" si="22"/>
        <v>35</v>
      </c>
    </row>
    <row r="141" spans="1:19" ht="16.5" customHeight="1">
      <c r="A141" s="844">
        <v>84</v>
      </c>
      <c r="B141" s="997" t="s">
        <v>1986</v>
      </c>
      <c r="C141" s="844" t="s">
        <v>519</v>
      </c>
      <c r="D141" s="941" t="s">
        <v>428</v>
      </c>
      <c r="E141" s="941" t="s">
        <v>437</v>
      </c>
      <c r="F141" s="846">
        <v>9800</v>
      </c>
      <c r="G141" s="846">
        <v>0</v>
      </c>
      <c r="H141" s="846">
        <f t="shared" si="23"/>
        <v>9800</v>
      </c>
      <c r="I141" s="1000">
        <f>6286516.31/(10^6)</f>
        <v>6.2865163099999997</v>
      </c>
      <c r="J141" s="1000">
        <f>6138042.31/(10^6)</f>
        <v>6.1380423099999994</v>
      </c>
      <c r="K141" s="1000">
        <f>6029355.6/(10^6)</f>
        <v>6.0293555999999997</v>
      </c>
      <c r="L141" s="1000">
        <f>5937020/(10^6)</f>
        <v>5.9370200000000004</v>
      </c>
      <c r="M141" s="1000">
        <f>5945380/(10^6)</f>
        <v>5.9453800000000001</v>
      </c>
      <c r="N141" s="1000">
        <f>6138740/(10^6)</f>
        <v>6.1387400000000003</v>
      </c>
      <c r="O141" s="845">
        <f t="shared" si="19"/>
        <v>36.475054219999997</v>
      </c>
      <c r="P141" s="1000">
        <f>35961420/(10^6)</f>
        <v>35.961419999999997</v>
      </c>
      <c r="Q141" s="845">
        <f t="shared" si="20"/>
        <v>73.307494219999995</v>
      </c>
      <c r="R141" s="849">
        <f t="shared" si="21"/>
        <v>0.96198000939573347</v>
      </c>
      <c r="S141" s="845">
        <f t="shared" si="22"/>
        <v>76</v>
      </c>
    </row>
    <row r="142" spans="1:19" ht="16.5" customHeight="1">
      <c r="A142" s="844">
        <v>85</v>
      </c>
      <c r="B142" s="997" t="s">
        <v>1986</v>
      </c>
      <c r="C142" s="844" t="s">
        <v>520</v>
      </c>
      <c r="D142" s="941" t="s">
        <v>428</v>
      </c>
      <c r="E142" s="941" t="s">
        <v>437</v>
      </c>
      <c r="F142" s="846">
        <v>9700</v>
      </c>
      <c r="G142" s="846">
        <v>0</v>
      </c>
      <c r="H142" s="846">
        <f t="shared" si="23"/>
        <v>9700</v>
      </c>
      <c r="I142" s="1000">
        <f>3050350/(10^6)</f>
        <v>3.0503499999999999</v>
      </c>
      <c r="J142" s="1000">
        <f>2772150/(10^6)</f>
        <v>2.7721499999999999</v>
      </c>
      <c r="K142" s="1000">
        <f>3873850/(10^6)</f>
        <v>3.87385</v>
      </c>
      <c r="L142" s="1000">
        <f>3862200/(10^6)</f>
        <v>3.8622000000000001</v>
      </c>
      <c r="M142" s="1000">
        <f>4244150/(10^6)</f>
        <v>4.2441500000000003</v>
      </c>
      <c r="N142" s="1000">
        <f>3939400/(10^6)</f>
        <v>3.9394</v>
      </c>
      <c r="O142" s="845">
        <f t="shared" si="19"/>
        <v>21.742099999999997</v>
      </c>
      <c r="P142" s="1000">
        <f>21581050/(10^6)</f>
        <v>21.581050000000001</v>
      </c>
      <c r="Q142" s="845">
        <f t="shared" si="20"/>
        <v>45.378500000000003</v>
      </c>
      <c r="R142" s="849">
        <f t="shared" si="21"/>
        <v>0.60161984005769809</v>
      </c>
      <c r="S142" s="845">
        <f t="shared" si="22"/>
        <v>47</v>
      </c>
    </row>
    <row r="143" spans="1:19" ht="16.5" customHeight="1">
      <c r="A143" s="844">
        <v>86</v>
      </c>
      <c r="B143" s="997" t="s">
        <v>1983</v>
      </c>
      <c r="C143" s="844" t="s">
        <v>438</v>
      </c>
      <c r="D143" s="941" t="s">
        <v>1999</v>
      </c>
      <c r="E143" s="1001" t="s">
        <v>437</v>
      </c>
      <c r="F143" s="846">
        <v>3945</v>
      </c>
      <c r="G143" s="846">
        <v>0</v>
      </c>
      <c r="H143" s="846">
        <f t="shared" si="23"/>
        <v>3945</v>
      </c>
      <c r="I143" s="1000">
        <f>21780/(10^6)</f>
        <v>2.1780000000000001E-2</v>
      </c>
      <c r="J143" s="1000">
        <f>20040/(10^6)</f>
        <v>2.0039999999999999E-2</v>
      </c>
      <c r="K143" s="1000">
        <f>19800/(10^6)</f>
        <v>1.9800000000000002E-2</v>
      </c>
      <c r="L143" s="1000">
        <f>15780/(10^6)</f>
        <v>1.5779999999999999E-2</v>
      </c>
      <c r="M143" s="1000">
        <f>730800/(10^6)</f>
        <v>0.73080000000000001</v>
      </c>
      <c r="N143" s="1000">
        <f>456720/(10^6)</f>
        <v>0.45672000000000001</v>
      </c>
      <c r="O143" s="845">
        <f t="shared" si="19"/>
        <v>1.26492</v>
      </c>
      <c r="P143" s="1000">
        <f>1233360/(10^6)</f>
        <v>1.23336</v>
      </c>
      <c r="Q143" s="845">
        <f t="shared" si="20"/>
        <v>4.0052400000000006</v>
      </c>
      <c r="R143" s="849">
        <f t="shared" si="21"/>
        <v>0.13056455272340362</v>
      </c>
      <c r="S143" s="845">
        <f>ROUNDUP(Q143*1.03,0)</f>
        <v>5</v>
      </c>
    </row>
    <row r="144" spans="1:19" ht="16.5" customHeight="1">
      <c r="A144" s="844">
        <v>87</v>
      </c>
      <c r="B144" s="997" t="s">
        <v>2037</v>
      </c>
      <c r="C144" s="844" t="s">
        <v>438</v>
      </c>
      <c r="D144" s="941" t="s">
        <v>1999</v>
      </c>
      <c r="E144" s="1001" t="s">
        <v>437</v>
      </c>
      <c r="F144" s="846">
        <v>4045</v>
      </c>
      <c r="G144" s="846">
        <v>0</v>
      </c>
      <c r="H144" s="846">
        <f t="shared" si="23"/>
        <v>4045</v>
      </c>
      <c r="I144" s="1000">
        <f>91950/(10^6)</f>
        <v>9.1950000000000004E-2</v>
      </c>
      <c r="J144" s="1000">
        <f>152640/(10^6)</f>
        <v>0.15264</v>
      </c>
      <c r="K144" s="1000">
        <f>85770/(10^6)</f>
        <v>8.5769999999999999E-2</v>
      </c>
      <c r="L144" s="1000">
        <f>5820/(10^6)</f>
        <v>5.8199999999999997E-3</v>
      </c>
      <c r="M144" s="1000">
        <f>339150/(10^6)</f>
        <v>0.33915000000000001</v>
      </c>
      <c r="N144" s="1000">
        <f>144510/(10^6)</f>
        <v>0.14451</v>
      </c>
      <c r="O144" s="845">
        <f t="shared" si="19"/>
        <v>0.81984000000000001</v>
      </c>
      <c r="P144" s="1000">
        <f>768240/(10^6)</f>
        <v>0.76824000000000003</v>
      </c>
      <c r="Q144" s="845">
        <f t="shared" si="20"/>
        <v>1.6869000000000001</v>
      </c>
      <c r="R144" s="849">
        <f t="shared" si="21"/>
        <v>5.3630835202734671E-2</v>
      </c>
      <c r="S144" s="845">
        <f>ROUNDUP(Q144*1.03,0)</f>
        <v>2</v>
      </c>
    </row>
    <row r="145" spans="1:19" ht="16.5" customHeight="1">
      <c r="A145" s="844">
        <v>88</v>
      </c>
      <c r="B145" s="997" t="s">
        <v>2037</v>
      </c>
      <c r="C145" s="844" t="s">
        <v>438</v>
      </c>
      <c r="D145" s="941" t="s">
        <v>1999</v>
      </c>
      <c r="E145" s="1001" t="s">
        <v>437</v>
      </c>
      <c r="F145" s="846">
        <v>2720</v>
      </c>
      <c r="G145" s="846">
        <v>0</v>
      </c>
      <c r="H145" s="846">
        <f t="shared" si="23"/>
        <v>2720</v>
      </c>
      <c r="I145" s="1000">
        <f>26956.05/(10^6)</f>
        <v>2.6956049999999999E-2</v>
      </c>
      <c r="J145" s="1000">
        <f>46045.82/(10^6)</f>
        <v>4.6045820000000001E-2</v>
      </c>
      <c r="K145" s="1000">
        <f>7310.4/(10^6)</f>
        <v>7.3103999999999999E-3</v>
      </c>
      <c r="L145" s="1000">
        <f>2910/(10^6)</f>
        <v>2.9099999999999998E-3</v>
      </c>
      <c r="M145" s="1000">
        <f>5520/(10^6)</f>
        <v>5.5199999999999997E-3</v>
      </c>
      <c r="N145" s="1000">
        <f>17190/(10^6)</f>
        <v>1.719E-2</v>
      </c>
      <c r="O145" s="845">
        <f t="shared" si="19"/>
        <v>0.10593226999999998</v>
      </c>
      <c r="P145" s="1000">
        <f>94350/(10^6)</f>
        <v>9.4350000000000003E-2</v>
      </c>
      <c r="Q145" s="845">
        <f t="shared" si="20"/>
        <v>0.20907227</v>
      </c>
      <c r="R145" s="849">
        <f t="shared" si="21"/>
        <v>9.8848772051258783E-3</v>
      </c>
      <c r="S145" s="845">
        <f t="shared" si="22"/>
        <v>1</v>
      </c>
    </row>
    <row r="146" spans="1:19" ht="16.5" customHeight="1">
      <c r="A146" s="844">
        <v>89</v>
      </c>
      <c r="B146" s="997" t="s">
        <v>2037</v>
      </c>
      <c r="C146" s="844" t="s">
        <v>438</v>
      </c>
      <c r="D146" s="941" t="s">
        <v>1999</v>
      </c>
      <c r="E146" s="1001" t="s">
        <v>437</v>
      </c>
      <c r="F146" s="846">
        <v>5200</v>
      </c>
      <c r="G146" s="846">
        <v>0</v>
      </c>
      <c r="H146" s="846">
        <f t="shared" si="23"/>
        <v>5200</v>
      </c>
      <c r="I146" s="1000">
        <f>51690/(10^6)</f>
        <v>5.169E-2</v>
      </c>
      <c r="J146" s="1000">
        <f>40740/(10^6)</f>
        <v>4.0739999999999998E-2</v>
      </c>
      <c r="K146" s="1000">
        <f>13590/(10^6)</f>
        <v>1.359E-2</v>
      </c>
      <c r="L146" s="1000">
        <f>7170/(10^6)</f>
        <v>7.1700000000000002E-3</v>
      </c>
      <c r="M146" s="1000">
        <f>12840/(10^6)</f>
        <v>1.2840000000000001E-2</v>
      </c>
      <c r="N146" s="1000">
        <f>33930/(10^6)</f>
        <v>3.3930000000000002E-2</v>
      </c>
      <c r="O146" s="845">
        <f t="shared" si="19"/>
        <v>0.15995999999999999</v>
      </c>
      <c r="P146" s="1000">
        <f>157020/(10^6)</f>
        <v>0.15701999999999999</v>
      </c>
      <c r="Q146" s="845">
        <f t="shared" si="20"/>
        <v>0.36353999999999997</v>
      </c>
      <c r="R146" s="849">
        <f t="shared" si="21"/>
        <v>8.9906813865147182E-3</v>
      </c>
      <c r="S146" s="845">
        <f t="shared" si="22"/>
        <v>1</v>
      </c>
    </row>
    <row r="147" spans="1:19" ht="16.5" customHeight="1">
      <c r="A147" s="844">
        <v>90</v>
      </c>
      <c r="B147" s="997" t="s">
        <v>1991</v>
      </c>
      <c r="C147" s="844" t="s">
        <v>439</v>
      </c>
      <c r="D147" s="941" t="s">
        <v>1999</v>
      </c>
      <c r="E147" s="1001" t="s">
        <v>437</v>
      </c>
      <c r="F147" s="846">
        <v>1397</v>
      </c>
      <c r="G147" s="846">
        <v>0</v>
      </c>
      <c r="H147" s="846">
        <f t="shared" si="23"/>
        <v>1397</v>
      </c>
      <c r="I147" s="1000">
        <f>2760/(10^6)</f>
        <v>2.7599999999999999E-3</v>
      </c>
      <c r="J147" s="1000">
        <f>2580/(10^6)</f>
        <v>2.5799999999999998E-3</v>
      </c>
      <c r="K147" s="1000">
        <f>1410/(10^6)</f>
        <v>1.41E-3</v>
      </c>
      <c r="L147" s="1000">
        <f>840/(10^6)</f>
        <v>8.4000000000000003E-4</v>
      </c>
      <c r="M147" s="1000">
        <f>70950/(10^6)</f>
        <v>7.0949999999999999E-2</v>
      </c>
      <c r="N147" s="1000">
        <f>63120/(10^6)</f>
        <v>6.3119999999999996E-2</v>
      </c>
      <c r="O147" s="845">
        <f t="shared" si="19"/>
        <v>0.14166000000000001</v>
      </c>
      <c r="P147" s="1000">
        <f>136140/(10^6)</f>
        <v>0.13614000000000001</v>
      </c>
      <c r="Q147" s="845">
        <f t="shared" si="20"/>
        <v>0.52037999999999995</v>
      </c>
      <c r="R147" s="849">
        <f t="shared" si="21"/>
        <v>4.7903576446883527E-2</v>
      </c>
      <c r="S147" s="845">
        <f>ROUNDUP(Q147*1.03,0)</f>
        <v>1</v>
      </c>
    </row>
    <row r="148" spans="1:19" ht="16.5" customHeight="1">
      <c r="A148" s="844">
        <v>91</v>
      </c>
      <c r="B148" s="997" t="s">
        <v>1991</v>
      </c>
      <c r="C148" s="844" t="s">
        <v>440</v>
      </c>
      <c r="D148" s="941" t="s">
        <v>1999</v>
      </c>
      <c r="E148" s="1001" t="s">
        <v>437</v>
      </c>
      <c r="F148" s="846">
        <v>3791</v>
      </c>
      <c r="G148" s="846">
        <v>0</v>
      </c>
      <c r="H148" s="846">
        <f t="shared" si="23"/>
        <v>3791</v>
      </c>
      <c r="I148" s="1000">
        <f>358020/(10^6)</f>
        <v>0.35802</v>
      </c>
      <c r="J148" s="1000">
        <f>413700/(10^6)</f>
        <v>0.41370000000000001</v>
      </c>
      <c r="K148" s="1000">
        <f>29160/(10^6)</f>
        <v>2.9159999999999998E-2</v>
      </c>
      <c r="L148" s="1000">
        <f>4860/(10^6)</f>
        <v>4.8599999999999997E-3</v>
      </c>
      <c r="M148" s="1000">
        <f>3240/(10^6)</f>
        <v>3.2399999999999998E-3</v>
      </c>
      <c r="N148" s="1000">
        <f>3300/(10^6)</f>
        <v>3.3E-3</v>
      </c>
      <c r="O148" s="845">
        <f t="shared" si="19"/>
        <v>0.81227999999999989</v>
      </c>
      <c r="P148" s="1000">
        <f>764040/(10^6)</f>
        <v>0.76404000000000005</v>
      </c>
      <c r="Q148" s="845">
        <f t="shared" si="20"/>
        <v>0.83207999999999993</v>
      </c>
      <c r="R148" s="849">
        <f t="shared" si="21"/>
        <v>2.8226371099843359E-2</v>
      </c>
      <c r="S148" s="845">
        <f t="shared" si="22"/>
        <v>1</v>
      </c>
    </row>
    <row r="149" spans="1:19" ht="16.5" customHeight="1">
      <c r="A149" s="844">
        <v>92</v>
      </c>
      <c r="B149" s="997" t="s">
        <v>1984</v>
      </c>
      <c r="C149" s="844" t="s">
        <v>2038</v>
      </c>
      <c r="D149" s="941" t="s">
        <v>1999</v>
      </c>
      <c r="E149" s="1001" t="s">
        <v>437</v>
      </c>
      <c r="F149" s="846">
        <v>804</v>
      </c>
      <c r="G149" s="846">
        <v>3158</v>
      </c>
      <c r="H149" s="846">
        <f t="shared" si="23"/>
        <v>3962</v>
      </c>
      <c r="I149" s="1000">
        <f>9225/(10^6)</f>
        <v>9.2250000000000006E-3</v>
      </c>
      <c r="J149" s="1000">
        <f>1725/(10^6)</f>
        <v>1.725E-3</v>
      </c>
      <c r="K149" s="1000">
        <f>1860/(10^6)</f>
        <v>1.8600000000000001E-3</v>
      </c>
      <c r="L149" s="1000">
        <f>2085/(10^6)</f>
        <v>2.085E-3</v>
      </c>
      <c r="M149" s="1000">
        <f>13020/(10^6)</f>
        <v>1.302E-2</v>
      </c>
      <c r="N149" s="1000">
        <f>9900/(10^6)</f>
        <v>9.9000000000000008E-3</v>
      </c>
      <c r="O149" s="845">
        <f t="shared" si="19"/>
        <v>3.7815000000000001E-2</v>
      </c>
      <c r="P149" s="1000">
        <f>36660/(10^6)</f>
        <v>3.6659999999999998E-2</v>
      </c>
      <c r="Q149" s="845">
        <f t="shared" si="20"/>
        <v>9.721500000000001E-2</v>
      </c>
      <c r="R149" s="849">
        <f t="shared" si="21"/>
        <v>1.5549662950678708E-2</v>
      </c>
      <c r="S149" s="845">
        <f t="shared" si="22"/>
        <v>1</v>
      </c>
    </row>
    <row r="150" spans="1:19" ht="16.5" customHeight="1">
      <c r="A150" s="844">
        <v>93</v>
      </c>
      <c r="B150" s="997" t="s">
        <v>1992</v>
      </c>
      <c r="C150" s="844" t="s">
        <v>441</v>
      </c>
      <c r="D150" s="941" t="s">
        <v>1999</v>
      </c>
      <c r="E150" s="1001" t="s">
        <v>437</v>
      </c>
      <c r="F150" s="846">
        <v>2501</v>
      </c>
      <c r="G150" s="846">
        <v>0</v>
      </c>
      <c r="H150" s="846">
        <f t="shared" si="23"/>
        <v>2501</v>
      </c>
      <c r="I150" s="1000">
        <f>12540/(10^6)</f>
        <v>1.2540000000000001E-2</v>
      </c>
      <c r="J150" s="1000">
        <f>24120/(10^6)</f>
        <v>2.4119999999999999E-2</v>
      </c>
      <c r="K150" s="1000">
        <f>240/(10^6)</f>
        <v>2.4000000000000001E-4</v>
      </c>
      <c r="L150" s="1000">
        <f>12300/(10^6)</f>
        <v>1.23E-2</v>
      </c>
      <c r="M150" s="1000">
        <f>-11160/(10^6)</f>
        <v>-1.116E-2</v>
      </c>
      <c r="N150" s="1000">
        <f>570/(10^6)</f>
        <v>5.6999999999999998E-4</v>
      </c>
      <c r="O150" s="845">
        <f t="shared" si="19"/>
        <v>3.8609999999999992E-2</v>
      </c>
      <c r="P150" s="1000">
        <f>37330/(10^6)</f>
        <v>3.7330000000000002E-2</v>
      </c>
      <c r="Q150" s="845">
        <f t="shared" si="20"/>
        <v>4.2029999999999991E-2</v>
      </c>
      <c r="R150" s="849">
        <f t="shared" si="21"/>
        <v>2.1611725680098326E-3</v>
      </c>
      <c r="S150" s="845">
        <f t="shared" si="22"/>
        <v>1</v>
      </c>
    </row>
    <row r="151" spans="1:19" ht="16.5" customHeight="1">
      <c r="A151" s="844">
        <v>94</v>
      </c>
      <c r="B151" s="997" t="s">
        <v>1992</v>
      </c>
      <c r="C151" s="844" t="s">
        <v>442</v>
      </c>
      <c r="D151" s="941" t="s">
        <v>1999</v>
      </c>
      <c r="E151" s="1001" t="s">
        <v>437</v>
      </c>
      <c r="F151" s="846">
        <v>1213</v>
      </c>
      <c r="G151" s="846">
        <v>0</v>
      </c>
      <c r="H151" s="846">
        <f t="shared" si="23"/>
        <v>1213</v>
      </c>
      <c r="I151" s="1000">
        <f>3015/(10^6)</f>
        <v>3.0149999999999999E-3</v>
      </c>
      <c r="J151" s="1000">
        <f>15885/(10^6)</f>
        <v>1.5885E-2</v>
      </c>
      <c r="K151" s="1000">
        <f>1125/(10^6)</f>
        <v>1.1249999999999999E-3</v>
      </c>
      <c r="L151" s="1000">
        <f>6675/(10^6)</f>
        <v>6.6750000000000004E-3</v>
      </c>
      <c r="M151" s="1000">
        <f>5730/(10^6)</f>
        <v>5.7299999999999999E-3</v>
      </c>
      <c r="N151" s="1000">
        <f>27975/(10^6)</f>
        <v>2.7975E-2</v>
      </c>
      <c r="O151" s="845">
        <f t="shared" si="19"/>
        <v>6.0405E-2</v>
      </c>
      <c r="P151" s="1000">
        <f>59205/(10^6)</f>
        <v>5.9205000000000001E-2</v>
      </c>
      <c r="Q151" s="845">
        <f t="shared" si="20"/>
        <v>0.22825499999999999</v>
      </c>
      <c r="R151" s="849">
        <f t="shared" si="21"/>
        <v>2.419932470255361E-2</v>
      </c>
      <c r="S151" s="845">
        <f t="shared" si="22"/>
        <v>1</v>
      </c>
    </row>
    <row r="152" spans="1:19" ht="16.5" customHeight="1">
      <c r="A152" s="844">
        <v>95</v>
      </c>
      <c r="B152" s="997" t="s">
        <v>1997</v>
      </c>
      <c r="C152" s="844" t="s">
        <v>438</v>
      </c>
      <c r="D152" s="941" t="s">
        <v>1999</v>
      </c>
      <c r="E152" s="1001" t="s">
        <v>437</v>
      </c>
      <c r="F152" s="846">
        <v>1854</v>
      </c>
      <c r="G152" s="846">
        <v>0</v>
      </c>
      <c r="H152" s="846">
        <f t="shared" si="23"/>
        <v>1854</v>
      </c>
      <c r="I152" s="1000">
        <f>4200/(10^6)</f>
        <v>4.1999999999999997E-3</v>
      </c>
      <c r="J152" s="1000">
        <f>4020/(10^6)</f>
        <v>4.0200000000000001E-3</v>
      </c>
      <c r="K152" s="1000">
        <f>3930/(10^6)</f>
        <v>3.9300000000000003E-3</v>
      </c>
      <c r="L152" s="1000">
        <f>2910/(10^6)</f>
        <v>2.9099999999999998E-3</v>
      </c>
      <c r="M152" s="1000">
        <f>13950/(10^6)</f>
        <v>1.3950000000000001E-2</v>
      </c>
      <c r="N152" s="1000">
        <f>56490/(10^6)</f>
        <v>5.6489999999999999E-2</v>
      </c>
      <c r="O152" s="845">
        <f t="shared" si="19"/>
        <v>8.5499999999999993E-2</v>
      </c>
      <c r="P152" s="1000">
        <f>83580/(10^6)</f>
        <v>8.3580000000000002E-2</v>
      </c>
      <c r="Q152" s="845">
        <f t="shared" si="20"/>
        <v>0.42444000000000004</v>
      </c>
      <c r="R152" s="849">
        <f t="shared" si="21"/>
        <v>2.9440848615605902E-2</v>
      </c>
      <c r="S152" s="845">
        <f t="shared" si="22"/>
        <v>1</v>
      </c>
    </row>
    <row r="153" spans="1:19" ht="16.5" customHeight="1">
      <c r="A153" s="844">
        <v>96</v>
      </c>
      <c r="B153" s="997" t="s">
        <v>1997</v>
      </c>
      <c r="C153" s="844" t="s">
        <v>2039</v>
      </c>
      <c r="D153" s="941" t="s">
        <v>1999</v>
      </c>
      <c r="E153" s="1001" t="s">
        <v>437</v>
      </c>
      <c r="F153" s="846">
        <v>4237</v>
      </c>
      <c r="G153" s="846">
        <v>0</v>
      </c>
      <c r="H153" s="846">
        <f t="shared" si="23"/>
        <v>4237</v>
      </c>
      <c r="I153" s="1000">
        <f>8664.13/(10^6)</f>
        <v>8.6641299999999991E-3</v>
      </c>
      <c r="J153" s="1000">
        <f>10598.45/(10^6)</f>
        <v>1.0598450000000001E-2</v>
      </c>
      <c r="K153" s="1000">
        <f>10778.14/(10^6)</f>
        <v>1.0778139999999999E-2</v>
      </c>
      <c r="L153" s="1000">
        <f>5939.99/(10^6)</f>
        <v>5.93999E-3</v>
      </c>
      <c r="M153" s="1000">
        <f>61636.12/(10^6)</f>
        <v>6.1636120000000003E-2</v>
      </c>
      <c r="N153" s="1000">
        <f>83233.32/(10^6)</f>
        <v>8.3233320000000013E-2</v>
      </c>
      <c r="O153" s="845">
        <f t="shared" si="19"/>
        <v>0.18085015000000002</v>
      </c>
      <c r="P153" s="1000">
        <f>167280/(10^6)</f>
        <v>0.16728000000000001</v>
      </c>
      <c r="Q153" s="845">
        <f t="shared" si="20"/>
        <v>0.68025007000000015</v>
      </c>
      <c r="R153" s="849">
        <f t="shared" si="21"/>
        <v>2.0646853641397414E-2</v>
      </c>
      <c r="S153" s="845">
        <f t="shared" si="22"/>
        <v>1</v>
      </c>
    </row>
    <row r="154" spans="1:19" ht="16.5" customHeight="1">
      <c r="A154" s="844">
        <v>97</v>
      </c>
      <c r="B154" s="997" t="s">
        <v>1985</v>
      </c>
      <c r="C154" s="844" t="s">
        <v>443</v>
      </c>
      <c r="D154" s="941" t="s">
        <v>1999</v>
      </c>
      <c r="E154" s="1001" t="s">
        <v>437</v>
      </c>
      <c r="F154" s="846">
        <v>5832</v>
      </c>
      <c r="G154" s="846">
        <v>0</v>
      </c>
      <c r="H154" s="846">
        <f t="shared" si="23"/>
        <v>5832</v>
      </c>
      <c r="I154" s="1000">
        <f>9180/(10^6)</f>
        <v>9.1800000000000007E-3</v>
      </c>
      <c r="J154" s="1000">
        <f>8280/(10^6)</f>
        <v>8.2799999999999992E-3</v>
      </c>
      <c r="K154" s="1000">
        <f>11970/(10^6)</f>
        <v>1.197E-2</v>
      </c>
      <c r="L154" s="1000">
        <f>8430/(10^6)</f>
        <v>8.43E-3</v>
      </c>
      <c r="M154" s="1000">
        <f>39480/(10^6)</f>
        <v>3.9480000000000001E-2</v>
      </c>
      <c r="N154" s="1000">
        <f>190410/(10^6)</f>
        <v>0.19041</v>
      </c>
      <c r="O154" s="845">
        <f t="shared" si="19"/>
        <v>0.26774999999999999</v>
      </c>
      <c r="P154" s="1000">
        <f>266190/(10^6)</f>
        <v>0.26618999999999998</v>
      </c>
      <c r="Q154" s="845">
        <f t="shared" si="20"/>
        <v>1.41021</v>
      </c>
      <c r="R154" s="849">
        <f t="shared" si="21"/>
        <v>3.1096393461362597E-2</v>
      </c>
      <c r="S154" s="845">
        <f t="shared" si="22"/>
        <v>2</v>
      </c>
    </row>
    <row r="155" spans="1:19" ht="16.5" customHeight="1">
      <c r="A155" s="844">
        <v>98</v>
      </c>
      <c r="B155" s="997" t="s">
        <v>1985</v>
      </c>
      <c r="C155" s="844" t="s">
        <v>444</v>
      </c>
      <c r="D155" s="941" t="s">
        <v>1999</v>
      </c>
      <c r="E155" s="1001" t="s">
        <v>437</v>
      </c>
      <c r="F155" s="846">
        <v>3800</v>
      </c>
      <c r="G155" s="846">
        <v>0</v>
      </c>
      <c r="H155" s="846">
        <f t="shared" si="23"/>
        <v>3800</v>
      </c>
      <c r="I155" s="1000">
        <f>14377/(10^6)</f>
        <v>1.4376999999999999E-2</v>
      </c>
      <c r="J155" s="1000">
        <f>9158/(10^6)</f>
        <v>9.1579999999999995E-3</v>
      </c>
      <c r="K155" s="1000">
        <f>14456/(10^6)</f>
        <v>1.4456E-2</v>
      </c>
      <c r="L155" s="1000">
        <f>18968/(10^6)</f>
        <v>1.8967999999999999E-2</v>
      </c>
      <c r="M155" s="1000">
        <f>94039/(10^6)</f>
        <v>9.4038999999999998E-2</v>
      </c>
      <c r="N155" s="1000">
        <f>123232/(10^6)</f>
        <v>0.12323199999999999</v>
      </c>
      <c r="O155" s="845">
        <f t="shared" si="19"/>
        <v>0.27422999999999997</v>
      </c>
      <c r="P155" s="1000">
        <f>229038/(10^6)</f>
        <v>0.22903799999999999</v>
      </c>
      <c r="Q155" s="845">
        <f t="shared" si="20"/>
        <v>1.0136219999999998</v>
      </c>
      <c r="R155" s="849">
        <f t="shared" si="21"/>
        <v>3.4303321962313185E-2</v>
      </c>
      <c r="S155" s="845">
        <f t="shared" si="22"/>
        <v>2</v>
      </c>
    </row>
    <row r="156" spans="1:19" ht="16.5" customHeight="1">
      <c r="A156" s="844">
        <v>99</v>
      </c>
      <c r="B156" s="997" t="s">
        <v>1985</v>
      </c>
      <c r="C156" s="844" t="s">
        <v>445</v>
      </c>
      <c r="D156" s="941" t="s">
        <v>1999</v>
      </c>
      <c r="E156" s="1001" t="s">
        <v>437</v>
      </c>
      <c r="F156" s="846">
        <v>1150</v>
      </c>
      <c r="G156" s="846">
        <v>0</v>
      </c>
      <c r="H156" s="846">
        <f t="shared" si="23"/>
        <v>1150</v>
      </c>
      <c r="I156" s="1000">
        <f>13320/(10^6)</f>
        <v>1.332E-2</v>
      </c>
      <c r="J156" s="1000">
        <f>10140/(10^6)</f>
        <v>1.014E-2</v>
      </c>
      <c r="K156" s="1000">
        <f>5430/(10^6)</f>
        <v>5.4299999999999999E-3</v>
      </c>
      <c r="L156" s="1000">
        <f>8670/(10^6)</f>
        <v>8.6700000000000006E-3</v>
      </c>
      <c r="M156" s="1000">
        <f>33930/(10^6)</f>
        <v>3.3930000000000002E-2</v>
      </c>
      <c r="N156" s="1000">
        <f>36690/(10^6)</f>
        <v>3.669E-2</v>
      </c>
      <c r="O156" s="845">
        <f t="shared" si="19"/>
        <v>0.10818</v>
      </c>
      <c r="P156" s="1000">
        <f>85230/(10^6)</f>
        <v>8.523E-2</v>
      </c>
      <c r="Q156" s="845">
        <f t="shared" si="20"/>
        <v>0.32832</v>
      </c>
      <c r="R156" s="849">
        <f t="shared" si="21"/>
        <v>3.6714975845410634E-2</v>
      </c>
      <c r="S156" s="845">
        <f t="shared" si="22"/>
        <v>1</v>
      </c>
    </row>
    <row r="157" spans="1:19" ht="16.5" customHeight="1">
      <c r="A157" s="844">
        <v>100</v>
      </c>
      <c r="B157" s="997" t="s">
        <v>1985</v>
      </c>
      <c r="C157" s="844" t="s">
        <v>2040</v>
      </c>
      <c r="D157" s="941" t="s">
        <v>1999</v>
      </c>
      <c r="E157" s="1001" t="s">
        <v>437</v>
      </c>
      <c r="F157" s="846">
        <v>11400</v>
      </c>
      <c r="G157" s="846">
        <v>0</v>
      </c>
      <c r="H157" s="846">
        <f t="shared" si="23"/>
        <v>11400</v>
      </c>
      <c r="I157" s="1000">
        <f>20280/(10^6)</f>
        <v>2.0279999999999999E-2</v>
      </c>
      <c r="J157" s="1000">
        <f>20400/(10^6)</f>
        <v>2.0400000000000001E-2</v>
      </c>
      <c r="K157" s="1000">
        <f>16920/(10^6)</f>
        <v>1.6920000000000001E-2</v>
      </c>
      <c r="L157" s="1000">
        <f>17400/(10^6)</f>
        <v>1.7399999999999999E-2</v>
      </c>
      <c r="M157" s="1000">
        <f>40560/(10^6)</f>
        <v>4.0559999999999999E-2</v>
      </c>
      <c r="N157" s="1000">
        <f>174600/(10^6)</f>
        <v>0.17460000000000001</v>
      </c>
      <c r="O157" s="845">
        <f t="shared" si="19"/>
        <v>0.29015999999999997</v>
      </c>
      <c r="P157" s="1000">
        <f>287520/(10^6)</f>
        <v>0.28752</v>
      </c>
      <c r="Q157" s="845">
        <f t="shared" si="20"/>
        <v>1.3377600000000001</v>
      </c>
      <c r="R157" s="849">
        <f t="shared" ref="R157" si="24">Q157/((F157*24*30*12*0.9)/1000000)</f>
        <v>1.50909681611436E-2</v>
      </c>
      <c r="S157" s="845">
        <f t="shared" si="22"/>
        <v>2</v>
      </c>
    </row>
    <row r="158" spans="1:19" ht="16.5" customHeight="1">
      <c r="A158" s="844">
        <v>101</v>
      </c>
      <c r="B158" s="997" t="s">
        <v>1986</v>
      </c>
      <c r="C158" s="844" t="s">
        <v>446</v>
      </c>
      <c r="D158" s="941" t="s">
        <v>1999</v>
      </c>
      <c r="E158" s="1001" t="s">
        <v>437</v>
      </c>
      <c r="F158" s="846">
        <v>1976</v>
      </c>
      <c r="G158" s="846">
        <v>0</v>
      </c>
      <c r="H158" s="846">
        <f t="shared" si="23"/>
        <v>1976</v>
      </c>
      <c r="I158" s="1000">
        <f>9630/(10^6)</f>
        <v>9.6299999999999997E-3</v>
      </c>
      <c r="J158" s="1000">
        <f>6210/(10^6)</f>
        <v>6.2100000000000002E-3</v>
      </c>
      <c r="K158" s="1000">
        <f>8490/(10^6)</f>
        <v>8.4899999999999993E-3</v>
      </c>
      <c r="L158" s="1000">
        <f>8280/(10^6)</f>
        <v>8.2799999999999992E-3</v>
      </c>
      <c r="M158" s="1000">
        <f>28860/(10^6)</f>
        <v>2.886E-2</v>
      </c>
      <c r="N158" s="1000">
        <f>129210/(10^6)</f>
        <v>0.12920999999999999</v>
      </c>
      <c r="O158" s="845">
        <f t="shared" si="19"/>
        <v>0.19067999999999999</v>
      </c>
      <c r="P158" s="1000">
        <f>173880/(10^6)</f>
        <v>0.17388000000000001</v>
      </c>
      <c r="Q158" s="845">
        <f t="shared" ref="Q158:Q170" si="25">O158+N158*6</f>
        <v>0.96593999999999991</v>
      </c>
      <c r="R158" s="849">
        <f t="shared" ref="R158:R170" si="26">Q158/((F158*24*30*12*0.9)/1000000)</f>
        <v>6.2864716099365212E-2</v>
      </c>
      <c r="S158" s="845">
        <f t="shared" ref="S158:S170" si="27">ROUNDUP(Q158*1.03,0)</f>
        <v>1</v>
      </c>
    </row>
    <row r="159" spans="1:19" ht="16.5" customHeight="1">
      <c r="A159" s="844">
        <v>102</v>
      </c>
      <c r="B159" s="997" t="s">
        <v>1986</v>
      </c>
      <c r="C159" s="844" t="s">
        <v>2041</v>
      </c>
      <c r="D159" s="941" t="s">
        <v>1999</v>
      </c>
      <c r="E159" s="1001" t="s">
        <v>437</v>
      </c>
      <c r="F159" s="846">
        <v>843</v>
      </c>
      <c r="G159" s="846">
        <v>1000</v>
      </c>
      <c r="H159" s="846">
        <f t="shared" si="23"/>
        <v>1843</v>
      </c>
      <c r="I159" s="1000">
        <f>2700/(10^6)</f>
        <v>2.7000000000000001E-3</v>
      </c>
      <c r="J159" s="1000">
        <f>2010/(10^6)</f>
        <v>2.0100000000000001E-3</v>
      </c>
      <c r="K159" s="1000">
        <f>420/(10^6)</f>
        <v>4.2000000000000002E-4</v>
      </c>
      <c r="L159" s="1000">
        <f>1560/(10^6)</f>
        <v>1.56E-3</v>
      </c>
      <c r="M159" s="1000">
        <f>1440/(10^6)</f>
        <v>1.4400000000000001E-3</v>
      </c>
      <c r="N159" s="1000">
        <f>2670/(10^6)</f>
        <v>2.6700000000000001E-3</v>
      </c>
      <c r="O159" s="845">
        <f t="shared" si="19"/>
        <v>1.0800000000000001E-2</v>
      </c>
      <c r="P159" s="1000">
        <f>10710/(10^6)</f>
        <v>1.0710000000000001E-2</v>
      </c>
      <c r="Q159" s="845">
        <f t="shared" si="25"/>
        <v>2.682E-2</v>
      </c>
      <c r="R159" s="849">
        <f t="shared" si="26"/>
        <v>4.0914283203725673E-3</v>
      </c>
      <c r="S159" s="845">
        <f t="shared" si="27"/>
        <v>1</v>
      </c>
    </row>
    <row r="160" spans="1:19" ht="16.5" customHeight="1">
      <c r="A160" s="844">
        <v>103</v>
      </c>
      <c r="B160" s="997" t="s">
        <v>1986</v>
      </c>
      <c r="C160" s="844" t="s">
        <v>2042</v>
      </c>
      <c r="D160" s="941" t="s">
        <v>1999</v>
      </c>
      <c r="E160" s="1001" t="s">
        <v>437</v>
      </c>
      <c r="F160" s="846">
        <v>3800</v>
      </c>
      <c r="G160" s="846">
        <v>0</v>
      </c>
      <c r="H160" s="846">
        <f t="shared" si="23"/>
        <v>3800</v>
      </c>
      <c r="I160" s="1000">
        <f>0/(10^6)</f>
        <v>0</v>
      </c>
      <c r="J160" s="1000">
        <f>240/(10^6)</f>
        <v>2.4000000000000001E-4</v>
      </c>
      <c r="K160" s="1000">
        <f>2040/(10^6)</f>
        <v>2.0400000000000001E-3</v>
      </c>
      <c r="L160" s="1000">
        <f>3360/(10^6)</f>
        <v>3.3600000000000001E-3</v>
      </c>
      <c r="M160" s="1000">
        <f>10560/(10^6)</f>
        <v>1.056E-2</v>
      </c>
      <c r="N160" s="1000">
        <f>39360/(10^6)</f>
        <v>3.9359999999999999E-2</v>
      </c>
      <c r="O160" s="845">
        <f t="shared" si="19"/>
        <v>5.5559999999999998E-2</v>
      </c>
      <c r="P160" s="1000">
        <f>54840/(10^6)</f>
        <v>5.484E-2</v>
      </c>
      <c r="Q160" s="845">
        <f t="shared" si="25"/>
        <v>0.29171999999999998</v>
      </c>
      <c r="R160" s="849">
        <f t="shared" si="26"/>
        <v>9.8724821312540598E-3</v>
      </c>
      <c r="S160" s="845">
        <f t="shared" si="27"/>
        <v>1</v>
      </c>
    </row>
    <row r="161" spans="1:19" ht="16.5" customHeight="1">
      <c r="A161" s="844">
        <v>104</v>
      </c>
      <c r="B161" s="997" t="s">
        <v>2000</v>
      </c>
      <c r="C161" s="844" t="s">
        <v>447</v>
      </c>
      <c r="D161" s="941" t="s">
        <v>1999</v>
      </c>
      <c r="E161" s="1001" t="s">
        <v>437</v>
      </c>
      <c r="F161" s="846">
        <v>1665</v>
      </c>
      <c r="G161" s="846">
        <v>0</v>
      </c>
      <c r="H161" s="846">
        <f t="shared" si="23"/>
        <v>1665</v>
      </c>
      <c r="I161" s="1000">
        <f>61800/(10^6)</f>
        <v>6.1800000000000001E-2</v>
      </c>
      <c r="J161" s="1000">
        <f>3780/(10^6)</f>
        <v>3.7799999999999999E-3</v>
      </c>
      <c r="K161" s="1000">
        <f>3120/(10^6)</f>
        <v>3.1199999999999999E-3</v>
      </c>
      <c r="L161" s="1000">
        <f>22900/(10^6)</f>
        <v>2.29E-2</v>
      </c>
      <c r="M161" s="1000">
        <f>212720/(10^6)</f>
        <v>0.21271999999999999</v>
      </c>
      <c r="N161" s="1000">
        <f>82260/(10^6)</f>
        <v>8.226E-2</v>
      </c>
      <c r="O161" s="845">
        <f t="shared" si="19"/>
        <v>0.38657999999999998</v>
      </c>
      <c r="P161" s="1000">
        <f>380240/(10^6)</f>
        <v>0.38024000000000002</v>
      </c>
      <c r="Q161" s="845">
        <f t="shared" si="25"/>
        <v>0.88013999999999992</v>
      </c>
      <c r="R161" s="849">
        <f t="shared" si="26"/>
        <v>6.7980017054091124E-2</v>
      </c>
      <c r="S161" s="845">
        <f t="shared" si="27"/>
        <v>1</v>
      </c>
    </row>
    <row r="162" spans="1:19" ht="16.5" customHeight="1">
      <c r="A162" s="844">
        <v>105</v>
      </c>
      <c r="B162" s="997" t="s">
        <v>1987</v>
      </c>
      <c r="C162" s="844" t="s">
        <v>448</v>
      </c>
      <c r="D162" s="941" t="s">
        <v>1999</v>
      </c>
      <c r="E162" s="1001" t="s">
        <v>437</v>
      </c>
      <c r="F162" s="846">
        <v>1805</v>
      </c>
      <c r="G162" s="846">
        <v>0</v>
      </c>
      <c r="H162" s="846">
        <f t="shared" si="23"/>
        <v>1805</v>
      </c>
      <c r="I162" s="1000">
        <f>3420/(10^6)</f>
        <v>3.4199999999999999E-3</v>
      </c>
      <c r="J162" s="1000">
        <f>3090/(10^6)</f>
        <v>3.0899999999999999E-3</v>
      </c>
      <c r="K162" s="1000">
        <f>3940/(10^6)</f>
        <v>3.9399999999999999E-3</v>
      </c>
      <c r="L162" s="1000">
        <f>3940/(10^6)</f>
        <v>3.9399999999999999E-3</v>
      </c>
      <c r="M162" s="1000">
        <f>66940/(10^6)</f>
        <v>6.694E-2</v>
      </c>
      <c r="N162" s="1000">
        <f>120990/(10^6)</f>
        <v>0.12099</v>
      </c>
      <c r="O162" s="845">
        <f t="shared" si="19"/>
        <v>0.20232</v>
      </c>
      <c r="P162" s="1000">
        <f>198910/(10^6)</f>
        <v>0.19891</v>
      </c>
      <c r="Q162" s="845">
        <f t="shared" si="25"/>
        <v>0.92826000000000009</v>
      </c>
      <c r="R162" s="849">
        <f t="shared" si="26"/>
        <v>6.6135734072022168E-2</v>
      </c>
      <c r="S162" s="845">
        <f t="shared" si="27"/>
        <v>1</v>
      </c>
    </row>
    <row r="163" spans="1:19" ht="16.5" customHeight="1">
      <c r="A163" s="844">
        <v>106</v>
      </c>
      <c r="B163" s="997" t="s">
        <v>1987</v>
      </c>
      <c r="C163" s="844" t="s">
        <v>449</v>
      </c>
      <c r="D163" s="941" t="s">
        <v>1999</v>
      </c>
      <c r="E163" s="1001" t="s">
        <v>437</v>
      </c>
      <c r="F163" s="846">
        <v>9610</v>
      </c>
      <c r="G163" s="846">
        <v>0</v>
      </c>
      <c r="H163" s="846">
        <f t="shared" si="23"/>
        <v>9610</v>
      </c>
      <c r="I163" s="1000">
        <f>23412/(10^6)</f>
        <v>2.3411999999999999E-2</v>
      </c>
      <c r="J163" s="1000">
        <f>23016/(10^6)</f>
        <v>2.3016000000000002E-2</v>
      </c>
      <c r="K163" s="1000">
        <f>20304/(10^6)</f>
        <v>2.0303999999999999E-2</v>
      </c>
      <c r="L163" s="1000">
        <f>21144/(10^6)</f>
        <v>2.1144E-2</v>
      </c>
      <c r="M163" s="1000">
        <f>21488/(10^6)</f>
        <v>2.1488E-2</v>
      </c>
      <c r="N163" s="1000">
        <f>21512.86/(10^6)</f>
        <v>2.1512860000000002E-2</v>
      </c>
      <c r="O163" s="845">
        <f t="shared" si="19"/>
        <v>0.13087685999999998</v>
      </c>
      <c r="P163" s="1000">
        <f>130816.33/(10^6)</f>
        <v>0.13081633000000001</v>
      </c>
      <c r="Q163" s="845">
        <f t="shared" si="25"/>
        <v>0.25995402000000001</v>
      </c>
      <c r="R163" s="849">
        <f t="shared" si="26"/>
        <v>3.4786993679423437E-3</v>
      </c>
      <c r="S163" s="845">
        <f t="shared" si="27"/>
        <v>1</v>
      </c>
    </row>
    <row r="164" spans="1:19" ht="16.5" customHeight="1">
      <c r="A164" s="844">
        <v>107</v>
      </c>
      <c r="B164" s="997" t="s">
        <v>1987</v>
      </c>
      <c r="C164" s="844" t="s">
        <v>2043</v>
      </c>
      <c r="D164" s="941" t="s">
        <v>1999</v>
      </c>
      <c r="E164" s="1001" t="s">
        <v>437</v>
      </c>
      <c r="F164" s="846">
        <v>1842.2222222222222</v>
      </c>
      <c r="G164" s="846">
        <v>0</v>
      </c>
      <c r="H164" s="846">
        <f t="shared" si="23"/>
        <v>1842.2222222222222</v>
      </c>
      <c r="I164" s="1000">
        <f>2310/(10^6)</f>
        <v>2.31E-3</v>
      </c>
      <c r="J164" s="1000">
        <f>870/(10^6)</f>
        <v>8.7000000000000001E-4</v>
      </c>
      <c r="K164" s="1000">
        <f>1070/(10^6)</f>
        <v>1.07E-3</v>
      </c>
      <c r="L164" s="1000">
        <f>1070/(10^6)</f>
        <v>1.07E-3</v>
      </c>
      <c r="M164" s="1000">
        <f>-700/(10^6)</f>
        <v>-6.9999999999999999E-4</v>
      </c>
      <c r="N164" s="1000">
        <f>2160/(10^6)</f>
        <v>2.16E-3</v>
      </c>
      <c r="O164" s="845">
        <f t="shared" si="19"/>
        <v>6.7799999999999996E-3</v>
      </c>
      <c r="P164" s="1000">
        <f>6765/(10^6)</f>
        <v>6.7650000000000002E-3</v>
      </c>
      <c r="Q164" s="845">
        <f t="shared" si="25"/>
        <v>1.9740000000000001E-2</v>
      </c>
      <c r="R164" s="849">
        <f t="shared" si="26"/>
        <v>1.3779989277576737E-3</v>
      </c>
      <c r="S164" s="845">
        <f t="shared" si="27"/>
        <v>1</v>
      </c>
    </row>
    <row r="165" spans="1:19" ht="16.5" customHeight="1">
      <c r="A165" s="844">
        <v>108</v>
      </c>
      <c r="B165" s="997" t="s">
        <v>2001</v>
      </c>
      <c r="C165" s="844" t="s">
        <v>2044</v>
      </c>
      <c r="D165" s="941" t="s">
        <v>1999</v>
      </c>
      <c r="E165" s="1001" t="s">
        <v>437</v>
      </c>
      <c r="F165" s="846">
        <v>2370</v>
      </c>
      <c r="G165" s="846">
        <v>0</v>
      </c>
      <c r="H165" s="846">
        <f t="shared" si="23"/>
        <v>2370</v>
      </c>
      <c r="I165" s="1000">
        <f>1050/(10^6)</f>
        <v>1.0499999999999999E-3</v>
      </c>
      <c r="J165" s="1000">
        <f>0/(10^6)</f>
        <v>0</v>
      </c>
      <c r="K165" s="1000">
        <f>1650/(10^6)</f>
        <v>1.65E-3</v>
      </c>
      <c r="L165" s="1000">
        <f>900/(10^6)</f>
        <v>8.9999999999999998E-4</v>
      </c>
      <c r="M165" s="1000">
        <f>-300/(10^6)</f>
        <v>-2.9999999999999997E-4</v>
      </c>
      <c r="N165" s="1000">
        <f>300/(10^6)</f>
        <v>2.9999999999999997E-4</v>
      </c>
      <c r="O165" s="845">
        <f t="shared" si="19"/>
        <v>3.5999999999999999E-3</v>
      </c>
      <c r="P165" s="1000">
        <f>3400/(10^6)</f>
        <v>3.3999999999999998E-3</v>
      </c>
      <c r="Q165" s="845">
        <f t="shared" si="25"/>
        <v>5.4000000000000003E-3</v>
      </c>
      <c r="R165" s="849">
        <f t="shared" si="26"/>
        <v>2.9301453352086266E-4</v>
      </c>
      <c r="S165" s="845">
        <f t="shared" si="27"/>
        <v>1</v>
      </c>
    </row>
    <row r="166" spans="1:19" ht="16.5" customHeight="1">
      <c r="A166" s="844">
        <v>109</v>
      </c>
      <c r="B166" s="997" t="s">
        <v>2001</v>
      </c>
      <c r="C166" s="844" t="s">
        <v>2045</v>
      </c>
      <c r="D166" s="941" t="s">
        <v>1999</v>
      </c>
      <c r="E166" s="1001" t="s">
        <v>437</v>
      </c>
      <c r="F166" s="846">
        <v>1695</v>
      </c>
      <c r="G166" s="846">
        <v>0</v>
      </c>
      <c r="H166" s="846">
        <f t="shared" si="23"/>
        <v>1695</v>
      </c>
      <c r="I166" s="1000">
        <f>-103614/(10^6)</f>
        <v>-0.103614</v>
      </c>
      <c r="J166" s="1000">
        <f>120/(10^6)</f>
        <v>1.2E-4</v>
      </c>
      <c r="K166" s="1000">
        <f>80/(10^6)</f>
        <v>8.0000000000000007E-5</v>
      </c>
      <c r="L166" s="1000">
        <f>80/(10^6)</f>
        <v>8.0000000000000007E-5</v>
      </c>
      <c r="M166" s="1000">
        <f>845/(10^6)</f>
        <v>8.4500000000000005E-4</v>
      </c>
      <c r="N166" s="1000">
        <f>1035/(10^6)</f>
        <v>1.0349999999999999E-3</v>
      </c>
      <c r="O166" s="845">
        <f t="shared" si="19"/>
        <v>-0.10145400000000002</v>
      </c>
      <c r="P166" s="1000">
        <f>-102114/(10^6)</f>
        <v>-0.102114</v>
      </c>
      <c r="Q166" s="845">
        <f t="shared" si="25"/>
        <v>-9.5244000000000023E-2</v>
      </c>
      <c r="R166" s="849">
        <f t="shared" si="26"/>
        <v>-7.2262281947631027E-3</v>
      </c>
      <c r="S166" s="845">
        <f t="shared" si="27"/>
        <v>-1</v>
      </c>
    </row>
    <row r="167" spans="1:19" ht="16.5" customHeight="1">
      <c r="A167" s="844">
        <v>110</v>
      </c>
      <c r="B167" s="997" t="s">
        <v>2001</v>
      </c>
      <c r="C167" s="844" t="s">
        <v>2046</v>
      </c>
      <c r="D167" s="941" t="s">
        <v>1999</v>
      </c>
      <c r="E167" s="1001" t="s">
        <v>437</v>
      </c>
      <c r="F167" s="846">
        <v>1855</v>
      </c>
      <c r="G167" s="846">
        <v>0</v>
      </c>
      <c r="H167" s="846">
        <f t="shared" si="23"/>
        <v>1855</v>
      </c>
      <c r="I167" s="1000">
        <f>3000/(10^6)</f>
        <v>3.0000000000000001E-3</v>
      </c>
      <c r="J167" s="1000">
        <f>2505/(10^6)</f>
        <v>2.5049999999999998E-3</v>
      </c>
      <c r="K167" s="1000">
        <f>2655/(10^6)</f>
        <v>2.6549999999999998E-3</v>
      </c>
      <c r="L167" s="1000">
        <f>2970/(10^6)</f>
        <v>2.97E-3</v>
      </c>
      <c r="M167" s="1000">
        <f>3165/(10^6)</f>
        <v>3.1649999999999998E-3</v>
      </c>
      <c r="N167" s="1000">
        <f>6420/(10^6)</f>
        <v>6.4200000000000004E-3</v>
      </c>
      <c r="O167" s="845">
        <f t="shared" si="19"/>
        <v>2.0714999999999997E-2</v>
      </c>
      <c r="P167" s="1000">
        <f>18330/(10^6)</f>
        <v>1.8329999999999999E-2</v>
      </c>
      <c r="Q167" s="845">
        <f t="shared" si="25"/>
        <v>5.9234999999999996E-2</v>
      </c>
      <c r="R167" s="849">
        <f t="shared" si="26"/>
        <v>4.1065605137932176E-3</v>
      </c>
      <c r="S167" s="845">
        <f t="shared" si="27"/>
        <v>1</v>
      </c>
    </row>
    <row r="168" spans="1:19" ht="16.5" customHeight="1">
      <c r="A168" s="844">
        <v>111</v>
      </c>
      <c r="B168" s="997" t="s">
        <v>2002</v>
      </c>
      <c r="C168" s="844" t="s">
        <v>450</v>
      </c>
      <c r="D168" s="941" t="s">
        <v>1999</v>
      </c>
      <c r="E168" s="1001" t="s">
        <v>437</v>
      </c>
      <c r="F168" s="846">
        <v>1000</v>
      </c>
      <c r="G168" s="846">
        <v>0</v>
      </c>
      <c r="H168" s="846">
        <f t="shared" si="23"/>
        <v>1000</v>
      </c>
      <c r="I168" s="1000">
        <f>2955/(10^6)</f>
        <v>2.9550000000000002E-3</v>
      </c>
      <c r="J168" s="1000">
        <f>2700/(10^6)</f>
        <v>2.7000000000000001E-3</v>
      </c>
      <c r="K168" s="1000">
        <f>2805/(10^6)</f>
        <v>2.8050000000000002E-3</v>
      </c>
      <c r="L168" s="1000">
        <f>2625/(10^6)</f>
        <v>2.6250000000000002E-3</v>
      </c>
      <c r="M168" s="1000">
        <f>117240/(10^6)</f>
        <v>0.11724</v>
      </c>
      <c r="N168" s="1000">
        <f>149145/(10^6)</f>
        <v>0.149145</v>
      </c>
      <c r="O168" s="845">
        <f t="shared" si="19"/>
        <v>0.27746999999999999</v>
      </c>
      <c r="P168" s="1000">
        <f>266430/(10^6)</f>
        <v>0.26643</v>
      </c>
      <c r="Q168" s="845">
        <f t="shared" si="25"/>
        <v>1.1723400000000002</v>
      </c>
      <c r="R168" s="849">
        <f t="shared" si="26"/>
        <v>0.15076388888888892</v>
      </c>
      <c r="S168" s="845">
        <f t="shared" si="27"/>
        <v>2</v>
      </c>
    </row>
    <row r="169" spans="1:19" ht="16.5" customHeight="1">
      <c r="A169" s="844">
        <v>112</v>
      </c>
      <c r="B169" s="997" t="s">
        <v>2002</v>
      </c>
      <c r="C169" s="844" t="s">
        <v>451</v>
      </c>
      <c r="D169" s="941" t="s">
        <v>1999</v>
      </c>
      <c r="E169" s="1001" t="s">
        <v>437</v>
      </c>
      <c r="F169" s="846">
        <v>3428</v>
      </c>
      <c r="G169" s="846">
        <v>0</v>
      </c>
      <c r="H169" s="846">
        <f t="shared" si="23"/>
        <v>3428</v>
      </c>
      <c r="I169" s="1000">
        <f>29250/(10^6)</f>
        <v>2.9250000000000002E-2</v>
      </c>
      <c r="J169" s="1000">
        <f>9240/(10^6)</f>
        <v>9.2399999999999999E-3</v>
      </c>
      <c r="K169" s="1000">
        <f>7800/(10^6)</f>
        <v>7.7999999999999996E-3</v>
      </c>
      <c r="L169" s="1000">
        <f>8520/(10^6)</f>
        <v>8.5199999999999998E-3</v>
      </c>
      <c r="M169" s="1000">
        <f>486600/(10^6)</f>
        <v>0.48659999999999998</v>
      </c>
      <c r="N169" s="1000">
        <f>418500/(10^6)</f>
        <v>0.41849999999999998</v>
      </c>
      <c r="O169" s="845">
        <f t="shared" si="19"/>
        <v>0.95990999999999993</v>
      </c>
      <c r="P169" s="1000">
        <f>912540/(10^6)</f>
        <v>0.91254000000000002</v>
      </c>
      <c r="Q169" s="845">
        <f t="shared" si="25"/>
        <v>3.4709099999999999</v>
      </c>
      <c r="R169" s="849">
        <f t="shared" si="26"/>
        <v>0.1302105842228849</v>
      </c>
      <c r="S169" s="845">
        <f t="shared" si="27"/>
        <v>4</v>
      </c>
    </row>
    <row r="170" spans="1:19" ht="16.5" customHeight="1">
      <c r="A170" s="844">
        <v>113</v>
      </c>
      <c r="B170" s="997" t="s">
        <v>2002</v>
      </c>
      <c r="C170" s="844" t="s">
        <v>452</v>
      </c>
      <c r="D170" s="941" t="s">
        <v>1999</v>
      </c>
      <c r="E170" s="1001" t="s">
        <v>437</v>
      </c>
      <c r="F170" s="846">
        <v>11028</v>
      </c>
      <c r="G170" s="846">
        <v>0</v>
      </c>
      <c r="H170" s="846">
        <f t="shared" si="23"/>
        <v>11028</v>
      </c>
      <c r="I170" s="1000">
        <f>28440/(10^6)</f>
        <v>2.844E-2</v>
      </c>
      <c r="J170" s="1000">
        <f>24960/(10^6)</f>
        <v>2.496E-2</v>
      </c>
      <c r="K170" s="1000">
        <f>18480/(10^6)</f>
        <v>1.848E-2</v>
      </c>
      <c r="L170" s="1000">
        <f>32820/(10^6)</f>
        <v>3.2820000000000002E-2</v>
      </c>
      <c r="M170" s="1000">
        <f>1459440/(10^6)</f>
        <v>1.4594400000000001</v>
      </c>
      <c r="N170" s="1000">
        <f>1663320/(10^6)</f>
        <v>1.6633199999999999</v>
      </c>
      <c r="O170" s="845">
        <f t="shared" si="19"/>
        <v>3.2274599999999998</v>
      </c>
      <c r="P170" s="1000">
        <f>3169380/(10^6)</f>
        <v>3.1693799999999999</v>
      </c>
      <c r="Q170" s="845">
        <f t="shared" si="25"/>
        <v>13.207380000000001</v>
      </c>
      <c r="R170" s="849">
        <f t="shared" si="26"/>
        <v>0.15401522835252132</v>
      </c>
      <c r="S170" s="845">
        <f t="shared" si="27"/>
        <v>14</v>
      </c>
    </row>
    <row r="171" spans="1:19" ht="16.5" customHeight="1">
      <c r="A171" s="844">
        <v>114</v>
      </c>
      <c r="B171" s="844"/>
      <c r="C171" s="844"/>
      <c r="D171" s="941"/>
      <c r="E171" s="941"/>
      <c r="F171" s="846"/>
      <c r="G171" s="844"/>
      <c r="H171" s="846"/>
      <c r="I171" s="845"/>
      <c r="J171" s="845"/>
      <c r="K171" s="845"/>
      <c r="L171" s="845"/>
      <c r="M171" s="845"/>
      <c r="N171" s="845"/>
      <c r="O171" s="845"/>
      <c r="P171" s="845"/>
      <c r="Q171" s="845"/>
      <c r="R171" s="849"/>
      <c r="S171" s="845"/>
    </row>
    <row r="172" spans="1:19" s="843" customFormat="1">
      <c r="A172" s="844">
        <v>115</v>
      </c>
      <c r="B172" s="840" t="s">
        <v>2047</v>
      </c>
      <c r="C172" s="840"/>
      <c r="D172" s="940"/>
      <c r="E172" s="940"/>
      <c r="F172" s="840"/>
      <c r="G172" s="840"/>
      <c r="H172" s="840"/>
      <c r="I172" s="841"/>
      <c r="J172" s="841"/>
      <c r="K172" s="841"/>
      <c r="L172" s="841"/>
      <c r="M172" s="841"/>
      <c r="N172" s="841"/>
      <c r="O172" s="841"/>
      <c r="P172" s="841"/>
      <c r="Q172" s="842"/>
      <c r="R172" s="842"/>
      <c r="S172" s="841"/>
    </row>
    <row r="173" spans="1:19">
      <c r="A173" s="844"/>
      <c r="B173" s="997" t="s">
        <v>1983</v>
      </c>
      <c r="C173" s="844" t="s">
        <v>2048</v>
      </c>
      <c r="D173" s="941" t="s">
        <v>455</v>
      </c>
      <c r="E173" s="1001" t="s">
        <v>435</v>
      </c>
      <c r="F173" s="846"/>
      <c r="G173" s="844">
        <v>1116</v>
      </c>
      <c r="H173" s="846">
        <f t="shared" ref="H173:H176" si="28">F173+G173</f>
        <v>1116</v>
      </c>
      <c r="I173" s="845"/>
      <c r="J173" s="845"/>
      <c r="K173" s="1010">
        <f>10/(10^6)</f>
        <v>1.0000000000000001E-5</v>
      </c>
      <c r="L173" s="1010">
        <f>30/(10^6)</f>
        <v>3.0000000000000001E-5</v>
      </c>
      <c r="M173" s="1000">
        <f>5490/(10^6)</f>
        <v>5.4900000000000001E-3</v>
      </c>
      <c r="N173" s="1000">
        <f>25280/(10^6)</f>
        <v>2.528E-2</v>
      </c>
      <c r="O173" s="845">
        <f t="shared" ref="O173:O176" si="29">SUM(I173:N173)</f>
        <v>3.0810000000000001E-2</v>
      </c>
      <c r="P173" s="1000">
        <f>28630/(10^6)</f>
        <v>2.8629999999999999E-2</v>
      </c>
      <c r="Q173" s="845">
        <f t="shared" ref="Q173:Q176" si="30">O173+N173*6</f>
        <v>0.18249000000000001</v>
      </c>
      <c r="R173" s="849"/>
      <c r="S173" s="845">
        <f>ROUNDUP(Q173*1.03,0)</f>
        <v>1</v>
      </c>
    </row>
    <row r="174" spans="1:19">
      <c r="A174" s="840" t="s">
        <v>521</v>
      </c>
      <c r="B174" s="997" t="s">
        <v>1991</v>
      </c>
      <c r="C174" s="844" t="s">
        <v>2049</v>
      </c>
      <c r="D174" s="941" t="s">
        <v>2020</v>
      </c>
      <c r="E174" s="1001" t="s">
        <v>437</v>
      </c>
      <c r="F174" s="846"/>
      <c r="G174" s="844">
        <v>1117</v>
      </c>
      <c r="H174" s="846">
        <f t="shared" si="28"/>
        <v>1117</v>
      </c>
      <c r="I174" s="845"/>
      <c r="J174" s="845"/>
      <c r="K174" s="1000">
        <f>4020/(10^6)</f>
        <v>4.0200000000000001E-3</v>
      </c>
      <c r="L174" s="1000">
        <f>25020/(10^6)</f>
        <v>2.5020000000000001E-2</v>
      </c>
      <c r="M174" s="1000">
        <f>64020/(10^6)</f>
        <v>6.4019999999999994E-2</v>
      </c>
      <c r="N174" s="1000">
        <f>97170/(10^6)</f>
        <v>9.7170000000000006E-2</v>
      </c>
      <c r="O174" s="845">
        <f t="shared" si="29"/>
        <v>0.19023000000000001</v>
      </c>
      <c r="P174" s="1000">
        <f>185190/(10^6)</f>
        <v>0.18518999999999999</v>
      </c>
      <c r="Q174" s="845">
        <f t="shared" si="30"/>
        <v>0.7732500000000001</v>
      </c>
      <c r="R174" s="849"/>
      <c r="S174" s="845">
        <f t="shared" ref="S174:S176" si="31">ROUNDUP(Q174*1.03,0)</f>
        <v>1</v>
      </c>
    </row>
    <row r="175" spans="1:19">
      <c r="A175" s="1001">
        <v>1</v>
      </c>
      <c r="B175" s="997" t="s">
        <v>1984</v>
      </c>
      <c r="C175" s="844" t="s">
        <v>2050</v>
      </c>
      <c r="D175" s="941" t="s">
        <v>408</v>
      </c>
      <c r="E175" s="1001" t="s">
        <v>437</v>
      </c>
      <c r="F175" s="846"/>
      <c r="G175" s="844">
        <v>1040</v>
      </c>
      <c r="H175" s="846">
        <f t="shared" si="28"/>
        <v>1040</v>
      </c>
      <c r="I175" s="845"/>
      <c r="J175" s="845"/>
      <c r="K175" s="1000"/>
      <c r="L175" s="1000"/>
      <c r="M175" s="1000"/>
      <c r="N175" s="1010">
        <f>29.99/(10^6)</f>
        <v>2.9989999999999999E-5</v>
      </c>
      <c r="O175" s="845">
        <f t="shared" si="29"/>
        <v>2.9989999999999999E-5</v>
      </c>
      <c r="P175" s="1010">
        <f>20/(10^6)</f>
        <v>2.0000000000000002E-5</v>
      </c>
      <c r="Q175" s="845">
        <f t="shared" si="30"/>
        <v>2.0992999999999999E-4</v>
      </c>
      <c r="R175" s="849"/>
      <c r="S175" s="845">
        <f t="shared" si="31"/>
        <v>1</v>
      </c>
    </row>
    <row r="176" spans="1:19">
      <c r="A176" s="1001">
        <v>2</v>
      </c>
      <c r="B176" s="997" t="s">
        <v>2000</v>
      </c>
      <c r="C176" s="844" t="s">
        <v>2051</v>
      </c>
      <c r="D176" s="941" t="s">
        <v>408</v>
      </c>
      <c r="E176" s="1001" t="s">
        <v>435</v>
      </c>
      <c r="F176" s="844"/>
      <c r="G176" s="844">
        <v>1100</v>
      </c>
      <c r="H176" s="846">
        <f t="shared" si="28"/>
        <v>1100</v>
      </c>
      <c r="I176" s="846"/>
      <c r="J176" s="846"/>
      <c r="K176" s="1000"/>
      <c r="L176" s="1000"/>
      <c r="M176" s="1000"/>
      <c r="N176" s="1000">
        <f>640/(10^6)</f>
        <v>6.4000000000000005E-4</v>
      </c>
      <c r="O176" s="845">
        <f t="shared" si="29"/>
        <v>6.4000000000000005E-4</v>
      </c>
      <c r="P176" s="1000">
        <f>620/(10^6)</f>
        <v>6.2E-4</v>
      </c>
      <c r="Q176" s="845">
        <f t="shared" si="30"/>
        <v>4.4800000000000005E-3</v>
      </c>
      <c r="R176" s="849"/>
      <c r="S176" s="845">
        <f t="shared" si="31"/>
        <v>1</v>
      </c>
    </row>
    <row r="177" spans="1:19">
      <c r="A177" s="1001">
        <v>3</v>
      </c>
      <c r="B177" s="844"/>
      <c r="C177" s="844"/>
      <c r="D177" s="940" t="s">
        <v>522</v>
      </c>
      <c r="E177" s="941"/>
      <c r="F177" s="842">
        <f t="shared" ref="F177:Q177" si="32">SUM(F56:F176)</f>
        <v>412754.22222222225</v>
      </c>
      <c r="G177" s="842">
        <f t="shared" si="32"/>
        <v>14551</v>
      </c>
      <c r="H177" s="842">
        <f t="shared" si="32"/>
        <v>427305.22222222225</v>
      </c>
      <c r="I177" s="841">
        <f t="shared" si="32"/>
        <v>115.00535812999998</v>
      </c>
      <c r="J177" s="841">
        <f t="shared" si="32"/>
        <v>118.33532205</v>
      </c>
      <c r="K177" s="841">
        <f t="shared" si="32"/>
        <v>125.64326478942998</v>
      </c>
      <c r="L177" s="841">
        <f t="shared" si="32"/>
        <v>117.91099895400001</v>
      </c>
      <c r="M177" s="841">
        <f t="shared" si="32"/>
        <v>139.20034049600002</v>
      </c>
      <c r="N177" s="841">
        <f t="shared" si="32"/>
        <v>134.03011160999998</v>
      </c>
      <c r="O177" s="841">
        <f t="shared" si="32"/>
        <v>750.12539602943002</v>
      </c>
      <c r="P177" s="841">
        <f t="shared" si="32"/>
        <v>738.2183760403085</v>
      </c>
      <c r="Q177" s="841">
        <f t="shared" si="32"/>
        <v>1554.3060656894295</v>
      </c>
      <c r="R177" s="850"/>
      <c r="S177" s="841">
        <f>SUM(S56:S176)</f>
        <v>1666</v>
      </c>
    </row>
    <row r="178" spans="1:19">
      <c r="A178" s="1001">
        <v>4</v>
      </c>
      <c r="B178" s="840"/>
      <c r="C178" s="840"/>
      <c r="D178" s="940" t="s">
        <v>523</v>
      </c>
      <c r="E178" s="940"/>
      <c r="F178" s="842">
        <f t="shared" ref="F178:Q178" si="33">F53+F177</f>
        <v>1461227.2222222222</v>
      </c>
      <c r="G178" s="842">
        <f t="shared" si="33"/>
        <v>146385</v>
      </c>
      <c r="H178" s="842">
        <f t="shared" si="33"/>
        <v>1730612.2222222222</v>
      </c>
      <c r="I178" s="841">
        <f t="shared" si="33"/>
        <v>329.00112837069003</v>
      </c>
      <c r="J178" s="841">
        <f t="shared" si="33"/>
        <v>412.27087040029994</v>
      </c>
      <c r="K178" s="841">
        <f t="shared" si="33"/>
        <v>463.55144055872995</v>
      </c>
      <c r="L178" s="841">
        <f t="shared" si="33"/>
        <v>495.30941483399999</v>
      </c>
      <c r="M178" s="841">
        <f t="shared" si="33"/>
        <v>612.98579870600008</v>
      </c>
      <c r="N178" s="841">
        <f t="shared" si="33"/>
        <v>651.05725281000002</v>
      </c>
      <c r="O178" s="841">
        <f t="shared" si="33"/>
        <v>2964.17590567972</v>
      </c>
      <c r="P178" s="841">
        <f t="shared" si="33"/>
        <v>3379.8507362403088</v>
      </c>
      <c r="Q178" s="841">
        <f t="shared" si="33"/>
        <v>8831.9320725397192</v>
      </c>
      <c r="R178" s="850"/>
      <c r="S178" s="841">
        <f>S53+S177</f>
        <v>8818.27</v>
      </c>
    </row>
    <row r="179" spans="1:19">
      <c r="A179" s="844"/>
      <c r="Q179" s="851"/>
      <c r="R179" s="851"/>
      <c r="S179" s="851"/>
    </row>
    <row r="180" spans="1:19">
      <c r="A180" s="840"/>
      <c r="F180" s="944"/>
      <c r="G180" s="944"/>
      <c r="H180" s="944"/>
      <c r="I180" s="944"/>
      <c r="J180" s="944"/>
      <c r="K180" s="944"/>
      <c r="L180" s="944"/>
      <c r="M180" s="944"/>
      <c r="N180" s="944"/>
      <c r="P180" s="944"/>
    </row>
    <row r="181" spans="1:19">
      <c r="F181" s="944"/>
      <c r="G181" s="944"/>
      <c r="H181" s="944"/>
      <c r="I181" s="944"/>
      <c r="J181" s="944"/>
      <c r="K181" s="944"/>
      <c r="L181" s="944"/>
      <c r="M181" s="944"/>
      <c r="N181" s="944"/>
      <c r="P181" s="944"/>
      <c r="Q181" s="851"/>
      <c r="R181" s="851"/>
      <c r="S181" s="851"/>
    </row>
  </sheetData>
  <mergeCells count="13">
    <mergeCell ref="Q3:Q4"/>
    <mergeCell ref="R3:R4"/>
    <mergeCell ref="S3:S4"/>
    <mergeCell ref="A2:S2"/>
    <mergeCell ref="A3:A4"/>
    <mergeCell ref="B3:B4"/>
    <mergeCell ref="C3:C4"/>
    <mergeCell ref="D3:D4"/>
    <mergeCell ref="E3:E4"/>
    <mergeCell ref="F3:F4"/>
    <mergeCell ref="G3:G4"/>
    <mergeCell ref="H3:H4"/>
    <mergeCell ref="I3:O3"/>
  </mergeCells>
  <phoneticPr fontId="22" type="noConversion"/>
  <printOptions horizontalCentered="1" verticalCentered="1" gridLines="1"/>
  <pageMargins left="0" right="0" top="0" bottom="0" header="0" footer="0"/>
  <pageSetup paperSize="9" scale="65" orientation="landscape" blackAndWhite="1" r:id="rId1"/>
  <rowBreaks count="3" manualBreakCount="3">
    <brk id="54" max="18" man="1"/>
    <brk id="97" max="18" man="1"/>
    <brk id="147" max="18"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pageSetUpPr fitToPage="1"/>
  </sheetPr>
  <dimension ref="A1:Q43"/>
  <sheetViews>
    <sheetView view="pageBreakPreview" zoomScale="85" zoomScaleSheetLayoutView="85" workbookViewId="0">
      <selection activeCell="C16" sqref="C16"/>
    </sheetView>
  </sheetViews>
  <sheetFormatPr defaultColWidth="14.7109375" defaultRowHeight="12.75"/>
  <cols>
    <col min="1" max="1" width="7.28515625" customWidth="1"/>
    <col min="2" max="2" width="27.85546875" customWidth="1"/>
    <col min="3" max="3" width="14.7109375" customWidth="1"/>
    <col min="4" max="4" width="14.85546875" customWidth="1"/>
    <col min="5" max="5" width="12.7109375" customWidth="1"/>
    <col min="6" max="6" width="16.28515625" customWidth="1"/>
    <col min="7" max="16" width="14.7109375" customWidth="1"/>
    <col min="17" max="17" width="14.7109375" hidden="1" customWidth="1"/>
  </cols>
  <sheetData>
    <row r="1" spans="1:6">
      <c r="A1" s="20" t="s">
        <v>106</v>
      </c>
      <c r="E1" s="3" t="s">
        <v>524</v>
      </c>
    </row>
    <row r="2" spans="1:6" ht="15">
      <c r="A2" s="2" t="s">
        <v>525</v>
      </c>
      <c r="B2" s="22"/>
      <c r="C2" s="22"/>
      <c r="D2" s="22"/>
    </row>
    <row r="3" spans="1:6" ht="13.5" thickBot="1">
      <c r="E3" s="2" t="s">
        <v>526</v>
      </c>
    </row>
    <row r="4" spans="1:6" ht="79.5" thickBot="1">
      <c r="A4" s="1410" t="s">
        <v>2235</v>
      </c>
      <c r="B4" s="1411" t="s">
        <v>791</v>
      </c>
      <c r="C4" s="1412" t="s">
        <v>527</v>
      </c>
      <c r="D4" s="1412" t="s">
        <v>528</v>
      </c>
      <c r="E4" s="1413" t="s">
        <v>529</v>
      </c>
    </row>
    <row r="5" spans="1:6" ht="15.75">
      <c r="A5" s="1414"/>
      <c r="B5" s="1415"/>
      <c r="C5" s="1416"/>
      <c r="D5" s="1416"/>
      <c r="E5" s="1417"/>
    </row>
    <row r="6" spans="1:6" ht="15.75">
      <c r="A6" s="1418"/>
      <c r="B6" s="1415"/>
      <c r="C6" s="1416"/>
      <c r="D6" s="1416"/>
      <c r="E6" s="1419"/>
    </row>
    <row r="7" spans="1:6" ht="15.75">
      <c r="A7" s="1420" t="s">
        <v>109</v>
      </c>
      <c r="B7" s="1421" t="s">
        <v>530</v>
      </c>
      <c r="C7" s="1422"/>
      <c r="D7" s="23"/>
      <c r="E7" s="393"/>
    </row>
    <row r="8" spans="1:6">
      <c r="A8" s="1423"/>
      <c r="B8" s="23"/>
      <c r="C8" s="23"/>
      <c r="D8" s="23"/>
      <c r="E8" s="393"/>
    </row>
    <row r="9" spans="1:6">
      <c r="A9" s="1423"/>
      <c r="B9" s="23" t="s">
        <v>531</v>
      </c>
      <c r="C9" s="23"/>
      <c r="D9" s="23"/>
      <c r="E9" s="393"/>
    </row>
    <row r="10" spans="1:6">
      <c r="A10" s="1423"/>
      <c r="B10" s="24" t="s">
        <v>532</v>
      </c>
      <c r="C10" s="23"/>
      <c r="D10" s="36"/>
      <c r="E10" s="434"/>
    </row>
    <row r="11" spans="1:6">
      <c r="A11" s="1423"/>
      <c r="B11" s="24" t="s">
        <v>533</v>
      </c>
      <c r="C11" s="23"/>
      <c r="D11" s="36"/>
      <c r="E11" s="434"/>
    </row>
    <row r="12" spans="1:6" ht="15.75">
      <c r="A12" s="1423"/>
      <c r="B12" s="1421" t="s">
        <v>534</v>
      </c>
      <c r="C12" s="354">
        <v>11597.865171699981</v>
      </c>
      <c r="D12" s="36">
        <f>'F-21'!C23</f>
        <v>235357.59645079999</v>
      </c>
      <c r="E12" s="434">
        <f ca="1">'F-21'!D23</f>
        <v>300943.90970331046</v>
      </c>
    </row>
    <row r="13" spans="1:6">
      <c r="A13" s="1423"/>
      <c r="B13" s="23" t="s">
        <v>535</v>
      </c>
      <c r="C13" s="36"/>
      <c r="E13" s="434"/>
    </row>
    <row r="14" spans="1:6">
      <c r="A14" s="1423"/>
      <c r="B14" s="24" t="s">
        <v>532</v>
      </c>
      <c r="C14" s="36"/>
      <c r="D14" s="36"/>
      <c r="E14" s="434"/>
    </row>
    <row r="15" spans="1:6">
      <c r="A15" s="1423"/>
      <c r="B15" s="24" t="s">
        <v>533</v>
      </c>
      <c r="C15" s="36"/>
      <c r="D15" s="36"/>
      <c r="E15" s="434"/>
    </row>
    <row r="16" spans="1:6" ht="15.75">
      <c r="A16" s="1423"/>
      <c r="B16" s="1421" t="s">
        <v>534</v>
      </c>
      <c r="C16" s="354">
        <f>CWIP!B45</f>
        <v>11597.871100599998</v>
      </c>
      <c r="D16" s="36">
        <f>'F-21'!C28</f>
        <v>8201.8946180999974</v>
      </c>
      <c r="E16" s="434">
        <f ca="1">'F-21'!D28</f>
        <v>29510.73023128257</v>
      </c>
      <c r="F16" s="9"/>
    </row>
    <row r="17" spans="1:14">
      <c r="A17" s="1423"/>
      <c r="B17" s="23"/>
      <c r="C17" s="36"/>
      <c r="D17" s="36"/>
      <c r="E17" s="434"/>
    </row>
    <row r="18" spans="1:14" ht="15.75">
      <c r="A18" s="1420" t="s">
        <v>137</v>
      </c>
      <c r="B18" s="1421" t="s">
        <v>536</v>
      </c>
      <c r="C18" s="36"/>
      <c r="D18" s="36"/>
      <c r="E18" s="434"/>
    </row>
    <row r="19" spans="1:14">
      <c r="A19" s="1423"/>
      <c r="B19" s="23"/>
      <c r="C19" s="36"/>
      <c r="D19" s="36"/>
      <c r="E19" s="434"/>
      <c r="N19" s="506"/>
    </row>
    <row r="20" spans="1:14">
      <c r="A20" s="1423"/>
      <c r="B20" s="23" t="s">
        <v>531</v>
      </c>
      <c r="C20" s="36"/>
      <c r="D20" s="36"/>
      <c r="E20" s="434"/>
      <c r="N20" s="506"/>
    </row>
    <row r="21" spans="1:14">
      <c r="A21" s="1423"/>
      <c r="B21" s="24" t="s">
        <v>532</v>
      </c>
      <c r="C21" s="36"/>
      <c r="D21" s="36"/>
      <c r="E21" s="434"/>
    </row>
    <row r="22" spans="1:14">
      <c r="A22" s="1423"/>
      <c r="B22" s="24" t="s">
        <v>533</v>
      </c>
      <c r="C22" s="36"/>
      <c r="D22" s="36"/>
      <c r="E22" s="434"/>
    </row>
    <row r="23" spans="1:14" ht="15.75">
      <c r="A23" s="1423"/>
      <c r="B23" s="1421" t="s">
        <v>534</v>
      </c>
      <c r="C23" s="36">
        <f>D12-C12</f>
        <v>223759.7312791</v>
      </c>
      <c r="D23" s="36">
        <f ca="1">E12-D12</f>
        <v>65586.313252510474</v>
      </c>
      <c r="E23" s="434">
        <f ca="1">'F-21'!E23-E12</f>
        <v>81729.651744495495</v>
      </c>
    </row>
    <row r="24" spans="1:14">
      <c r="A24" s="1423"/>
      <c r="B24" s="23" t="s">
        <v>535</v>
      </c>
      <c r="C24" s="36"/>
      <c r="D24" s="36"/>
      <c r="E24" s="434"/>
    </row>
    <row r="25" spans="1:14">
      <c r="A25" s="1423"/>
      <c r="B25" s="24" t="s">
        <v>532</v>
      </c>
      <c r="C25" s="36"/>
      <c r="D25" s="36"/>
      <c r="E25" s="434"/>
    </row>
    <row r="26" spans="1:14">
      <c r="A26" s="1423"/>
      <c r="B26" s="24" t="s">
        <v>533</v>
      </c>
      <c r="C26" s="36"/>
      <c r="D26" s="36"/>
      <c r="E26" s="434"/>
    </row>
    <row r="27" spans="1:14" ht="15.75">
      <c r="A27" s="1423"/>
      <c r="B27" s="1421" t="s">
        <v>534</v>
      </c>
      <c r="C27" s="36">
        <f>D16-C16</f>
        <v>-3395.9764825000002</v>
      </c>
      <c r="D27" s="36">
        <f ca="1">E16-D16</f>
        <v>21308.835613182571</v>
      </c>
      <c r="E27" s="434">
        <f ca="1">'F-21'!E28-E16</f>
        <v>11348.873090917426</v>
      </c>
    </row>
    <row r="28" spans="1:14">
      <c r="A28" s="1423"/>
      <c r="B28" s="23"/>
      <c r="C28" s="36"/>
      <c r="D28" s="36"/>
      <c r="E28" s="434"/>
    </row>
    <row r="29" spans="1:14" ht="15.75">
      <c r="A29" s="1420" t="s">
        <v>537</v>
      </c>
      <c r="B29" s="1421" t="s">
        <v>538</v>
      </c>
      <c r="C29" s="36">
        <v>0</v>
      </c>
      <c r="D29" s="36">
        <v>0</v>
      </c>
      <c r="E29" s="434">
        <v>0</v>
      </c>
    </row>
    <row r="30" spans="1:14" ht="15.75">
      <c r="A30" s="1420"/>
      <c r="B30" s="1421"/>
      <c r="C30" s="36"/>
      <c r="D30" s="36"/>
      <c r="E30" s="434"/>
    </row>
    <row r="31" spans="1:14" ht="15.75">
      <c r="A31" s="1420" t="s">
        <v>539</v>
      </c>
      <c r="B31" s="1421" t="s">
        <v>540</v>
      </c>
      <c r="C31" s="36"/>
      <c r="D31" s="36"/>
      <c r="E31" s="434"/>
    </row>
    <row r="32" spans="1:14" ht="15.75">
      <c r="A32" s="1420"/>
      <c r="B32" s="1421" t="s">
        <v>541</v>
      </c>
      <c r="C32" s="36">
        <f>'F-21'!C23</f>
        <v>235357.59645079999</v>
      </c>
      <c r="D32" s="36">
        <f ca="1">'F-21'!D23</f>
        <v>300943.90970331046</v>
      </c>
      <c r="E32" s="434">
        <f ca="1">'F-21'!E23</f>
        <v>382673.56144780596</v>
      </c>
    </row>
    <row r="33" spans="1:7" ht="15.75">
      <c r="A33" s="1423"/>
      <c r="B33" s="1421" t="s">
        <v>542</v>
      </c>
      <c r="C33" s="36">
        <f>'F-21'!C28</f>
        <v>8201.8946180999974</v>
      </c>
      <c r="D33" s="36">
        <f ca="1">'F-21'!D28</f>
        <v>29510.73023128257</v>
      </c>
      <c r="E33" s="434">
        <f ca="1">'F-21'!E28</f>
        <v>40859.603322199997</v>
      </c>
    </row>
    <row r="34" spans="1:7" ht="15.75">
      <c r="A34" s="1423"/>
      <c r="B34" s="1421"/>
      <c r="C34" s="36"/>
      <c r="D34" s="36"/>
      <c r="E34" s="434"/>
    </row>
    <row r="35" spans="1:7" ht="15.75">
      <c r="A35" s="1423"/>
      <c r="B35" s="1421" t="s">
        <v>543</v>
      </c>
      <c r="C35" s="36">
        <f>C29+C27+C16</f>
        <v>8201.8946180999974</v>
      </c>
      <c r="D35" s="36">
        <f ca="1">D29+D27+D16</f>
        <v>29510.73023128257</v>
      </c>
      <c r="E35" s="434">
        <f ca="1">E29+E27+E16</f>
        <v>40859.603322199997</v>
      </c>
      <c r="F35" s="9"/>
      <c r="G35" s="9"/>
    </row>
    <row r="36" spans="1:7">
      <c r="A36" s="94"/>
      <c r="E36" s="90"/>
    </row>
    <row r="37" spans="1:7" ht="15.75">
      <c r="A37" s="1424" t="s">
        <v>544</v>
      </c>
      <c r="B37" t="s">
        <v>545</v>
      </c>
      <c r="E37" s="90"/>
    </row>
    <row r="38" spans="1:7">
      <c r="A38" s="94"/>
      <c r="B38" t="s">
        <v>546</v>
      </c>
      <c r="E38" s="90"/>
    </row>
    <row r="39" spans="1:7" ht="13.5" thickBot="1">
      <c r="A39" s="96"/>
      <c r="B39" s="1425" t="s">
        <v>547</v>
      </c>
      <c r="C39" s="1425"/>
      <c r="D39" s="1425"/>
      <c r="E39" s="1426"/>
    </row>
    <row r="40" spans="1:7">
      <c r="C40" s="7">
        <f>CWIP!L45</f>
        <v>8201.8946180999974</v>
      </c>
      <c r="D40" s="7">
        <f ca="1">CWIP!W45</f>
        <v>29510.73023128257</v>
      </c>
      <c r="E40" s="7">
        <f ca="1">CWIP!AH45</f>
        <v>40859.603322199997</v>
      </c>
    </row>
    <row r="41" spans="1:7">
      <c r="C41" s="7"/>
    </row>
    <row r="42" spans="1:7">
      <c r="C42" s="7"/>
    </row>
    <row r="43" spans="1:7">
      <c r="C43" s="7"/>
    </row>
  </sheetData>
  <phoneticPr fontId="0" type="noConversion"/>
  <printOptions horizontalCentered="1" gridLines="1"/>
  <pageMargins left="0.74803149606299213" right="0.74803149606299213" top="1.2598425196850394" bottom="1.2598425196850394" header="0.51181102362204722" footer="0.51181102362204722"/>
  <pageSetup paperSize="9" orientation="portrait" r:id="rId1"/>
  <headerFooter alignWithMargins="0">
    <oddFooter>&amp;ROERC FORM-&amp;A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pageSetUpPr fitToPage="1"/>
  </sheetPr>
  <dimension ref="A1:T41"/>
  <sheetViews>
    <sheetView view="pageBreakPreview" zoomScale="85" zoomScaleSheetLayoutView="85" workbookViewId="0">
      <pane xSplit="2" ySplit="6" topLeftCell="C27" activePane="bottomRight" state="frozen"/>
      <selection pane="topRight" activeCell="E18" sqref="E18"/>
      <selection pane="bottomLeft" activeCell="E18" sqref="E18"/>
      <selection pane="bottomRight" activeCell="C20" sqref="C20"/>
    </sheetView>
  </sheetViews>
  <sheetFormatPr defaultColWidth="14.7109375" defaultRowHeight="12.75"/>
  <cols>
    <col min="1" max="1" width="5.7109375" customWidth="1"/>
    <col min="2" max="2" width="26.140625" customWidth="1"/>
    <col min="3" max="3" width="9" customWidth="1"/>
    <col min="4" max="4" width="9.5703125" customWidth="1"/>
    <col min="5" max="5" width="10.140625" customWidth="1"/>
    <col min="6" max="6" width="8.85546875" customWidth="1"/>
    <col min="7" max="7" width="9.140625" customWidth="1"/>
    <col min="8" max="8" width="10.140625" customWidth="1"/>
    <col min="9" max="10" width="10.42578125" customWidth="1"/>
    <col min="11" max="12" width="10.28515625" customWidth="1"/>
    <col min="13" max="13" width="11.7109375" customWidth="1"/>
    <col min="14" max="14" width="10.28515625" customWidth="1"/>
    <col min="15" max="15" width="10.140625" customWidth="1"/>
    <col min="16" max="16" width="10" customWidth="1"/>
    <col min="17" max="18" width="10.85546875" customWidth="1"/>
    <col min="19" max="19" width="14.7109375" customWidth="1"/>
    <col min="20" max="20" width="14.7109375" hidden="1" customWidth="1"/>
  </cols>
  <sheetData>
    <row r="1" spans="1:18">
      <c r="A1" s="20" t="s">
        <v>106</v>
      </c>
      <c r="Q1" s="3" t="s">
        <v>0</v>
      </c>
      <c r="R1" s="1427" t="s">
        <v>548</v>
      </c>
    </row>
    <row r="2" spans="1:18" ht="18">
      <c r="A2" s="1428" t="s">
        <v>549</v>
      </c>
      <c r="B2" s="1429"/>
      <c r="C2" s="1429"/>
      <c r="D2" s="1429"/>
      <c r="E2" s="1429"/>
      <c r="F2" s="1429"/>
      <c r="G2" s="1428"/>
    </row>
    <row r="3" spans="1:18" ht="15.75">
      <c r="G3" s="1430" t="s">
        <v>550</v>
      </c>
    </row>
    <row r="4" spans="1:18" ht="15.75">
      <c r="A4" s="29"/>
      <c r="B4" s="29"/>
      <c r="C4" s="1818" t="s">
        <v>2088</v>
      </c>
      <c r="D4" s="1818"/>
      <c r="E4" s="1818"/>
      <c r="F4" s="1818"/>
      <c r="G4" s="1818"/>
      <c r="H4" s="1818"/>
      <c r="I4" s="1818" t="s">
        <v>2090</v>
      </c>
      <c r="J4" s="1818"/>
      <c r="K4" s="1818"/>
      <c r="L4" s="1818"/>
      <c r="M4" s="1818"/>
      <c r="N4" s="1818" t="s">
        <v>2091</v>
      </c>
      <c r="O4" s="1818"/>
      <c r="P4" s="1818"/>
      <c r="Q4" s="1818"/>
      <c r="R4" s="1818"/>
    </row>
    <row r="5" spans="1:18" ht="51">
      <c r="A5" s="883" t="s">
        <v>551</v>
      </c>
      <c r="B5" s="883" t="s">
        <v>552</v>
      </c>
      <c r="C5" s="883" t="s">
        <v>2089</v>
      </c>
      <c r="D5" s="883" t="s">
        <v>553</v>
      </c>
      <c r="E5" s="883" t="s">
        <v>554</v>
      </c>
      <c r="F5" s="883" t="s">
        <v>555</v>
      </c>
      <c r="G5" s="883" t="s">
        <v>556</v>
      </c>
      <c r="H5" s="883" t="s">
        <v>557</v>
      </c>
      <c r="I5" s="883" t="s">
        <v>553</v>
      </c>
      <c r="J5" s="883" t="s">
        <v>554</v>
      </c>
      <c r="K5" s="883" t="s">
        <v>555</v>
      </c>
      <c r="L5" s="883" t="s">
        <v>556</v>
      </c>
      <c r="M5" s="883" t="s">
        <v>558</v>
      </c>
      <c r="N5" s="883" t="s">
        <v>553</v>
      </c>
      <c r="O5" s="883" t="s">
        <v>554</v>
      </c>
      <c r="P5" s="883" t="s">
        <v>555</v>
      </c>
      <c r="Q5" s="883" t="s">
        <v>556</v>
      </c>
      <c r="R5" s="883" t="s">
        <v>2092</v>
      </c>
    </row>
    <row r="6" spans="1:18">
      <c r="A6" s="35">
        <v>1</v>
      </c>
      <c r="B6" s="35">
        <v>2</v>
      </c>
      <c r="C6" s="35">
        <v>3</v>
      </c>
      <c r="D6" s="35">
        <v>4</v>
      </c>
      <c r="E6" s="35">
        <v>5</v>
      </c>
      <c r="F6" s="35">
        <v>6</v>
      </c>
      <c r="G6" s="35">
        <v>7</v>
      </c>
      <c r="H6" s="35">
        <v>8</v>
      </c>
      <c r="I6" s="35">
        <v>9</v>
      </c>
      <c r="J6" s="35">
        <v>10</v>
      </c>
      <c r="K6" s="35">
        <v>11</v>
      </c>
      <c r="L6" s="35">
        <v>12</v>
      </c>
      <c r="M6" s="35">
        <v>13</v>
      </c>
      <c r="N6" s="35">
        <v>14</v>
      </c>
      <c r="O6" s="35">
        <v>15</v>
      </c>
      <c r="P6" s="35">
        <v>16</v>
      </c>
      <c r="Q6" s="35">
        <v>17</v>
      </c>
      <c r="R6" s="35">
        <v>18</v>
      </c>
    </row>
    <row r="7" spans="1:18">
      <c r="A7" s="23"/>
      <c r="B7" s="23"/>
      <c r="C7" s="23"/>
      <c r="D7" s="23"/>
      <c r="E7" s="23"/>
      <c r="F7" s="23"/>
      <c r="G7" s="23"/>
      <c r="H7" s="23"/>
      <c r="I7" s="23"/>
      <c r="J7" s="23"/>
      <c r="K7" s="23"/>
      <c r="L7" s="23"/>
      <c r="M7" s="23"/>
      <c r="N7" s="23"/>
      <c r="O7" s="23"/>
      <c r="P7" s="23"/>
      <c r="Q7" s="23"/>
      <c r="R7" s="23"/>
    </row>
    <row r="8" spans="1:18">
      <c r="A8" s="23"/>
      <c r="B8" s="502" t="s">
        <v>559</v>
      </c>
      <c r="C8" s="36">
        <f>CWIP!B11</f>
        <v>0</v>
      </c>
      <c r="D8" s="36">
        <f>CWIP!H11</f>
        <v>0</v>
      </c>
      <c r="E8" s="36"/>
      <c r="F8" s="36"/>
      <c r="G8" s="36">
        <f>CWIP!K11</f>
        <v>0</v>
      </c>
      <c r="H8" s="37">
        <f>C8+D8+E8-G8</f>
        <v>0</v>
      </c>
      <c r="I8" s="36">
        <f>CWIP!R11</f>
        <v>0</v>
      </c>
      <c r="J8" s="36"/>
      <c r="K8" s="36"/>
      <c r="L8" s="36">
        <f>CWIP!U11+CWIP!V11</f>
        <v>0</v>
      </c>
      <c r="M8" s="37">
        <f>H8+I8+J8-L8</f>
        <v>0</v>
      </c>
      <c r="N8" s="36">
        <f>CWIP!AC11</f>
        <v>0</v>
      </c>
      <c r="O8" s="36"/>
      <c r="P8" s="36"/>
      <c r="Q8" s="36">
        <f>CWIP!AF11+CWIP!AG11</f>
        <v>0</v>
      </c>
      <c r="R8" s="36">
        <f>M8+N8+O8-Q8</f>
        <v>0</v>
      </c>
    </row>
    <row r="9" spans="1:18">
      <c r="A9" s="23"/>
      <c r="B9" s="502" t="s">
        <v>560</v>
      </c>
      <c r="C9" s="36">
        <f>CWIP!B12</f>
        <v>35.67</v>
      </c>
      <c r="D9" s="36">
        <f>CWIP!H12</f>
        <v>0</v>
      </c>
      <c r="E9" s="36"/>
      <c r="F9" s="36"/>
      <c r="G9" s="36">
        <f>CWIP!K12</f>
        <v>0</v>
      </c>
      <c r="H9" s="37">
        <f>C9+D9+E9-G9</f>
        <v>35.67</v>
      </c>
      <c r="I9" s="36">
        <f>CWIP!R12</f>
        <v>0</v>
      </c>
      <c r="J9" s="36"/>
      <c r="K9" s="36"/>
      <c r="L9" s="36">
        <f>CWIP!U12+CWIP!V12</f>
        <v>35.67</v>
      </c>
      <c r="M9" s="37">
        <f>H9+I9+J9-L9</f>
        <v>0</v>
      </c>
      <c r="N9" s="36">
        <f>CWIP!AC12</f>
        <v>0</v>
      </c>
      <c r="O9" s="36"/>
      <c r="P9" s="36"/>
      <c r="Q9" s="36">
        <f>CWIP!AF12+CWIP!AG12</f>
        <v>0</v>
      </c>
      <c r="R9" s="36">
        <f>M9+N9+O9-Q9</f>
        <v>0</v>
      </c>
    </row>
    <row r="10" spans="1:18">
      <c r="A10" s="23"/>
      <c r="B10" s="78" t="s">
        <v>561</v>
      </c>
      <c r="C10" s="23"/>
      <c r="D10" s="36">
        <f>CWIP!F37</f>
        <v>0</v>
      </c>
      <c r="E10" s="36"/>
      <c r="F10" s="36"/>
      <c r="G10" s="36">
        <f>CWIP!K37</f>
        <v>0</v>
      </c>
      <c r="H10" s="37">
        <f>C10+D10+E10-G10</f>
        <v>0</v>
      </c>
      <c r="I10" s="36">
        <f>CWIP!R37</f>
        <v>70</v>
      </c>
      <c r="J10" s="36"/>
      <c r="K10" s="36"/>
      <c r="L10" s="36">
        <f>CWIP!U37+CWIP!V37</f>
        <v>70</v>
      </c>
      <c r="M10" s="37">
        <f>H10+I10+J10-L10</f>
        <v>0</v>
      </c>
      <c r="N10" s="36">
        <f>CWIP!AC37</f>
        <v>90</v>
      </c>
      <c r="O10" s="36"/>
      <c r="P10" s="36"/>
      <c r="Q10" s="36">
        <f>CWIP!AF37+CWIP!AG37</f>
        <v>90</v>
      </c>
      <c r="R10" s="36">
        <f>M10+N10+O10-Q10</f>
        <v>0</v>
      </c>
    </row>
    <row r="11" spans="1:18">
      <c r="A11" s="23"/>
      <c r="B11" s="78" t="s">
        <v>562</v>
      </c>
      <c r="C11" s="23"/>
      <c r="D11" s="36">
        <f>CWIP!F38</f>
        <v>0</v>
      </c>
      <c r="E11" s="36"/>
      <c r="F11" s="36"/>
      <c r="G11" s="36">
        <f>CWIP!K38</f>
        <v>0</v>
      </c>
      <c r="H11" s="37">
        <f>C11+D11+E11-G11</f>
        <v>0</v>
      </c>
      <c r="I11" s="36">
        <f>CWIP!R38</f>
        <v>20</v>
      </c>
      <c r="J11" s="36"/>
      <c r="K11" s="36"/>
      <c r="L11" s="36">
        <f>CWIP!U38+CWIP!V38</f>
        <v>20</v>
      </c>
      <c r="M11" s="37">
        <f>H11+I11+J11-L11</f>
        <v>0</v>
      </c>
      <c r="N11" s="36">
        <f>CWIP!AC38</f>
        <v>45</v>
      </c>
      <c r="O11" s="36"/>
      <c r="P11" s="36"/>
      <c r="Q11" s="36">
        <f>CWIP!AF38+CWIP!AG38</f>
        <v>45</v>
      </c>
      <c r="R11" s="36">
        <f>M11+N11+O11-Q11</f>
        <v>0</v>
      </c>
    </row>
    <row r="12" spans="1:18">
      <c r="A12" s="23"/>
      <c r="B12" s="23" t="s">
        <v>563</v>
      </c>
      <c r="C12" s="36">
        <f>CWIP!B39</f>
        <v>3.1806000000074164E-3</v>
      </c>
      <c r="D12" s="36">
        <f>CWIP!F39</f>
        <v>0</v>
      </c>
      <c r="E12" s="36"/>
      <c r="F12" s="36"/>
      <c r="G12" s="36">
        <f>CWIP!K39</f>
        <v>0</v>
      </c>
      <c r="H12" s="37">
        <f>C12+D12+E12-G12</f>
        <v>3.1806000000074164E-3</v>
      </c>
      <c r="I12" s="36">
        <f>CWIP!R39</f>
        <v>76</v>
      </c>
      <c r="J12" s="36"/>
      <c r="K12" s="36"/>
      <c r="L12" s="36">
        <f>CWIP!U39+CWIP!V39</f>
        <v>76.003180600000007</v>
      </c>
      <c r="M12" s="37">
        <f>H12+I12+J12-L12</f>
        <v>0</v>
      </c>
      <c r="N12" s="36">
        <f>CWIP!AC39</f>
        <v>100</v>
      </c>
      <c r="O12" s="36"/>
      <c r="P12" s="36"/>
      <c r="Q12" s="36">
        <f>CWIP!AF39+CWIP!AG39</f>
        <v>100</v>
      </c>
      <c r="R12" s="36">
        <f>M12+N12+O12-Q12</f>
        <v>0</v>
      </c>
    </row>
    <row r="13" spans="1:18">
      <c r="A13" s="23"/>
      <c r="B13" s="75" t="s">
        <v>147</v>
      </c>
      <c r="C13" s="37">
        <f t="shared" ref="C13:H13" si="0">SUM(C8:C12)</f>
        <v>35.673180600000009</v>
      </c>
      <c r="D13" s="37">
        <f t="shared" si="0"/>
        <v>0</v>
      </c>
      <c r="E13" s="37">
        <f t="shared" si="0"/>
        <v>0</v>
      </c>
      <c r="F13" s="37">
        <f t="shared" si="0"/>
        <v>0</v>
      </c>
      <c r="G13" s="37">
        <f t="shared" si="0"/>
        <v>0</v>
      </c>
      <c r="H13" s="37">
        <f t="shared" si="0"/>
        <v>35.673180600000009</v>
      </c>
      <c r="I13" s="37">
        <f t="shared" ref="I13:R13" si="1">SUM(I8:I12)</f>
        <v>166</v>
      </c>
      <c r="J13" s="37">
        <f t="shared" si="1"/>
        <v>0</v>
      </c>
      <c r="K13" s="37">
        <f t="shared" si="1"/>
        <v>0</v>
      </c>
      <c r="L13" s="37">
        <f t="shared" si="1"/>
        <v>201.67318060000002</v>
      </c>
      <c r="M13" s="37">
        <f t="shared" si="1"/>
        <v>0</v>
      </c>
      <c r="N13" s="37">
        <f t="shared" si="1"/>
        <v>235</v>
      </c>
      <c r="O13" s="37">
        <f t="shared" si="1"/>
        <v>0</v>
      </c>
      <c r="P13" s="37">
        <f t="shared" si="1"/>
        <v>0</v>
      </c>
      <c r="Q13" s="37">
        <f t="shared" si="1"/>
        <v>235</v>
      </c>
      <c r="R13" s="37">
        <f t="shared" si="1"/>
        <v>0</v>
      </c>
    </row>
    <row r="14" spans="1:18">
      <c r="A14" s="23">
        <v>1</v>
      </c>
      <c r="B14" s="757" t="s">
        <v>564</v>
      </c>
      <c r="C14" s="37"/>
      <c r="D14" s="37"/>
      <c r="E14" s="37"/>
      <c r="F14" s="37"/>
      <c r="G14" s="37"/>
      <c r="H14" s="37"/>
      <c r="I14" s="37"/>
      <c r="J14" s="37"/>
      <c r="K14" s="37"/>
      <c r="L14" s="37"/>
      <c r="M14" s="37"/>
      <c r="N14" s="37"/>
      <c r="O14" s="37"/>
      <c r="P14" s="37"/>
      <c r="Q14" s="37"/>
      <c r="R14" s="37"/>
    </row>
    <row r="15" spans="1:18">
      <c r="A15" s="23">
        <v>2</v>
      </c>
      <c r="B15" s="646" t="s">
        <v>565</v>
      </c>
      <c r="C15" s="36">
        <f>CWIP!B25</f>
        <v>0</v>
      </c>
      <c r="D15" s="36">
        <f>CWIP!H25</f>
        <v>0</v>
      </c>
      <c r="E15" s="36">
        <f>CWIP!I25</f>
        <v>0</v>
      </c>
      <c r="F15" s="36"/>
      <c r="G15" s="36">
        <f>CWIP!K25</f>
        <v>0</v>
      </c>
      <c r="H15" s="37">
        <f t="shared" ref="H15:H20" si="2">C15+D15+E15-G15</f>
        <v>0</v>
      </c>
      <c r="I15" s="36">
        <f>CWIP!R25</f>
        <v>0</v>
      </c>
      <c r="J15" s="36">
        <f>CWIP!S25</f>
        <v>0</v>
      </c>
      <c r="K15" s="36"/>
      <c r="L15" s="36">
        <f>CWIP!U25+CWIP!V25</f>
        <v>0</v>
      </c>
      <c r="M15" s="37">
        <f t="shared" ref="M15:M22" si="3">H15+I15+J15-L15</f>
        <v>0</v>
      </c>
      <c r="N15" s="36">
        <f>CWIP!AC25</f>
        <v>0</v>
      </c>
      <c r="O15" s="36">
        <f>CWIP!AD25</f>
        <v>0</v>
      </c>
      <c r="P15" s="36"/>
      <c r="Q15" s="36">
        <f>CWIP!AF25+CWIP!AG25</f>
        <v>0</v>
      </c>
      <c r="R15" s="36">
        <f t="shared" ref="R15:R22" si="4">M15+N15+O15-Q15</f>
        <v>0</v>
      </c>
    </row>
    <row r="16" spans="1:18">
      <c r="A16" s="23">
        <v>3</v>
      </c>
      <c r="B16" s="646" t="s">
        <v>566</v>
      </c>
      <c r="C16" s="36">
        <f>CWIP!B22</f>
        <v>3378.1981799999994</v>
      </c>
      <c r="D16" s="36">
        <f>CWIP!H22</f>
        <v>0</v>
      </c>
      <c r="E16" s="36">
        <f>CWIP!I22</f>
        <v>0</v>
      </c>
      <c r="F16" s="36"/>
      <c r="G16" s="354">
        <f>CWIP!K22</f>
        <v>3060.99</v>
      </c>
      <c r="H16" s="37">
        <f t="shared" si="2"/>
        <v>317.20817999999963</v>
      </c>
      <c r="I16" s="354">
        <f>CWIP!R22</f>
        <v>0</v>
      </c>
      <c r="J16" s="36"/>
      <c r="K16" s="36"/>
      <c r="L16" s="354">
        <f>CWIP!U22+CWIP!V22</f>
        <v>317.20817999999963</v>
      </c>
      <c r="M16" s="37">
        <f t="shared" si="3"/>
        <v>0</v>
      </c>
      <c r="N16" s="37">
        <f>CWIP!AC22</f>
        <v>0</v>
      </c>
      <c r="O16" s="36"/>
      <c r="P16" s="36"/>
      <c r="Q16" s="37">
        <f>CWIP!AF22+CWIP!AG22</f>
        <v>0</v>
      </c>
      <c r="R16" s="36">
        <f t="shared" si="4"/>
        <v>0</v>
      </c>
    </row>
    <row r="17" spans="1:18">
      <c r="A17" s="23">
        <v>4</v>
      </c>
      <c r="B17" s="646" t="s">
        <v>567</v>
      </c>
      <c r="C17" s="36">
        <f>CWIP!B19</f>
        <v>310.7600199999988</v>
      </c>
      <c r="D17" s="354">
        <f>CWIP!H19</f>
        <v>19680.251039999999</v>
      </c>
      <c r="E17" s="36">
        <f>CWIP!I19</f>
        <v>0</v>
      </c>
      <c r="F17" s="36"/>
      <c r="G17" s="354">
        <f>CWIP!K19</f>
        <v>19802.21</v>
      </c>
      <c r="H17" s="37">
        <f t="shared" si="2"/>
        <v>188.80105999999796</v>
      </c>
      <c r="I17" s="354">
        <f>CWIP!R19</f>
        <v>15505</v>
      </c>
      <c r="J17" s="37"/>
      <c r="K17" s="37"/>
      <c r="L17" s="354">
        <f>CWIP!U19+CWIP!V19</f>
        <v>5357.1343933333319</v>
      </c>
      <c r="M17" s="37">
        <f t="shared" si="3"/>
        <v>10336.666666666666</v>
      </c>
      <c r="N17" s="37">
        <f>CWIP!AC19</f>
        <v>12344.4</v>
      </c>
      <c r="O17" s="37"/>
      <c r="P17" s="37"/>
      <c r="Q17" s="37">
        <f>CWIP!AF19+CWIP!AG19</f>
        <v>16508.866666666669</v>
      </c>
      <c r="R17" s="36">
        <f t="shared" si="4"/>
        <v>6172.1999999999971</v>
      </c>
    </row>
    <row r="18" spans="1:18">
      <c r="A18" s="23">
        <v>5</v>
      </c>
      <c r="B18" s="1431" t="s">
        <v>568</v>
      </c>
      <c r="C18" s="36">
        <f>CWIP!B26</f>
        <v>95.620220000000245</v>
      </c>
      <c r="D18" s="36">
        <f>CWIP!H26</f>
        <v>0</v>
      </c>
      <c r="E18" s="36">
        <f>CWIP!I26</f>
        <v>0</v>
      </c>
      <c r="F18" s="36"/>
      <c r="G18" s="36">
        <f>CWIP!K26</f>
        <v>93.78</v>
      </c>
      <c r="H18" s="37">
        <f t="shared" si="2"/>
        <v>1.8402200000002438</v>
      </c>
      <c r="I18" s="36">
        <f>CWIP!R26</f>
        <v>0</v>
      </c>
      <c r="J18" s="36">
        <f>CWIP!S26</f>
        <v>0</v>
      </c>
      <c r="K18" s="36"/>
      <c r="L18" s="36">
        <f>CWIP!U26+CWIP!V26</f>
        <v>1.8402200000002438</v>
      </c>
      <c r="M18" s="37">
        <f t="shared" si="3"/>
        <v>0</v>
      </c>
      <c r="N18" s="36">
        <f>CWIP!AC26</f>
        <v>0</v>
      </c>
      <c r="O18" s="36">
        <f>CWIP!AD26</f>
        <v>0</v>
      </c>
      <c r="P18" s="36"/>
      <c r="Q18" s="36">
        <f>CWIP!AF26+CWIP!AG26</f>
        <v>0</v>
      </c>
      <c r="R18" s="36">
        <f t="shared" si="4"/>
        <v>0</v>
      </c>
    </row>
    <row r="19" spans="1:18">
      <c r="A19" s="23">
        <v>6</v>
      </c>
      <c r="B19" s="646" t="s">
        <v>569</v>
      </c>
      <c r="C19" s="36">
        <f>CWIP!B20+CWIP!B21</f>
        <v>0</v>
      </c>
      <c r="D19" s="36">
        <f>CWIP!H20+CWIP!H21</f>
        <v>0</v>
      </c>
      <c r="E19" s="36">
        <f>CWIP!I20+CWIP!I21</f>
        <v>0</v>
      </c>
      <c r="F19" s="36"/>
      <c r="G19" s="354">
        <f>CWIP!K20+CWIP!K21</f>
        <v>0</v>
      </c>
      <c r="H19" s="37">
        <f t="shared" si="2"/>
        <v>0</v>
      </c>
      <c r="I19" s="354">
        <f>CWIP!R20+CWIP!R21</f>
        <v>0</v>
      </c>
      <c r="J19" s="36"/>
      <c r="K19" s="36"/>
      <c r="L19" s="354">
        <f>CWIP!U20+CWIP!V20+CWIP!U21+CWIP!V21</f>
        <v>0</v>
      </c>
      <c r="M19" s="37">
        <f t="shared" si="3"/>
        <v>0</v>
      </c>
      <c r="N19" s="37">
        <f>CWIP!AC20+CWIP!AC21</f>
        <v>0</v>
      </c>
      <c r="O19" s="36"/>
      <c r="P19" s="36"/>
      <c r="Q19" s="37">
        <f>CWIP!AF20+CWIP!AG20+CWIP!AF21+CWIP!AG21</f>
        <v>0</v>
      </c>
      <c r="R19" s="36">
        <f t="shared" si="4"/>
        <v>0</v>
      </c>
    </row>
    <row r="20" spans="1:18">
      <c r="A20" s="23">
        <v>7</v>
      </c>
      <c r="B20" s="1431" t="s">
        <v>570</v>
      </c>
      <c r="C20" s="36">
        <f>CWIP!B17+CWIP!B18</f>
        <v>1126.7595000000001</v>
      </c>
      <c r="D20" s="36">
        <f>CWIP!H17+CWIP!H18</f>
        <v>303.99799999999999</v>
      </c>
      <c r="E20" s="36">
        <f>CWIP!I17+CWIP!I18</f>
        <v>0</v>
      </c>
      <c r="F20" s="36"/>
      <c r="G20" s="36">
        <f>CWIP!K17+CWIP!K18</f>
        <v>1394.3799999999999</v>
      </c>
      <c r="H20" s="37">
        <f t="shared" si="2"/>
        <v>36.377500000000282</v>
      </c>
      <c r="I20" s="36">
        <f>CWIP!R17+CWIP!R18</f>
        <v>385.70775024</v>
      </c>
      <c r="J20" s="36">
        <f>CWIP!S17</f>
        <v>0</v>
      </c>
      <c r="K20" s="36"/>
      <c r="L20" s="36">
        <f>CWIP!U17+CWIP!V17+CWIP!U18+CWIP!V18</f>
        <v>229.23137512000028</v>
      </c>
      <c r="M20" s="37">
        <f t="shared" si="3"/>
        <v>192.85387512</v>
      </c>
      <c r="N20" s="36">
        <f>CWIP!AC17+CWIP!AC18</f>
        <v>754.03384440000013</v>
      </c>
      <c r="O20" s="36">
        <f>CWIP!AD17</f>
        <v>0</v>
      </c>
      <c r="P20" s="36"/>
      <c r="Q20" s="36">
        <f>CWIP!AF17+CWIP!AG17+CWIP!AF18+CWIP!AG18</f>
        <v>569.87079732000007</v>
      </c>
      <c r="R20" s="36">
        <f t="shared" si="4"/>
        <v>377.01692220000007</v>
      </c>
    </row>
    <row r="21" spans="1:18">
      <c r="A21" s="23">
        <v>8</v>
      </c>
      <c r="B21" s="1431" t="s">
        <v>571</v>
      </c>
      <c r="C21" s="36"/>
      <c r="D21" s="36"/>
      <c r="E21" s="36"/>
      <c r="F21" s="36"/>
      <c r="G21" s="36"/>
      <c r="H21" s="37">
        <f t="shared" ref="H21:H31" si="5">C21+D21+E21-G21</f>
        <v>0</v>
      </c>
      <c r="I21" s="36">
        <f>CWIP!R23</f>
        <v>0</v>
      </c>
      <c r="J21" s="36">
        <f>CWIP!S23</f>
        <v>0</v>
      </c>
      <c r="K21" s="36"/>
      <c r="L21" s="36">
        <f>CWIP!U23+CWIP!V23</f>
        <v>0</v>
      </c>
      <c r="M21" s="37">
        <f t="shared" si="3"/>
        <v>0</v>
      </c>
      <c r="N21" s="36">
        <f>CWIP!AC23</f>
        <v>0</v>
      </c>
      <c r="O21" s="36">
        <f>CWIP!AD23</f>
        <v>0</v>
      </c>
      <c r="P21" s="36"/>
      <c r="Q21" s="36">
        <f>CWIP!AF23+CWIP!AG23</f>
        <v>0</v>
      </c>
      <c r="R21" s="36">
        <f t="shared" si="4"/>
        <v>0</v>
      </c>
    </row>
    <row r="22" spans="1:18">
      <c r="A22" s="23">
        <v>9</v>
      </c>
      <c r="B22" s="1431" t="s">
        <v>572</v>
      </c>
      <c r="C22" s="36">
        <f>CWIP!B24</f>
        <v>0</v>
      </c>
      <c r="D22" s="36">
        <f>CWIP!H24</f>
        <v>0</v>
      </c>
      <c r="E22" s="36">
        <f>CWIP!I24</f>
        <v>0</v>
      </c>
      <c r="F22" s="36"/>
      <c r="G22" s="36">
        <f>CWIP!K24</f>
        <v>0</v>
      </c>
      <c r="H22" s="37">
        <f t="shared" si="5"/>
        <v>0</v>
      </c>
      <c r="I22" s="36">
        <f>CWIP!R24</f>
        <v>0</v>
      </c>
      <c r="J22" s="36">
        <f>CWIP!S24</f>
        <v>0</v>
      </c>
      <c r="K22" s="36"/>
      <c r="L22" s="36">
        <f>CWIP!U24+CWIP!V24</f>
        <v>0</v>
      </c>
      <c r="M22" s="37">
        <f t="shared" si="3"/>
        <v>0</v>
      </c>
      <c r="N22" s="36">
        <f>CWIP!AC24</f>
        <v>0</v>
      </c>
      <c r="O22" s="36">
        <f>CWIP!AD24</f>
        <v>0</v>
      </c>
      <c r="P22" s="36"/>
      <c r="Q22" s="36">
        <f>CWIP!AF24+CWIP!AG24</f>
        <v>0</v>
      </c>
      <c r="R22" s="36">
        <f t="shared" si="4"/>
        <v>0</v>
      </c>
    </row>
    <row r="23" spans="1:18">
      <c r="A23" s="23">
        <v>10</v>
      </c>
      <c r="B23" s="1431" t="s">
        <v>573</v>
      </c>
      <c r="C23" s="36">
        <f>CWIP!B29</f>
        <v>0</v>
      </c>
      <c r="D23" s="36">
        <f>CWIP!H29</f>
        <v>0</v>
      </c>
      <c r="E23" s="36">
        <f>CWIP!I29</f>
        <v>0</v>
      </c>
      <c r="F23" s="36"/>
      <c r="G23" s="36">
        <f>CWIP!K29</f>
        <v>0</v>
      </c>
      <c r="H23" s="37">
        <f t="shared" si="5"/>
        <v>0</v>
      </c>
      <c r="I23" s="36">
        <f>CWIP!R29</f>
        <v>0</v>
      </c>
      <c r="J23" s="36">
        <f>CWIP!S29</f>
        <v>0</v>
      </c>
      <c r="K23" s="36"/>
      <c r="L23" s="36">
        <f>CWIP!U29+CWIP!V29</f>
        <v>0</v>
      </c>
      <c r="M23" s="37">
        <f>H23+I23+J23-L23</f>
        <v>0</v>
      </c>
      <c r="N23" s="36">
        <f>CWIP!AC29</f>
        <v>0</v>
      </c>
      <c r="O23" s="36">
        <f>CWIP!AD29</f>
        <v>0</v>
      </c>
      <c r="P23" s="36"/>
      <c r="Q23" s="36">
        <f>CWIP!AF29+CWIP!AG29</f>
        <v>0</v>
      </c>
      <c r="R23" s="36">
        <f>M23+N23+O23-Q23</f>
        <v>0</v>
      </c>
    </row>
    <row r="24" spans="1:18">
      <c r="A24" s="23">
        <v>11</v>
      </c>
      <c r="B24" s="1431" t="s">
        <v>574</v>
      </c>
      <c r="C24" s="36"/>
      <c r="D24" s="36"/>
      <c r="E24" s="36"/>
      <c r="F24" s="36"/>
      <c r="G24" s="36"/>
      <c r="H24" s="37">
        <f t="shared" si="5"/>
        <v>0</v>
      </c>
      <c r="I24" s="36">
        <f>CWIP!R28</f>
        <v>0</v>
      </c>
      <c r="J24" s="36">
        <f>CWIP!S28</f>
        <v>0</v>
      </c>
      <c r="K24" s="36"/>
      <c r="L24" s="36">
        <f>CWIP!U28+CWIP!V28</f>
        <v>0</v>
      </c>
      <c r="M24" s="37">
        <f>H24+I24+J24-L24</f>
        <v>0</v>
      </c>
      <c r="N24" s="36">
        <f>CWIP!AC28</f>
        <v>0</v>
      </c>
      <c r="O24" s="36">
        <f>CWIP!AD28</f>
        <v>0</v>
      </c>
      <c r="P24" s="36"/>
      <c r="Q24" s="36">
        <f>CWIP!AF28+CWIP!AG28</f>
        <v>0</v>
      </c>
      <c r="R24" s="36">
        <f>M24+N24+O24-Q24</f>
        <v>0</v>
      </c>
    </row>
    <row r="25" spans="1:18">
      <c r="A25" s="23">
        <v>12</v>
      </c>
      <c r="B25" s="1431" t="s">
        <v>575</v>
      </c>
      <c r="C25" s="36">
        <f>CWIP!B27</f>
        <v>0</v>
      </c>
      <c r="D25" s="36">
        <f>CWIP!H27</f>
        <v>2937</v>
      </c>
      <c r="E25" s="36">
        <f>CWIP!I27</f>
        <v>0</v>
      </c>
      <c r="F25" s="36"/>
      <c r="G25" s="36">
        <f>CWIP!K27</f>
        <v>2937</v>
      </c>
      <c r="H25" s="37">
        <f t="shared" si="5"/>
        <v>0</v>
      </c>
      <c r="I25" s="36">
        <f ca="1">CWIP!R27</f>
        <v>7622.8824828319157</v>
      </c>
      <c r="J25" s="36">
        <f>CWIP!S27</f>
        <v>0</v>
      </c>
      <c r="K25" s="36"/>
      <c r="L25" s="36">
        <f ca="1">CWIP!U27+CWIP!V27</f>
        <v>7622.8824828319157</v>
      </c>
      <c r="M25" s="37">
        <f ca="1">H25+I25+J25-L25</f>
        <v>0</v>
      </c>
      <c r="N25" s="36">
        <f ca="1">CWIP!AC27</f>
        <v>8255.5705311550046</v>
      </c>
      <c r="O25" s="36">
        <f>CWIP!AD27</f>
        <v>0</v>
      </c>
      <c r="P25" s="36"/>
      <c r="Q25" s="36">
        <f ca="1">CWIP!AF27+CWIP!AG27</f>
        <v>8255.5705311550046</v>
      </c>
      <c r="R25" s="36">
        <f ca="1">M25+N25+O25-Q25</f>
        <v>0</v>
      </c>
    </row>
    <row r="26" spans="1:18">
      <c r="A26" s="23">
        <v>13</v>
      </c>
      <c r="B26" s="1432" t="s">
        <v>576</v>
      </c>
      <c r="C26" s="36">
        <f>CWIP!B16+CWIP!B15</f>
        <v>0</v>
      </c>
      <c r="D26" s="36">
        <f>CWIP!H14+CWIP!H16+CWIP!H15</f>
        <v>0</v>
      </c>
      <c r="E26" s="36">
        <f>CWIP!I16+CWIP!I15</f>
        <v>0</v>
      </c>
      <c r="F26" s="36"/>
      <c r="G26" s="36">
        <f>CWIP!K15+CWIP!K16</f>
        <v>0</v>
      </c>
      <c r="H26" s="37">
        <f t="shared" si="5"/>
        <v>0</v>
      </c>
      <c r="I26" s="36">
        <f>CWIP!R14+CWIP!R16+CWIP!R15</f>
        <v>0</v>
      </c>
      <c r="J26" s="36"/>
      <c r="K26" s="36"/>
      <c r="L26" s="36">
        <f>CWIP!U14+CWIP!V14+CWIP!U16+CWIP!V16+CWIP!U15+CWIP!V15</f>
        <v>0</v>
      </c>
      <c r="M26" s="37">
        <f>H26+I26+J26-L26</f>
        <v>0</v>
      </c>
      <c r="N26" s="36">
        <f>CWIP!AC15+CWIP!AC14+CWIP!AC16</f>
        <v>0</v>
      </c>
      <c r="O26" s="36"/>
      <c r="P26" s="36"/>
      <c r="Q26" s="36">
        <f>CWIP!AF14+CWIP!AG14+CWIP!AF16+CWIP!AG16+CWIP!AF15+CWIP!AG15</f>
        <v>0</v>
      </c>
      <c r="R26" s="36">
        <f>M26+N26+O26-Q26</f>
        <v>0</v>
      </c>
    </row>
    <row r="27" spans="1:18">
      <c r="A27" s="23">
        <v>14</v>
      </c>
      <c r="B27" s="1432" t="s">
        <v>577</v>
      </c>
      <c r="C27" s="36"/>
      <c r="D27" s="36">
        <f>CWIP!H30</f>
        <v>3162.9808953000002</v>
      </c>
      <c r="E27" s="36"/>
      <c r="F27" s="36"/>
      <c r="G27" s="36">
        <f>CWIP!K30</f>
        <v>2817</v>
      </c>
      <c r="H27" s="37">
        <f t="shared" si="5"/>
        <v>345.98089530000016</v>
      </c>
      <c r="I27" s="36">
        <f>CWIP!R30</f>
        <v>11532.179868888001</v>
      </c>
      <c r="J27" s="36">
        <f>CWIP!S30</f>
        <v>107.63367877628799</v>
      </c>
      <c r="K27" s="36"/>
      <c r="L27" s="36">
        <f>CWIP!U30+CWIP!V30</f>
        <v>10337.759783140369</v>
      </c>
      <c r="M27" s="37">
        <f t="shared" ref="M27:M31" si="6">H27+I27+J27-L27</f>
        <v>1648.0346598239194</v>
      </c>
      <c r="N27" s="36">
        <f>CWIP!AC30</f>
        <v>4173.8879999999999</v>
      </c>
      <c r="O27" s="36">
        <f>CWIP!AD30</f>
        <v>58.434431999999994</v>
      </c>
      <c r="P27" s="36"/>
      <c r="Q27" s="36">
        <f>CWIP!AF30+CWIP!AG30</f>
        <v>4210.8018918239204</v>
      </c>
      <c r="R27" s="36">
        <f t="shared" ref="R27:R31" si="7">M27+N27+O27-Q27</f>
        <v>1669.5551999999989</v>
      </c>
    </row>
    <row r="28" spans="1:18">
      <c r="A28" s="23">
        <v>15</v>
      </c>
      <c r="B28" s="1432" t="s">
        <v>578</v>
      </c>
      <c r="C28" s="36"/>
      <c r="D28" s="36">
        <f>CWIP!H31</f>
        <v>1250.0759039</v>
      </c>
      <c r="E28" s="36"/>
      <c r="F28" s="36"/>
      <c r="G28" s="36">
        <f>CWIP!K31</f>
        <v>1001.0017800000001</v>
      </c>
      <c r="H28" s="37">
        <f t="shared" si="5"/>
        <v>249.0741238999999</v>
      </c>
      <c r="I28" s="36">
        <f>CWIP!R31</f>
        <v>7208.1610599439991</v>
      </c>
      <c r="J28" s="36">
        <f>CWIP!S31</f>
        <v>67.276169892810643</v>
      </c>
      <c r="K28" s="36"/>
      <c r="L28" s="36">
        <f>CWIP!U31+CWIP!V31</f>
        <v>6261.4402645836108</v>
      </c>
      <c r="M28" s="37">
        <f t="shared" si="6"/>
        <v>1263.071089153199</v>
      </c>
      <c r="N28" s="36">
        <f>CWIP!AC31</f>
        <v>14944.64</v>
      </c>
      <c r="O28" s="36">
        <f>CWIP!AD31</f>
        <v>209.22495999999998</v>
      </c>
      <c r="P28" s="36"/>
      <c r="Q28" s="36">
        <f>CWIP!AF31+CWIP!AG31</f>
        <v>10439.080049153199</v>
      </c>
      <c r="R28" s="36">
        <f t="shared" si="7"/>
        <v>5977.8559999999998</v>
      </c>
    </row>
    <row r="29" spans="1:18">
      <c r="A29" s="23">
        <v>16</v>
      </c>
      <c r="B29" s="1432" t="s">
        <v>579</v>
      </c>
      <c r="C29" s="36"/>
      <c r="D29" s="36">
        <f>CWIP!H32</f>
        <v>316.32054729999999</v>
      </c>
      <c r="E29" s="36"/>
      <c r="F29" s="36"/>
      <c r="G29" s="36">
        <f>CWIP!K32</f>
        <v>256</v>
      </c>
      <c r="H29" s="37">
        <f t="shared" si="5"/>
        <v>60.320547299999987</v>
      </c>
      <c r="I29" s="36">
        <f>CWIP!R32</f>
        <v>15100.582630808</v>
      </c>
      <c r="J29" s="36">
        <f>CWIP!S32</f>
        <v>140.93877122087466</v>
      </c>
      <c r="K29" s="36"/>
      <c r="L29" s="36">
        <f>CWIP!U32+CWIP!V32</f>
        <v>12144.070995896473</v>
      </c>
      <c r="M29" s="37">
        <f t="shared" si="6"/>
        <v>3157.7709534324022</v>
      </c>
      <c r="N29" s="36">
        <f>CWIP!AC32</f>
        <v>12339.54</v>
      </c>
      <c r="O29" s="36">
        <f>CWIP!AD32</f>
        <v>172.75355999999999</v>
      </c>
      <c r="P29" s="36"/>
      <c r="Q29" s="36">
        <f>CWIP!AF32+CWIP!AG32</f>
        <v>10734.248513432402</v>
      </c>
      <c r="R29" s="36">
        <f t="shared" si="7"/>
        <v>4935.8160000000007</v>
      </c>
    </row>
    <row r="30" spans="1:18">
      <c r="A30" s="23">
        <v>17</v>
      </c>
      <c r="B30" s="1432" t="s">
        <v>580</v>
      </c>
      <c r="C30" s="36"/>
      <c r="D30" s="36">
        <f>CWIP!H33</f>
        <v>1625.5772598545802</v>
      </c>
      <c r="E30" s="36"/>
      <c r="F30" s="36"/>
      <c r="G30" s="36">
        <f>CWIP!K33</f>
        <v>364.99991375458023</v>
      </c>
      <c r="H30" s="37">
        <f t="shared" si="5"/>
        <v>1260.5773460999999</v>
      </c>
      <c r="I30" s="36">
        <f>CWIP!R33</f>
        <v>15162.057649751237</v>
      </c>
      <c r="J30" s="36">
        <f>CWIP!S33</f>
        <v>141.51253806434488</v>
      </c>
      <c r="K30" s="36"/>
      <c r="L30" s="36">
        <f>CWIP!U33+CWIP!V33</f>
        <v>12719.157061033837</v>
      </c>
      <c r="M30" s="37">
        <f t="shared" si="6"/>
        <v>3844.9904728817437</v>
      </c>
      <c r="N30" s="36">
        <f>CWIP!AC33</f>
        <v>21551.647999999997</v>
      </c>
      <c r="O30" s="36">
        <f>CWIP!AD33</f>
        <v>301.72307199999995</v>
      </c>
      <c r="P30" s="36"/>
      <c r="Q30" s="36">
        <f>CWIP!AF33+CWIP!AG33</f>
        <v>17077.702344881742</v>
      </c>
      <c r="R30" s="36">
        <f t="shared" si="7"/>
        <v>8620.6592000000019</v>
      </c>
    </row>
    <row r="31" spans="1:18">
      <c r="A31" s="23">
        <v>18</v>
      </c>
      <c r="B31" s="1432" t="s">
        <v>581</v>
      </c>
      <c r="C31" s="36"/>
      <c r="D31" s="36">
        <f>CWIP!H34</f>
        <v>8499.3071496138891</v>
      </c>
      <c r="E31" s="36"/>
      <c r="F31" s="36"/>
      <c r="G31" s="36">
        <f>CWIP!K34</f>
        <v>7299.6128647138903</v>
      </c>
      <c r="H31" s="37">
        <f t="shared" si="5"/>
        <v>1199.6942848999988</v>
      </c>
      <c r="I31" s="36">
        <f>CWIP!R34</f>
        <v>11946.834564401555</v>
      </c>
      <c r="J31" s="36">
        <f ca="1">CWIP!S34</f>
        <v>274.72898087406736</v>
      </c>
      <c r="K31" s="36"/>
      <c r="L31" s="36">
        <f ca="1">CWIP!U34+CWIP!V34</f>
        <v>10393.915315970988</v>
      </c>
      <c r="M31" s="37">
        <f t="shared" ca="1" si="6"/>
        <v>3027.3425142046344</v>
      </c>
      <c r="N31" s="36">
        <f>CWIP!AC34</f>
        <v>16091.25</v>
      </c>
      <c r="O31" s="36">
        <f ca="1">CWIP!AD34</f>
        <v>1016.4184358578898</v>
      </c>
      <c r="P31" s="36"/>
      <c r="Q31" s="36">
        <f ca="1">CWIP!AF34+CWIP!AG34</f>
        <v>13698.510950062524</v>
      </c>
      <c r="R31" s="36">
        <f t="shared" ca="1" si="7"/>
        <v>6436.4999999999982</v>
      </c>
    </row>
    <row r="32" spans="1:18">
      <c r="A32" s="23"/>
      <c r="B32" s="1433" t="s">
        <v>582</v>
      </c>
      <c r="C32" s="36">
        <f>SUM(C14:C31)</f>
        <v>4911.3379199999981</v>
      </c>
      <c r="D32" s="36">
        <f>SUM(D14:D31)</f>
        <v>37775.510795968468</v>
      </c>
      <c r="E32" s="36">
        <f t="shared" ref="E32:R32" si="8">SUM(E14:E31)</f>
        <v>0</v>
      </c>
      <c r="F32" s="36">
        <f t="shared" si="8"/>
        <v>0</v>
      </c>
      <c r="G32" s="36">
        <f t="shared" si="8"/>
        <v>39026.974558468472</v>
      </c>
      <c r="H32" s="36">
        <f t="shared" si="8"/>
        <v>3659.8741574999967</v>
      </c>
      <c r="I32" s="36">
        <f t="shared" ca="1" si="8"/>
        <v>84463.406006864709</v>
      </c>
      <c r="J32" s="36">
        <f t="shared" ca="1" si="8"/>
        <v>732.09013882838553</v>
      </c>
      <c r="K32" s="36">
        <f t="shared" si="8"/>
        <v>0</v>
      </c>
      <c r="L32" s="36">
        <f t="shared" ca="1" si="8"/>
        <v>65384.64007191053</v>
      </c>
      <c r="M32" s="36">
        <f t="shared" ca="1" si="8"/>
        <v>23470.730231282563</v>
      </c>
      <c r="N32" s="36">
        <f t="shared" ca="1" si="8"/>
        <v>90454.970375555</v>
      </c>
      <c r="O32" s="36">
        <f t="shared" ca="1" si="8"/>
        <v>1758.5544598578897</v>
      </c>
      <c r="P32" s="36">
        <f t="shared" si="8"/>
        <v>0</v>
      </c>
      <c r="Q32" s="36">
        <f t="shared" ca="1" si="8"/>
        <v>81494.651744495466</v>
      </c>
      <c r="R32" s="36">
        <f t="shared" ca="1" si="8"/>
        <v>34189.603322199997</v>
      </c>
    </row>
    <row r="33" spans="1:18">
      <c r="A33" s="23"/>
      <c r="B33" s="1433"/>
      <c r="C33" s="36"/>
      <c r="D33" s="36"/>
      <c r="E33" s="36"/>
      <c r="F33" s="36"/>
      <c r="G33" s="36"/>
      <c r="H33" s="36"/>
      <c r="I33" s="36"/>
      <c r="J33" s="36"/>
      <c r="K33" s="36"/>
      <c r="L33" s="36"/>
      <c r="M33" s="36"/>
      <c r="N33" s="36"/>
      <c r="O33" s="36"/>
      <c r="P33" s="36"/>
      <c r="Q33" s="36"/>
      <c r="R33" s="36"/>
    </row>
    <row r="34" spans="1:18">
      <c r="A34" s="23"/>
      <c r="B34" s="23" t="s">
        <v>583</v>
      </c>
      <c r="C34" s="36">
        <f>CWIP!B42</f>
        <v>11.08</v>
      </c>
      <c r="D34" s="36"/>
      <c r="E34" s="36"/>
      <c r="F34" s="36"/>
      <c r="G34" s="36"/>
      <c r="H34" s="37">
        <f>CWIP!L42</f>
        <v>628.39329999999995</v>
      </c>
      <c r="I34" s="36"/>
      <c r="J34" s="36"/>
      <c r="K34" s="36"/>
      <c r="L34" s="36"/>
      <c r="M34" s="37">
        <f>CWIP!W42</f>
        <v>515</v>
      </c>
      <c r="N34" s="36"/>
      <c r="O34" s="36"/>
      <c r="P34" s="36"/>
      <c r="Q34" s="36"/>
      <c r="R34" s="36">
        <f>CWIP!AH42</f>
        <v>650</v>
      </c>
    </row>
    <row r="35" spans="1:18">
      <c r="A35" s="23"/>
      <c r="B35" s="23" t="s">
        <v>584</v>
      </c>
      <c r="C35" s="36">
        <f>CWIP!B43</f>
        <v>6639.78</v>
      </c>
      <c r="D35" s="36"/>
      <c r="E35" s="36"/>
      <c r="F35" s="36"/>
      <c r="G35" s="36"/>
      <c r="H35" s="37">
        <f>CWIP!L43</f>
        <v>3877.9539799999998</v>
      </c>
      <c r="I35" s="36"/>
      <c r="J35" s="36"/>
      <c r="K35" s="36"/>
      <c r="L35" s="36"/>
      <c r="M35" s="37">
        <f>CWIP!W43</f>
        <v>5525</v>
      </c>
      <c r="N35" s="36"/>
      <c r="O35" s="36"/>
      <c r="P35" s="36"/>
      <c r="Q35" s="36"/>
      <c r="R35" s="36">
        <f>CWIP!AH43</f>
        <v>6020</v>
      </c>
    </row>
    <row r="36" spans="1:18" ht="18">
      <c r="A36" s="23"/>
      <c r="B36" s="1434" t="s">
        <v>585</v>
      </c>
      <c r="C36" s="37">
        <f t="shared" ref="C36:R36" si="9">C13+SUM(C32:C35)</f>
        <v>11597.871100599999</v>
      </c>
      <c r="D36" s="37">
        <f t="shared" si="9"/>
        <v>37775.510795968468</v>
      </c>
      <c r="E36" s="37">
        <f t="shared" si="9"/>
        <v>0</v>
      </c>
      <c r="F36" s="37">
        <f t="shared" si="9"/>
        <v>0</v>
      </c>
      <c r="G36" s="37">
        <f t="shared" si="9"/>
        <v>39026.974558468472</v>
      </c>
      <c r="H36" s="37">
        <f t="shared" si="9"/>
        <v>8201.8946180999974</v>
      </c>
      <c r="I36" s="37">
        <f t="shared" ca="1" si="9"/>
        <v>84629.406006864709</v>
      </c>
      <c r="J36" s="37">
        <f t="shared" ca="1" si="9"/>
        <v>732.09013882838553</v>
      </c>
      <c r="K36" s="37">
        <f t="shared" si="9"/>
        <v>0</v>
      </c>
      <c r="L36" s="37">
        <f t="shared" ca="1" si="9"/>
        <v>65586.313252510532</v>
      </c>
      <c r="M36" s="37">
        <f t="shared" ca="1" si="9"/>
        <v>29510.730231282563</v>
      </c>
      <c r="N36" s="37">
        <f t="shared" ca="1" si="9"/>
        <v>90689.970375555</v>
      </c>
      <c r="O36" s="37">
        <f t="shared" ca="1" si="9"/>
        <v>1758.5544598578897</v>
      </c>
      <c r="P36" s="37">
        <f t="shared" si="9"/>
        <v>0</v>
      </c>
      <c r="Q36" s="37">
        <f t="shared" ca="1" si="9"/>
        <v>81729.651744495466</v>
      </c>
      <c r="R36" s="37">
        <f t="shared" ca="1" si="9"/>
        <v>40859.603322199997</v>
      </c>
    </row>
    <row r="37" spans="1:18">
      <c r="D37" s="7"/>
      <c r="H37" s="7"/>
      <c r="L37" s="7"/>
    </row>
    <row r="38" spans="1:18">
      <c r="E38" s="7"/>
      <c r="F38" s="7"/>
      <c r="H38" s="7"/>
      <c r="L38" s="7"/>
    </row>
    <row r="39" spans="1:18">
      <c r="B39" s="161" t="s">
        <v>586</v>
      </c>
      <c r="C39" s="161"/>
      <c r="D39" s="161"/>
      <c r="E39" s="161"/>
      <c r="F39" s="161"/>
      <c r="G39" s="161"/>
      <c r="H39" s="162">
        <f>'F-21'!C28</f>
        <v>8201.8946180999974</v>
      </c>
      <c r="I39" s="161"/>
      <c r="J39" s="161"/>
      <c r="K39" s="161"/>
      <c r="L39" s="161"/>
      <c r="M39" s="162">
        <f ca="1">'F-21'!D28</f>
        <v>29510.73023128257</v>
      </c>
      <c r="N39" s="161"/>
      <c r="O39" s="161"/>
      <c r="P39" s="161"/>
      <c r="Q39" s="161"/>
      <c r="R39" s="162">
        <f ca="1">'F-21'!E28</f>
        <v>40859.603322199997</v>
      </c>
    </row>
    <row r="40" spans="1:18">
      <c r="C40" s="7"/>
      <c r="D40" s="7"/>
      <c r="E40" s="7"/>
      <c r="F40" s="7"/>
      <c r="G40" s="7"/>
      <c r="H40" s="7"/>
      <c r="I40" s="7"/>
      <c r="J40" s="7"/>
      <c r="K40" s="7"/>
      <c r="L40" s="7"/>
      <c r="M40" s="7"/>
      <c r="N40" s="7"/>
      <c r="O40" s="7"/>
      <c r="P40" s="7"/>
      <c r="Q40" s="7"/>
      <c r="R40" s="7"/>
    </row>
    <row r="41" spans="1:18">
      <c r="H41" s="7">
        <f>H39-H36</f>
        <v>0</v>
      </c>
      <c r="I41" s="7"/>
      <c r="J41" s="7"/>
      <c r="K41" s="7"/>
      <c r="L41" s="7"/>
      <c r="M41" s="7">
        <f ca="1">M39-M36</f>
        <v>0</v>
      </c>
      <c r="N41" s="7"/>
      <c r="O41" s="7"/>
      <c r="P41" s="7"/>
      <c r="Q41" s="7"/>
      <c r="R41" s="7">
        <f ca="1">R39-R36</f>
        <v>0</v>
      </c>
    </row>
  </sheetData>
  <mergeCells count="3">
    <mergeCell ref="C4:H4"/>
    <mergeCell ref="I4:M4"/>
    <mergeCell ref="N4:R4"/>
  </mergeCells>
  <phoneticPr fontId="0" type="noConversion"/>
  <printOptions horizontalCentered="1" gridLines="1"/>
  <pageMargins left="0.23622047244094491" right="0" top="0.98425196850393704" bottom="0.74803149606299213" header="0.23622047244094491" footer="0.23622047244094491"/>
  <pageSetup paperSize="9" scale="75" orientation="landscape" r:id="rId1"/>
  <headerFooter alignWithMargins="0">
    <oddFooter>&amp;ROERC FORM-&amp;A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T34"/>
  <sheetViews>
    <sheetView view="pageBreakPreview" topLeftCell="A7" zoomScale="85" zoomScaleSheetLayoutView="85" workbookViewId="0">
      <selection activeCell="N13" sqref="N13"/>
    </sheetView>
  </sheetViews>
  <sheetFormatPr defaultColWidth="14.7109375" defaultRowHeight="12.75"/>
  <cols>
    <col min="1" max="1" width="42.85546875" customWidth="1"/>
    <col min="2" max="2" width="12.5703125" customWidth="1"/>
    <col min="3" max="3" width="10.28515625" customWidth="1"/>
    <col min="4" max="4" width="10.7109375" customWidth="1"/>
    <col min="5" max="5" width="14.28515625" customWidth="1"/>
    <col min="6" max="6" width="11" customWidth="1"/>
    <col min="7" max="7" width="11.5703125" customWidth="1"/>
    <col min="8" max="8" width="14" customWidth="1"/>
    <col min="9" max="9" width="11.7109375" customWidth="1"/>
    <col min="10" max="10" width="14.42578125" customWidth="1"/>
    <col min="11" max="11" width="16" customWidth="1"/>
    <col min="12" max="12" width="11.28515625" customWidth="1"/>
    <col min="13" max="19" width="14.7109375" customWidth="1"/>
    <col min="20" max="20" width="14.7109375" hidden="1" customWidth="1"/>
  </cols>
  <sheetData>
    <row r="1" spans="1:12">
      <c r="A1" s="20" t="s">
        <v>106</v>
      </c>
      <c r="B1" s="20"/>
      <c r="C1" s="20"/>
      <c r="D1" s="20"/>
      <c r="J1" s="3" t="s">
        <v>587</v>
      </c>
      <c r="K1" s="20"/>
    </row>
    <row r="2" spans="1:12" ht="15.75">
      <c r="A2" s="5" t="s">
        <v>588</v>
      </c>
      <c r="B2" s="5"/>
      <c r="C2" s="5"/>
      <c r="D2" s="5"/>
      <c r="E2" s="26"/>
      <c r="F2" s="26"/>
      <c r="G2" s="26"/>
      <c r="H2" s="26"/>
      <c r="I2" s="26"/>
      <c r="J2" s="26"/>
      <c r="K2" s="26"/>
      <c r="L2" s="26"/>
    </row>
    <row r="3" spans="1:12">
      <c r="A3" s="2" t="s">
        <v>589</v>
      </c>
      <c r="B3" s="2"/>
      <c r="C3" s="2"/>
      <c r="D3" s="2"/>
    </row>
    <row r="5" spans="1:12" ht="78.75">
      <c r="A5" s="813" t="s">
        <v>590</v>
      </c>
      <c r="B5" s="813" t="s">
        <v>2093</v>
      </c>
      <c r="C5" s="813" t="s">
        <v>2094</v>
      </c>
      <c r="D5" s="813" t="s">
        <v>2095</v>
      </c>
      <c r="E5" s="813" t="s">
        <v>2096</v>
      </c>
      <c r="F5" s="813" t="s">
        <v>591</v>
      </c>
      <c r="G5" s="813" t="s">
        <v>2097</v>
      </c>
      <c r="H5" s="813" t="s">
        <v>2098</v>
      </c>
      <c r="I5" s="813" t="s">
        <v>2099</v>
      </c>
      <c r="J5" s="813" t="s">
        <v>2100</v>
      </c>
      <c r="K5" s="813" t="s">
        <v>2101</v>
      </c>
      <c r="L5" s="813" t="s">
        <v>592</v>
      </c>
    </row>
    <row r="6" spans="1:12">
      <c r="A6" s="29"/>
      <c r="B6" s="29"/>
      <c r="C6" s="29"/>
      <c r="D6" s="29"/>
      <c r="E6" s="29"/>
      <c r="F6" s="29"/>
      <c r="G6" s="29"/>
      <c r="H6" s="29"/>
      <c r="I6" s="29"/>
      <c r="J6" s="29"/>
      <c r="K6" s="29"/>
      <c r="L6" s="29"/>
    </row>
    <row r="7" spans="1:12">
      <c r="A7" s="28" t="s">
        <v>593</v>
      </c>
      <c r="B7" s="36">
        <f>'loan&amp;int'!B7</f>
        <v>0</v>
      </c>
      <c r="C7" s="36">
        <f>'loan&amp;int'!B8</f>
        <v>0</v>
      </c>
      <c r="D7" s="36">
        <f>'loan&amp;int'!B9</f>
        <v>0</v>
      </c>
      <c r="E7" s="36">
        <f>'loan&amp;int'!B10</f>
        <v>0</v>
      </c>
      <c r="F7" s="36">
        <f>'loan&amp;int'!C8</f>
        <v>0</v>
      </c>
      <c r="G7" s="36">
        <f>'loan&amp;int'!C9</f>
        <v>0</v>
      </c>
      <c r="H7" s="36">
        <f>E7+F7-G7</f>
        <v>0</v>
      </c>
      <c r="I7" s="36">
        <f>'loan&amp;int'!D8</f>
        <v>0</v>
      </c>
      <c r="J7" s="36">
        <f>'loan&amp;int'!D9</f>
        <v>0</v>
      </c>
      <c r="K7" s="36">
        <f>H7+I7-J7</f>
        <v>0</v>
      </c>
      <c r="L7" s="108">
        <f>'loan&amp;int'!B5</f>
        <v>0</v>
      </c>
    </row>
    <row r="8" spans="1:12">
      <c r="A8" s="23"/>
      <c r="B8" s="23"/>
      <c r="C8" s="23"/>
      <c r="D8" s="23"/>
      <c r="E8" s="36"/>
      <c r="F8" s="36"/>
      <c r="G8" s="36"/>
      <c r="H8" s="36"/>
      <c r="I8" s="36"/>
      <c r="J8" s="36"/>
      <c r="K8" s="36"/>
      <c r="L8" s="323"/>
    </row>
    <row r="9" spans="1:12">
      <c r="A9" s="28" t="s">
        <v>594</v>
      </c>
      <c r="B9" s="36">
        <f>'loan&amp;int'!B38</f>
        <v>0</v>
      </c>
      <c r="C9" s="36">
        <f>'loan&amp;int'!B39</f>
        <v>0</v>
      </c>
      <c r="D9" s="36">
        <f>'loan&amp;int'!B40</f>
        <v>0</v>
      </c>
      <c r="E9" s="36">
        <f>'loan&amp;int'!B41</f>
        <v>0</v>
      </c>
      <c r="F9" s="36">
        <f>'loan&amp;int'!C39</f>
        <v>0</v>
      </c>
      <c r="G9" s="36">
        <f>'loan&amp;int'!C40</f>
        <v>0</v>
      </c>
      <c r="H9" s="36">
        <f>E9+F9-G9</f>
        <v>0</v>
      </c>
      <c r="I9" s="36">
        <f>'loan&amp;int'!D39</f>
        <v>0</v>
      </c>
      <c r="J9" s="36">
        <f>'loan&amp;int'!D40</f>
        <v>0</v>
      </c>
      <c r="K9" s="36">
        <f>H9+I9-J9</f>
        <v>0</v>
      </c>
      <c r="L9" s="323">
        <f>'loan&amp;int'!B37</f>
        <v>0</v>
      </c>
    </row>
    <row r="10" spans="1:12">
      <c r="A10" s="23" t="s">
        <v>595</v>
      </c>
      <c r="B10" s="23"/>
      <c r="C10" s="23"/>
      <c r="D10" s="23"/>
      <c r="E10" s="36"/>
      <c r="F10" s="36"/>
      <c r="G10" s="36"/>
      <c r="H10" s="36"/>
      <c r="I10" s="36"/>
      <c r="J10" s="36"/>
      <c r="K10" s="36"/>
      <c r="L10" s="323"/>
    </row>
    <row r="11" spans="1:12">
      <c r="A11" s="23"/>
      <c r="B11" s="23"/>
      <c r="C11" s="23"/>
      <c r="D11" s="23"/>
      <c r="E11" s="36"/>
      <c r="F11" s="36"/>
      <c r="G11" s="36"/>
      <c r="H11" s="36"/>
      <c r="I11" s="36"/>
      <c r="J11" s="36"/>
      <c r="K11" s="36"/>
      <c r="L11" s="323"/>
    </row>
    <row r="12" spans="1:12">
      <c r="A12" s="28" t="s">
        <v>2331</v>
      </c>
      <c r="B12" s="36">
        <f>'loan&amp;int'!B49</f>
        <v>0</v>
      </c>
      <c r="C12" s="36">
        <f>'loan&amp;int'!B50</f>
        <v>5000</v>
      </c>
      <c r="D12" s="36">
        <f>'loan&amp;int'!B51</f>
        <v>0</v>
      </c>
      <c r="E12" s="36">
        <f>'loan&amp;int'!B52</f>
        <v>5000</v>
      </c>
      <c r="F12" s="36">
        <f ca="1">'loan&amp;int'!C50</f>
        <v>41635.458132420034</v>
      </c>
      <c r="G12" s="36">
        <f>'loan&amp;int'!C51</f>
        <v>2054.5860381855859</v>
      </c>
      <c r="H12" s="36">
        <f ca="1">E12+F12-G12</f>
        <v>44580.872094234444</v>
      </c>
      <c r="I12" s="36">
        <f ca="1">'loan&amp;int'!D50</f>
        <v>45091.139996356149</v>
      </c>
      <c r="J12" s="36">
        <f ca="1">'loan&amp;int'!D51</f>
        <v>7478.0703427743556</v>
      </c>
      <c r="K12" s="36">
        <f ca="1">H12+I12-J12</f>
        <v>82193.941747816236</v>
      </c>
      <c r="L12" s="323">
        <f>'loan&amp;int'!C48</f>
        <v>0.1055</v>
      </c>
    </row>
    <row r="13" spans="1:12">
      <c r="A13" s="28"/>
      <c r="B13" s="28"/>
      <c r="C13" s="28"/>
      <c r="D13" s="28"/>
      <c r="E13" s="36"/>
      <c r="F13" s="36"/>
      <c r="G13" s="36"/>
      <c r="H13" s="36"/>
      <c r="I13" s="36"/>
      <c r="J13" s="36"/>
      <c r="K13" s="36"/>
      <c r="L13" s="323"/>
    </row>
    <row r="14" spans="1:12">
      <c r="A14" s="28" t="s">
        <v>597</v>
      </c>
      <c r="B14" s="36">
        <f>'loan&amp;int'!B61</f>
        <v>0</v>
      </c>
      <c r="C14" s="36">
        <f>'loan&amp;int'!B62</f>
        <v>0</v>
      </c>
      <c r="D14" s="36">
        <f>'loan&amp;int'!B63</f>
        <v>0</v>
      </c>
      <c r="E14" s="36">
        <f>'loan&amp;int'!B64</f>
        <v>0</v>
      </c>
      <c r="F14" s="36">
        <f>'loan&amp;int'!C62</f>
        <v>0</v>
      </c>
      <c r="G14" s="36">
        <f>'loan&amp;int'!C63</f>
        <v>0</v>
      </c>
      <c r="H14" s="36">
        <f>E14+F14-G14</f>
        <v>0</v>
      </c>
      <c r="I14" s="36">
        <f>'loan&amp;int'!D62</f>
        <v>0</v>
      </c>
      <c r="J14" s="36">
        <f>'loan&amp;int'!D63</f>
        <v>0</v>
      </c>
      <c r="K14" s="36">
        <f>H14+I14-J14</f>
        <v>0</v>
      </c>
      <c r="L14" s="323">
        <f>'loan&amp;int'!B60</f>
        <v>0</v>
      </c>
    </row>
    <row r="15" spans="1:12">
      <c r="A15" s="28"/>
      <c r="B15" s="28"/>
      <c r="C15" s="28"/>
      <c r="D15" s="28"/>
      <c r="E15" s="36"/>
      <c r="F15" s="36"/>
      <c r="G15" s="36"/>
      <c r="H15" s="36"/>
      <c r="I15" s="36"/>
      <c r="J15" s="36"/>
      <c r="K15" s="36"/>
      <c r="L15" s="323"/>
    </row>
    <row r="16" spans="1:12">
      <c r="A16" s="28" t="s">
        <v>598</v>
      </c>
      <c r="B16" s="36">
        <f>'loan&amp;int'!B28</f>
        <v>0</v>
      </c>
      <c r="C16" s="36">
        <f>'loan&amp;int'!B29</f>
        <v>0</v>
      </c>
      <c r="D16" s="36">
        <f>'loan&amp;int'!B30</f>
        <v>0</v>
      </c>
      <c r="E16" s="36">
        <f>'loan&amp;int'!B31</f>
        <v>0</v>
      </c>
      <c r="F16" s="36">
        <f>'loan&amp;int'!C29</f>
        <v>0</v>
      </c>
      <c r="G16" s="36">
        <f>'loan&amp;int'!C30</f>
        <v>0</v>
      </c>
      <c r="H16" s="36">
        <f>'loan&amp;int'!C31</f>
        <v>0</v>
      </c>
      <c r="I16" s="36">
        <f>'loan&amp;int'!D29</f>
        <v>0</v>
      </c>
      <c r="J16" s="36">
        <f>'loan&amp;int'!D30</f>
        <v>0</v>
      </c>
      <c r="K16" s="36">
        <f>'loan&amp;int'!D31</f>
        <v>0</v>
      </c>
      <c r="L16" s="1435">
        <v>0</v>
      </c>
    </row>
    <row r="17" spans="1:17">
      <c r="A17" s="28"/>
      <c r="B17" s="36"/>
      <c r="C17" s="36"/>
      <c r="D17" s="36"/>
      <c r="E17" s="36"/>
      <c r="F17" s="36"/>
      <c r="G17" s="36"/>
      <c r="H17" s="36"/>
      <c r="I17" s="36"/>
      <c r="J17" s="36"/>
      <c r="K17" s="36"/>
      <c r="L17" s="1435"/>
    </row>
    <row r="18" spans="1:17">
      <c r="A18" s="28" t="s">
        <v>599</v>
      </c>
      <c r="B18" s="36">
        <f>'loan&amp;int'!B17</f>
        <v>0</v>
      </c>
      <c r="C18" s="36">
        <f>'loan&amp;int'!B18</f>
        <v>0.91788000000000003</v>
      </c>
      <c r="D18" s="36">
        <f>'loan&amp;int'!B19</f>
        <v>0</v>
      </c>
      <c r="E18" s="36">
        <f>'loan&amp;int'!B20</f>
        <v>0.91788000000000003</v>
      </c>
      <c r="F18" s="36">
        <f>'loan&amp;int'!C18</f>
        <v>0</v>
      </c>
      <c r="G18" s="36">
        <f>'loan&amp;int'!C19</f>
        <v>0</v>
      </c>
      <c r="H18" s="36">
        <f>'loan&amp;int'!C20</f>
        <v>0</v>
      </c>
      <c r="I18" s="36">
        <f>'loan&amp;int'!D18</f>
        <v>0</v>
      </c>
      <c r="J18" s="36">
        <f>'loan&amp;int'!D19</f>
        <v>0</v>
      </c>
      <c r="K18" s="36">
        <f>'loan&amp;int'!D20</f>
        <v>0</v>
      </c>
      <c r="L18" s="323">
        <f>'loan&amp;int'!B16</f>
        <v>0</v>
      </c>
    </row>
    <row r="19" spans="1:17">
      <c r="A19" s="28"/>
      <c r="B19" s="28"/>
      <c r="C19" s="28"/>
      <c r="D19" s="28"/>
      <c r="E19" s="36"/>
      <c r="F19" s="36"/>
      <c r="G19" s="36"/>
      <c r="H19" s="36"/>
      <c r="I19" s="36"/>
      <c r="J19" s="36"/>
      <c r="K19" s="36"/>
      <c r="L19" s="323"/>
    </row>
    <row r="20" spans="1:17">
      <c r="A20" s="28" t="s">
        <v>600</v>
      </c>
      <c r="B20" s="36">
        <f>'loan&amp;int'!B83</f>
        <v>0</v>
      </c>
      <c r="C20" s="36">
        <f>'loan&amp;int'!B84</f>
        <v>0</v>
      </c>
      <c r="D20" s="36">
        <f>'loan&amp;int'!B85</f>
        <v>0</v>
      </c>
      <c r="E20" s="36">
        <f>'loan&amp;int'!B86</f>
        <v>0</v>
      </c>
      <c r="F20" s="36">
        <f>'loan&amp;int'!C84</f>
        <v>0</v>
      </c>
      <c r="G20" s="36">
        <f>'loan&amp;int'!C85</f>
        <v>0</v>
      </c>
      <c r="H20" s="36">
        <f>E20+F20-G20</f>
        <v>0</v>
      </c>
      <c r="I20" s="36">
        <f>'loan&amp;int'!D84</f>
        <v>0</v>
      </c>
      <c r="J20" s="36">
        <f>'loan&amp;int'!D85</f>
        <v>0</v>
      </c>
      <c r="K20" s="36">
        <f>H20+I20-J20</f>
        <v>0</v>
      </c>
      <c r="L20" s="323">
        <f>'loan&amp;int'!B82</f>
        <v>0</v>
      </c>
    </row>
    <row r="21" spans="1:17">
      <c r="A21" s="28"/>
      <c r="B21" s="28"/>
      <c r="C21" s="28"/>
      <c r="D21" s="28"/>
      <c r="E21" s="36"/>
      <c r="F21" s="36"/>
      <c r="G21" s="36"/>
      <c r="H21" s="36"/>
      <c r="I21" s="36"/>
      <c r="J21" s="36"/>
      <c r="K21" s="36"/>
      <c r="L21" s="323"/>
    </row>
    <row r="22" spans="1:17">
      <c r="A22" s="28" t="s">
        <v>601</v>
      </c>
      <c r="B22" s="36">
        <f>'loan&amp;int'!B72</f>
        <v>0</v>
      </c>
      <c r="C22" s="36">
        <f>'loan&amp;int'!B73</f>
        <v>0</v>
      </c>
      <c r="D22" s="36">
        <f>'loan&amp;int'!B74</f>
        <v>0</v>
      </c>
      <c r="E22" s="36">
        <f>'loan&amp;int'!B75</f>
        <v>0</v>
      </c>
      <c r="F22" s="36">
        <f>'loan&amp;int'!C73</f>
        <v>0</v>
      </c>
      <c r="G22" s="36">
        <f>'loan&amp;int'!C74</f>
        <v>0</v>
      </c>
      <c r="H22" s="36">
        <f>E22+F22-G22</f>
        <v>0</v>
      </c>
      <c r="I22" s="36">
        <f>'loan&amp;int'!D73</f>
        <v>0</v>
      </c>
      <c r="J22" s="36">
        <f>'loan&amp;int'!D74</f>
        <v>0</v>
      </c>
      <c r="K22" s="36">
        <f>H22+I22-J22</f>
        <v>0</v>
      </c>
      <c r="L22" s="323">
        <f>'loan&amp;int'!B71</f>
        <v>0</v>
      </c>
    </row>
    <row r="23" spans="1:17">
      <c r="A23" s="28"/>
      <c r="B23" s="28"/>
      <c r="C23" s="28"/>
      <c r="D23" s="28"/>
      <c r="E23" s="36"/>
      <c r="F23" s="36"/>
      <c r="G23" s="36"/>
      <c r="H23" s="36"/>
      <c r="I23" s="36"/>
      <c r="J23" s="36"/>
      <c r="K23" s="36"/>
      <c r="L23" s="323"/>
    </row>
    <row r="24" spans="1:17">
      <c r="A24" s="28" t="s">
        <v>2330</v>
      </c>
      <c r="B24" s="36">
        <f>'loan&amp;int'!B94</f>
        <v>14126.0000771</v>
      </c>
      <c r="C24" s="36">
        <f>'loan&amp;int'!B95</f>
        <v>0</v>
      </c>
      <c r="D24" s="36">
        <f>'loan&amp;int'!B96</f>
        <v>1102.4309023999995</v>
      </c>
      <c r="E24" s="36">
        <f>'loan&amp;int'!B97</f>
        <v>13023.5691747</v>
      </c>
      <c r="F24" s="36">
        <f>'loan&amp;int'!C95</f>
        <v>0</v>
      </c>
      <c r="G24" s="36">
        <f>'loan&amp;int'!C96</f>
        <v>0</v>
      </c>
      <c r="H24" s="36">
        <f>E24+F24-G24</f>
        <v>13023.5691747</v>
      </c>
      <c r="I24" s="36">
        <f>'loan&amp;int'!D95</f>
        <v>0</v>
      </c>
      <c r="J24" s="36">
        <f>'loan&amp;int'!D96</f>
        <v>0</v>
      </c>
      <c r="K24" s="36">
        <f>H24+I24-J24</f>
        <v>13023.5691747</v>
      </c>
      <c r="L24" s="323">
        <f>'loan&amp;int'!B93</f>
        <v>0</v>
      </c>
    </row>
    <row r="25" spans="1:17">
      <c r="A25" s="75" t="s">
        <v>147</v>
      </c>
      <c r="B25" s="37">
        <f t="shared" ref="B25" si="0">SUM(B6:B24)</f>
        <v>14126.0000771</v>
      </c>
      <c r="C25" s="75"/>
      <c r="D25" s="75"/>
      <c r="E25" s="37">
        <f t="shared" ref="E25:K25" si="1">SUM(E6:E24)</f>
        <v>18024.487054699999</v>
      </c>
      <c r="F25" s="37">
        <f t="shared" ca="1" si="1"/>
        <v>41635.458132420034</v>
      </c>
      <c r="G25" s="37">
        <f t="shared" si="1"/>
        <v>2054.5860381855859</v>
      </c>
      <c r="H25" s="37">
        <f t="shared" ca="1" si="1"/>
        <v>57604.441268934446</v>
      </c>
      <c r="I25" s="37">
        <f t="shared" ca="1" si="1"/>
        <v>45091.139996356149</v>
      </c>
      <c r="J25" s="37">
        <f t="shared" ca="1" si="1"/>
        <v>7478.0703427743556</v>
      </c>
      <c r="K25" s="37">
        <f t="shared" ca="1" si="1"/>
        <v>95217.51092251623</v>
      </c>
      <c r="L25" s="28"/>
      <c r="Q25" s="506"/>
    </row>
    <row r="26" spans="1:17">
      <c r="A26" s="2" t="s">
        <v>602</v>
      </c>
      <c r="B26" s="2"/>
      <c r="C26" s="2"/>
      <c r="D26" s="2"/>
    </row>
    <row r="27" spans="1:17">
      <c r="A27" s="2" t="s">
        <v>603</v>
      </c>
      <c r="B27" s="2"/>
      <c r="C27" s="2"/>
      <c r="D27" s="12"/>
    </row>
    <row r="28" spans="1:17">
      <c r="A28" s="2"/>
      <c r="B28" s="2"/>
      <c r="C28" s="2"/>
      <c r="D28" s="2"/>
    </row>
    <row r="29" spans="1:17">
      <c r="A29" s="2"/>
      <c r="B29" s="2"/>
      <c r="C29" s="2"/>
      <c r="D29" s="2"/>
    </row>
    <row r="30" spans="1:17">
      <c r="A30" s="161" t="s">
        <v>604</v>
      </c>
      <c r="B30" s="161"/>
      <c r="C30" s="161"/>
      <c r="D30" s="161"/>
      <c r="E30" s="162">
        <f>'F-21'!C15</f>
        <v>18024.487054699999</v>
      </c>
      <c r="F30" s="161"/>
      <c r="G30" s="161"/>
      <c r="H30" s="162">
        <f ca="1">'F-21'!D15</f>
        <v>57605.35914893444</v>
      </c>
      <c r="I30" s="161"/>
      <c r="J30" s="161"/>
      <c r="K30" s="162">
        <f ca="1">'F-21'!E15</f>
        <v>95218.428802516224</v>
      </c>
    </row>
    <row r="31" spans="1:17">
      <c r="A31" s="161"/>
      <c r="B31" s="161"/>
      <c r="C31" s="161"/>
      <c r="D31" s="161"/>
      <c r="E31" s="1436">
        <f>E30-E25</f>
        <v>0</v>
      </c>
      <c r="F31" s="1436"/>
      <c r="G31" s="1436"/>
      <c r="H31" s="1436">
        <f ca="1">H30-H25</f>
        <v>0.91787999999360181</v>
      </c>
      <c r="I31" s="1436"/>
      <c r="J31" s="1436"/>
      <c r="K31" s="1436">
        <f ca="1">K30-K25</f>
        <v>0.91787999999360181</v>
      </c>
    </row>
    <row r="32" spans="1:17">
      <c r="E32" s="2"/>
      <c r="F32" s="2"/>
      <c r="G32" s="2"/>
      <c r="H32" s="12"/>
      <c r="I32" s="2"/>
      <c r="J32" s="2"/>
      <c r="K32" s="12"/>
    </row>
    <row r="33" spans="5:8">
      <c r="E33" s="7"/>
      <c r="H33" s="7"/>
    </row>
    <row r="34" spans="5:8">
      <c r="H34" s="7"/>
    </row>
  </sheetData>
  <phoneticPr fontId="0" type="noConversion"/>
  <printOptions horizontalCentered="1" gridLines="1"/>
  <pageMargins left="0.23622047244094491" right="0.23622047244094491" top="0.98425196850393704" bottom="0.98425196850393704" header="0.51181102362204722" footer="0.51181102362204722"/>
  <pageSetup paperSize="9" scale="80" orientation="landscape" r:id="rId1"/>
  <headerFooter alignWithMargins="0">
    <oddFooter xml:space="preserve">&amp;ROERC FORM-&amp;A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CU160"/>
  <sheetViews>
    <sheetView view="pageBreakPreview" zoomScale="85" zoomScaleNormal="75" zoomScaleSheetLayoutView="80" workbookViewId="0">
      <pane xSplit="2" ySplit="4" topLeftCell="C5" activePane="bottomRight" state="frozen"/>
      <selection pane="topRight" activeCell="I18" sqref="I18"/>
      <selection pane="bottomLeft" activeCell="I18" sqref="I18"/>
      <selection pane="bottomRight" activeCell="E44" sqref="E44:G44"/>
    </sheetView>
  </sheetViews>
  <sheetFormatPr defaultColWidth="14.7109375" defaultRowHeight="25.5"/>
  <cols>
    <col min="1" max="1" width="6.42578125" style="38" customWidth="1"/>
    <col min="2" max="2" width="43.5703125" style="38" customWidth="1"/>
    <col min="3" max="3" width="12.5703125" style="64" customWidth="1"/>
    <col min="4" max="4" width="11.85546875" style="38" bestFit="1" customWidth="1"/>
    <col min="5" max="5" width="12.85546875" style="38" customWidth="1"/>
    <col min="6" max="6" width="7.140625" style="38" bestFit="1" customWidth="1"/>
    <col min="7" max="7" width="13" style="38" customWidth="1"/>
    <col min="8" max="8" width="9.85546875" style="38" customWidth="1"/>
    <col min="9" max="9" width="12.5703125" style="38" customWidth="1"/>
    <col min="10" max="10" width="9.42578125" style="38" customWidth="1"/>
    <col min="11" max="11" width="14.7109375" style="218" customWidth="1"/>
    <col min="12" max="12" width="33.85546875" style="38" bestFit="1" customWidth="1"/>
    <col min="13" max="13" width="14.7109375" style="38"/>
    <col min="14" max="14" width="15.42578125" style="38" customWidth="1"/>
    <col min="15" max="16384" width="14.7109375" style="38"/>
  </cols>
  <sheetData>
    <row r="1" spans="1:99" ht="16.5" customHeight="1">
      <c r="B1" s="61" t="s">
        <v>106</v>
      </c>
      <c r="C1" s="398"/>
    </row>
    <row r="2" spans="1:99" ht="21" customHeight="1" thickBot="1">
      <c r="B2" s="426" t="s">
        <v>605</v>
      </c>
      <c r="C2" s="410"/>
      <c r="I2" s="3" t="s">
        <v>606</v>
      </c>
      <c r="J2" s="40"/>
    </row>
    <row r="3" spans="1:99" ht="52.5" customHeight="1">
      <c r="A3" s="1270" t="s">
        <v>2235</v>
      </c>
      <c r="B3" s="1269" t="s">
        <v>791</v>
      </c>
      <c r="C3" s="1819" t="s">
        <v>159</v>
      </c>
      <c r="D3" s="1819"/>
      <c r="E3" s="1819" t="s">
        <v>607</v>
      </c>
      <c r="F3" s="1819"/>
      <c r="G3" s="1819" t="s">
        <v>608</v>
      </c>
      <c r="H3" s="1819"/>
      <c r="I3" s="1819" t="s">
        <v>609</v>
      </c>
      <c r="J3" s="1820"/>
      <c r="L3" s="505"/>
      <c r="M3" s="505"/>
      <c r="N3" s="505"/>
      <c r="O3" s="505"/>
      <c r="P3" s="505"/>
      <c r="Q3" s="505"/>
      <c r="R3" s="505"/>
      <c r="S3" s="505"/>
      <c r="T3" s="505"/>
      <c r="U3" s="505"/>
      <c r="V3" s="505"/>
      <c r="W3" s="505"/>
      <c r="X3" s="505"/>
      <c r="Y3" s="505"/>
      <c r="Z3" s="505"/>
      <c r="AA3" s="505"/>
      <c r="AB3" s="505"/>
      <c r="AC3" s="505"/>
      <c r="AD3" s="505"/>
      <c r="AE3" s="505"/>
      <c r="AF3" s="505"/>
      <c r="AG3" s="505"/>
      <c r="AH3" s="505"/>
      <c r="AI3" s="505"/>
      <c r="AJ3" s="505"/>
      <c r="AK3" s="505"/>
      <c r="AL3" s="505"/>
      <c r="AM3" s="505"/>
      <c r="AN3" s="505"/>
      <c r="AO3" s="505"/>
      <c r="AP3" s="505"/>
      <c r="AQ3" s="505"/>
      <c r="AR3" s="505"/>
      <c r="AS3" s="505"/>
      <c r="AT3" s="505"/>
      <c r="AU3" s="505"/>
      <c r="AV3" s="505"/>
      <c r="AW3" s="505"/>
      <c r="AX3" s="505"/>
      <c r="AY3" s="505"/>
      <c r="AZ3" s="505"/>
      <c r="BA3" s="505"/>
      <c r="BB3" s="505"/>
      <c r="BC3" s="505"/>
      <c r="BD3" s="505"/>
      <c r="BE3" s="505"/>
      <c r="BF3" s="505"/>
      <c r="BG3" s="505"/>
      <c r="BH3" s="505"/>
      <c r="BI3" s="505"/>
      <c r="BJ3" s="505"/>
      <c r="BK3" s="505"/>
      <c r="BL3" s="505"/>
      <c r="BM3" s="505"/>
      <c r="BN3" s="505"/>
      <c r="BO3" s="505"/>
      <c r="BP3" s="505"/>
      <c r="BQ3" s="505"/>
      <c r="BR3" s="505"/>
      <c r="BS3" s="505"/>
      <c r="BT3" s="505"/>
      <c r="BU3" s="505"/>
      <c r="BV3" s="505"/>
      <c r="BW3" s="505"/>
      <c r="BX3" s="505"/>
      <c r="BY3" s="505"/>
      <c r="BZ3" s="505"/>
      <c r="CA3" s="505"/>
      <c r="CB3" s="505"/>
      <c r="CC3" s="505"/>
      <c r="CD3" s="505"/>
      <c r="CE3" s="505"/>
      <c r="CF3" s="505"/>
      <c r="CG3" s="505"/>
      <c r="CH3" s="505"/>
      <c r="CI3" s="505"/>
      <c r="CJ3" s="505"/>
      <c r="CK3" s="505"/>
      <c r="CL3" s="505"/>
      <c r="CM3" s="505"/>
      <c r="CN3" s="505"/>
      <c r="CO3" s="505"/>
      <c r="CP3" s="505"/>
      <c r="CQ3" s="505"/>
      <c r="CR3" s="505"/>
      <c r="CS3" s="505"/>
      <c r="CT3" s="505"/>
      <c r="CU3" s="505"/>
    </row>
    <row r="4" spans="1:99" ht="18.75" customHeight="1" thickBot="1">
      <c r="A4" s="1260"/>
      <c r="B4" s="1212"/>
      <c r="C4" s="1212" t="s">
        <v>286</v>
      </c>
      <c r="D4" s="1267" t="s">
        <v>387</v>
      </c>
      <c r="E4" s="1212" t="s">
        <v>286</v>
      </c>
      <c r="F4" s="1267" t="s">
        <v>387</v>
      </c>
      <c r="G4" s="1212" t="s">
        <v>286</v>
      </c>
      <c r="H4" s="1267" t="s">
        <v>387</v>
      </c>
      <c r="I4" s="1212" t="s">
        <v>286</v>
      </c>
      <c r="J4" s="1268" t="s">
        <v>387</v>
      </c>
      <c r="L4" s="505"/>
      <c r="R4" s="505"/>
      <c r="S4" s="505"/>
      <c r="T4" s="505"/>
      <c r="U4" s="505"/>
      <c r="V4" s="505"/>
      <c r="W4" s="505"/>
      <c r="X4" s="505"/>
      <c r="Y4" s="505"/>
      <c r="Z4" s="505"/>
      <c r="AA4" s="505"/>
      <c r="AB4" s="505"/>
      <c r="AC4" s="505"/>
      <c r="AD4" s="505"/>
      <c r="AE4" s="505"/>
      <c r="AF4" s="505"/>
      <c r="AG4" s="505"/>
      <c r="AH4" s="505"/>
      <c r="AI4" s="505"/>
      <c r="AJ4" s="505"/>
      <c r="AK4" s="505"/>
      <c r="AL4" s="505"/>
      <c r="AM4" s="505"/>
      <c r="AN4" s="505"/>
      <c r="AO4" s="505"/>
      <c r="AP4" s="505"/>
      <c r="AQ4" s="505"/>
      <c r="AR4" s="505"/>
      <c r="AS4" s="505"/>
      <c r="AT4" s="505"/>
      <c r="AU4" s="505"/>
      <c r="AV4" s="505"/>
      <c r="AW4" s="505"/>
      <c r="AX4" s="505"/>
      <c r="AY4" s="505"/>
      <c r="AZ4" s="505"/>
      <c r="BA4" s="505"/>
      <c r="BB4" s="505"/>
      <c r="BC4" s="505"/>
      <c r="BD4" s="505"/>
      <c r="BE4" s="505"/>
      <c r="BF4" s="505"/>
      <c r="BG4" s="505"/>
      <c r="BH4" s="505"/>
      <c r="BI4" s="505"/>
      <c r="BJ4" s="505"/>
      <c r="BK4" s="505"/>
      <c r="BL4" s="505"/>
      <c r="BM4" s="505"/>
      <c r="BN4" s="505"/>
      <c r="BO4" s="505"/>
      <c r="BP4" s="505"/>
      <c r="BQ4" s="505"/>
      <c r="BR4" s="505"/>
      <c r="BS4" s="505"/>
      <c r="BT4" s="505"/>
      <c r="BU4" s="505"/>
      <c r="BV4" s="505"/>
      <c r="BW4" s="505"/>
      <c r="BX4" s="505"/>
      <c r="BY4" s="505"/>
      <c r="BZ4" s="505"/>
      <c r="CA4" s="505"/>
      <c r="CB4" s="505"/>
      <c r="CC4" s="505"/>
      <c r="CD4" s="505"/>
      <c r="CE4" s="505"/>
      <c r="CF4" s="505"/>
      <c r="CG4" s="505"/>
      <c r="CH4" s="505"/>
      <c r="CI4" s="505"/>
      <c r="CJ4" s="505"/>
      <c r="CK4" s="505"/>
      <c r="CL4" s="505"/>
      <c r="CM4" s="505"/>
      <c r="CN4" s="505"/>
      <c r="CO4" s="505"/>
      <c r="CP4" s="505"/>
      <c r="CQ4" s="505"/>
      <c r="CR4" s="505"/>
      <c r="CS4" s="505"/>
      <c r="CT4" s="505"/>
      <c r="CU4" s="505"/>
    </row>
    <row r="5" spans="1:99" ht="18.75" customHeight="1">
      <c r="A5" s="1262"/>
      <c r="B5" s="1263" t="s">
        <v>610</v>
      </c>
      <c r="C5" s="1263"/>
      <c r="D5" s="1264"/>
      <c r="E5" s="1264"/>
      <c r="F5" s="1265"/>
      <c r="G5" s="1265"/>
      <c r="H5" s="1265"/>
      <c r="I5" s="1265"/>
      <c r="J5" s="1266"/>
      <c r="L5" s="505"/>
      <c r="M5" s="505"/>
      <c r="N5" s="505"/>
      <c r="O5" s="505"/>
      <c r="P5" s="505"/>
      <c r="Q5" s="505"/>
      <c r="R5" s="505"/>
      <c r="S5" s="505"/>
      <c r="T5" s="505"/>
      <c r="U5" s="505"/>
      <c r="V5" s="505"/>
      <c r="W5" s="505"/>
      <c r="X5" s="505"/>
      <c r="Y5" s="505"/>
      <c r="Z5" s="505"/>
      <c r="AA5" s="505"/>
      <c r="AB5" s="505"/>
      <c r="AC5" s="505"/>
      <c r="AD5" s="505"/>
      <c r="AE5" s="505"/>
      <c r="AF5" s="505"/>
      <c r="AG5" s="505"/>
      <c r="AH5" s="505"/>
      <c r="AI5" s="505"/>
      <c r="AJ5" s="505"/>
      <c r="AK5" s="505"/>
      <c r="AL5" s="505"/>
      <c r="AM5" s="505"/>
      <c r="AN5" s="505"/>
      <c r="AO5" s="505"/>
      <c r="AP5" s="505"/>
      <c r="AQ5" s="505"/>
      <c r="AR5" s="505"/>
      <c r="AS5" s="505"/>
      <c r="AT5" s="505"/>
      <c r="AU5" s="505"/>
      <c r="AV5" s="505"/>
      <c r="AW5" s="505"/>
      <c r="AX5" s="505"/>
      <c r="AY5" s="505"/>
      <c r="AZ5" s="505"/>
      <c r="BA5" s="505"/>
      <c r="BB5" s="505"/>
      <c r="BC5" s="505"/>
      <c r="BD5" s="505"/>
      <c r="BE5" s="505"/>
      <c r="BF5" s="505"/>
      <c r="BG5" s="505"/>
      <c r="BH5" s="505"/>
      <c r="BI5" s="505"/>
      <c r="BJ5" s="505"/>
      <c r="BK5" s="505"/>
      <c r="BL5" s="505"/>
      <c r="BM5" s="505"/>
      <c r="BN5" s="505"/>
      <c r="BO5" s="505"/>
      <c r="BP5" s="505"/>
      <c r="BQ5" s="505"/>
      <c r="BR5" s="505"/>
      <c r="BS5" s="505"/>
      <c r="BT5" s="505"/>
      <c r="BU5" s="505"/>
      <c r="BV5" s="505"/>
      <c r="BW5" s="505"/>
      <c r="BX5" s="505"/>
      <c r="BY5" s="505"/>
      <c r="BZ5" s="505"/>
      <c r="CA5" s="505"/>
      <c r="CB5" s="505"/>
      <c r="CC5" s="505"/>
      <c r="CD5" s="505"/>
      <c r="CE5" s="505"/>
      <c r="CF5" s="505"/>
      <c r="CG5" s="505"/>
      <c r="CH5" s="505"/>
      <c r="CI5" s="505"/>
      <c r="CJ5" s="505"/>
      <c r="CK5" s="505"/>
      <c r="CL5" s="505"/>
      <c r="CM5" s="505"/>
      <c r="CN5" s="505"/>
      <c r="CO5" s="505"/>
      <c r="CP5" s="505"/>
      <c r="CQ5" s="505"/>
      <c r="CR5" s="505"/>
      <c r="CS5" s="505"/>
      <c r="CT5" s="505"/>
      <c r="CU5" s="505"/>
    </row>
    <row r="6" spans="1:99" ht="20.100000000000001" customHeight="1">
      <c r="A6" s="1206">
        <v>1</v>
      </c>
      <c r="B6" s="380" t="s">
        <v>174</v>
      </c>
      <c r="C6" s="428">
        <f>'T-1'!G20</f>
        <v>1829.049999996691</v>
      </c>
      <c r="D6" s="430">
        <f>C6/$C$42*100</f>
        <v>24.865413003069254</v>
      </c>
      <c r="E6" s="428">
        <f>'T-1'!K20</f>
        <v>1068.475644399701</v>
      </c>
      <c r="F6" s="430">
        <f>E6/$E$42*100</f>
        <v>22.179124873751888</v>
      </c>
      <c r="G6" s="428">
        <f>'T-1'!N20-E6</f>
        <v>865.8743556002994</v>
      </c>
      <c r="H6" s="430">
        <f>G6/$G$42*100</f>
        <v>16.481804677407695</v>
      </c>
      <c r="I6" s="428">
        <f>'T-1'!S20</f>
        <v>2113.9999999999995</v>
      </c>
      <c r="J6" s="1258">
        <f>I6/$I$42*100</f>
        <v>20.167906884150366</v>
      </c>
      <c r="L6" s="505"/>
      <c r="M6" s="505"/>
      <c r="N6" s="505"/>
      <c r="O6" s="505"/>
      <c r="P6" s="505"/>
      <c r="Q6" s="505"/>
      <c r="R6" s="505"/>
      <c r="S6" s="505"/>
      <c r="T6" s="505"/>
      <c r="U6" s="505"/>
      <c r="V6" s="505"/>
      <c r="W6" s="505"/>
      <c r="X6" s="505"/>
      <c r="Y6" s="505"/>
      <c r="Z6" s="505"/>
      <c r="AA6" s="505"/>
      <c r="AB6" s="505"/>
      <c r="AC6" s="505"/>
      <c r="AD6" s="505"/>
      <c r="AE6" s="505"/>
      <c r="AF6" s="505"/>
      <c r="AG6" s="505"/>
      <c r="AH6" s="505"/>
      <c r="AI6" s="505"/>
      <c r="AJ6" s="505"/>
      <c r="AK6" s="505"/>
      <c r="AL6" s="505"/>
      <c r="AM6" s="505"/>
      <c r="AN6" s="505"/>
      <c r="AO6" s="505"/>
      <c r="AP6" s="505"/>
      <c r="AQ6" s="505"/>
      <c r="AR6" s="505"/>
      <c r="AS6" s="505"/>
      <c r="AT6" s="505"/>
      <c r="AU6" s="505"/>
      <c r="AV6" s="505"/>
      <c r="AW6" s="505"/>
      <c r="AX6" s="505"/>
      <c r="AY6" s="505"/>
      <c r="AZ6" s="505"/>
      <c r="BA6" s="505"/>
      <c r="BB6" s="505"/>
      <c r="BC6" s="505"/>
      <c r="BD6" s="505"/>
      <c r="BE6" s="505"/>
      <c r="BF6" s="505"/>
      <c r="BG6" s="505"/>
      <c r="BH6" s="505"/>
      <c r="BI6" s="505"/>
      <c r="BJ6" s="505"/>
      <c r="BK6" s="505"/>
      <c r="BL6" s="505"/>
      <c r="BM6" s="505"/>
      <c r="BN6" s="505"/>
      <c r="BO6" s="505"/>
      <c r="BP6" s="505"/>
      <c r="BQ6" s="505"/>
      <c r="BR6" s="505"/>
      <c r="BS6" s="505"/>
      <c r="BT6" s="505"/>
      <c r="BU6" s="505"/>
      <c r="BV6" s="505"/>
      <c r="BW6" s="505"/>
      <c r="BX6" s="505"/>
      <c r="BY6" s="505"/>
      <c r="BZ6" s="505"/>
      <c r="CA6" s="505"/>
      <c r="CB6" s="505"/>
      <c r="CC6" s="505"/>
      <c r="CD6" s="505"/>
      <c r="CE6" s="505"/>
      <c r="CF6" s="505"/>
      <c r="CG6" s="505"/>
      <c r="CH6" s="505"/>
      <c r="CI6" s="505"/>
      <c r="CJ6" s="505"/>
      <c r="CK6" s="505"/>
      <c r="CL6" s="505"/>
      <c r="CM6" s="505"/>
      <c r="CN6" s="505"/>
      <c r="CO6" s="505"/>
      <c r="CP6" s="505"/>
      <c r="CQ6" s="505"/>
      <c r="CR6" s="505"/>
      <c r="CS6" s="505"/>
      <c r="CT6" s="505"/>
      <c r="CU6" s="505"/>
    </row>
    <row r="7" spans="1:99" ht="20.100000000000001" customHeight="1">
      <c r="A7" s="1206">
        <v>2</v>
      </c>
      <c r="B7" s="380" t="s">
        <v>180</v>
      </c>
      <c r="C7" s="428">
        <f>'T-1'!G26</f>
        <v>378.55499999999995</v>
      </c>
      <c r="D7" s="430">
        <f t="shared" ref="D7:D41" si="0">C7/$C$42*100</f>
        <v>5.1463472400393142</v>
      </c>
      <c r="E7" s="428">
        <f>'T-1'!K26</f>
        <v>237.08023046734019</v>
      </c>
      <c r="F7" s="430">
        <f t="shared" ref="F7:F41" si="1">E7/$E$42*100</f>
        <v>4.9212465105718293</v>
      </c>
      <c r="G7" s="428">
        <f>'T-1'!N26-E7</f>
        <v>212.91976953265981</v>
      </c>
      <c r="H7" s="430">
        <f t="shared" ref="H7:H41" si="2">G7/$G$42*100</f>
        <v>4.0528998586209513</v>
      </c>
      <c r="I7" s="428">
        <f>'T-1'!S26</f>
        <v>465.00000000000006</v>
      </c>
      <c r="J7" s="1258">
        <f t="shared" ref="J7:J41" si="3">I7/$I$42*100</f>
        <v>4.4361763013859612</v>
      </c>
      <c r="K7" s="306"/>
      <c r="L7" s="505"/>
      <c r="M7" s="505"/>
      <c r="N7" s="505"/>
      <c r="O7" s="505"/>
      <c r="P7" s="505"/>
      <c r="Q7" s="505"/>
      <c r="R7" s="505"/>
      <c r="S7" s="505"/>
      <c r="T7" s="505"/>
      <c r="U7" s="505"/>
      <c r="V7" s="505"/>
      <c r="W7" s="505"/>
      <c r="X7" s="505"/>
      <c r="Y7" s="505"/>
      <c r="Z7" s="505"/>
      <c r="AA7" s="505"/>
      <c r="AB7" s="505"/>
      <c r="AC7" s="505"/>
      <c r="AD7" s="505"/>
      <c r="AE7" s="505"/>
      <c r="AF7" s="505"/>
      <c r="AG7" s="505"/>
      <c r="AH7" s="505"/>
      <c r="AI7" s="505"/>
      <c r="AJ7" s="505"/>
      <c r="AK7" s="505"/>
      <c r="AL7" s="505"/>
      <c r="AM7" s="505"/>
      <c r="AN7" s="505"/>
      <c r="AO7" s="505"/>
      <c r="AP7" s="505"/>
      <c r="AQ7" s="505"/>
      <c r="AR7" s="505"/>
      <c r="AS7" s="505"/>
      <c r="AT7" s="505"/>
      <c r="AU7" s="505"/>
      <c r="AV7" s="505"/>
      <c r="AW7" s="505"/>
      <c r="AX7" s="505"/>
      <c r="AY7" s="505"/>
      <c r="AZ7" s="505"/>
      <c r="BA7" s="505"/>
      <c r="BB7" s="505"/>
      <c r="BC7" s="505"/>
      <c r="BD7" s="505"/>
      <c r="BE7" s="505"/>
      <c r="BF7" s="505"/>
      <c r="BG7" s="505"/>
      <c r="BH7" s="505"/>
      <c r="BI7" s="505"/>
      <c r="BJ7" s="505"/>
      <c r="BK7" s="505"/>
      <c r="BL7" s="505"/>
      <c r="BM7" s="505"/>
      <c r="BN7" s="505"/>
      <c r="BO7" s="505"/>
      <c r="BP7" s="505"/>
      <c r="BQ7" s="505"/>
      <c r="BR7" s="505"/>
      <c r="BS7" s="505"/>
      <c r="BT7" s="505"/>
      <c r="BU7" s="505"/>
      <c r="BV7" s="505"/>
      <c r="BW7" s="505"/>
      <c r="BX7" s="505"/>
      <c r="BY7" s="505"/>
      <c r="BZ7" s="505"/>
      <c r="CA7" s="505"/>
      <c r="CB7" s="505"/>
      <c r="CC7" s="505"/>
      <c r="CD7" s="505"/>
      <c r="CE7" s="505"/>
      <c r="CF7" s="505"/>
      <c r="CG7" s="505"/>
      <c r="CH7" s="505"/>
      <c r="CI7" s="505"/>
      <c r="CJ7" s="505"/>
      <c r="CK7" s="505"/>
      <c r="CL7" s="505"/>
      <c r="CM7" s="505"/>
      <c r="CN7" s="505"/>
      <c r="CO7" s="505"/>
      <c r="CP7" s="505"/>
      <c r="CQ7" s="505"/>
      <c r="CR7" s="505"/>
      <c r="CS7" s="505"/>
      <c r="CT7" s="505"/>
      <c r="CU7" s="505"/>
    </row>
    <row r="8" spans="1:99" ht="20.100000000000001" customHeight="1">
      <c r="A8" s="1206">
        <v>3</v>
      </c>
      <c r="B8" s="380" t="s">
        <v>63</v>
      </c>
      <c r="C8" s="428">
        <f>'T-1'!G27</f>
        <v>420.245</v>
      </c>
      <c r="D8" s="430">
        <f t="shared" si="0"/>
        <v>5.7131108977303748</v>
      </c>
      <c r="E8" s="428">
        <f>'T-1'!K27</f>
        <v>217.92254337056002</v>
      </c>
      <c r="F8" s="430">
        <f t="shared" si="1"/>
        <v>4.5235764872644904</v>
      </c>
      <c r="G8" s="428">
        <f>'T-1'!N27-E8</f>
        <v>207.07745662943998</v>
      </c>
      <c r="H8" s="430">
        <f t="shared" si="2"/>
        <v>3.9416921995508196</v>
      </c>
      <c r="I8" s="428">
        <f>'T-1'!S27</f>
        <v>449.84899999999999</v>
      </c>
      <c r="J8" s="1258">
        <f t="shared" si="3"/>
        <v>4.2916332752734903</v>
      </c>
      <c r="K8" s="306"/>
      <c r="L8" s="402"/>
      <c r="M8" s="402"/>
      <c r="N8" s="402"/>
      <c r="O8" s="402"/>
      <c r="P8" s="505"/>
      <c r="Q8" s="505"/>
      <c r="R8" s="505"/>
      <c r="S8" s="505"/>
      <c r="T8" s="505"/>
      <c r="U8" s="505"/>
      <c r="V8" s="505"/>
      <c r="W8" s="505"/>
      <c r="X8" s="505"/>
      <c r="Y8" s="505"/>
      <c r="Z8" s="505"/>
      <c r="AA8" s="505"/>
      <c r="AB8" s="505"/>
      <c r="AC8" s="505"/>
      <c r="AD8" s="505"/>
      <c r="AE8" s="505"/>
      <c r="AF8" s="505"/>
      <c r="AG8" s="505"/>
      <c r="AH8" s="505"/>
      <c r="AI8" s="505"/>
      <c r="AJ8" s="505"/>
      <c r="AK8" s="505"/>
      <c r="AL8" s="505"/>
      <c r="AM8" s="505"/>
      <c r="AN8" s="505"/>
      <c r="AO8" s="505"/>
      <c r="AP8" s="505"/>
      <c r="AQ8" s="505"/>
      <c r="AR8" s="505"/>
      <c r="AS8" s="505"/>
      <c r="AT8" s="505"/>
      <c r="AU8" s="505"/>
      <c r="AV8" s="505"/>
      <c r="AW8" s="505"/>
      <c r="AX8" s="505"/>
      <c r="AY8" s="505"/>
      <c r="AZ8" s="505"/>
      <c r="BA8" s="505"/>
      <c r="BB8" s="505"/>
      <c r="BC8" s="505"/>
      <c r="BD8" s="505"/>
      <c r="BE8" s="505"/>
      <c r="BF8" s="505"/>
      <c r="BG8" s="505"/>
      <c r="BH8" s="505"/>
      <c r="BI8" s="505"/>
      <c r="BJ8" s="505"/>
      <c r="BK8" s="505"/>
      <c r="BL8" s="505"/>
      <c r="BM8" s="505"/>
      <c r="BN8" s="505"/>
      <c r="BO8" s="505"/>
      <c r="BP8" s="505"/>
      <c r="BQ8" s="505"/>
      <c r="BR8" s="505"/>
      <c r="BS8" s="505"/>
      <c r="BT8" s="505"/>
      <c r="BU8" s="505"/>
      <c r="BV8" s="505"/>
      <c r="BW8" s="505"/>
      <c r="BX8" s="505"/>
      <c r="BY8" s="505"/>
      <c r="BZ8" s="505"/>
      <c r="CA8" s="505"/>
      <c r="CB8" s="505"/>
      <c r="CC8" s="505"/>
      <c r="CD8" s="505"/>
      <c r="CE8" s="505"/>
      <c r="CF8" s="505"/>
      <c r="CG8" s="505"/>
      <c r="CH8" s="505"/>
      <c r="CI8" s="505"/>
      <c r="CJ8" s="505"/>
      <c r="CK8" s="505"/>
      <c r="CL8" s="505"/>
      <c r="CM8" s="505"/>
      <c r="CN8" s="505"/>
      <c r="CO8" s="505"/>
      <c r="CP8" s="505"/>
      <c r="CQ8" s="505"/>
      <c r="CR8" s="505"/>
      <c r="CS8" s="505"/>
      <c r="CT8" s="505"/>
      <c r="CU8" s="505"/>
    </row>
    <row r="9" spans="1:99" ht="20.100000000000001" customHeight="1">
      <c r="A9" s="1206">
        <v>4</v>
      </c>
      <c r="B9" s="380" t="s">
        <v>64</v>
      </c>
      <c r="C9" s="428">
        <f>'T-1'!G28</f>
        <v>6.7868290478100004</v>
      </c>
      <c r="D9" s="430">
        <f t="shared" si="0"/>
        <v>9.2265004923500288E-2</v>
      </c>
      <c r="E9" s="428">
        <f>'T-1'!K28</f>
        <v>4.9057478157600016</v>
      </c>
      <c r="F9" s="430">
        <f t="shared" si="1"/>
        <v>0.10183216994712725</v>
      </c>
      <c r="G9" s="428">
        <f>'T-1'!N28-E9</f>
        <v>2.0942521842399984</v>
      </c>
      <c r="H9" s="430">
        <f t="shared" si="2"/>
        <v>3.986381537070452E-2</v>
      </c>
      <c r="I9" s="428">
        <f>'T-1'!S28</f>
        <v>7.2</v>
      </c>
      <c r="J9" s="1258">
        <f t="shared" si="3"/>
        <v>6.8689181440814873E-2</v>
      </c>
      <c r="K9" s="306"/>
      <c r="L9" s="402"/>
      <c r="M9" s="402"/>
      <c r="N9" s="402"/>
      <c r="O9" s="402"/>
      <c r="P9" s="505"/>
      <c r="Q9" s="505"/>
      <c r="R9" s="505"/>
      <c r="S9" s="505"/>
      <c r="T9" s="505"/>
      <c r="U9" s="505"/>
      <c r="V9" s="505"/>
      <c r="W9" s="505"/>
      <c r="X9" s="505"/>
      <c r="Y9" s="505"/>
      <c r="Z9" s="505"/>
      <c r="AA9" s="505"/>
      <c r="AB9" s="505"/>
      <c r="AC9" s="505"/>
      <c r="AD9" s="505"/>
      <c r="AE9" s="505"/>
      <c r="AF9" s="505"/>
      <c r="AG9" s="505"/>
      <c r="AH9" s="505"/>
      <c r="AI9" s="505"/>
      <c r="AJ9" s="505"/>
      <c r="AK9" s="505"/>
      <c r="AL9" s="505"/>
      <c r="AM9" s="505"/>
      <c r="AN9" s="505"/>
      <c r="AO9" s="505"/>
      <c r="AP9" s="505"/>
      <c r="AQ9" s="505"/>
      <c r="AR9" s="505"/>
      <c r="AS9" s="505"/>
      <c r="AT9" s="505"/>
      <c r="AU9" s="505"/>
      <c r="AV9" s="505"/>
      <c r="AW9" s="505"/>
      <c r="AX9" s="505"/>
      <c r="AY9" s="505"/>
      <c r="AZ9" s="505"/>
      <c r="BA9" s="505"/>
      <c r="BB9" s="505"/>
      <c r="BC9" s="505"/>
      <c r="BD9" s="505"/>
      <c r="BE9" s="505"/>
      <c r="BF9" s="505"/>
      <c r="BG9" s="505"/>
      <c r="BH9" s="505"/>
      <c r="BI9" s="505"/>
      <c r="BJ9" s="505"/>
      <c r="BK9" s="505"/>
      <c r="BL9" s="505"/>
      <c r="BM9" s="505"/>
      <c r="BN9" s="505"/>
      <c r="BO9" s="505"/>
      <c r="BP9" s="505"/>
      <c r="BQ9" s="505"/>
      <c r="BR9" s="505"/>
      <c r="BS9" s="505"/>
      <c r="BT9" s="505"/>
      <c r="BU9" s="505"/>
      <c r="BV9" s="505"/>
      <c r="BW9" s="505"/>
      <c r="BX9" s="505"/>
      <c r="BY9" s="505"/>
      <c r="BZ9" s="505"/>
      <c r="CA9" s="505"/>
      <c r="CB9" s="505"/>
      <c r="CC9" s="505"/>
      <c r="CD9" s="505"/>
      <c r="CE9" s="505"/>
      <c r="CF9" s="505"/>
      <c r="CG9" s="505"/>
      <c r="CH9" s="505"/>
      <c r="CI9" s="505"/>
      <c r="CJ9" s="505"/>
      <c r="CK9" s="505"/>
      <c r="CL9" s="505"/>
      <c r="CM9" s="505"/>
      <c r="CN9" s="505"/>
      <c r="CO9" s="505"/>
      <c r="CP9" s="505"/>
      <c r="CQ9" s="505"/>
      <c r="CR9" s="505"/>
      <c r="CS9" s="505"/>
      <c r="CT9" s="505"/>
      <c r="CU9" s="505"/>
    </row>
    <row r="10" spans="1:99" ht="20.100000000000001" customHeight="1">
      <c r="A10" s="1206">
        <v>5</v>
      </c>
      <c r="B10" s="380" t="s">
        <v>65</v>
      </c>
      <c r="C10" s="428">
        <f>'T-1'!G29</f>
        <v>3.3409455852000005</v>
      </c>
      <c r="D10" s="430">
        <f t="shared" si="0"/>
        <v>4.5419202207118009E-2</v>
      </c>
      <c r="E10" s="428">
        <f>'T-1'!K29</f>
        <v>1.6572514690000002</v>
      </c>
      <c r="F10" s="430">
        <f t="shared" si="1"/>
        <v>3.4400772231743766E-2</v>
      </c>
      <c r="G10" s="428">
        <f>'T-1'!N29-E10</f>
        <v>1.8427485309999998</v>
      </c>
      <c r="H10" s="430">
        <f t="shared" si="2"/>
        <v>3.5076476351428111E-2</v>
      </c>
      <c r="I10" s="428">
        <f>'T-1'!S29</f>
        <v>3.6</v>
      </c>
      <c r="J10" s="1258">
        <f t="shared" si="3"/>
        <v>3.4344590720407436E-2</v>
      </c>
      <c r="K10" s="306"/>
      <c r="L10" s="402"/>
      <c r="M10" s="402"/>
      <c r="N10" s="402"/>
      <c r="O10" s="402"/>
      <c r="P10" s="505"/>
      <c r="Q10" s="505"/>
      <c r="R10" s="505"/>
      <c r="S10" s="505"/>
      <c r="T10" s="505"/>
      <c r="U10" s="505"/>
      <c r="V10" s="505"/>
      <c r="W10" s="505"/>
      <c r="X10" s="505"/>
      <c r="Y10" s="505"/>
      <c r="Z10" s="505"/>
      <c r="AA10" s="505"/>
      <c r="AB10" s="505"/>
      <c r="AC10" s="505"/>
      <c r="AD10" s="505"/>
      <c r="AE10" s="505"/>
      <c r="AF10" s="505"/>
      <c r="AG10" s="505"/>
      <c r="AH10" s="505"/>
      <c r="AI10" s="505"/>
      <c r="AJ10" s="505"/>
      <c r="AK10" s="505"/>
      <c r="AL10" s="505"/>
      <c r="AM10" s="505"/>
      <c r="AN10" s="505"/>
      <c r="AO10" s="505"/>
      <c r="AP10" s="505"/>
      <c r="AQ10" s="505"/>
      <c r="AR10" s="505"/>
      <c r="AS10" s="505"/>
      <c r="AT10" s="505"/>
      <c r="AU10" s="505"/>
      <c r="AV10" s="505"/>
      <c r="AW10" s="505"/>
      <c r="AX10" s="505"/>
      <c r="AY10" s="505"/>
      <c r="AZ10" s="505"/>
      <c r="BA10" s="505"/>
      <c r="BB10" s="505"/>
      <c r="BC10" s="505"/>
      <c r="BD10" s="505"/>
      <c r="BE10" s="505"/>
      <c r="BF10" s="505"/>
      <c r="BG10" s="505"/>
      <c r="BH10" s="505"/>
      <c r="BI10" s="505"/>
      <c r="BJ10" s="505"/>
      <c r="BK10" s="505"/>
      <c r="BL10" s="505"/>
      <c r="BM10" s="505"/>
      <c r="BN10" s="505"/>
      <c r="BO10" s="505"/>
      <c r="BP10" s="505"/>
      <c r="BQ10" s="505"/>
      <c r="BR10" s="505"/>
      <c r="BS10" s="505"/>
      <c r="BT10" s="505"/>
      <c r="BU10" s="505"/>
      <c r="BV10" s="505"/>
      <c r="BW10" s="505"/>
      <c r="BX10" s="505"/>
      <c r="BY10" s="505"/>
      <c r="BZ10" s="505"/>
      <c r="CA10" s="505"/>
      <c r="CB10" s="505"/>
      <c r="CC10" s="505"/>
      <c r="CD10" s="505"/>
      <c r="CE10" s="505"/>
      <c r="CF10" s="505"/>
      <c r="CG10" s="505"/>
      <c r="CH10" s="505"/>
      <c r="CI10" s="505"/>
      <c r="CJ10" s="505"/>
      <c r="CK10" s="505"/>
      <c r="CL10" s="505"/>
      <c r="CM10" s="505"/>
      <c r="CN10" s="505"/>
      <c r="CO10" s="505"/>
      <c r="CP10" s="505"/>
      <c r="CQ10" s="505"/>
      <c r="CR10" s="505"/>
      <c r="CS10" s="505"/>
      <c r="CT10" s="505"/>
      <c r="CU10" s="505"/>
    </row>
    <row r="11" spans="1:99" ht="20.100000000000001" customHeight="1">
      <c r="A11" s="1206">
        <v>6</v>
      </c>
      <c r="B11" s="380" t="s">
        <v>66</v>
      </c>
      <c r="C11" s="428">
        <f>'T-1'!G30</f>
        <v>39.306094843999993</v>
      </c>
      <c r="D11" s="430">
        <f t="shared" si="0"/>
        <v>0.53435514711770538</v>
      </c>
      <c r="E11" s="428">
        <f>'T-1'!K30</f>
        <v>24.53305513399998</v>
      </c>
      <c r="F11" s="430">
        <f t="shared" si="1"/>
        <v>0.50925044122772489</v>
      </c>
      <c r="G11" s="428">
        <f>'T-1'!N30-E11</f>
        <v>19.46694486600002</v>
      </c>
      <c r="H11" s="430">
        <f t="shared" si="2"/>
        <v>0.37055073969113617</v>
      </c>
      <c r="I11" s="428">
        <f>'T-1'!S30</f>
        <v>45</v>
      </c>
      <c r="J11" s="1258">
        <f t="shared" si="3"/>
        <v>0.42930738400509305</v>
      </c>
      <c r="K11" s="306"/>
      <c r="L11" s="566"/>
      <c r="M11" s="566"/>
      <c r="N11" s="566"/>
      <c r="O11" s="566"/>
      <c r="P11" s="505"/>
      <c r="Q11" s="505"/>
      <c r="R11" s="505"/>
      <c r="S11" s="505"/>
      <c r="T11" s="505"/>
      <c r="U11" s="505"/>
      <c r="V11" s="505"/>
      <c r="W11" s="505"/>
      <c r="X11" s="505"/>
      <c r="Y11" s="505"/>
      <c r="Z11" s="505"/>
      <c r="AA11" s="505"/>
      <c r="AB11" s="505"/>
      <c r="AC11" s="505"/>
      <c r="AD11" s="505"/>
      <c r="AE11" s="505"/>
      <c r="AF11" s="505"/>
      <c r="AG11" s="505"/>
      <c r="AH11" s="505"/>
      <c r="AI11" s="505"/>
      <c r="AJ11" s="505"/>
      <c r="AK11" s="505"/>
      <c r="AL11" s="505"/>
      <c r="AM11" s="505"/>
      <c r="AN11" s="505"/>
      <c r="AO11" s="505"/>
      <c r="AP11" s="505"/>
      <c r="AQ11" s="505"/>
      <c r="AR11" s="505"/>
      <c r="AS11" s="505"/>
      <c r="AT11" s="505"/>
      <c r="AU11" s="505"/>
      <c r="AV11" s="505"/>
      <c r="AW11" s="505"/>
      <c r="AX11" s="505"/>
      <c r="AY11" s="505"/>
      <c r="AZ11" s="505"/>
      <c r="BA11" s="505"/>
      <c r="BB11" s="505"/>
      <c r="BC11" s="505"/>
      <c r="BD11" s="505"/>
      <c r="BE11" s="505"/>
      <c r="BF11" s="505"/>
      <c r="BG11" s="505"/>
      <c r="BH11" s="505"/>
      <c r="BI11" s="505"/>
      <c r="BJ11" s="505"/>
      <c r="BK11" s="505"/>
      <c r="BL11" s="505"/>
      <c r="BM11" s="505"/>
      <c r="BN11" s="505"/>
      <c r="BO11" s="505"/>
      <c r="BP11" s="505"/>
      <c r="BQ11" s="505"/>
      <c r="BR11" s="505"/>
      <c r="BS11" s="505"/>
      <c r="BT11" s="505"/>
      <c r="BU11" s="505"/>
      <c r="BV11" s="505"/>
      <c r="BW11" s="505"/>
      <c r="BX11" s="505"/>
      <c r="BY11" s="505"/>
      <c r="BZ11" s="505"/>
      <c r="CA11" s="505"/>
      <c r="CB11" s="505"/>
      <c r="CC11" s="505"/>
      <c r="CD11" s="505"/>
      <c r="CE11" s="505"/>
      <c r="CF11" s="505"/>
      <c r="CG11" s="505"/>
      <c r="CH11" s="505"/>
      <c r="CI11" s="505"/>
      <c r="CJ11" s="505"/>
      <c r="CK11" s="505"/>
      <c r="CL11" s="505"/>
      <c r="CM11" s="505"/>
      <c r="CN11" s="505"/>
      <c r="CO11" s="505"/>
      <c r="CP11" s="505"/>
      <c r="CQ11" s="505"/>
      <c r="CR11" s="505"/>
      <c r="CS11" s="505"/>
      <c r="CT11" s="505"/>
      <c r="CU11" s="505"/>
    </row>
    <row r="12" spans="1:99" ht="20.100000000000001" customHeight="1">
      <c r="A12" s="1206">
        <v>7</v>
      </c>
      <c r="B12" s="380" t="s">
        <v>182</v>
      </c>
      <c r="C12" s="428">
        <f>'T-1'!G31</f>
        <v>19.478136199400002</v>
      </c>
      <c r="D12" s="430">
        <f t="shared" si="0"/>
        <v>0.26479970538202396</v>
      </c>
      <c r="E12" s="428">
        <f>'T-1'!K31</f>
        <v>11.0749201874</v>
      </c>
      <c r="F12" s="430">
        <f t="shared" si="1"/>
        <v>0.22989016089476058</v>
      </c>
      <c r="G12" s="428">
        <f>'T-1'!N31-E12</f>
        <v>9.9250798125999999</v>
      </c>
      <c r="H12" s="430">
        <f t="shared" si="2"/>
        <v>0.18892259115994403</v>
      </c>
      <c r="I12" s="428">
        <f>'T-1'!S31</f>
        <v>22</v>
      </c>
      <c r="J12" s="1258">
        <f t="shared" si="3"/>
        <v>0.20988360995804548</v>
      </c>
      <c r="K12" s="306"/>
      <c r="L12"/>
      <c r="M12"/>
      <c r="N12" s="505"/>
      <c r="O12" s="505"/>
      <c r="P12" s="505"/>
      <c r="Q12" s="505"/>
      <c r="R12" s="505"/>
      <c r="S12" s="505"/>
      <c r="T12" s="505"/>
      <c r="U12" s="505"/>
      <c r="V12" s="505"/>
      <c r="W12" s="505"/>
      <c r="X12" s="505"/>
      <c r="Y12" s="505"/>
      <c r="Z12" s="505"/>
      <c r="AA12" s="505"/>
      <c r="AB12" s="505"/>
      <c r="AC12" s="505"/>
      <c r="AD12" s="505"/>
      <c r="AE12" s="505"/>
      <c r="AF12" s="505"/>
      <c r="AG12" s="505"/>
      <c r="AH12" s="505"/>
      <c r="AI12" s="505"/>
      <c r="AJ12" s="505"/>
      <c r="AK12" s="505"/>
      <c r="AL12" s="505"/>
      <c r="AM12" s="505"/>
      <c r="AN12" s="505"/>
      <c r="AO12" s="505"/>
      <c r="AP12" s="505"/>
      <c r="AQ12" s="505"/>
      <c r="AR12" s="505"/>
      <c r="AS12" s="505"/>
      <c r="AT12" s="505"/>
      <c r="AU12" s="505"/>
      <c r="AV12" s="505"/>
      <c r="AW12" s="505"/>
      <c r="AX12" s="505"/>
      <c r="AY12" s="505"/>
      <c r="AZ12" s="505"/>
      <c r="BA12" s="505"/>
      <c r="BB12" s="505"/>
      <c r="BC12" s="505"/>
      <c r="BD12" s="505"/>
      <c r="BE12" s="505"/>
      <c r="BF12" s="505"/>
      <c r="BG12" s="505"/>
      <c r="BH12" s="505"/>
      <c r="BI12" s="505"/>
      <c r="BJ12" s="505"/>
      <c r="BK12" s="505"/>
      <c r="BL12" s="505"/>
      <c r="BM12" s="505"/>
      <c r="BN12" s="505"/>
      <c r="BO12" s="505"/>
      <c r="BP12" s="505"/>
      <c r="BQ12" s="505"/>
      <c r="BR12" s="505"/>
      <c r="BS12" s="505"/>
      <c r="BT12" s="505"/>
      <c r="BU12" s="505"/>
      <c r="BV12" s="505"/>
      <c r="BW12" s="505"/>
      <c r="BX12" s="505"/>
      <c r="BY12" s="505"/>
      <c r="BZ12" s="505"/>
      <c r="CA12" s="505"/>
      <c r="CB12" s="505"/>
      <c r="CC12" s="505"/>
      <c r="CD12" s="505"/>
      <c r="CE12" s="505"/>
      <c r="CF12" s="505"/>
      <c r="CG12" s="505"/>
      <c r="CH12" s="505"/>
      <c r="CI12" s="505"/>
      <c r="CJ12" s="505"/>
      <c r="CK12" s="505"/>
      <c r="CL12" s="505"/>
      <c r="CM12" s="505"/>
      <c r="CN12" s="505"/>
      <c r="CO12" s="505"/>
      <c r="CP12" s="505"/>
      <c r="CQ12" s="505"/>
      <c r="CR12" s="505"/>
      <c r="CS12" s="505"/>
      <c r="CT12" s="505"/>
      <c r="CU12" s="505"/>
    </row>
    <row r="13" spans="1:99" ht="20.100000000000001" customHeight="1">
      <c r="A13" s="1206">
        <v>8</v>
      </c>
      <c r="B13" s="380" t="s">
        <v>183</v>
      </c>
      <c r="C13" s="428">
        <f>'T-1'!G32</f>
        <v>66.355309008039995</v>
      </c>
      <c r="D13" s="430">
        <f t="shared" si="0"/>
        <v>0.90208149773608215</v>
      </c>
      <c r="E13" s="428">
        <f>'T-1'!K32</f>
        <v>33.326433995999999</v>
      </c>
      <c r="F13" s="430">
        <f t="shared" si="1"/>
        <v>0.69178099198452903</v>
      </c>
      <c r="G13" s="428">
        <f>'T-1'!N32-E13</f>
        <v>33.673566004000001</v>
      </c>
      <c r="H13" s="430">
        <f t="shared" si="2"/>
        <v>0.64097190785255309</v>
      </c>
      <c r="I13" s="428">
        <f>'T-1'!S32</f>
        <v>69</v>
      </c>
      <c r="J13" s="1258">
        <f t="shared" si="3"/>
        <v>0.65827132214114259</v>
      </c>
      <c r="K13" s="306"/>
      <c r="L13" s="505"/>
      <c r="M13" s="505"/>
      <c r="N13" s="505"/>
      <c r="O13" s="505"/>
      <c r="P13" s="505"/>
      <c r="Q13" s="505"/>
      <c r="R13" s="505"/>
      <c r="S13" s="505"/>
      <c r="T13" s="505"/>
      <c r="U13" s="505"/>
      <c r="V13" s="505"/>
      <c r="W13" s="505"/>
      <c r="X13" s="505"/>
      <c r="Y13" s="505"/>
      <c r="Z13" s="505"/>
      <c r="AA13" s="505"/>
      <c r="AB13" s="505"/>
      <c r="AC13" s="505"/>
      <c r="AD13" s="505"/>
      <c r="AE13" s="505"/>
      <c r="AF13" s="505"/>
      <c r="AG13" s="505"/>
      <c r="AH13" s="505"/>
      <c r="AI13" s="505"/>
      <c r="AJ13" s="505"/>
      <c r="AK13" s="505"/>
      <c r="AL13" s="505"/>
      <c r="AM13" s="505"/>
      <c r="AN13" s="505"/>
      <c r="AO13" s="505"/>
      <c r="AP13" s="505"/>
      <c r="AQ13" s="505"/>
      <c r="AR13" s="505"/>
      <c r="AS13" s="505"/>
      <c r="AT13" s="505"/>
      <c r="AU13" s="505"/>
      <c r="AV13" s="505"/>
      <c r="AW13" s="505"/>
      <c r="AX13" s="505"/>
      <c r="AY13" s="505"/>
      <c r="AZ13" s="505"/>
      <c r="BA13" s="505"/>
      <c r="BB13" s="505"/>
      <c r="BC13" s="505"/>
      <c r="BD13" s="505"/>
      <c r="BE13" s="505"/>
      <c r="BF13" s="505"/>
      <c r="BG13" s="505"/>
      <c r="BH13" s="505"/>
      <c r="BI13" s="505"/>
      <c r="BJ13" s="505"/>
      <c r="BK13" s="505"/>
      <c r="BL13" s="505"/>
      <c r="BM13" s="505"/>
      <c r="BN13" s="505"/>
      <c r="BO13" s="505"/>
      <c r="BP13" s="505"/>
      <c r="BQ13" s="505"/>
      <c r="BR13" s="505"/>
      <c r="BS13" s="505"/>
      <c r="BT13" s="505"/>
      <c r="BU13" s="505"/>
      <c r="BV13" s="505"/>
      <c r="BW13" s="505"/>
      <c r="BX13" s="505"/>
      <c r="BY13" s="505"/>
      <c r="BZ13" s="505"/>
      <c r="CA13" s="505"/>
      <c r="CB13" s="505"/>
      <c r="CC13" s="505"/>
      <c r="CD13" s="505"/>
      <c r="CE13" s="505"/>
      <c r="CF13" s="505"/>
      <c r="CG13" s="505"/>
      <c r="CH13" s="505"/>
      <c r="CI13" s="505"/>
      <c r="CJ13" s="505"/>
      <c r="CK13" s="505"/>
      <c r="CL13" s="505"/>
      <c r="CM13" s="505"/>
      <c r="CN13" s="505"/>
      <c r="CO13" s="505"/>
      <c r="CP13" s="505"/>
      <c r="CQ13" s="505"/>
      <c r="CR13" s="505"/>
      <c r="CS13" s="505"/>
      <c r="CT13" s="505"/>
      <c r="CU13" s="505"/>
    </row>
    <row r="14" spans="1:99" ht="20.100000000000001" customHeight="1">
      <c r="A14" s="1206">
        <v>9</v>
      </c>
      <c r="B14" s="380" t="s">
        <v>184</v>
      </c>
      <c r="C14" s="428">
        <f>'T-1'!G33</f>
        <v>43.302907612370007</v>
      </c>
      <c r="D14" s="430">
        <f t="shared" si="0"/>
        <v>0.58869067659018603</v>
      </c>
      <c r="E14" s="428">
        <f>'T-1'!K33</f>
        <v>32.95766824719999</v>
      </c>
      <c r="F14" s="430">
        <f t="shared" si="1"/>
        <v>0.68412625354040368</v>
      </c>
      <c r="G14" s="428">
        <f>'T-1'!N33-E14</f>
        <v>32.04233175280001</v>
      </c>
      <c r="H14" s="430">
        <f t="shared" si="2"/>
        <v>0.60992157804721303</v>
      </c>
      <c r="I14" s="428">
        <f>'T-1'!S33</f>
        <v>68</v>
      </c>
      <c r="J14" s="1258">
        <f t="shared" si="3"/>
        <v>0.64873115805214054</v>
      </c>
      <c r="K14" s="306"/>
      <c r="L14" s="505"/>
      <c r="M14" s="505"/>
      <c r="N14" s="505"/>
      <c r="O14" s="505"/>
      <c r="P14" s="505"/>
      <c r="Q14" s="505"/>
      <c r="R14" s="505"/>
      <c r="S14" s="505"/>
      <c r="T14" s="505"/>
      <c r="U14" s="505"/>
      <c r="V14" s="505"/>
      <c r="W14" s="505"/>
      <c r="X14" s="505"/>
      <c r="Y14" s="505"/>
      <c r="Z14" s="505"/>
      <c r="AA14" s="505"/>
      <c r="AB14" s="505"/>
      <c r="AC14" s="505"/>
      <c r="AD14" s="505"/>
      <c r="AE14" s="505"/>
      <c r="AF14" s="505"/>
      <c r="AG14" s="505"/>
      <c r="AH14" s="505"/>
      <c r="AI14" s="505"/>
      <c r="AJ14" s="505"/>
      <c r="AK14" s="505"/>
      <c r="AL14" s="505"/>
      <c r="AM14" s="505"/>
      <c r="AN14" s="505"/>
      <c r="AO14" s="505"/>
      <c r="AP14" s="505"/>
      <c r="AQ14" s="505"/>
      <c r="AR14" s="505"/>
      <c r="AS14" s="505"/>
      <c r="AT14" s="505"/>
      <c r="AU14" s="505"/>
      <c r="AV14" s="505"/>
      <c r="AW14" s="505"/>
      <c r="AX14" s="505"/>
      <c r="AY14" s="505"/>
      <c r="AZ14" s="505"/>
      <c r="BA14" s="505"/>
      <c r="BB14" s="505"/>
      <c r="BC14" s="505"/>
      <c r="BD14" s="505"/>
      <c r="BE14" s="505"/>
      <c r="BF14" s="505"/>
      <c r="BG14" s="505"/>
      <c r="BH14" s="505"/>
      <c r="BI14" s="505"/>
      <c r="BJ14" s="505"/>
      <c r="BK14" s="505"/>
      <c r="BL14" s="505"/>
      <c r="BM14" s="505"/>
      <c r="BN14" s="505"/>
      <c r="BO14" s="505"/>
      <c r="BP14" s="505"/>
      <c r="BQ14" s="505"/>
      <c r="BR14" s="505"/>
      <c r="BS14" s="505"/>
      <c r="BT14" s="505"/>
      <c r="BU14" s="505"/>
      <c r="BV14" s="505"/>
      <c r="BW14" s="505"/>
      <c r="BX14" s="505"/>
      <c r="BY14" s="505"/>
      <c r="BZ14" s="505"/>
      <c r="CA14" s="505"/>
      <c r="CB14" s="505"/>
      <c r="CC14" s="505"/>
      <c r="CD14" s="505"/>
      <c r="CE14" s="505"/>
      <c r="CF14" s="505"/>
      <c r="CG14" s="505"/>
      <c r="CH14" s="505"/>
      <c r="CI14" s="505"/>
      <c r="CJ14" s="505"/>
      <c r="CK14" s="505"/>
      <c r="CL14" s="505"/>
      <c r="CM14" s="505"/>
      <c r="CN14" s="505"/>
      <c r="CO14" s="505"/>
      <c r="CP14" s="505"/>
      <c r="CQ14" s="505"/>
      <c r="CR14" s="505"/>
      <c r="CS14" s="505"/>
      <c r="CT14" s="505"/>
      <c r="CU14" s="505"/>
    </row>
    <row r="15" spans="1:99" ht="20.100000000000001" customHeight="1">
      <c r="A15" s="1206">
        <v>10</v>
      </c>
      <c r="B15" s="380" t="s">
        <v>185</v>
      </c>
      <c r="C15" s="428">
        <f>'T-1'!G34</f>
        <v>62.260673613220007</v>
      </c>
      <c r="D15" s="430">
        <f t="shared" si="0"/>
        <v>0.84641609756147296</v>
      </c>
      <c r="E15" s="428">
        <f>'T-1'!K34</f>
        <v>30.505790763300006</v>
      </c>
      <c r="F15" s="430">
        <f t="shared" si="1"/>
        <v>0.63323085206299268</v>
      </c>
      <c r="G15" s="428">
        <f>'T-1'!N34-E15</f>
        <v>32.494209236699994</v>
      </c>
      <c r="H15" s="430">
        <f t="shared" si="2"/>
        <v>0.61852300662583692</v>
      </c>
      <c r="I15" s="428">
        <f>'T-1'!S34</f>
        <v>65</v>
      </c>
      <c r="J15" s="1258">
        <f t="shared" si="3"/>
        <v>0.6201106657851343</v>
      </c>
      <c r="K15" s="306"/>
      <c r="L15" s="505"/>
      <c r="M15" s="505"/>
      <c r="N15" s="505"/>
      <c r="O15" s="505"/>
      <c r="P15" s="505"/>
      <c r="Q15" s="505"/>
      <c r="R15" s="505"/>
      <c r="S15" s="505"/>
      <c r="T15" s="505"/>
      <c r="U15" s="505"/>
      <c r="V15" s="505"/>
      <c r="W15" s="505"/>
      <c r="X15" s="505"/>
      <c r="Y15" s="505"/>
      <c r="Z15" s="505"/>
      <c r="AA15" s="505"/>
      <c r="AB15" s="505"/>
      <c r="AC15" s="505"/>
      <c r="AD15" s="505"/>
      <c r="AE15" s="505"/>
      <c r="AF15" s="505"/>
      <c r="AG15" s="505"/>
      <c r="AH15" s="505"/>
      <c r="AI15" s="505"/>
      <c r="AJ15" s="505"/>
      <c r="AK15" s="505"/>
      <c r="AL15" s="505"/>
      <c r="AM15" s="505"/>
      <c r="AN15" s="505"/>
      <c r="AO15" s="505"/>
      <c r="AP15" s="505"/>
      <c r="AQ15" s="505"/>
      <c r="AR15" s="505"/>
      <c r="AS15" s="505"/>
      <c r="AT15" s="505"/>
      <c r="AU15" s="505"/>
      <c r="AV15" s="505"/>
      <c r="AW15" s="505"/>
      <c r="AX15" s="505"/>
      <c r="AY15" s="505"/>
      <c r="AZ15" s="505"/>
      <c r="BA15" s="505"/>
      <c r="BB15" s="505"/>
      <c r="BC15" s="505"/>
      <c r="BD15" s="505"/>
      <c r="BE15" s="505"/>
      <c r="BF15" s="505"/>
      <c r="BG15" s="505"/>
      <c r="BH15" s="505"/>
      <c r="BI15" s="505"/>
      <c r="BJ15" s="505"/>
      <c r="BK15" s="505"/>
      <c r="BL15" s="505"/>
      <c r="BM15" s="505"/>
      <c r="BN15" s="505"/>
      <c r="BO15" s="505"/>
      <c r="BP15" s="505"/>
      <c r="BQ15" s="505"/>
      <c r="BR15" s="505"/>
      <c r="BS15" s="505"/>
      <c r="BT15" s="505"/>
      <c r="BU15" s="505"/>
      <c r="BV15" s="505"/>
      <c r="BW15" s="505"/>
      <c r="BX15" s="505"/>
      <c r="BY15" s="505"/>
      <c r="BZ15" s="505"/>
      <c r="CA15" s="505"/>
      <c r="CB15" s="505"/>
      <c r="CC15" s="505"/>
      <c r="CD15" s="505"/>
      <c r="CE15" s="505"/>
      <c r="CF15" s="505"/>
      <c r="CG15" s="505"/>
      <c r="CH15" s="505"/>
      <c r="CI15" s="505"/>
      <c r="CJ15" s="505"/>
      <c r="CK15" s="505"/>
      <c r="CL15" s="505"/>
      <c r="CM15" s="505"/>
      <c r="CN15" s="505"/>
      <c r="CO15" s="505"/>
      <c r="CP15" s="505"/>
      <c r="CQ15" s="505"/>
      <c r="CR15" s="505"/>
      <c r="CS15" s="505"/>
      <c r="CT15" s="505"/>
      <c r="CU15" s="505"/>
    </row>
    <row r="16" spans="1:99" ht="20.100000000000001" customHeight="1">
      <c r="A16" s="1206">
        <v>11</v>
      </c>
      <c r="B16" s="380" t="s">
        <v>186</v>
      </c>
      <c r="C16" s="428">
        <f>'T-1'!G35</f>
        <v>4.8841861899999994</v>
      </c>
      <c r="D16" s="430">
        <f t="shared" si="0"/>
        <v>6.6399118011239155E-2</v>
      </c>
      <c r="E16" s="428">
        <f>'T-1'!K35</f>
        <v>3.2366949000000003</v>
      </c>
      <c r="F16" s="430">
        <f t="shared" si="1"/>
        <v>6.7186426514820402E-2</v>
      </c>
      <c r="G16" s="428">
        <f>'T-1'!N35-E16</f>
        <v>1.7633050999999997</v>
      </c>
      <c r="H16" s="430">
        <f t="shared" si="2"/>
        <v>3.3564281072544548E-2</v>
      </c>
      <c r="I16" s="428">
        <f>'T-1'!S35</f>
        <v>5.2</v>
      </c>
      <c r="J16" s="1258">
        <f t="shared" si="3"/>
        <v>4.9608853262810754E-2</v>
      </c>
      <c r="K16" s="306"/>
      <c r="L16" s="505"/>
      <c r="M16" s="505"/>
      <c r="N16" s="505"/>
      <c r="O16" s="505"/>
      <c r="P16" s="505"/>
      <c r="Q16" s="505"/>
      <c r="R16" s="505"/>
      <c r="S16" s="505"/>
      <c r="T16" s="505"/>
      <c r="U16" s="505"/>
      <c r="V16" s="505"/>
      <c r="W16" s="505"/>
      <c r="X16" s="505"/>
      <c r="Y16" s="505"/>
      <c r="Z16" s="505"/>
      <c r="AA16" s="505"/>
      <c r="AB16" s="505"/>
      <c r="AC16" s="505"/>
      <c r="AD16" s="505"/>
      <c r="AE16" s="505"/>
      <c r="AF16" s="505"/>
      <c r="AG16" s="505"/>
      <c r="AH16" s="505"/>
      <c r="AI16" s="505"/>
      <c r="AJ16" s="505"/>
      <c r="AK16" s="505"/>
      <c r="AL16" s="505"/>
      <c r="AM16" s="505"/>
      <c r="AN16" s="505"/>
      <c r="AO16" s="505"/>
      <c r="AP16" s="505"/>
      <c r="AQ16" s="505"/>
      <c r="AR16" s="505"/>
      <c r="AS16" s="505"/>
      <c r="AT16" s="505"/>
      <c r="AU16" s="505"/>
      <c r="AV16" s="505"/>
      <c r="AW16" s="505"/>
      <c r="AX16" s="505"/>
      <c r="AY16" s="505"/>
      <c r="AZ16" s="505"/>
      <c r="BA16" s="505"/>
      <c r="BB16" s="505"/>
      <c r="BC16" s="505"/>
      <c r="BD16" s="505"/>
      <c r="BE16" s="505"/>
      <c r="BF16" s="505"/>
      <c r="BG16" s="505"/>
      <c r="BH16" s="505"/>
      <c r="BI16" s="505"/>
      <c r="BJ16" s="505"/>
      <c r="BK16" s="505"/>
      <c r="BL16" s="505"/>
      <c r="BM16" s="505"/>
      <c r="BN16" s="505"/>
      <c r="BO16" s="505"/>
      <c r="BP16" s="505"/>
      <c r="BQ16" s="505"/>
      <c r="BR16" s="505"/>
      <c r="BS16" s="505"/>
      <c r="BT16" s="505"/>
      <c r="BU16" s="505"/>
      <c r="BV16" s="505"/>
      <c r="BW16" s="505"/>
      <c r="BX16" s="505"/>
      <c r="BY16" s="505"/>
      <c r="BZ16" s="505"/>
      <c r="CA16" s="505"/>
      <c r="CB16" s="505"/>
      <c r="CC16" s="505"/>
      <c r="CD16" s="505"/>
      <c r="CE16" s="505"/>
      <c r="CF16" s="505"/>
      <c r="CG16" s="505"/>
      <c r="CH16" s="505"/>
      <c r="CI16" s="505"/>
      <c r="CJ16" s="505"/>
      <c r="CK16" s="505"/>
      <c r="CL16" s="505"/>
      <c r="CM16" s="505"/>
      <c r="CN16" s="505"/>
      <c r="CO16" s="505"/>
      <c r="CP16" s="505"/>
      <c r="CQ16" s="505"/>
      <c r="CR16" s="505"/>
      <c r="CS16" s="505"/>
      <c r="CT16" s="505"/>
      <c r="CU16" s="505"/>
    </row>
    <row r="17" spans="1:99" ht="20.100000000000001" customHeight="1">
      <c r="A17" s="1206">
        <v>12</v>
      </c>
      <c r="B17" s="62" t="s">
        <v>187</v>
      </c>
      <c r="C17" s="428">
        <f>'T-1'!G36</f>
        <v>0</v>
      </c>
      <c r="D17" s="430">
        <f t="shared" si="0"/>
        <v>0</v>
      </c>
      <c r="E17" s="428">
        <f>'T-1'!K36</f>
        <v>0.1305247494</v>
      </c>
      <c r="F17" s="430">
        <f t="shared" si="1"/>
        <v>2.7093970098721531E-3</v>
      </c>
      <c r="G17" s="428">
        <f>'T-1'!N36-E17</f>
        <v>1.9475250599999994E-2</v>
      </c>
      <c r="H17" s="430">
        <f t="shared" si="2"/>
        <v>3.7070883824735822E-4</v>
      </c>
      <c r="I17" s="428">
        <f>'T-1'!S36</f>
        <v>0.151</v>
      </c>
      <c r="J17" s="1258">
        <f t="shared" si="3"/>
        <v>1.4405647774393122E-3</v>
      </c>
      <c r="K17" s="306"/>
      <c r="L17" s="505"/>
      <c r="M17" s="505"/>
      <c r="N17" s="505"/>
      <c r="O17" s="505"/>
      <c r="P17" s="505"/>
      <c r="Q17" s="505"/>
      <c r="R17" s="505"/>
      <c r="S17" s="505"/>
      <c r="T17" s="505"/>
      <c r="U17" s="505"/>
      <c r="V17" s="505"/>
      <c r="W17" s="505"/>
      <c r="X17" s="505"/>
      <c r="Y17" s="505"/>
      <c r="Z17" s="505"/>
      <c r="AA17" s="505"/>
      <c r="AB17" s="505"/>
      <c r="AC17" s="505"/>
      <c r="AD17" s="505"/>
      <c r="AE17" s="505"/>
      <c r="AF17" s="505"/>
      <c r="AG17" s="505"/>
      <c r="AH17" s="505"/>
      <c r="AI17" s="505"/>
      <c r="AJ17" s="505"/>
      <c r="AK17" s="505"/>
      <c r="AL17" s="505"/>
      <c r="AM17" s="505"/>
      <c r="AN17" s="505"/>
      <c r="AO17" s="505"/>
      <c r="AP17" s="505"/>
      <c r="AQ17" s="505"/>
      <c r="AR17" s="505"/>
      <c r="AS17" s="505"/>
      <c r="AT17" s="505"/>
      <c r="AU17" s="505"/>
      <c r="AV17" s="505"/>
      <c r="AW17" s="505"/>
      <c r="AX17" s="505"/>
      <c r="AY17" s="505"/>
      <c r="AZ17" s="505"/>
      <c r="BA17" s="505"/>
      <c r="BB17" s="505"/>
      <c r="BC17" s="505"/>
      <c r="BD17" s="505"/>
      <c r="BE17" s="505"/>
      <c r="BF17" s="505"/>
      <c r="BG17" s="505"/>
      <c r="BH17" s="505"/>
      <c r="BI17" s="505"/>
      <c r="BJ17" s="505"/>
      <c r="BK17" s="505"/>
      <c r="BL17" s="505"/>
      <c r="BM17" s="505"/>
      <c r="BN17" s="505"/>
      <c r="BO17" s="505"/>
      <c r="BP17" s="505"/>
      <c r="BQ17" s="505"/>
      <c r="BR17" s="505"/>
      <c r="BS17" s="505"/>
      <c r="BT17" s="505"/>
      <c r="BU17" s="505"/>
      <c r="BV17" s="505"/>
      <c r="BW17" s="505"/>
      <c r="BX17" s="505"/>
      <c r="BY17" s="505"/>
      <c r="BZ17" s="505"/>
      <c r="CA17" s="505"/>
      <c r="CB17" s="505"/>
      <c r="CC17" s="505"/>
      <c r="CD17" s="505"/>
      <c r="CE17" s="505"/>
      <c r="CF17" s="505"/>
      <c r="CG17" s="505"/>
      <c r="CH17" s="505"/>
      <c r="CI17" s="505"/>
      <c r="CJ17" s="505"/>
      <c r="CK17" s="505"/>
      <c r="CL17" s="505"/>
      <c r="CM17" s="505"/>
      <c r="CN17" s="505"/>
      <c r="CO17" s="505"/>
      <c r="CP17" s="505"/>
      <c r="CQ17" s="505"/>
      <c r="CR17" s="505"/>
      <c r="CS17" s="505"/>
      <c r="CT17" s="505"/>
      <c r="CU17" s="505"/>
    </row>
    <row r="18" spans="1:99" ht="20.100000000000001" customHeight="1">
      <c r="A18" s="1206">
        <v>13</v>
      </c>
      <c r="B18" s="62" t="s">
        <v>73</v>
      </c>
      <c r="C18" s="428">
        <f>'T-1'!G37</f>
        <v>0</v>
      </c>
      <c r="D18" s="430">
        <f t="shared" si="0"/>
        <v>0</v>
      </c>
      <c r="E18" s="428">
        <f>'T-1'!K37</f>
        <v>0</v>
      </c>
      <c r="F18" s="430">
        <f t="shared" si="1"/>
        <v>0</v>
      </c>
      <c r="G18" s="428">
        <f>'T-1'!N37-E18</f>
        <v>0</v>
      </c>
      <c r="H18" s="430">
        <f t="shared" si="2"/>
        <v>0</v>
      </c>
      <c r="I18" s="428">
        <f>'T-1'!S37</f>
        <v>0</v>
      </c>
      <c r="J18" s="1258">
        <f t="shared" si="3"/>
        <v>0</v>
      </c>
      <c r="K18" s="306"/>
      <c r="L18" s="505"/>
      <c r="M18" s="505"/>
      <c r="N18" s="505"/>
      <c r="O18" s="505"/>
      <c r="P18" s="505"/>
      <c r="Q18" s="505"/>
      <c r="R18" s="505"/>
      <c r="S18" s="505"/>
      <c r="T18" s="505"/>
      <c r="U18" s="505"/>
      <c r="V18" s="505"/>
      <c r="W18" s="505"/>
      <c r="X18" s="505"/>
      <c r="Y18" s="505"/>
      <c r="Z18" s="505"/>
      <c r="AA18" s="505"/>
      <c r="AB18" s="505"/>
      <c r="AC18" s="505"/>
      <c r="AD18" s="505"/>
      <c r="AE18" s="505"/>
      <c r="AF18" s="505"/>
      <c r="AG18" s="505"/>
      <c r="AH18" s="505"/>
      <c r="AI18" s="505"/>
      <c r="AJ18" s="505"/>
      <c r="AK18" s="505"/>
      <c r="AL18" s="505"/>
      <c r="AM18" s="505"/>
      <c r="AN18" s="505"/>
      <c r="AO18" s="505"/>
      <c r="AP18" s="505"/>
      <c r="AQ18" s="505"/>
      <c r="AR18" s="505"/>
      <c r="AS18" s="505"/>
      <c r="AT18" s="505"/>
      <c r="AU18" s="505"/>
      <c r="AV18" s="505"/>
      <c r="AW18" s="505"/>
      <c r="AX18" s="505"/>
      <c r="AY18" s="505"/>
      <c r="AZ18" s="505"/>
      <c r="BA18" s="505"/>
      <c r="BB18" s="505"/>
      <c r="BC18" s="505"/>
      <c r="BD18" s="505"/>
      <c r="BE18" s="505"/>
      <c r="BF18" s="505"/>
      <c r="BG18" s="505"/>
      <c r="BH18" s="505"/>
      <c r="BI18" s="505"/>
      <c r="BJ18" s="505"/>
      <c r="BK18" s="505"/>
      <c r="BL18" s="505"/>
      <c r="BM18" s="505"/>
      <c r="BN18" s="505"/>
      <c r="BO18" s="505"/>
      <c r="BP18" s="505"/>
      <c r="BQ18" s="505"/>
      <c r="BR18" s="505"/>
      <c r="BS18" s="505"/>
      <c r="BT18" s="505"/>
      <c r="BU18" s="505"/>
      <c r="BV18" s="505"/>
      <c r="BW18" s="505"/>
      <c r="BX18" s="505"/>
      <c r="BY18" s="505"/>
      <c r="BZ18" s="505"/>
      <c r="CA18" s="505"/>
      <c r="CB18" s="505"/>
      <c r="CC18" s="505"/>
      <c r="CD18" s="505"/>
      <c r="CE18" s="505"/>
      <c r="CF18" s="505"/>
      <c r="CG18" s="505"/>
      <c r="CH18" s="505"/>
      <c r="CI18" s="505"/>
      <c r="CJ18" s="505"/>
      <c r="CK18" s="505"/>
      <c r="CL18" s="505"/>
      <c r="CM18" s="505"/>
      <c r="CN18" s="505"/>
      <c r="CO18" s="505"/>
      <c r="CP18" s="505"/>
      <c r="CQ18" s="505"/>
      <c r="CR18" s="505"/>
      <c r="CS18" s="505"/>
      <c r="CT18" s="505"/>
      <c r="CU18" s="505"/>
    </row>
    <row r="19" spans="1:99" ht="20.100000000000001" customHeight="1">
      <c r="A19" s="1206">
        <v>14</v>
      </c>
      <c r="B19" s="62" t="s">
        <v>76</v>
      </c>
      <c r="C19" s="428">
        <f>'T-1'!G40</f>
        <v>13.409634369999999</v>
      </c>
      <c r="D19" s="430">
        <f t="shared" si="0"/>
        <v>0.18230015408589462</v>
      </c>
      <c r="E19" s="428">
        <f>'T-1'!K40</f>
        <v>8.4256522599999997</v>
      </c>
      <c r="F19" s="430">
        <f t="shared" si="1"/>
        <v>0.17489738263743065</v>
      </c>
      <c r="G19" s="428">
        <f>'T-1'!N40-E19</f>
        <v>5.5743477400000003</v>
      </c>
      <c r="H19" s="430">
        <f t="shared" si="2"/>
        <v>0.10610697736963587</v>
      </c>
      <c r="I19" s="428">
        <f>'T-1'!S40</f>
        <v>14.5</v>
      </c>
      <c r="J19" s="1258">
        <f t="shared" si="3"/>
        <v>0.13833237929052997</v>
      </c>
      <c r="K19" s="306"/>
      <c r="L19" s="505"/>
      <c r="M19" s="505"/>
      <c r="N19" s="505"/>
      <c r="O19" s="505"/>
      <c r="P19" s="505"/>
      <c r="Q19" s="505"/>
      <c r="R19" s="505"/>
      <c r="S19" s="505"/>
      <c r="T19" s="505"/>
      <c r="U19" s="505"/>
      <c r="V19" s="505"/>
      <c r="W19" s="505"/>
      <c r="X19" s="505"/>
      <c r="Y19" s="505"/>
      <c r="Z19" s="505"/>
      <c r="AA19" s="505"/>
      <c r="AB19" s="505"/>
      <c r="AC19" s="505"/>
      <c r="AD19" s="505"/>
      <c r="AE19" s="505"/>
      <c r="AF19" s="505"/>
      <c r="AG19" s="505"/>
      <c r="AH19" s="505"/>
      <c r="AI19" s="505"/>
      <c r="AJ19" s="505"/>
      <c r="AK19" s="505"/>
      <c r="AL19" s="505"/>
      <c r="AM19" s="505"/>
      <c r="AN19" s="505"/>
      <c r="AO19" s="505"/>
      <c r="AP19" s="505"/>
      <c r="AQ19" s="505"/>
      <c r="AR19" s="505"/>
      <c r="AS19" s="505"/>
      <c r="AT19" s="505"/>
      <c r="AU19" s="505"/>
      <c r="AV19" s="505"/>
      <c r="AW19" s="505"/>
      <c r="AX19" s="505"/>
      <c r="AY19" s="505"/>
      <c r="AZ19" s="505"/>
      <c r="BA19" s="505"/>
      <c r="BB19" s="505"/>
      <c r="BC19" s="505"/>
      <c r="BD19" s="505"/>
      <c r="BE19" s="505"/>
      <c r="BF19" s="505"/>
      <c r="BG19" s="505"/>
      <c r="BH19" s="505"/>
      <c r="BI19" s="505"/>
      <c r="BJ19" s="505"/>
      <c r="BK19" s="505"/>
      <c r="BL19" s="505"/>
      <c r="BM19" s="505"/>
      <c r="BN19" s="505"/>
      <c r="BO19" s="505"/>
      <c r="BP19" s="505"/>
      <c r="BQ19" s="505"/>
      <c r="BR19" s="505"/>
      <c r="BS19" s="505"/>
      <c r="BT19" s="505"/>
      <c r="BU19" s="505"/>
      <c r="BV19" s="505"/>
      <c r="BW19" s="505"/>
      <c r="BX19" s="505"/>
      <c r="BY19" s="505"/>
      <c r="BZ19" s="505"/>
      <c r="CA19" s="505"/>
      <c r="CB19" s="505"/>
      <c r="CC19" s="505"/>
      <c r="CD19" s="505"/>
      <c r="CE19" s="505"/>
      <c r="CF19" s="505"/>
      <c r="CG19" s="505"/>
      <c r="CH19" s="505"/>
      <c r="CI19" s="505"/>
      <c r="CJ19" s="505"/>
      <c r="CK19" s="505"/>
      <c r="CL19" s="505"/>
      <c r="CM19" s="505"/>
      <c r="CN19" s="505"/>
      <c r="CO19" s="505"/>
      <c r="CP19" s="505"/>
      <c r="CQ19" s="505"/>
      <c r="CR19" s="505"/>
      <c r="CS19" s="505"/>
      <c r="CT19" s="505"/>
      <c r="CU19" s="505"/>
    </row>
    <row r="20" spans="1:99" ht="20.100000000000001" customHeight="1">
      <c r="A20" s="1206">
        <v>15</v>
      </c>
      <c r="B20" s="62" t="s">
        <v>63</v>
      </c>
      <c r="C20" s="428">
        <f>'T-1'!G41</f>
        <v>45.608441599999992</v>
      </c>
      <c r="D20" s="430">
        <f t="shared" si="0"/>
        <v>0.62003375348537004</v>
      </c>
      <c r="E20" s="428">
        <f>'T-1'!K41</f>
        <v>14.75121433</v>
      </c>
      <c r="F20" s="430">
        <f t="shared" si="1"/>
        <v>0.30620166812352645</v>
      </c>
      <c r="G20" s="428">
        <f>'T-1'!N41-E20</f>
        <v>35.248785670000004</v>
      </c>
      <c r="H20" s="430">
        <f t="shared" si="2"/>
        <v>0.67095600738281813</v>
      </c>
      <c r="I20" s="428">
        <f>'T-1'!S41</f>
        <v>60</v>
      </c>
      <c r="J20" s="1258">
        <f t="shared" si="3"/>
        <v>0.57240984534012407</v>
      </c>
      <c r="K20" s="306"/>
      <c r="L20" s="505"/>
      <c r="M20" s="505"/>
      <c r="N20" s="505"/>
      <c r="O20" s="505"/>
      <c r="P20" s="505"/>
      <c r="Q20" s="505"/>
      <c r="R20" s="505"/>
      <c r="S20" s="505"/>
      <c r="T20" s="505"/>
      <c r="U20" s="505"/>
      <c r="V20" s="505"/>
      <c r="W20" s="505"/>
      <c r="X20" s="505"/>
      <c r="Y20" s="505"/>
      <c r="Z20" s="505"/>
      <c r="AA20" s="505"/>
      <c r="AB20" s="505"/>
      <c r="AC20" s="505"/>
      <c r="AD20" s="505"/>
      <c r="AE20" s="505"/>
      <c r="AF20" s="505"/>
      <c r="AG20" s="505"/>
      <c r="AH20" s="505"/>
      <c r="AI20" s="505"/>
      <c r="AJ20" s="505"/>
      <c r="AK20" s="505"/>
      <c r="AL20" s="505"/>
      <c r="AM20" s="505"/>
      <c r="AN20" s="505"/>
      <c r="AO20" s="505"/>
      <c r="AP20" s="505"/>
      <c r="AQ20" s="505"/>
      <c r="AR20" s="505"/>
      <c r="AS20" s="505"/>
      <c r="AT20" s="505"/>
      <c r="AU20" s="505"/>
      <c r="AV20" s="505"/>
      <c r="AW20" s="505"/>
      <c r="AX20" s="505"/>
      <c r="AY20" s="505"/>
      <c r="AZ20" s="505"/>
      <c r="BA20" s="505"/>
      <c r="BB20" s="505"/>
      <c r="BC20" s="505"/>
      <c r="BD20" s="505"/>
      <c r="BE20" s="505"/>
      <c r="BF20" s="505"/>
      <c r="BG20" s="505"/>
      <c r="BH20" s="505"/>
      <c r="BI20" s="505"/>
      <c r="BJ20" s="505"/>
      <c r="BK20" s="505"/>
      <c r="BL20" s="505"/>
      <c r="BM20" s="505"/>
      <c r="BN20" s="505"/>
      <c r="BO20" s="505"/>
      <c r="BP20" s="505"/>
      <c r="BQ20" s="505"/>
      <c r="BR20" s="505"/>
      <c r="BS20" s="505"/>
      <c r="BT20" s="505"/>
      <c r="BU20" s="505"/>
      <c r="BV20" s="505"/>
      <c r="BW20" s="505"/>
      <c r="BX20" s="505"/>
      <c r="BY20" s="505"/>
      <c r="BZ20" s="505"/>
      <c r="CA20" s="505"/>
      <c r="CB20" s="505"/>
      <c r="CC20" s="505"/>
      <c r="CD20" s="505"/>
      <c r="CE20" s="505"/>
      <c r="CF20" s="505"/>
      <c r="CG20" s="505"/>
      <c r="CH20" s="505"/>
      <c r="CI20" s="505"/>
      <c r="CJ20" s="505"/>
      <c r="CK20" s="505"/>
      <c r="CL20" s="505"/>
      <c r="CM20" s="505"/>
      <c r="CN20" s="505"/>
      <c r="CO20" s="505"/>
      <c r="CP20" s="505"/>
      <c r="CQ20" s="505"/>
      <c r="CR20" s="505"/>
      <c r="CS20" s="505"/>
      <c r="CT20" s="505"/>
      <c r="CU20" s="505"/>
    </row>
    <row r="21" spans="1:99" ht="20.100000000000001" customHeight="1">
      <c r="A21" s="1206">
        <v>16</v>
      </c>
      <c r="B21" s="62" t="s">
        <v>64</v>
      </c>
      <c r="C21" s="428">
        <f>'T-1'!G42</f>
        <v>3.6294979999999994</v>
      </c>
      <c r="D21" s="430">
        <f t="shared" si="0"/>
        <v>4.9341989975111175E-2</v>
      </c>
      <c r="E21" s="428">
        <f>'T-1'!K42</f>
        <v>2.2534164999999997</v>
      </c>
      <c r="F21" s="430">
        <f t="shared" si="1"/>
        <v>4.6775802712987799E-2</v>
      </c>
      <c r="G21" s="428">
        <f>'T-1'!N42-E21</f>
        <v>2.2465835000000003</v>
      </c>
      <c r="H21" s="430">
        <f t="shared" si="2"/>
        <v>4.2763421966476992E-2</v>
      </c>
      <c r="I21" s="428">
        <f>'T-1'!S42</f>
        <v>5</v>
      </c>
      <c r="J21" s="1258">
        <f t="shared" si="3"/>
        <v>4.7700820445010332E-2</v>
      </c>
      <c r="K21" s="306"/>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5"/>
      <c r="AY21" s="505"/>
      <c r="AZ21" s="505"/>
      <c r="BA21" s="505"/>
      <c r="BB21" s="505"/>
      <c r="BC21" s="505"/>
      <c r="BD21" s="505"/>
      <c r="BE21" s="505"/>
      <c r="BF21" s="505"/>
      <c r="BG21" s="505"/>
      <c r="BH21" s="505"/>
      <c r="BI21" s="505"/>
      <c r="BJ21" s="505"/>
      <c r="BK21" s="505"/>
      <c r="BL21" s="505"/>
      <c r="BM21" s="505"/>
      <c r="BN21" s="505"/>
      <c r="BO21" s="505"/>
      <c r="BP21" s="505"/>
      <c r="BQ21" s="505"/>
      <c r="BR21" s="505"/>
      <c r="BS21" s="505"/>
      <c r="BT21" s="505"/>
      <c r="BU21" s="505"/>
      <c r="BV21" s="505"/>
      <c r="BW21" s="505"/>
      <c r="BX21" s="505"/>
      <c r="BY21" s="505"/>
      <c r="BZ21" s="505"/>
      <c r="CA21" s="505"/>
      <c r="CB21" s="505"/>
      <c r="CC21" s="505"/>
      <c r="CD21" s="505"/>
      <c r="CE21" s="505"/>
      <c r="CF21" s="505"/>
      <c r="CG21" s="505"/>
      <c r="CH21" s="505"/>
      <c r="CI21" s="505"/>
      <c r="CJ21" s="505"/>
      <c r="CK21" s="505"/>
      <c r="CL21" s="505"/>
      <c r="CM21" s="505"/>
      <c r="CN21" s="505"/>
      <c r="CO21" s="505"/>
      <c r="CP21" s="505"/>
      <c r="CQ21" s="505"/>
      <c r="CR21" s="505"/>
      <c r="CS21" s="505"/>
      <c r="CT21" s="505"/>
      <c r="CU21" s="505"/>
    </row>
    <row r="22" spans="1:99" ht="20.100000000000001" customHeight="1">
      <c r="A22" s="1206">
        <v>17</v>
      </c>
      <c r="B22" s="62" t="s">
        <v>65</v>
      </c>
      <c r="C22" s="428">
        <f>'T-1'!G43</f>
        <v>4.7194184999999997</v>
      </c>
      <c r="D22" s="430">
        <f t="shared" si="0"/>
        <v>6.4159148266607194E-2</v>
      </c>
      <c r="E22" s="428">
        <f>'T-1'!K43</f>
        <v>3.3025370000000009</v>
      </c>
      <c r="F22" s="430">
        <f t="shared" si="1"/>
        <v>6.8553158798802902E-2</v>
      </c>
      <c r="G22" s="428">
        <f>'T-1'!N43-E22</f>
        <v>3.6974629999999991</v>
      </c>
      <c r="H22" s="430">
        <f t="shared" si="2"/>
        <v>7.0380722761667153E-2</v>
      </c>
      <c r="I22" s="428">
        <f>'T-1'!S43</f>
        <v>7.2</v>
      </c>
      <c r="J22" s="1258">
        <f t="shared" si="3"/>
        <v>6.8689181440814873E-2</v>
      </c>
      <c r="K22" s="306"/>
      <c r="L22" s="505"/>
      <c r="M22" s="505"/>
      <c r="N22" s="505"/>
      <c r="O22" s="505"/>
      <c r="P22" s="505"/>
      <c r="Q22" s="505"/>
      <c r="R22" s="505"/>
      <c r="S22" s="505"/>
      <c r="T22" s="505"/>
      <c r="U22" s="505"/>
      <c r="V22" s="505"/>
      <c r="W22" s="505"/>
      <c r="X22" s="505"/>
      <c r="Y22" s="505"/>
      <c r="Z22" s="505"/>
      <c r="AA22" s="505"/>
      <c r="AB22" s="505"/>
      <c r="AC22" s="505"/>
      <c r="AD22" s="505"/>
      <c r="AE22" s="505"/>
      <c r="AF22" s="505"/>
      <c r="AG22" s="505"/>
      <c r="AH22" s="505"/>
      <c r="AI22" s="505"/>
      <c r="AJ22" s="505"/>
      <c r="AK22" s="505"/>
      <c r="AL22" s="505"/>
      <c r="AM22" s="505"/>
      <c r="AN22" s="505"/>
      <c r="AO22" s="505"/>
      <c r="AP22" s="505"/>
      <c r="AQ22" s="505"/>
      <c r="AR22" s="505"/>
      <c r="AS22" s="505"/>
      <c r="AT22" s="505"/>
      <c r="AU22" s="505"/>
      <c r="AV22" s="505"/>
      <c r="AW22" s="505"/>
      <c r="AX22" s="505"/>
      <c r="AY22" s="505"/>
      <c r="AZ22" s="505"/>
      <c r="BA22" s="505"/>
      <c r="BB22" s="505"/>
      <c r="BC22" s="505"/>
      <c r="BD22" s="505"/>
      <c r="BE22" s="505"/>
      <c r="BF22" s="505"/>
      <c r="BG22" s="505"/>
      <c r="BH22" s="505"/>
      <c r="BI22" s="505"/>
      <c r="BJ22" s="505"/>
      <c r="BK22" s="505"/>
      <c r="BL22" s="505"/>
      <c r="BM22" s="505"/>
      <c r="BN22" s="505"/>
      <c r="BO22" s="505"/>
      <c r="BP22" s="505"/>
      <c r="BQ22" s="505"/>
      <c r="BR22" s="505"/>
      <c r="BS22" s="505"/>
      <c r="BT22" s="505"/>
      <c r="BU22" s="505"/>
      <c r="BV22" s="505"/>
      <c r="BW22" s="505"/>
      <c r="BX22" s="505"/>
      <c r="BY22" s="505"/>
      <c r="BZ22" s="505"/>
      <c r="CA22" s="505"/>
      <c r="CB22" s="505"/>
      <c r="CC22" s="505"/>
      <c r="CD22" s="505"/>
      <c r="CE22" s="505"/>
      <c r="CF22" s="505"/>
      <c r="CG22" s="505"/>
      <c r="CH22" s="505"/>
      <c r="CI22" s="505"/>
      <c r="CJ22" s="505"/>
      <c r="CK22" s="505"/>
      <c r="CL22" s="505"/>
      <c r="CM22" s="505"/>
      <c r="CN22" s="505"/>
      <c r="CO22" s="505"/>
      <c r="CP22" s="505"/>
      <c r="CQ22" s="505"/>
      <c r="CR22" s="505"/>
      <c r="CS22" s="505"/>
      <c r="CT22" s="505"/>
      <c r="CU22" s="505"/>
    </row>
    <row r="23" spans="1:99" ht="20.100000000000001" customHeight="1">
      <c r="A23" s="1206">
        <v>18</v>
      </c>
      <c r="B23" s="62" t="s">
        <v>78</v>
      </c>
      <c r="C23" s="428">
        <f>'T-1'!G44</f>
        <v>21.529943450000001</v>
      </c>
      <c r="D23" s="430">
        <f t="shared" si="0"/>
        <v>0.29269343966427613</v>
      </c>
      <c r="E23" s="428">
        <f>'T-1'!K44</f>
        <v>17.558525470999999</v>
      </c>
      <c r="F23" s="430">
        <f t="shared" si="1"/>
        <v>0.36447506413593189</v>
      </c>
      <c r="G23" s="428">
        <f>'T-1'!N44-E23</f>
        <v>17.441474529000001</v>
      </c>
      <c r="H23" s="430">
        <f t="shared" si="2"/>
        <v>0.33199617775221241</v>
      </c>
      <c r="I23" s="428">
        <f>'T-1'!S44</f>
        <v>36</v>
      </c>
      <c r="J23" s="1258">
        <f t="shared" si="3"/>
        <v>0.34344590720407442</v>
      </c>
      <c r="K23" s="306"/>
      <c r="L23" s="505"/>
      <c r="M23" s="505"/>
      <c r="N23" s="505"/>
      <c r="O23" s="505"/>
      <c r="P23" s="505"/>
      <c r="Q23" s="505"/>
      <c r="R23" s="505"/>
      <c r="S23" s="505"/>
      <c r="T23" s="505"/>
      <c r="U23" s="505"/>
      <c r="V23" s="505"/>
      <c r="W23" s="505"/>
      <c r="X23" s="505"/>
      <c r="Y23" s="505"/>
      <c r="Z23" s="505"/>
      <c r="AA23" s="505"/>
      <c r="AB23" s="505"/>
      <c r="AC23" s="505"/>
      <c r="AD23" s="505"/>
      <c r="AE23" s="505"/>
      <c r="AF23" s="505"/>
      <c r="AG23" s="505"/>
      <c r="AH23" s="505"/>
      <c r="AI23" s="505"/>
      <c r="AJ23" s="505"/>
      <c r="AK23" s="505"/>
      <c r="AL23" s="505"/>
      <c r="AM23" s="505"/>
      <c r="AN23" s="505"/>
      <c r="AO23" s="505"/>
      <c r="AP23" s="505"/>
      <c r="AQ23" s="505"/>
      <c r="AR23" s="505"/>
      <c r="AS23" s="505"/>
      <c r="AT23" s="505"/>
      <c r="AU23" s="505"/>
      <c r="AV23" s="505"/>
      <c r="AW23" s="505"/>
      <c r="AX23" s="505"/>
      <c r="AY23" s="505"/>
      <c r="AZ23" s="505"/>
      <c r="BA23" s="505"/>
      <c r="BB23" s="505"/>
      <c r="BC23" s="505"/>
      <c r="BD23" s="505"/>
      <c r="BE23" s="505"/>
      <c r="BF23" s="505"/>
      <c r="BG23" s="505"/>
      <c r="BH23" s="505"/>
      <c r="BI23" s="505"/>
      <c r="BJ23" s="505"/>
      <c r="BK23" s="505"/>
      <c r="BL23" s="505"/>
      <c r="BM23" s="505"/>
      <c r="BN23" s="505"/>
      <c r="BO23" s="505"/>
      <c r="BP23" s="505"/>
      <c r="BQ23" s="505"/>
      <c r="BR23" s="505"/>
      <c r="BS23" s="505"/>
      <c r="BT23" s="505"/>
      <c r="BU23" s="505"/>
      <c r="BV23" s="505"/>
      <c r="BW23" s="505"/>
      <c r="BX23" s="505"/>
      <c r="BY23" s="505"/>
      <c r="BZ23" s="505"/>
      <c r="CA23" s="505"/>
      <c r="CB23" s="505"/>
      <c r="CC23" s="505"/>
      <c r="CD23" s="505"/>
      <c r="CE23" s="505"/>
      <c r="CF23" s="505"/>
      <c r="CG23" s="505"/>
      <c r="CH23" s="505"/>
      <c r="CI23" s="505"/>
      <c r="CJ23" s="505"/>
      <c r="CK23" s="505"/>
      <c r="CL23" s="505"/>
      <c r="CM23" s="505"/>
      <c r="CN23" s="505"/>
      <c r="CO23" s="505"/>
      <c r="CP23" s="505"/>
      <c r="CQ23" s="505"/>
      <c r="CR23" s="505"/>
      <c r="CS23" s="505"/>
      <c r="CT23" s="505"/>
      <c r="CU23" s="505"/>
    </row>
    <row r="24" spans="1:99" ht="20.100000000000001" customHeight="1">
      <c r="A24" s="1206">
        <v>19</v>
      </c>
      <c r="B24" s="62" t="s">
        <v>189</v>
      </c>
      <c r="C24" s="428">
        <f>'T-1'!G45</f>
        <v>0</v>
      </c>
      <c r="D24" s="430">
        <f t="shared" si="0"/>
        <v>0</v>
      </c>
      <c r="E24" s="428">
        <f>'T-1'!K45</f>
        <v>0.10138800000000001</v>
      </c>
      <c r="F24" s="430">
        <f t="shared" si="1"/>
        <v>2.1045843435798075E-3</v>
      </c>
      <c r="G24" s="428">
        <f>'T-1'!N45-E24</f>
        <v>9.8612000000000005E-2</v>
      </c>
      <c r="H24" s="430">
        <f t="shared" si="2"/>
        <v>1.8770664731394267E-3</v>
      </c>
      <c r="I24" s="428">
        <f>'T-1'!S45</f>
        <v>0.1</v>
      </c>
      <c r="J24" s="1258">
        <f t="shared" si="3"/>
        <v>9.5401640890020669E-4</v>
      </c>
      <c r="K24" s="306"/>
      <c r="L24" s="505"/>
      <c r="M24" s="505"/>
      <c r="N24" s="505"/>
      <c r="O24" s="505"/>
      <c r="P24" s="505"/>
      <c r="Q24" s="505"/>
      <c r="R24" s="505"/>
      <c r="S24" s="505"/>
      <c r="T24" s="505"/>
      <c r="U24" s="505"/>
      <c r="V24" s="505"/>
      <c r="W24" s="505"/>
      <c r="X24" s="505"/>
      <c r="Y24" s="505"/>
      <c r="Z24" s="505"/>
      <c r="AA24" s="505"/>
      <c r="AB24" s="505"/>
      <c r="AC24" s="505"/>
      <c r="AD24" s="505"/>
      <c r="AE24" s="505"/>
      <c r="AF24" s="505"/>
      <c r="AG24" s="505"/>
      <c r="AH24" s="505"/>
      <c r="AI24" s="505"/>
      <c r="AJ24" s="505"/>
      <c r="AK24" s="505"/>
      <c r="AL24" s="505"/>
      <c r="AM24" s="505"/>
      <c r="AN24" s="505"/>
      <c r="AO24" s="505"/>
      <c r="AP24" s="505"/>
      <c r="AQ24" s="505"/>
      <c r="AR24" s="505"/>
      <c r="AS24" s="505"/>
      <c r="AT24" s="505"/>
      <c r="AU24" s="505"/>
      <c r="AV24" s="505"/>
      <c r="AW24" s="505"/>
      <c r="AX24" s="505"/>
      <c r="AY24" s="505"/>
      <c r="AZ24" s="505"/>
      <c r="BA24" s="505"/>
      <c r="BB24" s="505"/>
      <c r="BC24" s="505"/>
      <c r="BD24" s="505"/>
      <c r="BE24" s="505"/>
      <c r="BF24" s="505"/>
      <c r="BG24" s="505"/>
      <c r="BH24" s="505"/>
      <c r="BI24" s="505"/>
      <c r="BJ24" s="505"/>
      <c r="BK24" s="505"/>
      <c r="BL24" s="505"/>
      <c r="BM24" s="505"/>
      <c r="BN24" s="505"/>
      <c r="BO24" s="505"/>
      <c r="BP24" s="505"/>
      <c r="BQ24" s="505"/>
      <c r="BR24" s="505"/>
      <c r="BS24" s="505"/>
      <c r="BT24" s="505"/>
      <c r="BU24" s="505"/>
      <c r="BV24" s="505"/>
      <c r="BW24" s="505"/>
      <c r="BX24" s="505"/>
      <c r="BY24" s="505"/>
      <c r="BZ24" s="505"/>
      <c r="CA24" s="505"/>
      <c r="CB24" s="505"/>
      <c r="CC24" s="505"/>
      <c r="CD24" s="505"/>
      <c r="CE24" s="505"/>
      <c r="CF24" s="505"/>
      <c r="CG24" s="505"/>
      <c r="CH24" s="505"/>
      <c r="CI24" s="505"/>
      <c r="CJ24" s="505"/>
      <c r="CK24" s="505"/>
      <c r="CL24" s="505"/>
      <c r="CM24" s="505"/>
      <c r="CN24" s="505"/>
      <c r="CO24" s="505"/>
      <c r="CP24" s="505"/>
      <c r="CQ24" s="505"/>
      <c r="CR24" s="505"/>
      <c r="CS24" s="505"/>
      <c r="CT24" s="505"/>
      <c r="CU24" s="505"/>
    </row>
    <row r="25" spans="1:99" ht="20.100000000000001" customHeight="1">
      <c r="A25" s="1206">
        <v>20</v>
      </c>
      <c r="B25" s="62" t="s">
        <v>190</v>
      </c>
      <c r="C25" s="428">
        <f>'T-1'!G46</f>
        <v>128.14765196580004</v>
      </c>
      <c r="D25" s="430">
        <f t="shared" si="0"/>
        <v>1.7421307736305525</v>
      </c>
      <c r="E25" s="428">
        <f>'T-1'!K46</f>
        <v>82.669579374999998</v>
      </c>
      <c r="F25" s="430">
        <f t="shared" si="1"/>
        <v>1.7160324934208504</v>
      </c>
      <c r="G25" s="428">
        <f>'T-1'!N46-E25</f>
        <v>77.330420625000002</v>
      </c>
      <c r="H25" s="430">
        <f t="shared" si="2"/>
        <v>1.4719744038145166</v>
      </c>
      <c r="I25" s="428">
        <f>'T-1'!S46</f>
        <v>168</v>
      </c>
      <c r="J25" s="1258">
        <f t="shared" si="3"/>
        <v>1.602747566952347</v>
      </c>
      <c r="K25" s="306"/>
      <c r="L25" s="505"/>
      <c r="M25" s="505"/>
      <c r="N25" s="505"/>
      <c r="O25" s="565"/>
      <c r="P25" s="505"/>
      <c r="Q25" s="505"/>
      <c r="R25" s="505"/>
      <c r="S25" s="505"/>
      <c r="T25" s="505"/>
      <c r="U25" s="505"/>
      <c r="V25" s="505"/>
      <c r="W25" s="505"/>
      <c r="X25" s="505"/>
      <c r="Y25" s="505"/>
      <c r="Z25" s="505"/>
      <c r="AA25" s="505"/>
      <c r="AB25" s="505"/>
      <c r="AC25" s="505"/>
      <c r="AD25" s="505"/>
      <c r="AE25" s="505"/>
      <c r="AF25" s="505"/>
      <c r="AG25" s="505"/>
      <c r="AH25" s="505"/>
      <c r="AI25" s="505"/>
      <c r="AJ25" s="505"/>
      <c r="AK25" s="505"/>
      <c r="AL25" s="505"/>
      <c r="AM25" s="505"/>
      <c r="AN25" s="505"/>
      <c r="AO25" s="505"/>
      <c r="AP25" s="505"/>
      <c r="AQ25" s="505"/>
      <c r="AR25" s="505"/>
      <c r="AS25" s="505"/>
      <c r="AT25" s="505"/>
      <c r="AU25" s="505"/>
      <c r="AV25" s="505"/>
      <c r="AW25" s="505"/>
      <c r="AX25" s="505"/>
      <c r="AY25" s="505"/>
      <c r="AZ25" s="505"/>
      <c r="BA25" s="505"/>
      <c r="BB25" s="505"/>
      <c r="BC25" s="505"/>
      <c r="BD25" s="505"/>
      <c r="BE25" s="505"/>
      <c r="BF25" s="505"/>
      <c r="BG25" s="505"/>
      <c r="BH25" s="505"/>
      <c r="BI25" s="505"/>
      <c r="BJ25" s="505"/>
      <c r="BK25" s="505"/>
      <c r="BL25" s="505"/>
      <c r="BM25" s="505"/>
      <c r="BN25" s="505"/>
      <c r="BO25" s="505"/>
      <c r="BP25" s="505"/>
      <c r="BQ25" s="505"/>
      <c r="BR25" s="505"/>
      <c r="BS25" s="505"/>
      <c r="BT25" s="505"/>
      <c r="BU25" s="505"/>
      <c r="BV25" s="505"/>
      <c r="BW25" s="505"/>
      <c r="BX25" s="505"/>
      <c r="BY25" s="505"/>
      <c r="BZ25" s="505"/>
      <c r="CA25" s="505"/>
      <c r="CB25" s="505"/>
      <c r="CC25" s="505"/>
      <c r="CD25" s="505"/>
      <c r="CE25" s="505"/>
      <c r="CF25" s="505"/>
      <c r="CG25" s="505"/>
      <c r="CH25" s="505"/>
      <c r="CI25" s="505"/>
      <c r="CJ25" s="505"/>
      <c r="CK25" s="505"/>
      <c r="CL25" s="505"/>
      <c r="CM25" s="505"/>
      <c r="CN25" s="505"/>
      <c r="CO25" s="505"/>
      <c r="CP25" s="505"/>
      <c r="CQ25" s="505"/>
      <c r="CR25" s="505"/>
      <c r="CS25" s="505"/>
      <c r="CT25" s="505"/>
      <c r="CU25" s="505"/>
    </row>
    <row r="26" spans="1:99" ht="20.100000000000001" customHeight="1">
      <c r="A26" s="1206">
        <v>21</v>
      </c>
      <c r="B26" s="62" t="s">
        <v>191</v>
      </c>
      <c r="C26" s="428">
        <f>'T-1'!G47</f>
        <v>0</v>
      </c>
      <c r="D26" s="430">
        <f t="shared" si="0"/>
        <v>0</v>
      </c>
      <c r="E26" s="428">
        <f>'T-1'!K47</f>
        <v>0</v>
      </c>
      <c r="F26" s="430">
        <f t="shared" si="1"/>
        <v>0</v>
      </c>
      <c r="G26" s="428">
        <f>'T-1'!N47-E26</f>
        <v>0</v>
      </c>
      <c r="H26" s="430">
        <f t="shared" si="2"/>
        <v>0</v>
      </c>
      <c r="I26" s="428">
        <f>'T-1'!S47</f>
        <v>0</v>
      </c>
      <c r="J26" s="1258">
        <f t="shared" si="3"/>
        <v>0</v>
      </c>
      <c r="K26" s="306"/>
      <c r="L26" s="505"/>
      <c r="M26" s="505"/>
      <c r="N26" s="505"/>
      <c r="O26" s="505"/>
      <c r="P26" s="505"/>
      <c r="Q26" s="505"/>
      <c r="R26" s="505"/>
      <c r="S26" s="505"/>
      <c r="T26" s="505"/>
      <c r="U26" s="505"/>
      <c r="V26" s="505"/>
      <c r="W26" s="505"/>
      <c r="X26" s="505"/>
      <c r="Y26" s="505"/>
      <c r="Z26" s="505"/>
      <c r="AA26" s="505"/>
      <c r="AB26" s="505"/>
      <c r="AC26" s="505"/>
      <c r="AD26" s="505"/>
      <c r="AE26" s="505"/>
      <c r="AF26" s="505"/>
      <c r="AG26" s="505"/>
      <c r="AH26" s="505"/>
      <c r="AI26" s="505"/>
      <c r="AJ26" s="505"/>
      <c r="AK26" s="505"/>
      <c r="AL26" s="505"/>
      <c r="AM26" s="505"/>
      <c r="AN26" s="505"/>
      <c r="AO26" s="505"/>
      <c r="AP26" s="505"/>
      <c r="AQ26" s="505"/>
      <c r="AR26" s="505"/>
      <c r="AS26" s="505"/>
      <c r="AT26" s="505"/>
      <c r="AU26" s="505"/>
      <c r="AV26" s="505"/>
      <c r="AW26" s="505"/>
      <c r="AX26" s="505"/>
      <c r="AY26" s="505"/>
      <c r="AZ26" s="505"/>
      <c r="BA26" s="505"/>
      <c r="BB26" s="505"/>
      <c r="BC26" s="505"/>
      <c r="BD26" s="505"/>
      <c r="BE26" s="505"/>
      <c r="BF26" s="505"/>
      <c r="BG26" s="505"/>
      <c r="BH26" s="505"/>
      <c r="BI26" s="505"/>
      <c r="BJ26" s="505"/>
      <c r="BK26" s="505"/>
      <c r="BL26" s="505"/>
      <c r="BM26" s="505"/>
      <c r="BN26" s="505"/>
      <c r="BO26" s="505"/>
      <c r="BP26" s="505"/>
      <c r="BQ26" s="505"/>
      <c r="BR26" s="505"/>
      <c r="BS26" s="505"/>
      <c r="BT26" s="505"/>
      <c r="BU26" s="505"/>
      <c r="BV26" s="505"/>
      <c r="BW26" s="505"/>
      <c r="BX26" s="505"/>
      <c r="BY26" s="505"/>
      <c r="BZ26" s="505"/>
      <c r="CA26" s="505"/>
      <c r="CB26" s="505"/>
      <c r="CC26" s="505"/>
      <c r="CD26" s="505"/>
      <c r="CE26" s="505"/>
      <c r="CF26" s="505"/>
      <c r="CG26" s="505"/>
      <c r="CH26" s="505"/>
      <c r="CI26" s="505"/>
      <c r="CJ26" s="505"/>
      <c r="CK26" s="505"/>
      <c r="CL26" s="505"/>
      <c r="CM26" s="505"/>
      <c r="CN26" s="505"/>
      <c r="CO26" s="505"/>
      <c r="CP26" s="505"/>
      <c r="CQ26" s="505"/>
      <c r="CR26" s="505"/>
      <c r="CS26" s="505"/>
      <c r="CT26" s="505"/>
      <c r="CU26" s="505"/>
    </row>
    <row r="27" spans="1:99" ht="20.100000000000001" customHeight="1">
      <c r="A27" s="1206">
        <v>22</v>
      </c>
      <c r="B27" s="62" t="s">
        <v>192</v>
      </c>
      <c r="C27" s="428">
        <f>'T-1'!G48</f>
        <v>33.402508919999995</v>
      </c>
      <c r="D27" s="430">
        <f t="shared" si="0"/>
        <v>0.45409758051229171</v>
      </c>
      <c r="E27" s="428">
        <f>'T-1'!K48</f>
        <v>21.23571922</v>
      </c>
      <c r="F27" s="430">
        <f t="shared" si="1"/>
        <v>0.44080524514803332</v>
      </c>
      <c r="G27" s="428">
        <f>'T-1'!N48-E27</f>
        <v>20.76428078</v>
      </c>
      <c r="H27" s="430">
        <f t="shared" si="2"/>
        <v>0.39524535848569525</v>
      </c>
      <c r="I27" s="428">
        <f>'T-1'!S48</f>
        <v>43</v>
      </c>
      <c r="J27" s="1258">
        <f t="shared" si="3"/>
        <v>0.41022705582708885</v>
      </c>
      <c r="K27" s="306"/>
      <c r="L27" s="505"/>
      <c r="M27" s="505"/>
      <c r="N27" s="505"/>
      <c r="O27" s="505"/>
      <c r="P27" s="505"/>
      <c r="Q27" s="505"/>
      <c r="R27" s="505"/>
      <c r="S27" s="505"/>
      <c r="T27" s="505"/>
      <c r="U27" s="505"/>
      <c r="V27" s="505"/>
      <c r="W27" s="505"/>
      <c r="X27" s="505"/>
      <c r="Y27" s="505"/>
      <c r="Z27" s="505"/>
      <c r="AA27" s="505"/>
      <c r="AB27" s="505"/>
      <c r="AC27" s="505"/>
      <c r="AD27" s="505"/>
      <c r="AE27" s="505"/>
      <c r="AF27" s="505"/>
      <c r="AG27" s="505"/>
      <c r="AH27" s="505"/>
      <c r="AI27" s="505"/>
      <c r="AJ27" s="505"/>
      <c r="AK27" s="505"/>
      <c r="AL27" s="505"/>
      <c r="AM27" s="505"/>
      <c r="AN27" s="505"/>
      <c r="AO27" s="505"/>
      <c r="AP27" s="505"/>
      <c r="AQ27" s="505"/>
      <c r="AR27" s="505"/>
      <c r="AS27" s="505"/>
      <c r="AT27" s="505"/>
      <c r="AU27" s="505"/>
      <c r="AV27" s="505"/>
      <c r="AW27" s="505"/>
      <c r="AX27" s="505"/>
      <c r="AY27" s="505"/>
      <c r="AZ27" s="505"/>
      <c r="BA27" s="505"/>
      <c r="BB27" s="505"/>
      <c r="BC27" s="505"/>
      <c r="BD27" s="505"/>
      <c r="BE27" s="505"/>
      <c r="BF27" s="505"/>
      <c r="BG27" s="505"/>
      <c r="BH27" s="505"/>
      <c r="BI27" s="505"/>
      <c r="BJ27" s="505"/>
      <c r="BK27" s="505"/>
      <c r="BL27" s="505"/>
      <c r="BM27" s="505"/>
      <c r="BN27" s="505"/>
      <c r="BO27" s="505"/>
      <c r="BP27" s="505"/>
      <c r="BQ27" s="505"/>
      <c r="BR27" s="505"/>
      <c r="BS27" s="505"/>
      <c r="BT27" s="505"/>
      <c r="BU27" s="505"/>
      <c r="BV27" s="505"/>
      <c r="BW27" s="505"/>
      <c r="BX27" s="505"/>
      <c r="BY27" s="505"/>
      <c r="BZ27" s="505"/>
      <c r="CA27" s="505"/>
      <c r="CB27" s="505"/>
      <c r="CC27" s="505"/>
      <c r="CD27" s="505"/>
      <c r="CE27" s="505"/>
      <c r="CF27" s="505"/>
      <c r="CG27" s="505"/>
      <c r="CH27" s="505"/>
      <c r="CI27" s="505"/>
      <c r="CJ27" s="505"/>
      <c r="CK27" s="505"/>
      <c r="CL27" s="505"/>
      <c r="CM27" s="505"/>
      <c r="CN27" s="505"/>
      <c r="CO27" s="505"/>
      <c r="CP27" s="505"/>
      <c r="CQ27" s="505"/>
      <c r="CR27" s="505"/>
      <c r="CS27" s="505"/>
      <c r="CT27" s="505"/>
      <c r="CU27" s="505"/>
    </row>
    <row r="28" spans="1:99" ht="20.100000000000001" customHeight="1">
      <c r="A28" s="1206">
        <v>23</v>
      </c>
      <c r="B28" s="62" t="s">
        <v>73</v>
      </c>
      <c r="C28" s="428">
        <f>'T-1'!G49+'T-1'!G50</f>
        <v>951.98521253900003</v>
      </c>
      <c r="D28" s="430">
        <f t="shared" si="0"/>
        <v>12.941967405286745</v>
      </c>
      <c r="E28" s="428">
        <f>'T-1'!K49+'T-1'!K50</f>
        <v>505.79982005260905</v>
      </c>
      <c r="F28" s="430">
        <f t="shared" si="1"/>
        <v>10.499254174736704</v>
      </c>
      <c r="G28" s="428">
        <f>'T-1'!N49+'T-1'!N50-E28</f>
        <v>454.900179947391</v>
      </c>
      <c r="H28" s="430">
        <f t="shared" si="2"/>
        <v>8.6589652010337446</v>
      </c>
      <c r="I28" s="428">
        <f>'T-1'!S49+'T-1'!S50</f>
        <v>1000</v>
      </c>
      <c r="J28" s="1258">
        <f t="shared" si="3"/>
        <v>9.5401640890020669</v>
      </c>
      <c r="K28" s="306"/>
      <c r="M28" s="505"/>
      <c r="N28" s="505"/>
      <c r="O28" s="505"/>
      <c r="P28" s="505"/>
      <c r="Q28" s="505"/>
      <c r="R28" s="505"/>
      <c r="S28" s="505"/>
      <c r="T28" s="505"/>
      <c r="U28" s="505"/>
      <c r="V28" s="505"/>
      <c r="W28" s="505"/>
      <c r="X28" s="505"/>
      <c r="Y28" s="505"/>
      <c r="Z28" s="505"/>
      <c r="AA28" s="505"/>
      <c r="AB28" s="505"/>
      <c r="AC28" s="505"/>
      <c r="AD28" s="505"/>
      <c r="AE28" s="505"/>
      <c r="AF28" s="505"/>
      <c r="AG28" s="505"/>
      <c r="AH28" s="505"/>
      <c r="AI28" s="505"/>
      <c r="AJ28" s="505"/>
      <c r="AK28" s="505"/>
      <c r="AL28" s="505"/>
      <c r="AM28" s="505"/>
      <c r="AN28" s="505"/>
      <c r="AO28" s="505"/>
      <c r="AP28" s="505"/>
      <c r="AQ28" s="505"/>
      <c r="AR28" s="505"/>
      <c r="AS28" s="505"/>
      <c r="AT28" s="505"/>
      <c r="AU28" s="505"/>
      <c r="AV28" s="505"/>
      <c r="AW28" s="505"/>
      <c r="AX28" s="505"/>
      <c r="AY28" s="505"/>
      <c r="AZ28" s="505"/>
      <c r="BA28" s="505"/>
      <c r="BB28" s="505"/>
      <c r="BC28" s="505"/>
      <c r="BD28" s="505"/>
      <c r="BE28" s="505"/>
      <c r="BF28" s="505"/>
      <c r="BG28" s="505"/>
      <c r="BH28" s="505"/>
      <c r="BI28" s="505"/>
      <c r="BJ28" s="505"/>
      <c r="BK28" s="505"/>
      <c r="BL28" s="505"/>
      <c r="BM28" s="505"/>
      <c r="BN28" s="505"/>
      <c r="BO28" s="505"/>
      <c r="BP28" s="505"/>
      <c r="BQ28" s="505"/>
      <c r="BR28" s="505"/>
      <c r="BS28" s="505"/>
      <c r="BT28" s="505"/>
      <c r="BU28" s="505"/>
      <c r="BV28" s="505"/>
      <c r="BW28" s="505"/>
      <c r="BX28" s="505"/>
      <c r="BY28" s="505"/>
      <c r="BZ28" s="505"/>
      <c r="CA28" s="505"/>
      <c r="CB28" s="505"/>
      <c r="CC28" s="505"/>
      <c r="CD28" s="505"/>
      <c r="CE28" s="505"/>
      <c r="CF28" s="505"/>
      <c r="CG28" s="505"/>
      <c r="CH28" s="505"/>
      <c r="CI28" s="505"/>
      <c r="CJ28" s="505"/>
      <c r="CK28" s="505"/>
      <c r="CL28" s="505"/>
      <c r="CM28" s="505"/>
      <c r="CN28" s="505"/>
      <c r="CO28" s="505"/>
      <c r="CP28" s="505"/>
      <c r="CQ28" s="505"/>
      <c r="CR28" s="505"/>
      <c r="CS28" s="505"/>
      <c r="CT28" s="505"/>
      <c r="CU28" s="505"/>
    </row>
    <row r="29" spans="1:99" ht="20.100000000000001" customHeight="1">
      <c r="A29" s="1206">
        <v>24</v>
      </c>
      <c r="B29" s="62" t="s">
        <v>83</v>
      </c>
      <c r="C29" s="428">
        <f>'T-1'!G51</f>
        <v>502.79085599999985</v>
      </c>
      <c r="D29" s="430">
        <f t="shared" si="0"/>
        <v>6.8352982633767994</v>
      </c>
      <c r="E29" s="428">
        <f>'T-1'!K51</f>
        <v>283.425836</v>
      </c>
      <c r="F29" s="430">
        <f t="shared" si="1"/>
        <v>5.8832759006156365</v>
      </c>
      <c r="G29" s="428">
        <f>'T-1'!N51-E29</f>
        <v>296.574164</v>
      </c>
      <c r="H29" s="430">
        <f t="shared" si="2"/>
        <v>5.645250274244046</v>
      </c>
      <c r="I29" s="428">
        <f>'T-1'!S51</f>
        <v>610</v>
      </c>
      <c r="J29" s="1258">
        <f t="shared" si="3"/>
        <v>5.8195000942912607</v>
      </c>
      <c r="K29" s="306"/>
      <c r="L29" s="505"/>
      <c r="M29" s="505"/>
      <c r="N29" s="505"/>
      <c r="O29" s="505"/>
      <c r="P29" s="505"/>
      <c r="Q29" s="505"/>
      <c r="R29" s="505"/>
      <c r="S29" s="505"/>
      <c r="T29" s="505"/>
      <c r="U29" s="505"/>
      <c r="V29" s="505"/>
      <c r="W29" s="505"/>
      <c r="X29" s="505"/>
      <c r="Y29" s="505"/>
      <c r="Z29" s="505"/>
      <c r="AA29" s="505"/>
      <c r="AB29" s="505"/>
      <c r="AC29" s="505"/>
      <c r="AD29" s="505"/>
      <c r="AE29" s="505"/>
      <c r="AF29" s="505"/>
      <c r="AG29" s="505"/>
      <c r="AH29" s="505"/>
      <c r="AI29" s="505"/>
      <c r="AJ29" s="505"/>
      <c r="AK29" s="505"/>
      <c r="AL29" s="505"/>
      <c r="AM29" s="505"/>
      <c r="AN29" s="505"/>
      <c r="AO29" s="505"/>
      <c r="AP29" s="505"/>
      <c r="AQ29" s="505"/>
      <c r="AR29" s="505"/>
      <c r="AS29" s="505"/>
      <c r="AT29" s="505"/>
      <c r="AU29" s="505"/>
      <c r="AV29" s="505"/>
      <c r="AW29" s="505"/>
      <c r="AX29" s="505"/>
      <c r="AY29" s="505"/>
      <c r="AZ29" s="505"/>
      <c r="BA29" s="505"/>
      <c r="BB29" s="505"/>
      <c r="BC29" s="505"/>
      <c r="BD29" s="505"/>
      <c r="BE29" s="505"/>
      <c r="BF29" s="505"/>
      <c r="BG29" s="505"/>
      <c r="BH29" s="505"/>
      <c r="BI29" s="505"/>
      <c r="BJ29" s="505"/>
      <c r="BK29" s="505"/>
      <c r="BL29" s="505"/>
      <c r="BM29" s="505"/>
      <c r="BN29" s="505"/>
      <c r="BO29" s="505"/>
      <c r="BP29" s="505"/>
      <c r="BQ29" s="505"/>
      <c r="BR29" s="505"/>
      <c r="BS29" s="505"/>
      <c r="BT29" s="505"/>
      <c r="BU29" s="505"/>
      <c r="BV29" s="505"/>
      <c r="BW29" s="505"/>
      <c r="BX29" s="505"/>
      <c r="BY29" s="505"/>
      <c r="BZ29" s="505"/>
      <c r="CA29" s="505"/>
      <c r="CB29" s="505"/>
      <c r="CC29" s="505"/>
      <c r="CD29" s="505"/>
      <c r="CE29" s="505"/>
      <c r="CF29" s="505"/>
      <c r="CG29" s="505"/>
      <c r="CH29" s="505"/>
      <c r="CI29" s="505"/>
      <c r="CJ29" s="505"/>
      <c r="CK29" s="505"/>
      <c r="CL29" s="505"/>
      <c r="CM29" s="505"/>
      <c r="CN29" s="505"/>
      <c r="CO29" s="505"/>
      <c r="CP29" s="505"/>
      <c r="CQ29" s="505"/>
      <c r="CR29" s="505"/>
      <c r="CS29" s="505"/>
      <c r="CT29" s="505"/>
      <c r="CU29" s="505"/>
    </row>
    <row r="30" spans="1:99" ht="20.100000000000001" customHeight="1">
      <c r="A30" s="1206">
        <v>25</v>
      </c>
      <c r="B30" s="62" t="s">
        <v>93</v>
      </c>
      <c r="C30" s="428">
        <f>'T-1'!G52</f>
        <v>136.43827999999999</v>
      </c>
      <c r="D30" s="430">
        <f t="shared" si="0"/>
        <v>1.8548394968068347</v>
      </c>
      <c r="E30" s="428">
        <f>'T-1'!K52</f>
        <v>81.761880000000005</v>
      </c>
      <c r="F30" s="430">
        <f t="shared" si="1"/>
        <v>1.6971907183261432</v>
      </c>
      <c r="G30" s="428">
        <f>'T-1'!N52-E30</f>
        <v>84.838119999999989</v>
      </c>
      <c r="H30" s="430">
        <f t="shared" si="2"/>
        <v>1.6148824757248552</v>
      </c>
      <c r="I30" s="428">
        <f>'T-1'!S52</f>
        <v>175</v>
      </c>
      <c r="J30" s="1258">
        <f t="shared" si="3"/>
        <v>1.6695287155753618</v>
      </c>
      <c r="K30" s="306"/>
      <c r="L30" s="505"/>
      <c r="M30" s="505"/>
      <c r="N30" s="505"/>
      <c r="O30" s="505"/>
      <c r="P30" s="505"/>
      <c r="Q30" s="505"/>
      <c r="R30" s="505"/>
      <c r="S30" s="505"/>
      <c r="T30" s="505"/>
      <c r="U30" s="505"/>
      <c r="V30" s="505"/>
      <c r="W30" s="505"/>
      <c r="X30" s="505"/>
      <c r="Y30" s="505"/>
      <c r="Z30" s="505"/>
      <c r="AA30" s="505"/>
      <c r="AB30" s="505"/>
      <c r="AC30" s="505"/>
      <c r="AD30" s="505"/>
      <c r="AE30" s="505"/>
      <c r="AF30" s="505"/>
      <c r="AG30" s="505"/>
      <c r="AH30" s="505"/>
      <c r="AI30" s="505"/>
      <c r="AJ30" s="505"/>
      <c r="AK30" s="505"/>
      <c r="AL30" s="505"/>
      <c r="AM30" s="505"/>
      <c r="AN30" s="505"/>
      <c r="AO30" s="505"/>
      <c r="AP30" s="505"/>
      <c r="AQ30" s="505"/>
      <c r="AR30" s="505"/>
      <c r="AS30" s="505"/>
      <c r="AT30" s="505"/>
      <c r="AU30" s="505"/>
      <c r="AV30" s="505"/>
      <c r="AW30" s="505"/>
      <c r="AX30" s="505"/>
      <c r="AY30" s="505"/>
      <c r="AZ30" s="505"/>
      <c r="BA30" s="505"/>
      <c r="BB30" s="505"/>
      <c r="BC30" s="505"/>
      <c r="BD30" s="505"/>
      <c r="BE30" s="505"/>
      <c r="BF30" s="505"/>
      <c r="BG30" s="505"/>
      <c r="BH30" s="505"/>
      <c r="BI30" s="505"/>
      <c r="BJ30" s="505"/>
      <c r="BK30" s="505"/>
      <c r="BL30" s="505"/>
      <c r="BM30" s="505"/>
      <c r="BN30" s="505"/>
      <c r="BO30" s="505"/>
      <c r="BP30" s="505"/>
      <c r="BQ30" s="505"/>
      <c r="BR30" s="505"/>
      <c r="BS30" s="505"/>
      <c r="BT30" s="505"/>
      <c r="BU30" s="505"/>
      <c r="BV30" s="505"/>
      <c r="BW30" s="505"/>
      <c r="BX30" s="505"/>
      <c r="BY30" s="505"/>
      <c r="BZ30" s="505"/>
      <c r="CA30" s="505"/>
      <c r="CB30" s="505"/>
      <c r="CC30" s="505"/>
      <c r="CD30" s="505"/>
      <c r="CE30" s="505"/>
      <c r="CF30" s="505"/>
      <c r="CG30" s="505"/>
      <c r="CH30" s="505"/>
      <c r="CI30" s="505"/>
      <c r="CJ30" s="505"/>
      <c r="CK30" s="505"/>
      <c r="CL30" s="505"/>
      <c r="CM30" s="505"/>
      <c r="CN30" s="505"/>
      <c r="CO30" s="505"/>
      <c r="CP30" s="505"/>
      <c r="CQ30" s="505"/>
      <c r="CR30" s="505"/>
      <c r="CS30" s="505"/>
      <c r="CT30" s="505"/>
      <c r="CU30" s="505"/>
    </row>
    <row r="31" spans="1:99" ht="20.100000000000001" customHeight="1">
      <c r="A31" s="1206">
        <v>26</v>
      </c>
      <c r="B31" s="62" t="s">
        <v>85</v>
      </c>
      <c r="C31" s="428">
        <f>'T-1'!G53</f>
        <v>1.5167999999999999</v>
      </c>
      <c r="D31" s="430">
        <f t="shared" si="0"/>
        <v>2.0620463324197629E-2</v>
      </c>
      <c r="E31" s="428">
        <f>'T-1'!K53</f>
        <v>0</v>
      </c>
      <c r="F31" s="430">
        <f t="shared" si="1"/>
        <v>0</v>
      </c>
      <c r="G31" s="428">
        <f>'T-1'!N53-E31</f>
        <v>0</v>
      </c>
      <c r="H31" s="430">
        <f t="shared" si="2"/>
        <v>0</v>
      </c>
      <c r="I31" s="428">
        <f>'T-1'!S53</f>
        <v>9.9999999999999995E-7</v>
      </c>
      <c r="J31" s="1258">
        <f t="shared" si="3"/>
        <v>9.5401640890020671E-9</v>
      </c>
      <c r="K31" s="306"/>
      <c r="L31" s="505"/>
      <c r="M31" s="505"/>
      <c r="N31" s="505"/>
      <c r="O31" s="505"/>
      <c r="P31" s="505"/>
      <c r="Q31" s="505"/>
      <c r="R31" s="505"/>
      <c r="S31" s="505"/>
      <c r="T31" s="505"/>
      <c r="U31" s="505"/>
      <c r="V31" s="505"/>
      <c r="W31" s="505"/>
      <c r="X31" s="505"/>
      <c r="Y31" s="505"/>
      <c r="Z31" s="505"/>
      <c r="AA31" s="505"/>
      <c r="AB31" s="505"/>
      <c r="AC31" s="505"/>
      <c r="AD31" s="505"/>
      <c r="AE31" s="505"/>
      <c r="AF31" s="505"/>
      <c r="AG31" s="505"/>
      <c r="AH31" s="505"/>
      <c r="AI31" s="505"/>
      <c r="AJ31" s="505"/>
      <c r="AK31" s="505"/>
      <c r="AL31" s="505"/>
      <c r="AM31" s="505"/>
      <c r="AN31" s="505"/>
      <c r="AO31" s="505"/>
      <c r="AP31" s="505"/>
      <c r="AQ31" s="505"/>
      <c r="AR31" s="505"/>
      <c r="AS31" s="505"/>
      <c r="AT31" s="505"/>
      <c r="AU31" s="505"/>
      <c r="AV31" s="505"/>
      <c r="AW31" s="505"/>
      <c r="AX31" s="505"/>
      <c r="AY31" s="505"/>
      <c r="AZ31" s="505"/>
      <c r="BA31" s="505"/>
      <c r="BB31" s="505"/>
      <c r="BC31" s="505"/>
      <c r="BD31" s="505"/>
      <c r="BE31" s="505"/>
      <c r="BF31" s="505"/>
      <c r="BG31" s="505"/>
      <c r="BH31" s="505"/>
      <c r="BI31" s="505"/>
      <c r="BJ31" s="505"/>
      <c r="BK31" s="505"/>
      <c r="BL31" s="505"/>
      <c r="BM31" s="505"/>
      <c r="BN31" s="505"/>
      <c r="BO31" s="505"/>
      <c r="BP31" s="505"/>
      <c r="BQ31" s="505"/>
      <c r="BR31" s="505"/>
      <c r="BS31" s="505"/>
      <c r="BT31" s="505"/>
      <c r="BU31" s="505"/>
      <c r="BV31" s="505"/>
      <c r="BW31" s="505"/>
      <c r="BX31" s="505"/>
      <c r="BY31" s="505"/>
      <c r="BZ31" s="505"/>
      <c r="CA31" s="505"/>
      <c r="CB31" s="505"/>
      <c r="CC31" s="505"/>
      <c r="CD31" s="505"/>
      <c r="CE31" s="505"/>
      <c r="CF31" s="505"/>
      <c r="CG31" s="505"/>
      <c r="CH31" s="505"/>
      <c r="CI31" s="505"/>
      <c r="CJ31" s="505"/>
      <c r="CK31" s="505"/>
      <c r="CL31" s="505"/>
      <c r="CM31" s="505"/>
      <c r="CN31" s="505"/>
      <c r="CO31" s="505"/>
      <c r="CP31" s="505"/>
      <c r="CQ31" s="505"/>
      <c r="CR31" s="505"/>
      <c r="CS31" s="505"/>
      <c r="CT31" s="505"/>
      <c r="CU31" s="505"/>
    </row>
    <row r="32" spans="1:99" ht="20.100000000000001" customHeight="1">
      <c r="A32" s="1206">
        <v>27</v>
      </c>
      <c r="B32" s="62" t="s">
        <v>86</v>
      </c>
      <c r="C32" s="428">
        <f>'T-1'!G54</f>
        <v>0</v>
      </c>
      <c r="D32" s="430">
        <f t="shared" si="0"/>
        <v>0</v>
      </c>
      <c r="E32" s="428">
        <f>'T-1'!K54</f>
        <v>0</v>
      </c>
      <c r="F32" s="430">
        <f t="shared" si="1"/>
        <v>0</v>
      </c>
      <c r="G32" s="428">
        <f>'T-1'!N54-E32</f>
        <v>0</v>
      </c>
      <c r="H32" s="430">
        <f t="shared" si="2"/>
        <v>0</v>
      </c>
      <c r="I32" s="428">
        <f>'T-1'!S54</f>
        <v>9.9999999999999995E-7</v>
      </c>
      <c r="J32" s="1258">
        <f t="shared" si="3"/>
        <v>9.5401640890020671E-9</v>
      </c>
      <c r="K32" s="306"/>
      <c r="L32" s="505"/>
      <c r="M32" s="505"/>
      <c r="N32" s="505"/>
      <c r="O32" s="505"/>
      <c r="P32" s="505"/>
      <c r="Q32" s="505"/>
      <c r="R32" s="505"/>
      <c r="S32" s="505"/>
      <c r="T32" s="505"/>
      <c r="U32" s="505"/>
      <c r="V32" s="505"/>
      <c r="W32" s="505"/>
      <c r="X32" s="505"/>
      <c r="Y32" s="505"/>
      <c r="Z32" s="505"/>
      <c r="AA32" s="505"/>
      <c r="AB32" s="505"/>
      <c r="AC32" s="505"/>
      <c r="AD32" s="505"/>
      <c r="AE32" s="505"/>
      <c r="AF32" s="505"/>
      <c r="AG32" s="505"/>
      <c r="AH32" s="505"/>
      <c r="AI32" s="505"/>
      <c r="AJ32" s="505"/>
      <c r="AK32" s="505"/>
      <c r="AL32" s="505"/>
      <c r="AM32" s="505"/>
      <c r="AN32" s="505"/>
      <c r="AO32" s="505"/>
      <c r="AP32" s="505"/>
      <c r="AQ32" s="505"/>
      <c r="AR32" s="505"/>
      <c r="AS32" s="505"/>
      <c r="AT32" s="505"/>
      <c r="AU32" s="505"/>
      <c r="AV32" s="505"/>
      <c r="AW32" s="505"/>
      <c r="AX32" s="505"/>
      <c r="AY32" s="505"/>
      <c r="AZ32" s="505"/>
      <c r="BA32" s="505"/>
      <c r="BB32" s="505"/>
      <c r="BC32" s="505"/>
      <c r="BD32" s="505"/>
      <c r="BE32" s="505"/>
      <c r="BF32" s="505"/>
      <c r="BG32" s="505"/>
      <c r="BH32" s="505"/>
      <c r="BI32" s="505"/>
      <c r="BJ32" s="505"/>
      <c r="BK32" s="505"/>
      <c r="BL32" s="505"/>
      <c r="BM32" s="505"/>
      <c r="BN32" s="505"/>
      <c r="BO32" s="505"/>
      <c r="BP32" s="505"/>
      <c r="BQ32" s="505"/>
      <c r="BR32" s="505"/>
      <c r="BS32" s="505"/>
      <c r="BT32" s="505"/>
      <c r="BU32" s="505"/>
      <c r="BV32" s="505"/>
      <c r="BW32" s="505"/>
      <c r="BX32" s="505"/>
      <c r="BY32" s="505"/>
      <c r="BZ32" s="505"/>
      <c r="CA32" s="505"/>
      <c r="CB32" s="505"/>
      <c r="CC32" s="505"/>
      <c r="CD32" s="505"/>
      <c r="CE32" s="505"/>
      <c r="CF32" s="505"/>
      <c r="CG32" s="505"/>
      <c r="CH32" s="505"/>
      <c r="CI32" s="505"/>
      <c r="CJ32" s="505"/>
      <c r="CK32" s="505"/>
      <c r="CL32" s="505"/>
      <c r="CM32" s="505"/>
      <c r="CN32" s="505"/>
      <c r="CO32" s="505"/>
      <c r="CP32" s="505"/>
      <c r="CQ32" s="505"/>
      <c r="CR32" s="505"/>
      <c r="CS32" s="505"/>
      <c r="CT32" s="505"/>
      <c r="CU32" s="505"/>
    </row>
    <row r="33" spans="1:99" ht="20.100000000000001" customHeight="1">
      <c r="A33" s="1206">
        <v>28</v>
      </c>
      <c r="B33" s="62" t="s">
        <v>87</v>
      </c>
      <c r="C33" s="428">
        <f>'T-1'!G55</f>
        <v>4.4749999999999996</v>
      </c>
      <c r="D33" s="430">
        <f t="shared" si="0"/>
        <v>6.0836348480870509E-2</v>
      </c>
      <c r="E33" s="428">
        <f>'T-1'!K55</f>
        <v>3.8098000000000005</v>
      </c>
      <c r="F33" s="430">
        <f t="shared" si="1"/>
        <v>7.9082785262263297E-2</v>
      </c>
      <c r="G33" s="428">
        <f>'T-1'!N55-E33</f>
        <v>1.1901999999999995</v>
      </c>
      <c r="H33" s="430">
        <f t="shared" si="2"/>
        <v>2.2655300737542534E-2</v>
      </c>
      <c r="I33" s="428">
        <f>'T-1'!S55</f>
        <v>4.2</v>
      </c>
      <c r="J33" s="1258">
        <f t="shared" si="3"/>
        <v>4.006868917380868E-2</v>
      </c>
      <c r="K33" s="306"/>
      <c r="L33" s="505"/>
      <c r="M33" s="505"/>
      <c r="N33" s="505"/>
      <c r="O33" s="505"/>
      <c r="P33" s="505"/>
      <c r="Q33" s="505"/>
      <c r="R33" s="505"/>
      <c r="S33" s="505"/>
      <c r="T33" s="505"/>
      <c r="U33" s="505"/>
      <c r="V33" s="505"/>
      <c r="W33" s="505"/>
      <c r="X33" s="505"/>
      <c r="Y33" s="505"/>
      <c r="Z33" s="505"/>
      <c r="AA33" s="505"/>
      <c r="AB33" s="505"/>
      <c r="AC33" s="505"/>
      <c r="AD33" s="505"/>
      <c r="AE33" s="505"/>
      <c r="AF33" s="505"/>
      <c r="AG33" s="505"/>
      <c r="AH33" s="505"/>
      <c r="AI33" s="505"/>
      <c r="AJ33" s="505"/>
      <c r="AK33" s="505"/>
      <c r="AL33" s="505"/>
      <c r="AM33" s="505"/>
      <c r="AN33" s="505"/>
      <c r="AO33" s="505"/>
      <c r="AP33" s="505"/>
      <c r="AQ33" s="505"/>
      <c r="AR33" s="505"/>
      <c r="AS33" s="505"/>
      <c r="AT33" s="505"/>
      <c r="AU33" s="505"/>
      <c r="AV33" s="505"/>
      <c r="AW33" s="505"/>
      <c r="AX33" s="505"/>
      <c r="AY33" s="505"/>
      <c r="AZ33" s="505"/>
      <c r="BA33" s="505"/>
      <c r="BB33" s="505"/>
      <c r="BC33" s="505"/>
      <c r="BD33" s="505"/>
      <c r="BE33" s="505"/>
      <c r="BF33" s="505"/>
      <c r="BG33" s="505"/>
      <c r="BH33" s="505"/>
      <c r="BI33" s="505"/>
      <c r="BJ33" s="505"/>
      <c r="BK33" s="505"/>
      <c r="BL33" s="505"/>
      <c r="BM33" s="505"/>
      <c r="BN33" s="505"/>
      <c r="BO33" s="505"/>
      <c r="BP33" s="505"/>
      <c r="BQ33" s="505"/>
      <c r="BR33" s="505"/>
      <c r="BS33" s="505"/>
      <c r="BT33" s="505"/>
      <c r="BU33" s="505"/>
      <c r="BV33" s="505"/>
      <c r="BW33" s="505"/>
      <c r="BX33" s="505"/>
      <c r="BY33" s="505"/>
      <c r="BZ33" s="505"/>
      <c r="CA33" s="505"/>
      <c r="CB33" s="505"/>
      <c r="CC33" s="505"/>
      <c r="CD33" s="505"/>
      <c r="CE33" s="505"/>
      <c r="CF33" s="505"/>
      <c r="CG33" s="505"/>
      <c r="CH33" s="505"/>
      <c r="CI33" s="505"/>
      <c r="CJ33" s="505"/>
      <c r="CK33" s="505"/>
      <c r="CL33" s="505"/>
      <c r="CM33" s="505"/>
      <c r="CN33" s="505"/>
      <c r="CO33" s="505"/>
      <c r="CP33" s="505"/>
      <c r="CQ33" s="505"/>
      <c r="CR33" s="505"/>
      <c r="CS33" s="505"/>
      <c r="CT33" s="505"/>
      <c r="CU33" s="505"/>
    </row>
    <row r="34" spans="1:99" ht="20.100000000000001" customHeight="1">
      <c r="A34" s="1206">
        <v>29</v>
      </c>
      <c r="B34" s="62" t="s">
        <v>90</v>
      </c>
      <c r="C34" s="428">
        <f>'T-1'!G59</f>
        <v>0.16317999999999999</v>
      </c>
      <c r="D34" s="430">
        <f t="shared" si="0"/>
        <v>2.2183855519795417E-3</v>
      </c>
      <c r="E34" s="428">
        <f>'T-1'!K59</f>
        <v>0</v>
      </c>
      <c r="F34" s="430">
        <f t="shared" si="1"/>
        <v>0</v>
      </c>
      <c r="G34" s="428">
        <f>'T-1'!N59-E34</f>
        <v>0</v>
      </c>
      <c r="H34" s="430">
        <f t="shared" si="2"/>
        <v>0</v>
      </c>
      <c r="I34" s="428">
        <f>'T-1'!S59</f>
        <v>0</v>
      </c>
      <c r="J34" s="1258">
        <f t="shared" si="3"/>
        <v>0</v>
      </c>
      <c r="K34" s="306"/>
      <c r="L34" s="505"/>
      <c r="M34" s="505"/>
      <c r="N34" s="505"/>
      <c r="O34" s="505"/>
      <c r="P34" s="505"/>
      <c r="Q34" s="505"/>
      <c r="R34" s="505"/>
      <c r="S34" s="505"/>
      <c r="T34" s="505"/>
      <c r="U34" s="505"/>
      <c r="V34" s="505"/>
      <c r="W34" s="505"/>
      <c r="X34" s="505"/>
      <c r="Y34" s="505"/>
      <c r="Z34" s="505"/>
      <c r="AA34" s="505"/>
      <c r="AB34" s="505"/>
      <c r="AC34" s="505"/>
      <c r="AD34" s="505"/>
      <c r="AE34" s="505"/>
      <c r="AF34" s="505"/>
      <c r="AG34" s="505"/>
      <c r="AH34" s="505"/>
      <c r="AI34" s="505"/>
      <c r="AJ34" s="505"/>
      <c r="AK34" s="505"/>
      <c r="AL34" s="505"/>
      <c r="AM34" s="505"/>
      <c r="AN34" s="505"/>
      <c r="AO34" s="505"/>
      <c r="AP34" s="505"/>
      <c r="AQ34" s="505"/>
      <c r="AR34" s="505"/>
      <c r="AS34" s="505"/>
      <c r="AT34" s="505"/>
      <c r="AU34" s="505"/>
      <c r="AV34" s="505"/>
      <c r="AW34" s="505"/>
      <c r="AX34" s="505"/>
      <c r="AY34" s="505"/>
      <c r="AZ34" s="505"/>
      <c r="BA34" s="505"/>
      <c r="BB34" s="505"/>
      <c r="BC34" s="505"/>
      <c r="BD34" s="505"/>
      <c r="BE34" s="505"/>
      <c r="BF34" s="505"/>
      <c r="BG34" s="505"/>
      <c r="BH34" s="505"/>
      <c r="BI34" s="505"/>
      <c r="BJ34" s="505"/>
      <c r="BK34" s="505"/>
      <c r="BL34" s="505"/>
      <c r="BM34" s="505"/>
      <c r="BN34" s="505"/>
      <c r="BO34" s="505"/>
      <c r="BP34" s="505"/>
      <c r="BQ34" s="505"/>
      <c r="BR34" s="505"/>
      <c r="BS34" s="505"/>
      <c r="BT34" s="505"/>
      <c r="BU34" s="505"/>
      <c r="BV34" s="505"/>
      <c r="BW34" s="505"/>
      <c r="BX34" s="505"/>
      <c r="BY34" s="505"/>
      <c r="BZ34" s="505"/>
      <c r="CA34" s="505"/>
      <c r="CB34" s="505"/>
      <c r="CC34" s="505"/>
      <c r="CD34" s="505"/>
      <c r="CE34" s="505"/>
      <c r="CF34" s="505"/>
      <c r="CG34" s="505"/>
      <c r="CH34" s="505"/>
      <c r="CI34" s="505"/>
      <c r="CJ34" s="505"/>
      <c r="CK34" s="505"/>
      <c r="CL34" s="505"/>
      <c r="CM34" s="505"/>
      <c r="CN34" s="505"/>
      <c r="CO34" s="505"/>
      <c r="CP34" s="505"/>
      <c r="CQ34" s="505"/>
      <c r="CR34" s="505"/>
      <c r="CS34" s="505"/>
      <c r="CT34" s="505"/>
      <c r="CU34" s="505"/>
    </row>
    <row r="35" spans="1:99" ht="20.100000000000001" customHeight="1">
      <c r="A35" s="1206">
        <v>30</v>
      </c>
      <c r="B35" s="62" t="s">
        <v>73</v>
      </c>
      <c r="C35" s="428">
        <f>'T-1'!G60</f>
        <v>304.61456655649999</v>
      </c>
      <c r="D35" s="430">
        <f t="shared" si="0"/>
        <v>4.1411481393029179</v>
      </c>
      <c r="E35" s="428">
        <f>'T-1'!K60+'T-1'!K61</f>
        <v>249.38485511999997</v>
      </c>
      <c r="F35" s="430">
        <f t="shared" si="1"/>
        <v>5.1766625400586905</v>
      </c>
      <c r="G35" s="428">
        <f>'T-1'!N60+'T-1'!N61-E35</f>
        <v>230.61514488000003</v>
      </c>
      <c r="H35" s="430">
        <f t="shared" si="2"/>
        <v>4.389729005115397</v>
      </c>
      <c r="I35" s="428">
        <f>'T-1'!S60+'T-1'!S61</f>
        <v>500</v>
      </c>
      <c r="J35" s="1258">
        <f t="shared" si="3"/>
        <v>4.7700820445010335</v>
      </c>
      <c r="K35" s="306"/>
      <c r="Q35" s="505"/>
      <c r="R35" s="505"/>
      <c r="S35" s="505"/>
      <c r="T35" s="505"/>
      <c r="U35" s="505"/>
      <c r="V35" s="505"/>
      <c r="W35" s="505"/>
      <c r="X35" s="505"/>
      <c r="Y35" s="505"/>
      <c r="Z35" s="505"/>
      <c r="AA35" s="505"/>
      <c r="AB35" s="505"/>
      <c r="AC35" s="505"/>
      <c r="AD35" s="505"/>
      <c r="AE35" s="505"/>
      <c r="AF35" s="505"/>
      <c r="AG35" s="505"/>
      <c r="AH35" s="505"/>
      <c r="AI35" s="505"/>
      <c r="AJ35" s="505"/>
      <c r="AK35" s="505"/>
      <c r="AL35" s="505"/>
      <c r="AM35" s="505"/>
      <c r="AN35" s="505"/>
      <c r="AO35" s="505"/>
      <c r="AP35" s="505"/>
      <c r="AQ35" s="505"/>
      <c r="AR35" s="505"/>
      <c r="AS35" s="505"/>
      <c r="AT35" s="505"/>
      <c r="AU35" s="505"/>
      <c r="AV35" s="505"/>
      <c r="AW35" s="505"/>
      <c r="AX35" s="505"/>
      <c r="AY35" s="505"/>
      <c r="AZ35" s="505"/>
      <c r="BA35" s="505"/>
      <c r="BB35" s="505"/>
      <c r="BC35" s="505"/>
      <c r="BD35" s="505"/>
      <c r="BE35" s="505"/>
      <c r="BF35" s="505"/>
      <c r="BG35" s="505"/>
      <c r="BH35" s="505"/>
      <c r="BI35" s="505"/>
      <c r="BJ35" s="505"/>
      <c r="BK35" s="505"/>
      <c r="BL35" s="505"/>
      <c r="BM35" s="505"/>
      <c r="BN35" s="505"/>
      <c r="BO35" s="505"/>
      <c r="BP35" s="505"/>
      <c r="BQ35" s="505"/>
      <c r="BR35" s="505"/>
      <c r="BS35" s="505"/>
      <c r="BT35" s="505"/>
      <c r="BU35" s="505"/>
      <c r="BV35" s="505"/>
      <c r="BW35" s="505"/>
      <c r="BX35" s="505"/>
      <c r="BY35" s="505"/>
      <c r="BZ35" s="505"/>
      <c r="CA35" s="505"/>
      <c r="CB35" s="505"/>
      <c r="CC35" s="505"/>
      <c r="CD35" s="505"/>
      <c r="CE35" s="505"/>
      <c r="CF35" s="505"/>
      <c r="CG35" s="505"/>
      <c r="CH35" s="505"/>
      <c r="CI35" s="505"/>
      <c r="CJ35" s="505"/>
      <c r="CK35" s="505"/>
      <c r="CL35" s="505"/>
      <c r="CM35" s="505"/>
      <c r="CN35" s="505"/>
      <c r="CO35" s="505"/>
      <c r="CP35" s="505"/>
      <c r="CQ35" s="505"/>
      <c r="CR35" s="505"/>
      <c r="CS35" s="505"/>
      <c r="CT35" s="505"/>
      <c r="CU35" s="505"/>
    </row>
    <row r="36" spans="1:99" ht="20.100000000000001" customHeight="1">
      <c r="A36" s="1206">
        <v>31</v>
      </c>
      <c r="B36" s="62" t="s">
        <v>85</v>
      </c>
      <c r="C36" s="428">
        <f>'T-1'!G62</f>
        <v>639.00268000000005</v>
      </c>
      <c r="D36" s="430">
        <f t="shared" si="0"/>
        <v>8.687059155461494</v>
      </c>
      <c r="E36" s="428">
        <f>'T-1'!K62</f>
        <v>406.72328000000005</v>
      </c>
      <c r="F36" s="430">
        <f t="shared" si="1"/>
        <v>8.4426504838583085</v>
      </c>
      <c r="G36" s="428">
        <f>'T-1'!N62-E36</f>
        <v>396.27671999999995</v>
      </c>
      <c r="H36" s="430">
        <f t="shared" si="2"/>
        <v>7.5430753376633675</v>
      </c>
      <c r="I36" s="428">
        <f>'T-1'!S62</f>
        <v>845</v>
      </c>
      <c r="J36" s="1258">
        <f t="shared" si="3"/>
        <v>8.0614386552067465</v>
      </c>
      <c r="K36" s="306"/>
      <c r="Q36" s="505"/>
      <c r="R36" s="505"/>
      <c r="S36" s="505"/>
      <c r="T36" s="505"/>
      <c r="U36" s="505"/>
      <c r="V36" s="505"/>
      <c r="W36" s="505"/>
      <c r="X36" s="505"/>
      <c r="Y36" s="505"/>
      <c r="Z36" s="505"/>
      <c r="AA36" s="505"/>
      <c r="AB36" s="505"/>
      <c r="AC36" s="505"/>
      <c r="AD36" s="505"/>
      <c r="AE36" s="505"/>
      <c r="AF36" s="505"/>
      <c r="AG36" s="505"/>
      <c r="AH36" s="505"/>
      <c r="AI36" s="505"/>
      <c r="AJ36" s="505"/>
      <c r="AK36" s="505"/>
      <c r="AL36" s="505"/>
      <c r="AM36" s="505"/>
      <c r="AN36" s="505"/>
      <c r="AO36" s="505"/>
      <c r="AP36" s="505"/>
      <c r="AQ36" s="505"/>
      <c r="AR36" s="505"/>
      <c r="AS36" s="505"/>
      <c r="AT36" s="505"/>
      <c r="AU36" s="505"/>
      <c r="AV36" s="505"/>
      <c r="AW36" s="505"/>
      <c r="AX36" s="505"/>
      <c r="AY36" s="505"/>
      <c r="AZ36" s="505"/>
      <c r="BA36" s="505"/>
      <c r="BB36" s="505"/>
      <c r="BC36" s="505"/>
      <c r="BD36" s="505"/>
      <c r="BE36" s="505"/>
      <c r="BF36" s="505"/>
      <c r="BG36" s="505"/>
      <c r="BH36" s="505"/>
      <c r="BI36" s="505"/>
      <c r="BJ36" s="505"/>
      <c r="BK36" s="505"/>
      <c r="BL36" s="505"/>
      <c r="BM36" s="505"/>
      <c r="BN36" s="505"/>
      <c r="BO36" s="505"/>
      <c r="BP36" s="505"/>
      <c r="BQ36" s="505"/>
      <c r="BR36" s="505"/>
      <c r="BS36" s="505"/>
      <c r="BT36" s="505"/>
      <c r="BU36" s="505"/>
      <c r="BV36" s="505"/>
      <c r="BW36" s="505"/>
      <c r="BX36" s="505"/>
      <c r="BY36" s="505"/>
      <c r="BZ36" s="505"/>
      <c r="CA36" s="505"/>
      <c r="CB36" s="505"/>
      <c r="CC36" s="505"/>
      <c r="CD36" s="505"/>
      <c r="CE36" s="505"/>
      <c r="CF36" s="505"/>
      <c r="CG36" s="505"/>
      <c r="CH36" s="505"/>
      <c r="CI36" s="505"/>
      <c r="CJ36" s="505"/>
      <c r="CK36" s="505"/>
      <c r="CL36" s="505"/>
      <c r="CM36" s="505"/>
      <c r="CN36" s="505"/>
      <c r="CO36" s="505"/>
      <c r="CP36" s="505"/>
      <c r="CQ36" s="505"/>
      <c r="CR36" s="505"/>
      <c r="CS36" s="505"/>
      <c r="CT36" s="505"/>
      <c r="CU36" s="505"/>
    </row>
    <row r="37" spans="1:99" ht="20.100000000000001" customHeight="1">
      <c r="A37" s="1206">
        <v>32</v>
      </c>
      <c r="B37" s="62" t="s">
        <v>92</v>
      </c>
      <c r="C37" s="428">
        <f>'T-1'!G63</f>
        <v>446.242526489</v>
      </c>
      <c r="D37" s="430">
        <f t="shared" si="0"/>
        <v>6.0665398544064564</v>
      </c>
      <c r="E37" s="428">
        <f>'T-1'!K63</f>
        <v>404.965013</v>
      </c>
      <c r="F37" s="430">
        <f t="shared" si="1"/>
        <v>8.4061528588925043</v>
      </c>
      <c r="G37" s="428">
        <f>'T-1'!N63-E37</f>
        <v>345.034987</v>
      </c>
      <c r="H37" s="430">
        <f t="shared" si="2"/>
        <v>6.5676956775828286</v>
      </c>
      <c r="I37" s="428">
        <f>'T-1'!S63</f>
        <v>650</v>
      </c>
      <c r="J37" s="1258">
        <f t="shared" si="3"/>
        <v>6.2011066578513434</v>
      </c>
      <c r="K37" s="306"/>
      <c r="L37" s="505"/>
      <c r="M37" s="505"/>
      <c r="N37" s="505"/>
      <c r="O37" s="505"/>
      <c r="P37" s="505"/>
      <c r="Q37" s="505"/>
      <c r="R37" s="505"/>
      <c r="S37" s="505"/>
      <c r="T37" s="505"/>
      <c r="U37" s="505"/>
      <c r="V37" s="505"/>
      <c r="W37" s="505"/>
      <c r="X37" s="505"/>
      <c r="Y37" s="505"/>
      <c r="Z37" s="505"/>
      <c r="AA37" s="505"/>
      <c r="AB37" s="505"/>
      <c r="AC37" s="505"/>
      <c r="AD37" s="505"/>
      <c r="AE37" s="505"/>
      <c r="AF37" s="505"/>
      <c r="AG37" s="505"/>
      <c r="AH37" s="505"/>
      <c r="AI37" s="505"/>
      <c r="AJ37" s="505"/>
      <c r="AK37" s="505"/>
      <c r="AL37" s="505"/>
      <c r="AM37" s="505"/>
      <c r="AN37" s="505"/>
      <c r="AO37" s="505"/>
      <c r="AP37" s="505"/>
      <c r="AQ37" s="505"/>
      <c r="AR37" s="505"/>
      <c r="AS37" s="505"/>
      <c r="AT37" s="505"/>
      <c r="AU37" s="505"/>
      <c r="AV37" s="505"/>
      <c r="AW37" s="505"/>
      <c r="AX37" s="505"/>
      <c r="AY37" s="505"/>
      <c r="AZ37" s="505"/>
      <c r="BA37" s="505"/>
      <c r="BB37" s="505"/>
      <c r="BC37" s="505"/>
      <c r="BD37" s="505"/>
      <c r="BE37" s="505"/>
      <c r="BF37" s="505"/>
      <c r="BG37" s="505"/>
      <c r="BH37" s="505"/>
      <c r="BI37" s="505"/>
      <c r="BJ37" s="505"/>
      <c r="BK37" s="505"/>
      <c r="BL37" s="505"/>
      <c r="BM37" s="505"/>
      <c r="BN37" s="505"/>
      <c r="BO37" s="505"/>
      <c r="BP37" s="505"/>
      <c r="BQ37" s="505"/>
      <c r="BR37" s="505"/>
      <c r="BS37" s="505"/>
      <c r="BT37" s="505"/>
      <c r="BU37" s="505"/>
      <c r="BV37" s="505"/>
      <c r="BW37" s="505"/>
      <c r="BX37" s="505"/>
      <c r="BY37" s="505"/>
      <c r="BZ37" s="505"/>
      <c r="CA37" s="505"/>
      <c r="CB37" s="505"/>
      <c r="CC37" s="505"/>
      <c r="CD37" s="505"/>
      <c r="CE37" s="505"/>
      <c r="CF37" s="505"/>
      <c r="CG37" s="505"/>
      <c r="CH37" s="505"/>
      <c r="CI37" s="505"/>
      <c r="CJ37" s="505"/>
      <c r="CK37" s="505"/>
      <c r="CL37" s="505"/>
      <c r="CM37" s="505"/>
      <c r="CN37" s="505"/>
      <c r="CO37" s="505"/>
      <c r="CP37" s="505"/>
      <c r="CQ37" s="505"/>
      <c r="CR37" s="505"/>
      <c r="CS37" s="505"/>
      <c r="CT37" s="505"/>
      <c r="CU37" s="505"/>
    </row>
    <row r="38" spans="1:99" ht="20.100000000000001" customHeight="1">
      <c r="A38" s="1206">
        <v>33</v>
      </c>
      <c r="B38" s="62" t="s">
        <v>83</v>
      </c>
      <c r="C38" s="428">
        <f>'T-1'!G64+'T-1'!G65</f>
        <v>1172.447299705</v>
      </c>
      <c r="D38" s="430">
        <f t="shared" si="0"/>
        <v>15.939086592247822</v>
      </c>
      <c r="E38" s="428">
        <f>'T-1'!K64+'T-1'!K65</f>
        <v>1021.76963624</v>
      </c>
      <c r="F38" s="430">
        <f t="shared" si="1"/>
        <v>21.20961434465557</v>
      </c>
      <c r="G38" s="428">
        <f>'T-1'!N64+'T-1'!N65-E38</f>
        <v>1824.0103637600002</v>
      </c>
      <c r="H38" s="430">
        <f t="shared" si="2"/>
        <v>34.719797798165999</v>
      </c>
      <c r="I38" s="428">
        <f>'T-1'!S64+'T-1'!S65</f>
        <v>2968.5</v>
      </c>
      <c r="J38" s="1258">
        <f t="shared" si="3"/>
        <v>28.319977098202635</v>
      </c>
      <c r="K38" s="306"/>
      <c r="L38" s="287" t="s">
        <v>2116</v>
      </c>
      <c r="M38" s="1022" t="s">
        <v>164</v>
      </c>
      <c r="N38" s="1022" t="s">
        <v>165</v>
      </c>
      <c r="O38" s="1022" t="s">
        <v>166</v>
      </c>
      <c r="P38" s="1022" t="s">
        <v>167</v>
      </c>
      <c r="Q38" s="1022" t="s">
        <v>147</v>
      </c>
      <c r="R38" s="1022" t="s">
        <v>2117</v>
      </c>
      <c r="S38" s="1022" t="s">
        <v>2118</v>
      </c>
      <c r="T38" s="1022" t="s">
        <v>2119</v>
      </c>
      <c r="U38" s="505"/>
      <c r="V38" s="505"/>
      <c r="W38" s="505"/>
      <c r="X38" s="505"/>
      <c r="Y38" s="505"/>
      <c r="Z38" s="505"/>
      <c r="AA38" s="505"/>
      <c r="AB38" s="505"/>
      <c r="AC38" s="505"/>
      <c r="AD38" s="505"/>
      <c r="AE38" s="505"/>
      <c r="AF38" s="505"/>
      <c r="AG38" s="505"/>
      <c r="AH38" s="505"/>
      <c r="AI38" s="505"/>
      <c r="AJ38" s="505"/>
      <c r="AK38" s="505"/>
      <c r="AL38" s="505"/>
      <c r="AM38" s="505"/>
      <c r="AN38" s="505"/>
      <c r="AO38" s="505"/>
      <c r="AP38" s="505"/>
      <c r="AQ38" s="505"/>
      <c r="AR38" s="505"/>
      <c r="AS38" s="505"/>
      <c r="AT38" s="505"/>
      <c r="AU38" s="505"/>
      <c r="AV38" s="505"/>
      <c r="AW38" s="505"/>
      <c r="AX38" s="505"/>
      <c r="AY38" s="505"/>
      <c r="AZ38" s="505"/>
      <c r="BA38" s="505"/>
      <c r="BB38" s="505"/>
      <c r="BC38" s="505"/>
      <c r="BD38" s="505"/>
      <c r="BE38" s="505"/>
      <c r="BF38" s="505"/>
      <c r="BG38" s="505"/>
      <c r="BH38" s="505"/>
      <c r="BI38" s="505"/>
      <c r="BJ38" s="505"/>
      <c r="BK38" s="505"/>
      <c r="BL38" s="505"/>
      <c r="BM38" s="505"/>
      <c r="BN38" s="505"/>
      <c r="BO38" s="505"/>
      <c r="BP38" s="505"/>
      <c r="BQ38" s="505"/>
      <c r="BR38" s="505"/>
      <c r="BS38" s="505"/>
      <c r="BT38" s="505"/>
      <c r="BU38" s="505"/>
      <c r="BV38" s="505"/>
      <c r="BW38" s="505"/>
      <c r="BX38" s="505"/>
      <c r="BY38" s="505"/>
      <c r="BZ38" s="505"/>
      <c r="CA38" s="505"/>
      <c r="CB38" s="505"/>
      <c r="CC38" s="505"/>
      <c r="CD38" s="505"/>
      <c r="CE38" s="505"/>
      <c r="CF38" s="505"/>
      <c r="CG38" s="505"/>
      <c r="CH38" s="505"/>
      <c r="CI38" s="505"/>
      <c r="CJ38" s="505"/>
      <c r="CK38" s="505"/>
      <c r="CL38" s="505"/>
      <c r="CM38" s="505"/>
      <c r="CN38" s="505"/>
      <c r="CO38" s="505"/>
      <c r="CP38" s="505"/>
      <c r="CQ38" s="505"/>
      <c r="CR38" s="505"/>
      <c r="CS38" s="505"/>
      <c r="CT38" s="505"/>
      <c r="CU38" s="505"/>
    </row>
    <row r="39" spans="1:99" ht="20.100000000000001" customHeight="1">
      <c r="A39" s="1206">
        <v>34</v>
      </c>
      <c r="B39" s="62" t="s">
        <v>93</v>
      </c>
      <c r="C39" s="428">
        <f>'T-1'!G66</f>
        <v>6.7701200000000004</v>
      </c>
      <c r="D39" s="430">
        <f t="shared" si="0"/>
        <v>9.2037850184873982E-2</v>
      </c>
      <c r="E39" s="428">
        <f>'T-1'!K66</f>
        <v>3.6318244000000002</v>
      </c>
      <c r="F39" s="430">
        <f t="shared" si="1"/>
        <v>7.5388416487859794E-2</v>
      </c>
      <c r="G39" s="428">
        <f>'T-1'!N66-E39</f>
        <v>3.5881755999999996</v>
      </c>
      <c r="H39" s="430">
        <f t="shared" si="2"/>
        <v>6.8300451451110855E-2</v>
      </c>
      <c r="I39" s="428">
        <f>'T-1'!S66</f>
        <v>7.5</v>
      </c>
      <c r="J39" s="1258">
        <f t="shared" si="3"/>
        <v>7.1551230667515509E-2</v>
      </c>
      <c r="K39" s="306"/>
      <c r="L39" s="573" t="s">
        <v>286</v>
      </c>
      <c r="M39" s="1023">
        <v>37.325000000000003</v>
      </c>
      <c r="N39" s="1023">
        <v>82.888000000000005</v>
      </c>
      <c r="O39" s="1023">
        <v>91.194999999999993</v>
      </c>
      <c r="P39" s="1023">
        <v>186.36500000000001</v>
      </c>
      <c r="Q39" s="1022">
        <f>M39+N39+O39+P39</f>
        <v>397.77300000000002</v>
      </c>
      <c r="R39" s="1024">
        <f>1589-690</f>
        <v>899</v>
      </c>
      <c r="S39" s="1024">
        <f>Q39+R39</f>
        <v>1296.7730000000001</v>
      </c>
      <c r="T39" s="1024">
        <f>2100-S39</f>
        <v>803.22699999999986</v>
      </c>
      <c r="U39" s="505"/>
      <c r="V39" s="505"/>
      <c r="W39" s="505"/>
      <c r="X39" s="505"/>
      <c r="Y39" s="505"/>
      <c r="Z39" s="505"/>
      <c r="AA39" s="505"/>
      <c r="AB39" s="505"/>
      <c r="AC39" s="505"/>
      <c r="AD39" s="505"/>
      <c r="AE39" s="505"/>
      <c r="AF39" s="505"/>
      <c r="AG39" s="505"/>
      <c r="AH39" s="505"/>
      <c r="AI39" s="505"/>
      <c r="AJ39" s="505"/>
      <c r="AK39" s="505"/>
      <c r="AL39" s="505"/>
      <c r="AM39" s="505"/>
      <c r="AN39" s="505"/>
      <c r="AO39" s="505"/>
      <c r="AP39" s="505"/>
      <c r="AQ39" s="505"/>
      <c r="AR39" s="505"/>
      <c r="AS39" s="505"/>
      <c r="AT39" s="505"/>
      <c r="AU39" s="505"/>
      <c r="AV39" s="505"/>
      <c r="AW39" s="505"/>
      <c r="AX39" s="505"/>
      <c r="AY39" s="505"/>
      <c r="AZ39" s="505"/>
      <c r="BA39" s="505"/>
      <c r="BB39" s="505"/>
      <c r="BC39" s="505"/>
      <c r="BD39" s="505"/>
      <c r="BE39" s="505"/>
      <c r="BF39" s="505"/>
      <c r="BG39" s="505"/>
      <c r="BH39" s="505"/>
      <c r="BI39" s="505"/>
      <c r="BJ39" s="505"/>
      <c r="BK39" s="505"/>
      <c r="BL39" s="505"/>
      <c r="BM39" s="505"/>
      <c r="BN39" s="505"/>
      <c r="BO39" s="505"/>
      <c r="BP39" s="505"/>
      <c r="BQ39" s="505"/>
      <c r="BR39" s="505"/>
      <c r="BS39" s="505"/>
      <c r="BT39" s="505"/>
      <c r="BU39" s="505"/>
      <c r="BV39" s="505"/>
      <c r="BW39" s="505"/>
      <c r="BX39" s="505"/>
      <c r="BY39" s="505"/>
      <c r="BZ39" s="505"/>
      <c r="CA39" s="505"/>
      <c r="CB39" s="505"/>
      <c r="CC39" s="505"/>
      <c r="CD39" s="505"/>
      <c r="CE39" s="505"/>
      <c r="CF39" s="505"/>
      <c r="CG39" s="505"/>
      <c r="CH39" s="505"/>
      <c r="CI39" s="505"/>
      <c r="CJ39" s="505"/>
      <c r="CK39" s="505"/>
      <c r="CL39" s="505"/>
      <c r="CM39" s="505"/>
      <c r="CN39" s="505"/>
      <c r="CO39" s="505"/>
      <c r="CP39" s="505"/>
      <c r="CQ39" s="505"/>
      <c r="CR39" s="505"/>
      <c r="CS39" s="505"/>
      <c r="CT39" s="505"/>
      <c r="CU39" s="505"/>
    </row>
    <row r="40" spans="1:99" ht="20.100000000000001" customHeight="1">
      <c r="A40" s="1206">
        <v>35</v>
      </c>
      <c r="B40" s="62" t="s">
        <v>86</v>
      </c>
      <c r="C40" s="428">
        <f>'T-1'!G67</f>
        <v>3.4121000000000006</v>
      </c>
      <c r="D40" s="430">
        <f t="shared" si="0"/>
        <v>4.6386526179123644E-2</v>
      </c>
      <c r="E40" s="428">
        <f>'T-1'!K67</f>
        <v>4.2032000000000007</v>
      </c>
      <c r="F40" s="430">
        <f t="shared" si="1"/>
        <v>8.7248874747846372E-2</v>
      </c>
      <c r="G40" s="428">
        <f>'T-1'!N67-E40</f>
        <v>0.79679999999999929</v>
      </c>
      <c r="H40" s="430">
        <f t="shared" si="2"/>
        <v>1.5166983387391935E-2</v>
      </c>
      <c r="I40" s="428">
        <f>'T-1'!S67</f>
        <v>2</v>
      </c>
      <c r="J40" s="1258">
        <f t="shared" si="3"/>
        <v>1.9080328178004133E-2</v>
      </c>
      <c r="K40" s="306"/>
      <c r="L40" s="505"/>
      <c r="M40" s="505"/>
      <c r="N40" s="505"/>
      <c r="O40" s="505"/>
      <c r="P40" s="505"/>
      <c r="Q40" s="505"/>
      <c r="R40" s="505"/>
      <c r="S40" s="505"/>
      <c r="T40" s="505"/>
      <c r="U40" s="505"/>
      <c r="V40" s="505"/>
      <c r="W40" s="505"/>
      <c r="X40" s="505"/>
      <c r="Y40" s="505"/>
      <c r="Z40" s="505"/>
      <c r="AA40" s="505"/>
      <c r="AB40" s="505"/>
      <c r="AC40" s="505"/>
      <c r="AD40" s="505"/>
      <c r="AE40" s="505"/>
      <c r="AF40" s="505"/>
      <c r="AG40" s="505"/>
      <c r="AH40" s="505"/>
      <c r="AI40" s="505"/>
      <c r="AJ40" s="505"/>
      <c r="AK40" s="505"/>
      <c r="AL40" s="505"/>
      <c r="AM40" s="505"/>
      <c r="AN40" s="505"/>
      <c r="AO40" s="505"/>
      <c r="AP40" s="505"/>
      <c r="AQ40" s="505"/>
      <c r="AR40" s="505"/>
      <c r="AS40" s="505"/>
      <c r="AT40" s="505"/>
      <c r="AU40" s="505"/>
      <c r="AV40" s="505"/>
      <c r="AW40" s="505"/>
      <c r="AX40" s="505"/>
      <c r="AY40" s="505"/>
      <c r="AZ40" s="505"/>
      <c r="BA40" s="505"/>
      <c r="BB40" s="505"/>
      <c r="BC40" s="505"/>
      <c r="BD40" s="505"/>
      <c r="BE40" s="505"/>
      <c r="BF40" s="505"/>
      <c r="BG40" s="505"/>
      <c r="BH40" s="505"/>
      <c r="BI40" s="505"/>
      <c r="BJ40" s="505"/>
      <c r="BK40" s="505"/>
      <c r="BL40" s="505"/>
      <c r="BM40" s="505"/>
      <c r="BN40" s="505"/>
      <c r="BO40" s="505"/>
      <c r="BP40" s="505"/>
      <c r="BQ40" s="505"/>
      <c r="BR40" s="505"/>
      <c r="BS40" s="505"/>
      <c r="BT40" s="505"/>
      <c r="BU40" s="505"/>
      <c r="BV40" s="505"/>
      <c r="BW40" s="505"/>
      <c r="BX40" s="505"/>
      <c r="BY40" s="505"/>
      <c r="BZ40" s="505"/>
      <c r="CA40" s="505"/>
      <c r="CB40" s="505"/>
      <c r="CC40" s="505"/>
      <c r="CD40" s="505"/>
      <c r="CE40" s="505"/>
      <c r="CF40" s="505"/>
      <c r="CG40" s="505"/>
      <c r="CH40" s="505"/>
      <c r="CI40" s="505"/>
      <c r="CJ40" s="505"/>
      <c r="CK40" s="505"/>
      <c r="CL40" s="505"/>
      <c r="CM40" s="505"/>
      <c r="CN40" s="505"/>
      <c r="CO40" s="505"/>
      <c r="CP40" s="505"/>
      <c r="CQ40" s="505"/>
      <c r="CR40" s="505"/>
      <c r="CS40" s="505"/>
      <c r="CT40" s="505"/>
      <c r="CU40" s="505"/>
    </row>
    <row r="41" spans="1:99" ht="20.100000000000001" customHeight="1">
      <c r="A41" s="1206">
        <v>36</v>
      </c>
      <c r="B41" s="62" t="s">
        <v>87</v>
      </c>
      <c r="C41" s="428">
        <f>'T-1'!G68</f>
        <v>61.929000000000002</v>
      </c>
      <c r="D41" s="430">
        <f t="shared" si="0"/>
        <v>0.84190708940152637</v>
      </c>
      <c r="E41" s="428">
        <f>'T-1'!K68</f>
        <v>35.903651439999997</v>
      </c>
      <c r="F41" s="430">
        <f t="shared" si="1"/>
        <v>0.7452781660351383</v>
      </c>
      <c r="G41" s="428">
        <f>'T-1'!N68-E41</f>
        <v>34.096348560000003</v>
      </c>
      <c r="H41" s="430">
        <f t="shared" si="2"/>
        <v>0.6490195182985008</v>
      </c>
      <c r="I41" s="428">
        <f>'T-1'!S68</f>
        <v>72</v>
      </c>
      <c r="J41" s="1258">
        <f t="shared" si="3"/>
        <v>0.68689181440814884</v>
      </c>
      <c r="K41" s="306"/>
      <c r="L41" s="402"/>
      <c r="M41" s="602"/>
      <c r="O41" s="604"/>
      <c r="P41" s="604"/>
      <c r="Q41" s="604"/>
      <c r="R41" s="604"/>
      <c r="S41" s="505"/>
      <c r="T41" s="505"/>
      <c r="U41" s="505"/>
      <c r="V41" s="505"/>
      <c r="W41" s="505"/>
      <c r="X41" s="505"/>
      <c r="Y41" s="505"/>
      <c r="Z41" s="505"/>
      <c r="AA41" s="505"/>
      <c r="AB41" s="505"/>
      <c r="AC41" s="505"/>
      <c r="AD41" s="505"/>
      <c r="AE41" s="505"/>
      <c r="AF41" s="505"/>
      <c r="AG41" s="505"/>
      <c r="AH41" s="505"/>
      <c r="AI41" s="505"/>
      <c r="AJ41" s="505"/>
      <c r="AK41" s="505"/>
      <c r="AL41" s="505"/>
      <c r="AM41" s="505"/>
      <c r="AN41" s="505"/>
      <c r="AO41" s="505"/>
      <c r="AP41" s="505"/>
      <c r="AQ41" s="505"/>
      <c r="AR41" s="505"/>
      <c r="AS41" s="505"/>
      <c r="AT41" s="505"/>
      <c r="AU41" s="505"/>
      <c r="AV41" s="505"/>
      <c r="AW41" s="505"/>
      <c r="AX41" s="505"/>
      <c r="AY41" s="505"/>
      <c r="AZ41" s="505"/>
      <c r="BA41" s="505"/>
      <c r="BB41" s="505"/>
      <c r="BC41" s="505"/>
      <c r="BD41" s="505"/>
      <c r="BE41" s="505"/>
      <c r="BF41" s="505"/>
      <c r="BG41" s="505"/>
      <c r="BH41" s="505"/>
      <c r="BI41" s="505"/>
      <c r="BJ41" s="505"/>
      <c r="BK41" s="505"/>
      <c r="BL41" s="505"/>
      <c r="BM41" s="505"/>
      <c r="BN41" s="505"/>
      <c r="BO41" s="505"/>
      <c r="BP41" s="505"/>
      <c r="BQ41" s="505"/>
      <c r="BR41" s="505"/>
      <c r="BS41" s="505"/>
      <c r="BT41" s="505"/>
      <c r="BU41" s="505"/>
      <c r="BV41" s="505"/>
      <c r="BW41" s="505"/>
      <c r="BX41" s="505"/>
      <c r="BY41" s="505"/>
      <c r="BZ41" s="505"/>
      <c r="CA41" s="505"/>
      <c r="CB41" s="505"/>
      <c r="CC41" s="505"/>
      <c r="CD41" s="505"/>
      <c r="CE41" s="505"/>
      <c r="CF41" s="505"/>
      <c r="CG41" s="505"/>
      <c r="CH41" s="505"/>
      <c r="CI41" s="505"/>
      <c r="CJ41" s="505"/>
      <c r="CK41" s="505"/>
      <c r="CL41" s="505"/>
      <c r="CM41" s="505"/>
      <c r="CN41" s="505"/>
      <c r="CO41" s="505"/>
      <c r="CP41" s="505"/>
      <c r="CQ41" s="505"/>
      <c r="CR41" s="505"/>
      <c r="CS41" s="505"/>
      <c r="CT41" s="505"/>
      <c r="CU41" s="505"/>
    </row>
    <row r="42" spans="1:99" ht="20.100000000000001" customHeight="1">
      <c r="A42" s="1206">
        <v>37</v>
      </c>
      <c r="B42" s="427" t="s">
        <v>611</v>
      </c>
      <c r="C42" s="110">
        <f>SUM(C6:C41)</f>
        <v>7355.7998001920296</v>
      </c>
      <c r="D42" s="429">
        <f>SUM(D6:D41)</f>
        <v>100.00000000000003</v>
      </c>
      <c r="E42" s="110">
        <f>SUM(E6:E41)</f>
        <v>4817.4833339082707</v>
      </c>
      <c r="F42" s="429">
        <f>SUM(F6:F41)</f>
        <v>99.999999999999972</v>
      </c>
      <c r="G42" s="110">
        <f>SUM(G6:G41)</f>
        <v>5253.5166660917293</v>
      </c>
      <c r="H42" s="110"/>
      <c r="I42" s="110">
        <f>SUM(I6:I41)</f>
        <v>10482.000002000001</v>
      </c>
      <c r="J42" s="1259">
        <f>SUM(J6:J41)</f>
        <v>99.999999999999957</v>
      </c>
      <c r="K42" s="306"/>
      <c r="L42" s="239" t="s">
        <v>612</v>
      </c>
      <c r="M42" s="505"/>
      <c r="N42" s="505" t="s">
        <v>613</v>
      </c>
      <c r="O42" s="505" t="s">
        <v>147</v>
      </c>
      <c r="P42" s="505"/>
      <c r="Q42" s="505"/>
      <c r="R42" s="505"/>
      <c r="S42" s="505"/>
      <c r="T42" s="505"/>
      <c r="U42" s="505"/>
      <c r="V42" s="505"/>
      <c r="W42" s="505"/>
      <c r="X42" s="505"/>
      <c r="Y42" s="505"/>
      <c r="Z42" s="505"/>
      <c r="AA42" s="505"/>
      <c r="AB42" s="505"/>
      <c r="AC42" s="505"/>
      <c r="AD42" s="505"/>
      <c r="AE42" s="505"/>
      <c r="AF42" s="505"/>
      <c r="AG42" s="505"/>
      <c r="AH42" s="505"/>
      <c r="AI42" s="505"/>
      <c r="AJ42" s="505"/>
      <c r="AK42" s="505"/>
      <c r="AL42" s="505"/>
      <c r="AM42" s="505"/>
      <c r="AN42" s="505"/>
      <c r="AO42" s="505"/>
      <c r="AP42" s="505"/>
      <c r="AQ42" s="505"/>
      <c r="AR42" s="505"/>
      <c r="AS42" s="505"/>
      <c r="AT42" s="505"/>
      <c r="AU42" s="505"/>
      <c r="AV42" s="505"/>
      <c r="AW42" s="505"/>
      <c r="AX42" s="505"/>
      <c r="AY42" s="505"/>
      <c r="AZ42" s="505"/>
      <c r="BA42" s="505"/>
      <c r="BB42" s="505"/>
      <c r="BC42" s="505"/>
      <c r="BD42" s="505"/>
      <c r="BE42" s="505"/>
      <c r="BF42" s="505"/>
      <c r="BG42" s="505"/>
      <c r="BH42" s="505"/>
      <c r="BI42" s="505"/>
      <c r="BJ42" s="505"/>
      <c r="BK42" s="505"/>
      <c r="BL42" s="505"/>
      <c r="BM42" s="505"/>
      <c r="BN42" s="505"/>
      <c r="BO42" s="505"/>
      <c r="BP42" s="505"/>
      <c r="BQ42" s="505"/>
      <c r="BR42" s="505"/>
      <c r="BS42" s="505"/>
      <c r="BT42" s="505"/>
      <c r="BU42" s="505"/>
      <c r="BV42" s="505"/>
      <c r="BW42" s="505"/>
      <c r="BX42" s="505"/>
      <c r="BY42" s="505"/>
      <c r="BZ42" s="505"/>
      <c r="CA42" s="505"/>
      <c r="CB42" s="505"/>
      <c r="CC42" s="505"/>
      <c r="CD42" s="505"/>
      <c r="CE42" s="505"/>
      <c r="CF42" s="505"/>
      <c r="CG42" s="505"/>
      <c r="CH42" s="505"/>
      <c r="CI42" s="505"/>
      <c r="CJ42" s="505"/>
      <c r="CK42" s="505"/>
      <c r="CL42" s="505"/>
      <c r="CM42" s="505"/>
      <c r="CN42" s="505"/>
      <c r="CO42" s="505"/>
      <c r="CP42" s="505"/>
      <c r="CQ42" s="505"/>
      <c r="CR42" s="505"/>
      <c r="CS42" s="505"/>
      <c r="CT42" s="505"/>
      <c r="CU42" s="505"/>
    </row>
    <row r="43" spans="1:99" ht="20.100000000000001" customHeight="1">
      <c r="A43" s="1206">
        <v>38</v>
      </c>
      <c r="B43" s="427" t="s">
        <v>614</v>
      </c>
      <c r="C43" s="378">
        <f>C44-C42</f>
        <v>1957.4068039431058</v>
      </c>
      <c r="D43" s="378"/>
      <c r="E43" s="378">
        <f>E44-E42</f>
        <v>1529.0501429917294</v>
      </c>
      <c r="F43" s="378"/>
      <c r="G43" s="378">
        <f>G44-G42</f>
        <v>699.94985700827056</v>
      </c>
      <c r="H43" s="378"/>
      <c r="I43" s="378">
        <f>I44-I42</f>
        <v>2317.9999979999993</v>
      </c>
      <c r="J43" s="1209"/>
      <c r="K43" s="306"/>
      <c r="L43"/>
      <c r="M43" s="643" t="s">
        <v>615</v>
      </c>
      <c r="N43" s="505"/>
      <c r="O43" s="505"/>
      <c r="P43" s="505"/>
      <c r="Q43" s="505"/>
      <c r="R43" s="505"/>
      <c r="S43" s="505"/>
      <c r="T43" s="505"/>
      <c r="U43" s="505"/>
      <c r="V43" s="505"/>
      <c r="W43" s="505"/>
      <c r="X43" s="505"/>
      <c r="Y43" s="505"/>
      <c r="Z43" s="505"/>
      <c r="AA43" s="505"/>
      <c r="AB43" s="505"/>
      <c r="AC43" s="505"/>
      <c r="AD43" s="505"/>
      <c r="AE43" s="505"/>
      <c r="AF43" s="505"/>
      <c r="AG43" s="505"/>
      <c r="AH43" s="505"/>
      <c r="AI43" s="505"/>
      <c r="AJ43" s="505"/>
      <c r="AK43" s="505"/>
      <c r="AL43" s="505"/>
      <c r="AM43" s="505"/>
      <c r="AN43" s="505"/>
      <c r="AO43" s="505"/>
      <c r="AP43" s="505"/>
      <c r="AQ43" s="505"/>
      <c r="AR43" s="505"/>
      <c r="AS43" s="505"/>
      <c r="AT43" s="505"/>
      <c r="AU43" s="505"/>
      <c r="AV43" s="505"/>
      <c r="AW43" s="505"/>
      <c r="AX43" s="505"/>
      <c r="AY43" s="505"/>
      <c r="AZ43" s="505"/>
      <c r="BA43" s="505"/>
      <c r="BB43" s="505"/>
      <c r="BC43" s="505"/>
      <c r="BD43" s="505"/>
      <c r="BE43" s="505"/>
      <c r="BF43" s="505"/>
      <c r="BG43" s="505"/>
      <c r="BH43" s="505"/>
      <c r="BI43" s="505"/>
      <c r="BJ43" s="505"/>
      <c r="BK43" s="505"/>
      <c r="BL43" s="505"/>
      <c r="BM43" s="505"/>
      <c r="BN43" s="505"/>
      <c r="BO43" s="505"/>
      <c r="BP43" s="505"/>
      <c r="BQ43" s="505"/>
      <c r="BR43" s="505"/>
      <c r="BS43" s="505"/>
      <c r="BT43" s="505"/>
      <c r="BU43" s="505"/>
      <c r="BV43" s="505"/>
      <c r="BW43" s="505"/>
      <c r="BX43" s="505"/>
      <c r="BY43" s="505"/>
      <c r="BZ43" s="505"/>
      <c r="CA43" s="505"/>
      <c r="CB43" s="505"/>
      <c r="CC43" s="505"/>
      <c r="CD43" s="505"/>
      <c r="CE43" s="505"/>
      <c r="CF43" s="505"/>
      <c r="CG43" s="505"/>
      <c r="CH43" s="505"/>
      <c r="CI43" s="505"/>
      <c r="CJ43" s="505"/>
      <c r="CK43" s="505"/>
      <c r="CL43" s="505"/>
      <c r="CM43" s="505"/>
      <c r="CN43" s="505"/>
      <c r="CO43" s="505"/>
      <c r="CP43" s="505"/>
      <c r="CQ43" s="505"/>
      <c r="CR43" s="505"/>
      <c r="CS43" s="505"/>
      <c r="CT43" s="505"/>
      <c r="CU43" s="505"/>
    </row>
    <row r="44" spans="1:99" ht="20.100000000000001" customHeight="1">
      <c r="A44" s="1206">
        <v>39</v>
      </c>
      <c r="B44" s="427" t="s">
        <v>616</v>
      </c>
      <c r="C44" s="110">
        <f>'T-1'!G73</f>
        <v>9313.2066041351354</v>
      </c>
      <c r="D44" s="110"/>
      <c r="E44" s="110">
        <f>'T-4 '!J5</f>
        <v>6346.5334769000001</v>
      </c>
      <c r="F44" s="110"/>
      <c r="G44" s="110">
        <f>'T-1'!N73-E44</f>
        <v>5953.4665230999999</v>
      </c>
      <c r="H44" s="110"/>
      <c r="I44" s="110">
        <f>'T-1'!S73</f>
        <v>12800</v>
      </c>
      <c r="J44" s="1209"/>
      <c r="K44" s="306"/>
      <c r="L44" s="852" t="s">
        <v>2109</v>
      </c>
      <c r="M44" s="7">
        <f>21436771530/100000</f>
        <v>214367.71530000001</v>
      </c>
      <c r="N44" s="567">
        <f>(G46-899)*360/10</f>
        <v>181960.79483159998</v>
      </c>
      <c r="O44" s="567">
        <f t="shared" ref="O44:O49" si="4">N44+M44</f>
        <v>396328.51013159996</v>
      </c>
      <c r="P44" s="1025"/>
      <c r="Q44" s="505"/>
      <c r="R44" s="505"/>
      <c r="S44" s="505"/>
      <c r="T44" s="505"/>
      <c r="U44" s="505"/>
      <c r="V44" s="505"/>
      <c r="W44" s="505"/>
      <c r="X44" s="505"/>
      <c r="Y44" s="505"/>
      <c r="Z44" s="505"/>
      <c r="AA44" s="505"/>
      <c r="AB44" s="505"/>
      <c r="AC44" s="505"/>
      <c r="AD44" s="505"/>
      <c r="AE44" s="505"/>
      <c r="AF44" s="505"/>
      <c r="AG44" s="505"/>
      <c r="AH44" s="505"/>
      <c r="AI44" s="505"/>
      <c r="AJ44" s="505"/>
      <c r="AK44" s="505"/>
      <c r="AL44" s="505"/>
      <c r="AM44" s="505"/>
      <c r="AN44" s="505"/>
      <c r="AO44" s="505"/>
      <c r="AP44" s="505"/>
      <c r="AQ44" s="505"/>
      <c r="AR44" s="505"/>
      <c r="AS44" s="505"/>
      <c r="AT44" s="505"/>
      <c r="AU44" s="505"/>
      <c r="AV44" s="505"/>
      <c r="AW44" s="505"/>
      <c r="AX44" s="505"/>
      <c r="AY44" s="505"/>
      <c r="AZ44" s="505"/>
      <c r="BA44" s="505"/>
      <c r="BB44" s="505"/>
      <c r="BC44" s="505"/>
      <c r="BD44" s="505"/>
      <c r="BE44" s="505"/>
      <c r="BF44" s="505"/>
      <c r="BG44" s="505"/>
      <c r="BH44" s="505"/>
      <c r="BI44" s="505"/>
      <c r="BJ44" s="505"/>
      <c r="BK44" s="505"/>
      <c r="BL44" s="505"/>
      <c r="BM44" s="505"/>
      <c r="BN44" s="505"/>
      <c r="BO44" s="505"/>
      <c r="BP44" s="505"/>
      <c r="BQ44" s="505"/>
      <c r="BR44" s="505"/>
      <c r="BS44" s="505"/>
      <c r="BT44" s="505"/>
      <c r="BU44" s="505"/>
      <c r="BV44" s="505"/>
      <c r="BW44" s="505"/>
      <c r="BX44" s="505"/>
      <c r="BY44" s="505"/>
      <c r="BZ44" s="505"/>
      <c r="CA44" s="505"/>
      <c r="CB44" s="505"/>
      <c r="CC44" s="505"/>
      <c r="CD44" s="505"/>
      <c r="CE44" s="505"/>
      <c r="CF44" s="505"/>
      <c r="CG44" s="505"/>
      <c r="CH44" s="505"/>
      <c r="CI44" s="505"/>
      <c r="CJ44" s="505"/>
      <c r="CK44" s="505"/>
      <c r="CL44" s="505"/>
      <c r="CM44" s="505"/>
      <c r="CN44" s="505"/>
      <c r="CO44" s="505"/>
      <c r="CP44" s="505"/>
      <c r="CQ44" s="505"/>
      <c r="CR44" s="505"/>
      <c r="CS44" s="505"/>
      <c r="CT44" s="505"/>
      <c r="CU44" s="505"/>
    </row>
    <row r="45" spans="1:99" ht="20.100000000000001" customHeight="1">
      <c r="A45" s="1257" t="s">
        <v>521</v>
      </c>
      <c r="B45" s="427" t="s">
        <v>617</v>
      </c>
      <c r="C45" s="110"/>
      <c r="D45" s="110"/>
      <c r="E45" s="110"/>
      <c r="F45" s="110"/>
      <c r="G45" s="110"/>
      <c r="H45" s="110"/>
      <c r="I45" s="110"/>
      <c r="J45" s="1209"/>
      <c r="K45" s="306"/>
      <c r="L45" s="852" t="s">
        <v>2113</v>
      </c>
      <c r="M45" s="7">
        <f>(160961105+357426948+391058241+794031802)/100000</f>
        <v>17034.78096</v>
      </c>
      <c r="N45" s="567">
        <f>(1589-690)*426/10</f>
        <v>38297.4</v>
      </c>
      <c r="O45" s="567">
        <f t="shared" si="4"/>
        <v>55332.180959999998</v>
      </c>
      <c r="P45" s="1025"/>
      <c r="R45" s="505"/>
      <c r="S45" s="505"/>
      <c r="T45" s="505"/>
      <c r="U45" s="505"/>
      <c r="V45" s="505"/>
      <c r="W45" s="505"/>
      <c r="X45" s="505"/>
      <c r="Y45" s="505"/>
      <c r="Z45" s="505"/>
      <c r="AA45" s="505"/>
      <c r="AB45" s="505"/>
      <c r="AC45" s="505"/>
      <c r="AD45" s="505"/>
      <c r="AE45" s="505"/>
      <c r="AF45" s="505"/>
      <c r="AG45" s="505"/>
      <c r="AH45" s="505"/>
      <c r="AI45" s="505"/>
      <c r="AJ45" s="505"/>
      <c r="AK45" s="505"/>
      <c r="AL45" s="505"/>
      <c r="AM45" s="505"/>
      <c r="AN45" s="505"/>
      <c r="AO45" s="505"/>
      <c r="AP45" s="505"/>
      <c r="AQ45" s="505"/>
      <c r="AR45" s="505"/>
      <c r="AS45" s="505"/>
      <c r="AT45" s="505"/>
      <c r="AU45" s="505"/>
      <c r="AV45" s="505"/>
      <c r="AW45" s="505"/>
      <c r="AX45" s="505"/>
      <c r="AY45" s="505"/>
      <c r="AZ45" s="505"/>
      <c r="BA45" s="505"/>
      <c r="BB45" s="505"/>
      <c r="BC45" s="505"/>
      <c r="BD45" s="505"/>
      <c r="BE45" s="505"/>
      <c r="BF45" s="505"/>
      <c r="BG45" s="505"/>
      <c r="BH45" s="505"/>
      <c r="BI45" s="505"/>
      <c r="BJ45" s="505"/>
      <c r="BK45" s="505"/>
      <c r="BL45" s="505"/>
      <c r="BM45" s="505"/>
      <c r="BN45" s="505"/>
      <c r="BO45" s="505"/>
      <c r="BP45" s="505"/>
      <c r="BQ45" s="505"/>
      <c r="BR45" s="505"/>
      <c r="BS45" s="505"/>
      <c r="BT45" s="505"/>
      <c r="BU45" s="505"/>
      <c r="BV45" s="505"/>
      <c r="BW45" s="505"/>
      <c r="BX45" s="505"/>
      <c r="BY45" s="505"/>
      <c r="BZ45" s="505"/>
      <c r="CA45" s="505"/>
      <c r="CB45" s="505"/>
      <c r="CC45" s="505"/>
      <c r="CD45" s="505"/>
      <c r="CE45" s="505"/>
      <c r="CF45" s="505"/>
      <c r="CG45" s="505"/>
      <c r="CH45" s="505"/>
      <c r="CI45" s="505"/>
      <c r="CJ45" s="505"/>
      <c r="CK45" s="505"/>
      <c r="CL45" s="505"/>
      <c r="CM45" s="505"/>
      <c r="CN45" s="505"/>
      <c r="CO45" s="505"/>
      <c r="CP45" s="505"/>
      <c r="CQ45" s="505"/>
      <c r="CR45" s="505"/>
      <c r="CS45" s="505"/>
      <c r="CT45" s="505"/>
      <c r="CU45" s="505"/>
    </row>
    <row r="46" spans="1:99" ht="20.100000000000001" customHeight="1">
      <c r="A46" s="1257">
        <v>1</v>
      </c>
      <c r="B46" s="427" t="s">
        <v>618</v>
      </c>
      <c r="C46" s="110">
        <f>C44-C47</f>
        <v>9313.2066041351354</v>
      </c>
      <c r="D46" s="110"/>
      <c r="E46" s="110">
        <f>E44-E47</f>
        <v>6346.5334769000001</v>
      </c>
      <c r="F46" s="110"/>
      <c r="G46" s="110">
        <f>G44+G47</f>
        <v>5953.4665230999999</v>
      </c>
      <c r="H46" s="110"/>
      <c r="I46" s="110">
        <f>I44-I47</f>
        <v>12800</v>
      </c>
      <c r="J46" s="1209"/>
      <c r="K46" s="306"/>
      <c r="L46" s="506" t="s">
        <v>2110</v>
      </c>
      <c r="M46" s="7">
        <f>1742575767/100000</f>
        <v>17425.757669999999</v>
      </c>
      <c r="N46" s="567">
        <f>G46*28/10</f>
        <v>16669.70626468</v>
      </c>
      <c r="O46" s="567">
        <f t="shared" si="4"/>
        <v>34095.463934679996</v>
      </c>
      <c r="P46" s="1025"/>
      <c r="Q46" s="505"/>
      <c r="R46" s="505"/>
      <c r="S46" s="505"/>
      <c r="T46" s="505"/>
      <c r="U46" s="505"/>
      <c r="V46" s="505"/>
      <c r="W46" s="505"/>
      <c r="X46" s="505"/>
      <c r="Y46" s="505"/>
      <c r="Z46" s="505"/>
      <c r="AA46" s="505"/>
      <c r="AB46" s="505"/>
      <c r="AC46" s="505"/>
      <c r="AD46" s="505"/>
      <c r="AE46" s="505"/>
      <c r="AF46" s="505"/>
      <c r="AG46" s="505"/>
      <c r="AH46" s="505"/>
      <c r="AI46" s="505"/>
      <c r="AJ46" s="505"/>
      <c r="AK46" s="505"/>
      <c r="AL46" s="505"/>
      <c r="AM46" s="505"/>
      <c r="AN46" s="505"/>
      <c r="AO46" s="505"/>
      <c r="AP46" s="505"/>
      <c r="AQ46" s="505"/>
      <c r="AR46" s="505"/>
      <c r="AS46" s="505"/>
      <c r="AT46" s="505"/>
      <c r="AU46" s="505"/>
      <c r="AV46" s="505"/>
      <c r="AW46" s="505"/>
      <c r="AX46" s="505"/>
      <c r="AY46" s="505"/>
      <c r="AZ46" s="505"/>
      <c r="BA46" s="505"/>
      <c r="BB46" s="505"/>
      <c r="BC46" s="505"/>
      <c r="BD46" s="505"/>
      <c r="BE46" s="505"/>
      <c r="BF46" s="505"/>
      <c r="BG46" s="505"/>
      <c r="BH46" s="505"/>
      <c r="BI46" s="505"/>
      <c r="BJ46" s="505"/>
      <c r="BK46" s="505"/>
      <c r="BL46" s="505"/>
      <c r="BM46" s="505"/>
      <c r="BN46" s="505"/>
      <c r="BO46" s="505"/>
      <c r="BP46" s="505"/>
      <c r="BQ46" s="505"/>
      <c r="BR46" s="505"/>
      <c r="BS46" s="505"/>
      <c r="BT46" s="505"/>
      <c r="BU46" s="505"/>
      <c r="BV46" s="505"/>
      <c r="BW46" s="505"/>
      <c r="BX46" s="505"/>
      <c r="BY46" s="505"/>
      <c r="BZ46" s="505"/>
      <c r="CA46" s="505"/>
      <c r="CB46" s="505"/>
      <c r="CC46" s="505"/>
      <c r="CD46" s="505"/>
      <c r="CE46" s="505"/>
      <c r="CF46" s="505"/>
      <c r="CG46" s="505"/>
      <c r="CH46" s="505"/>
      <c r="CI46" s="505"/>
      <c r="CJ46" s="505"/>
      <c r="CK46" s="505"/>
      <c r="CL46" s="505"/>
      <c r="CM46" s="505"/>
      <c r="CN46" s="505"/>
      <c r="CO46" s="505"/>
      <c r="CP46" s="505"/>
      <c r="CQ46" s="505"/>
      <c r="CR46" s="505"/>
      <c r="CS46" s="505"/>
      <c r="CT46" s="505"/>
      <c r="CU46" s="505"/>
    </row>
    <row r="47" spans="1:99" ht="20.100000000000001" customHeight="1">
      <c r="A47" s="1257">
        <v>2</v>
      </c>
      <c r="B47" s="427" t="s">
        <v>619</v>
      </c>
      <c r="C47" s="110">
        <v>0</v>
      </c>
      <c r="D47" s="110"/>
      <c r="E47" s="110">
        <v>0</v>
      </c>
      <c r="F47" s="110"/>
      <c r="G47" s="378">
        <f>E47</f>
        <v>0</v>
      </c>
      <c r="H47" s="378"/>
      <c r="I47" s="378"/>
      <c r="J47" s="1209"/>
      <c r="K47" s="306"/>
      <c r="L47" s="506" t="s">
        <v>2111</v>
      </c>
      <c r="M47" s="7">
        <v>0</v>
      </c>
      <c r="N47" s="567">
        <f>M47*0</f>
        <v>0</v>
      </c>
      <c r="O47" s="567">
        <f t="shared" si="4"/>
        <v>0</v>
      </c>
      <c r="P47" s="505"/>
      <c r="Q47" s="505"/>
      <c r="R47" s="505"/>
      <c r="S47" s="505"/>
      <c r="T47" s="505"/>
      <c r="U47" s="505"/>
      <c r="V47" s="505"/>
      <c r="W47" s="505"/>
      <c r="X47" s="505"/>
      <c r="Y47" s="505"/>
      <c r="Z47" s="505"/>
      <c r="AA47" s="505"/>
      <c r="AB47" s="505"/>
      <c r="AC47" s="505"/>
      <c r="AD47" s="505"/>
      <c r="AE47" s="505"/>
      <c r="AF47" s="505"/>
      <c r="AG47" s="505"/>
      <c r="AH47" s="505"/>
      <c r="AI47" s="505"/>
      <c r="AJ47" s="505"/>
      <c r="AK47" s="505"/>
      <c r="AL47" s="505"/>
      <c r="AM47" s="505"/>
      <c r="AN47" s="505"/>
      <c r="AO47" s="505"/>
      <c r="AP47" s="505"/>
      <c r="AQ47" s="505"/>
      <c r="AR47" s="505"/>
      <c r="AS47" s="505"/>
      <c r="AT47" s="505"/>
      <c r="AU47" s="505"/>
      <c r="AV47" s="505"/>
      <c r="AW47" s="505"/>
      <c r="AX47" s="505"/>
      <c r="AY47" s="505"/>
      <c r="AZ47" s="505"/>
      <c r="BA47" s="505"/>
      <c r="BB47" s="505"/>
      <c r="BC47" s="505"/>
      <c r="BD47" s="505"/>
      <c r="BE47" s="505"/>
      <c r="BF47" s="505"/>
      <c r="BG47" s="505"/>
      <c r="BH47" s="505"/>
      <c r="BI47" s="505"/>
      <c r="BJ47" s="505"/>
      <c r="BK47" s="505"/>
      <c r="BL47" s="505"/>
      <c r="BM47" s="505"/>
      <c r="BN47" s="505"/>
      <c r="BO47" s="505"/>
      <c r="BP47" s="505"/>
      <c r="BQ47" s="505"/>
      <c r="BR47" s="505"/>
      <c r="BS47" s="505"/>
      <c r="BT47" s="505"/>
      <c r="BU47" s="505"/>
      <c r="BV47" s="505"/>
      <c r="BW47" s="505"/>
      <c r="BX47" s="505"/>
      <c r="BY47" s="505"/>
      <c r="BZ47" s="505"/>
      <c r="CA47" s="505"/>
      <c r="CB47" s="505"/>
      <c r="CC47" s="505"/>
      <c r="CD47" s="505"/>
      <c r="CE47" s="505"/>
      <c r="CF47" s="505"/>
      <c r="CG47" s="505"/>
      <c r="CH47" s="505"/>
      <c r="CI47" s="505"/>
      <c r="CJ47" s="505"/>
      <c r="CK47" s="505"/>
      <c r="CL47" s="505"/>
      <c r="CM47" s="505"/>
      <c r="CN47" s="505"/>
      <c r="CO47" s="505"/>
      <c r="CP47" s="505"/>
      <c r="CQ47" s="505"/>
      <c r="CR47" s="505"/>
      <c r="CS47" s="505"/>
      <c r="CT47" s="505"/>
      <c r="CU47" s="505"/>
    </row>
    <row r="48" spans="1:99" ht="20.100000000000001" customHeight="1">
      <c r="A48" s="1257">
        <v>3</v>
      </c>
      <c r="B48" s="427" t="s">
        <v>620</v>
      </c>
      <c r="C48" s="110">
        <f>C47+C46</f>
        <v>9313.2066041351354</v>
      </c>
      <c r="D48" s="110"/>
      <c r="E48" s="110">
        <f>E47+E46</f>
        <v>6346.5334769000001</v>
      </c>
      <c r="F48" s="110"/>
      <c r="G48" s="110">
        <f>G47+G46</f>
        <v>5953.4665230999999</v>
      </c>
      <c r="H48" s="110"/>
      <c r="I48" s="110">
        <f>I47+I46</f>
        <v>12800</v>
      </c>
      <c r="J48" s="1209"/>
      <c r="K48" s="306"/>
      <c r="L48" s="506" t="s">
        <v>2112</v>
      </c>
      <c r="M48" s="7">
        <f>(1389300*6)/100000</f>
        <v>83.358000000000004</v>
      </c>
      <c r="N48" s="7">
        <f>(1389300*6)/100000</f>
        <v>83.358000000000004</v>
      </c>
      <c r="O48" s="567">
        <f t="shared" si="4"/>
        <v>166.71600000000001</v>
      </c>
      <c r="P48" s="505"/>
      <c r="Q48" s="505"/>
      <c r="R48" s="505"/>
      <c r="S48" s="505"/>
      <c r="T48" s="505"/>
      <c r="U48" s="505"/>
      <c r="V48" s="505"/>
      <c r="W48" s="505"/>
      <c r="X48" s="505"/>
      <c r="Y48" s="505"/>
      <c r="Z48" s="505"/>
      <c r="AA48" s="505"/>
      <c r="AB48" s="505"/>
      <c r="AC48" s="505"/>
      <c r="AD48" s="505"/>
      <c r="AE48" s="505"/>
      <c r="AF48" s="505"/>
      <c r="AG48" s="505"/>
      <c r="AH48" s="505"/>
      <c r="AI48" s="505"/>
      <c r="AJ48" s="505"/>
      <c r="AK48" s="505"/>
      <c r="AL48" s="505"/>
      <c r="AM48" s="505"/>
      <c r="AN48" s="505"/>
      <c r="AO48" s="505"/>
      <c r="AP48" s="505"/>
      <c r="AQ48" s="505"/>
      <c r="AR48" s="505"/>
      <c r="AS48" s="505"/>
      <c r="AT48" s="505"/>
      <c r="AU48" s="505"/>
      <c r="AV48" s="505"/>
      <c r="AW48" s="505"/>
      <c r="AX48" s="505"/>
      <c r="AY48" s="505"/>
      <c r="AZ48" s="505"/>
      <c r="BA48" s="505"/>
      <c r="BB48" s="505"/>
      <c r="BC48" s="505"/>
      <c r="BD48" s="505"/>
      <c r="BE48" s="505"/>
      <c r="BF48" s="505"/>
      <c r="BG48" s="505"/>
      <c r="BH48" s="505"/>
      <c r="BI48" s="505"/>
      <c r="BJ48" s="505"/>
      <c r="BK48" s="505"/>
      <c r="BL48" s="505"/>
      <c r="BM48" s="505"/>
      <c r="BN48" s="505"/>
      <c r="BO48" s="505"/>
      <c r="BP48" s="505"/>
      <c r="BQ48" s="505"/>
      <c r="BR48" s="505"/>
      <c r="BS48" s="505"/>
      <c r="BT48" s="505"/>
      <c r="BU48" s="505"/>
      <c r="BV48" s="505"/>
      <c r="BW48" s="505"/>
      <c r="BX48" s="505"/>
      <c r="BY48" s="505"/>
      <c r="BZ48" s="505"/>
      <c r="CA48" s="505"/>
      <c r="CB48" s="505"/>
      <c r="CC48" s="505"/>
      <c r="CD48" s="505"/>
      <c r="CE48" s="505"/>
      <c r="CF48" s="505"/>
      <c r="CG48" s="505"/>
      <c r="CH48" s="505"/>
      <c r="CI48" s="505"/>
      <c r="CJ48" s="505"/>
      <c r="CK48" s="505"/>
      <c r="CL48" s="505"/>
      <c r="CM48" s="505"/>
      <c r="CN48" s="505"/>
      <c r="CO48" s="505"/>
      <c r="CP48" s="505"/>
      <c r="CQ48" s="505"/>
      <c r="CR48" s="505"/>
      <c r="CS48" s="505"/>
      <c r="CT48" s="505"/>
      <c r="CU48" s="505"/>
    </row>
    <row r="49" spans="1:99" ht="26.45" customHeight="1">
      <c r="A49" s="1206">
        <v>4</v>
      </c>
      <c r="B49" s="1026" t="s">
        <v>2120</v>
      </c>
      <c r="C49" s="110"/>
      <c r="D49" s="110"/>
      <c r="E49" s="430">
        <f>(M50-M49)/E46*10</f>
        <v>392.20089649882738</v>
      </c>
      <c r="F49" s="430"/>
      <c r="G49" s="430">
        <f>(N50-N49)/G46*10</f>
        <v>398.10631029275868</v>
      </c>
      <c r="H49" s="430"/>
      <c r="I49" s="430">
        <f>(M59-M58)/I46*10</f>
        <v>398.44274687500001</v>
      </c>
      <c r="J49" s="1209"/>
      <c r="K49" s="306"/>
      <c r="L49" t="s">
        <v>621</v>
      </c>
      <c r="M49" s="7">
        <f>E47*0.8378*10</f>
        <v>0</v>
      </c>
      <c r="N49" s="7">
        <f>G47*0.8378*10</f>
        <v>0</v>
      </c>
      <c r="O49" s="567">
        <f t="shared" si="4"/>
        <v>0</v>
      </c>
      <c r="P49" s="505"/>
      <c r="Q49" s="505"/>
      <c r="R49" s="505"/>
      <c r="S49" s="505"/>
      <c r="T49" s="505"/>
      <c r="U49" s="505"/>
      <c r="V49" s="505"/>
      <c r="W49" s="505"/>
      <c r="X49" s="505"/>
      <c r="Y49" s="505"/>
      <c r="Z49" s="505"/>
      <c r="AA49" s="505"/>
      <c r="AB49" s="505"/>
      <c r="AC49" s="505"/>
      <c r="AD49" s="505"/>
      <c r="AE49" s="505"/>
      <c r="AF49" s="505"/>
      <c r="AG49" s="505"/>
      <c r="AH49" s="505"/>
      <c r="AI49" s="505"/>
      <c r="AJ49" s="505"/>
      <c r="AK49" s="505"/>
      <c r="AL49" s="505"/>
      <c r="AM49" s="505"/>
      <c r="AN49" s="505"/>
      <c r="AO49" s="505"/>
      <c r="AP49" s="505"/>
      <c r="AQ49" s="505"/>
      <c r="AR49" s="505"/>
      <c r="AS49" s="505"/>
      <c r="AT49" s="505"/>
      <c r="AU49" s="505"/>
      <c r="AV49" s="505"/>
      <c r="AW49" s="505"/>
      <c r="AX49" s="505"/>
      <c r="AY49" s="505"/>
      <c r="AZ49" s="505"/>
      <c r="BA49" s="505"/>
      <c r="BB49" s="505"/>
      <c r="BC49" s="505"/>
      <c r="BD49" s="505"/>
      <c r="BE49" s="505"/>
      <c r="BF49" s="505"/>
      <c r="BG49" s="505"/>
      <c r="BH49" s="505"/>
      <c r="BI49" s="505"/>
      <c r="BJ49" s="505"/>
      <c r="BK49" s="505"/>
      <c r="BL49" s="505"/>
      <c r="BM49" s="505"/>
      <c r="BN49" s="505"/>
      <c r="BO49" s="505"/>
      <c r="BP49" s="505"/>
      <c r="BQ49" s="505"/>
      <c r="BR49" s="505"/>
      <c r="BS49" s="505"/>
      <c r="BT49" s="505"/>
      <c r="BU49" s="505"/>
      <c r="BV49" s="505"/>
      <c r="BW49" s="505"/>
      <c r="BX49" s="505"/>
      <c r="BY49" s="505"/>
      <c r="BZ49" s="505"/>
      <c r="CA49" s="505"/>
      <c r="CB49" s="505"/>
      <c r="CC49" s="505"/>
      <c r="CD49" s="505"/>
      <c r="CE49" s="505"/>
      <c r="CF49" s="505"/>
      <c r="CG49" s="505"/>
      <c r="CH49" s="505"/>
      <c r="CI49" s="505"/>
      <c r="CJ49" s="505"/>
      <c r="CK49" s="505"/>
      <c r="CL49" s="505"/>
      <c r="CM49" s="505"/>
      <c r="CN49" s="505"/>
      <c r="CO49" s="505"/>
      <c r="CP49" s="505"/>
      <c r="CQ49" s="505"/>
      <c r="CR49" s="505"/>
      <c r="CS49" s="505"/>
      <c r="CT49" s="505"/>
      <c r="CU49" s="505"/>
    </row>
    <row r="50" spans="1:99" ht="20.100000000000001" customHeight="1">
      <c r="A50" s="1206">
        <v>5</v>
      </c>
      <c r="B50" s="427" t="s">
        <v>622</v>
      </c>
      <c r="C50" s="110"/>
      <c r="D50" s="110"/>
      <c r="E50" s="430"/>
      <c r="F50" s="428"/>
      <c r="G50" s="430">
        <f>E50</f>
        <v>0</v>
      </c>
      <c r="H50" s="430"/>
      <c r="I50" s="430">
        <f>G50</f>
        <v>0</v>
      </c>
      <c r="J50" s="1209"/>
      <c r="K50" s="306"/>
      <c r="L50" s="1" t="s">
        <v>147</v>
      </c>
      <c r="M50" s="12">
        <f>SUM(M44:M49)</f>
        <v>248911.61193000001</v>
      </c>
      <c r="N50" s="12">
        <f>SUM(N44:N49)</f>
        <v>237011.25909627997</v>
      </c>
      <c r="O50" s="12">
        <f>SUM(O44:O49)</f>
        <v>485922.87102627999</v>
      </c>
      <c r="P50" s="505"/>
      <c r="Q50" s="505"/>
      <c r="R50" s="505"/>
      <c r="S50" s="505"/>
      <c r="T50" s="505"/>
      <c r="U50" s="505"/>
      <c r="V50" s="505"/>
      <c r="W50" s="505"/>
      <c r="X50" s="505"/>
      <c r="Y50" s="505"/>
      <c r="Z50" s="505"/>
      <c r="AA50" s="505"/>
      <c r="AB50" s="505"/>
      <c r="AC50" s="505"/>
      <c r="AD50" s="505"/>
      <c r="AE50" s="505"/>
      <c r="AF50" s="505"/>
      <c r="AG50" s="505"/>
      <c r="AH50" s="505"/>
      <c r="AI50" s="505"/>
      <c r="AJ50" s="505"/>
      <c r="AK50" s="505"/>
      <c r="AL50" s="505"/>
      <c r="AM50" s="505"/>
      <c r="AN50" s="505"/>
      <c r="AO50" s="505"/>
      <c r="AP50" s="505"/>
      <c r="AQ50" s="505"/>
      <c r="AR50" s="505"/>
      <c r="AS50" s="505"/>
      <c r="AT50" s="505"/>
      <c r="AU50" s="505"/>
      <c r="AV50" s="505"/>
      <c r="AW50" s="505"/>
      <c r="AX50" s="505"/>
      <c r="AY50" s="505"/>
      <c r="AZ50" s="505"/>
      <c r="BA50" s="505"/>
      <c r="BB50" s="505"/>
      <c r="BC50" s="505"/>
      <c r="BD50" s="505"/>
      <c r="BE50" s="505"/>
      <c r="BF50" s="505"/>
      <c r="BG50" s="505"/>
      <c r="BH50" s="505"/>
      <c r="BI50" s="505"/>
      <c r="BJ50" s="505"/>
      <c r="BK50" s="505"/>
      <c r="BL50" s="505"/>
      <c r="BM50" s="505"/>
      <c r="BN50" s="505"/>
      <c r="BO50" s="505"/>
      <c r="BP50" s="505"/>
      <c r="BQ50" s="505"/>
      <c r="BR50" s="505"/>
      <c r="BS50" s="505"/>
      <c r="BT50" s="505"/>
      <c r="BU50" s="505"/>
      <c r="BV50" s="505"/>
      <c r="BW50" s="505"/>
      <c r="BX50" s="505"/>
      <c r="BY50" s="505"/>
      <c r="BZ50" s="505"/>
      <c r="CA50" s="505"/>
      <c r="CB50" s="505"/>
      <c r="CC50" s="505"/>
      <c r="CD50" s="505"/>
      <c r="CE50" s="505"/>
      <c r="CF50" s="505"/>
      <c r="CG50" s="505"/>
      <c r="CH50" s="505"/>
      <c r="CI50" s="505"/>
      <c r="CJ50" s="505"/>
      <c r="CK50" s="505"/>
      <c r="CL50" s="505"/>
      <c r="CM50" s="505"/>
      <c r="CN50" s="505"/>
      <c r="CO50" s="505"/>
      <c r="CP50" s="505"/>
      <c r="CQ50" s="505"/>
      <c r="CR50" s="505"/>
      <c r="CS50" s="505"/>
      <c r="CT50" s="505"/>
      <c r="CU50" s="505"/>
    </row>
    <row r="51" spans="1:99" ht="20.100000000000001" customHeight="1" thickBot="1">
      <c r="A51" s="1260" t="s">
        <v>623</v>
      </c>
      <c r="B51" s="1216" t="s">
        <v>624</v>
      </c>
      <c r="C51" s="1212"/>
      <c r="D51" s="1213"/>
      <c r="E51" s="1261">
        <f>M50</f>
        <v>248911.61193000001</v>
      </c>
      <c r="F51" s="1213"/>
      <c r="G51" s="1261">
        <f>(G46*G49+G47*G50)/10</f>
        <v>237011.25909627997</v>
      </c>
      <c r="H51" s="1213"/>
      <c r="I51" s="1261">
        <f>M59</f>
        <v>510006.71600000001</v>
      </c>
      <c r="J51" s="1214"/>
      <c r="K51" s="306"/>
      <c r="L51" s="505"/>
      <c r="M51" s="604"/>
      <c r="N51" s="505"/>
      <c r="O51" s="505">
        <v>12100</v>
      </c>
      <c r="P51" s="505"/>
      <c r="Q51" s="505"/>
      <c r="R51" s="505"/>
      <c r="S51" s="505"/>
      <c r="T51" s="505"/>
      <c r="U51" s="505"/>
      <c r="V51" s="505"/>
      <c r="W51" s="505"/>
      <c r="X51" s="505"/>
      <c r="Y51" s="505"/>
      <c r="Z51" s="505"/>
      <c r="AA51" s="505"/>
      <c r="AB51" s="505"/>
      <c r="AC51" s="505"/>
      <c r="AD51" s="505"/>
      <c r="AE51" s="505"/>
      <c r="AF51" s="505"/>
      <c r="AG51" s="505"/>
      <c r="AH51" s="505"/>
      <c r="AI51" s="505"/>
      <c r="AJ51" s="505"/>
      <c r="AK51" s="505"/>
      <c r="AL51" s="505"/>
      <c r="AM51" s="505"/>
      <c r="AN51" s="505"/>
      <c r="AO51" s="505"/>
      <c r="AP51" s="505"/>
      <c r="AQ51" s="505"/>
      <c r="AR51" s="505"/>
      <c r="AS51" s="505"/>
      <c r="AT51" s="505"/>
      <c r="AU51" s="505"/>
      <c r="AV51" s="505"/>
      <c r="AW51" s="505"/>
      <c r="AX51" s="505"/>
      <c r="AY51" s="505"/>
      <c r="AZ51" s="505"/>
      <c r="BA51" s="505"/>
      <c r="BB51" s="505"/>
      <c r="BC51" s="505"/>
      <c r="BD51" s="505"/>
      <c r="BE51" s="505"/>
      <c r="BF51" s="505"/>
      <c r="BG51" s="505"/>
      <c r="BH51" s="505"/>
      <c r="BI51" s="505"/>
      <c r="BJ51" s="505"/>
      <c r="BK51" s="505"/>
      <c r="BL51" s="505"/>
      <c r="BM51" s="505"/>
      <c r="BN51" s="505"/>
      <c r="BO51" s="505"/>
      <c r="BP51" s="505"/>
      <c r="BQ51" s="505"/>
      <c r="BR51" s="505"/>
      <c r="BS51" s="505"/>
      <c r="BT51" s="505"/>
      <c r="BU51" s="505"/>
      <c r="BV51" s="505"/>
      <c r="BW51" s="505"/>
      <c r="BX51" s="505"/>
      <c r="BY51" s="505"/>
      <c r="BZ51" s="505"/>
      <c r="CA51" s="505"/>
      <c r="CB51" s="505"/>
      <c r="CC51" s="505"/>
      <c r="CD51" s="505"/>
      <c r="CE51" s="505"/>
      <c r="CF51" s="505"/>
      <c r="CG51" s="505"/>
      <c r="CH51" s="505"/>
      <c r="CI51" s="505"/>
      <c r="CJ51" s="505"/>
      <c r="CK51" s="505"/>
      <c r="CL51" s="505"/>
      <c r="CM51" s="505"/>
      <c r="CN51" s="505"/>
      <c r="CO51" s="505"/>
      <c r="CP51" s="505"/>
      <c r="CQ51" s="505"/>
      <c r="CR51" s="505"/>
      <c r="CS51" s="505"/>
      <c r="CT51" s="505"/>
      <c r="CU51" s="505"/>
    </row>
    <row r="52" spans="1:99" ht="20.100000000000001" customHeight="1">
      <c r="L52" s="239" t="s">
        <v>625</v>
      </c>
      <c r="M52" s="643" t="s">
        <v>615</v>
      </c>
    </row>
    <row r="53" spans="1:99" ht="20.100000000000001" customHeight="1">
      <c r="G53" s="106"/>
      <c r="L53" s="852" t="s">
        <v>2114</v>
      </c>
      <c r="M53" s="7">
        <f>(I46-'T-1'!S65)*360/10</f>
        <v>388800</v>
      </c>
    </row>
    <row r="54" spans="1:99" ht="20.100000000000001" customHeight="1">
      <c r="G54" s="106"/>
      <c r="L54" s="852" t="s">
        <v>2130</v>
      </c>
      <c r="M54" s="7">
        <f>'T-1'!S65*4.26*10</f>
        <v>85200</v>
      </c>
    </row>
    <row r="55" spans="1:99" ht="20.100000000000001" customHeight="1">
      <c r="E55" s="701"/>
      <c r="G55" s="64"/>
      <c r="I55" s="701"/>
      <c r="L55" s="506" t="s">
        <v>2115</v>
      </c>
      <c r="M55" s="7">
        <f>I46*28/10</f>
        <v>35840</v>
      </c>
    </row>
    <row r="56" spans="1:99" ht="20.100000000000001" customHeight="1">
      <c r="C56" s="699"/>
      <c r="G56" s="699"/>
      <c r="L56" t="s">
        <v>626</v>
      </c>
      <c r="M56" s="7">
        <f>1000*12*0</f>
        <v>0</v>
      </c>
    </row>
    <row r="57" spans="1:99" ht="20.100000000000001" customHeight="1">
      <c r="C57" s="699"/>
      <c r="G57" s="699"/>
      <c r="L57" t="s">
        <v>627</v>
      </c>
      <c r="M57" s="7">
        <f>(1389300*12)/100000</f>
        <v>166.71600000000001</v>
      </c>
    </row>
    <row r="58" spans="1:99" ht="20.100000000000001" customHeight="1">
      <c r="C58" s="700"/>
      <c r="G58" s="700"/>
      <c r="L58" t="s">
        <v>621</v>
      </c>
      <c r="M58" s="7">
        <f>I47*0.8378*10*0</f>
        <v>0</v>
      </c>
    </row>
    <row r="59" spans="1:99" ht="20.100000000000001" customHeight="1">
      <c r="C59" s="700"/>
      <c r="G59" s="700"/>
      <c r="L59" s="1" t="s">
        <v>147</v>
      </c>
      <c r="M59" s="12">
        <f>SUM(M53:M58)</f>
        <v>510006.71600000001</v>
      </c>
    </row>
    <row r="60" spans="1:99" ht="20.100000000000001" customHeight="1">
      <c r="G60" s="64"/>
      <c r="L60" s="38" t="s">
        <v>628</v>
      </c>
    </row>
    <row r="61" spans="1:99" ht="20.100000000000001" customHeight="1">
      <c r="G61" s="64"/>
    </row>
    <row r="62" spans="1:99" ht="20.100000000000001" customHeight="1">
      <c r="C62" s="699"/>
      <c r="G62" s="699"/>
      <c r="L62" s="287" t="s">
        <v>791</v>
      </c>
      <c r="M62" s="231" t="s">
        <v>1702</v>
      </c>
      <c r="N62" s="231" t="s">
        <v>2237</v>
      </c>
      <c r="O62" s="231" t="s">
        <v>1703</v>
      </c>
      <c r="P62" s="231" t="s">
        <v>2136</v>
      </c>
    </row>
    <row r="63" spans="1:99" ht="20.100000000000001" customHeight="1">
      <c r="C63" s="699"/>
      <c r="G63" s="699"/>
      <c r="L63" s="573" t="s">
        <v>2236</v>
      </c>
      <c r="M63" s="572">
        <f>summary!B6</f>
        <v>552</v>
      </c>
      <c r="N63" s="572">
        <f>summary!K6</f>
        <v>815.60500000000002</v>
      </c>
      <c r="O63" s="572">
        <f>summary!M6</f>
        <v>2100</v>
      </c>
      <c r="P63" s="572">
        <f>summary!N6</f>
        <v>2000</v>
      </c>
    </row>
    <row r="64" spans="1:99" ht="20.100000000000001" customHeight="1">
      <c r="C64" s="700"/>
      <c r="G64" s="700"/>
    </row>
    <row r="65" spans="3:14" ht="20.100000000000001" customHeight="1">
      <c r="C65" s="700"/>
      <c r="G65" s="700"/>
    </row>
    <row r="66" spans="3:14" ht="20.100000000000001" customHeight="1"/>
    <row r="67" spans="3:14" ht="20.100000000000001" customHeight="1"/>
    <row r="68" spans="3:14" ht="20.100000000000001" customHeight="1">
      <c r="K68" s="726"/>
    </row>
    <row r="69" spans="3:14" ht="20.100000000000001" customHeight="1"/>
    <row r="70" spans="3:14" ht="20.100000000000001" customHeight="1"/>
    <row r="71" spans="3:14" ht="20.100000000000001" customHeight="1"/>
    <row r="72" spans="3:14" ht="20.100000000000001" customHeight="1"/>
    <row r="73" spans="3:14" ht="20.100000000000001" customHeight="1"/>
    <row r="74" spans="3:14" ht="20.100000000000001" customHeight="1"/>
    <row r="75" spans="3:14" ht="20.100000000000001" customHeight="1">
      <c r="N75" s="106"/>
    </row>
    <row r="76" spans="3:14" ht="20.100000000000001" customHeight="1"/>
    <row r="77" spans="3:14" ht="20.100000000000001" customHeight="1"/>
    <row r="78" spans="3:14" ht="20.100000000000001" customHeight="1"/>
    <row r="79" spans="3:14" ht="20.100000000000001" customHeight="1"/>
    <row r="80" spans="3:14"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sheetData>
  <mergeCells count="4">
    <mergeCell ref="G3:H3"/>
    <mergeCell ref="I3:J3"/>
    <mergeCell ref="C3:D3"/>
    <mergeCell ref="E3:F3"/>
  </mergeCells>
  <phoneticPr fontId="84" type="noConversion"/>
  <printOptions horizontalCentered="1" verticalCentered="1" gridLines="1"/>
  <pageMargins left="0.11811023622047245" right="0" top="0.23622047244094491" bottom="0.19685039370078741" header="0" footer="0.19685039370078741"/>
  <pageSetup paperSize="9" scale="90" fitToWidth="3" fitToHeight="3" orientation="landscape" r:id="rId1"/>
  <headerFooter alignWithMargins="0">
    <oddFooter>&amp;R&amp;"Arial,Bold"&amp;12OERC FORM &amp;A</oddFooter>
  </headerFooter>
  <rowBreaks count="1" manualBreakCount="1">
    <brk id="28" max="9"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5"/>
  <dimension ref="A1:U30"/>
  <sheetViews>
    <sheetView view="pageBreakPreview" topLeftCell="B12" zoomScale="106" zoomScaleNormal="85" zoomScaleSheetLayoutView="106" workbookViewId="0">
      <selection activeCell="F13" sqref="F13"/>
    </sheetView>
  </sheetViews>
  <sheetFormatPr defaultColWidth="14.7109375" defaultRowHeight="12.75"/>
  <cols>
    <col min="1" max="1" width="5.85546875" customWidth="1"/>
    <col min="2" max="2" width="44.28515625" customWidth="1"/>
    <col min="3" max="3" width="9.85546875" customWidth="1"/>
    <col min="4" max="4" width="8.85546875" customWidth="1"/>
    <col min="5" max="5" width="9" customWidth="1"/>
    <col min="6" max="6" width="8.7109375" customWidth="1"/>
    <col min="7" max="7" width="10" customWidth="1"/>
    <col min="8" max="8" width="10.5703125" customWidth="1"/>
    <col min="9" max="9" width="8.7109375" bestFit="1" customWidth="1"/>
    <col min="10" max="10" width="9.85546875" customWidth="1"/>
    <col min="11" max="11" width="11.28515625" customWidth="1"/>
    <col min="12" max="12" width="9.140625" customWidth="1"/>
    <col min="13" max="13" width="8.7109375" bestFit="1" customWidth="1"/>
    <col min="14" max="14" width="8.7109375" customWidth="1"/>
    <col min="15" max="15" width="11.140625" customWidth="1"/>
    <col min="16" max="20" width="14.7109375" customWidth="1"/>
    <col min="21" max="21" width="14.7109375" hidden="1" customWidth="1"/>
  </cols>
  <sheetData>
    <row r="1" spans="1:18">
      <c r="A1" s="20" t="s">
        <v>106</v>
      </c>
      <c r="J1" s="2" t="s">
        <v>629</v>
      </c>
    </row>
    <row r="3" spans="1:18" ht="18.75" thickBot="1">
      <c r="A3" s="1437"/>
      <c r="B3" s="27" t="s">
        <v>630</v>
      </c>
      <c r="C3" s="27"/>
      <c r="D3" s="27"/>
      <c r="E3" s="27"/>
      <c r="F3" s="27"/>
      <c r="G3" s="27"/>
      <c r="H3" s="1437"/>
      <c r="I3" s="1437"/>
      <c r="J3" s="1437"/>
      <c r="K3" s="1437"/>
    </row>
    <row r="4" spans="1:18">
      <c r="A4" s="1438"/>
      <c r="B4" s="1439"/>
      <c r="C4" s="1440"/>
      <c r="D4" s="1823" t="s">
        <v>631</v>
      </c>
      <c r="E4" s="1824"/>
      <c r="F4" s="1824"/>
      <c r="G4" s="1825"/>
      <c r="H4" s="1823" t="s">
        <v>632</v>
      </c>
      <c r="I4" s="1824"/>
      <c r="J4" s="1824"/>
      <c r="K4" s="1825"/>
      <c r="L4" s="1823" t="s">
        <v>633</v>
      </c>
      <c r="M4" s="1824"/>
      <c r="N4" s="1824"/>
      <c r="O4" s="1825"/>
    </row>
    <row r="5" spans="1:18" ht="16.5" thickBot="1">
      <c r="A5" s="1441">
        <v>1</v>
      </c>
      <c r="B5" s="1442" t="s">
        <v>634</v>
      </c>
      <c r="C5" s="740"/>
      <c r="D5" s="1443" t="s">
        <v>91</v>
      </c>
      <c r="E5" s="1444" t="s">
        <v>635</v>
      </c>
      <c r="F5" s="1444" t="s">
        <v>45</v>
      </c>
      <c r="G5" s="1445" t="s">
        <v>231</v>
      </c>
      <c r="H5" s="1443" t="s">
        <v>91</v>
      </c>
      <c r="I5" s="1444" t="s">
        <v>635</v>
      </c>
      <c r="J5" s="1444" t="s">
        <v>45</v>
      </c>
      <c r="K5" s="1445" t="s">
        <v>231</v>
      </c>
      <c r="L5" s="1443" t="s">
        <v>91</v>
      </c>
      <c r="M5" s="1444" t="s">
        <v>635</v>
      </c>
      <c r="N5" s="1444" t="s">
        <v>45</v>
      </c>
      <c r="O5" s="1445" t="s">
        <v>231</v>
      </c>
    </row>
    <row r="6" spans="1:18" ht="15.75">
      <c r="A6" s="1446"/>
      <c r="B6" s="1447" t="s">
        <v>636</v>
      </c>
      <c r="C6" s="1448"/>
      <c r="D6" s="1446"/>
      <c r="E6" s="81"/>
      <c r="F6" s="81"/>
      <c r="G6" s="1448"/>
      <c r="H6" s="1449"/>
      <c r="I6" s="1450"/>
      <c r="J6" s="1450"/>
      <c r="K6" s="1451"/>
      <c r="L6" s="1446"/>
      <c r="M6" s="81"/>
      <c r="N6" s="81"/>
      <c r="O6" s="1448"/>
    </row>
    <row r="7" spans="1:18">
      <c r="A7" s="98">
        <v>2</v>
      </c>
      <c r="B7" s="23" t="s">
        <v>637</v>
      </c>
      <c r="C7" s="393" t="s">
        <v>404</v>
      </c>
      <c r="D7" s="98">
        <f>+'F-4'!C44</f>
        <v>9313.2066041351354</v>
      </c>
      <c r="E7" s="79">
        <f>D10-D11</f>
        <v>6678.6251313846351</v>
      </c>
      <c r="F7" s="79">
        <f>E10-E11</f>
        <v>3829.1781163321402</v>
      </c>
      <c r="G7" s="393">
        <f>+'F-4'!C44</f>
        <v>9313.2066041351354</v>
      </c>
      <c r="H7" s="1452">
        <f>'F-4'!E44+'F-4'!G44</f>
        <v>12300</v>
      </c>
      <c r="I7" s="79">
        <f>H10-H11</f>
        <v>7338.9999999999991</v>
      </c>
      <c r="J7" s="79">
        <f>I10-I11</f>
        <v>4213.1499999999996</v>
      </c>
      <c r="K7" s="1453">
        <f>'F-4'!E44+'F-4'!G44</f>
        <v>12300</v>
      </c>
      <c r="L7" s="1454">
        <f>'F-4'!I44</f>
        <v>12800</v>
      </c>
      <c r="M7" s="79">
        <f>L10-L11</f>
        <v>7755</v>
      </c>
      <c r="N7" s="79">
        <f>M10-M11</f>
        <v>4468.7499980000002</v>
      </c>
      <c r="O7" s="1453">
        <f>'F-4'!I44</f>
        <v>12800</v>
      </c>
    </row>
    <row r="8" spans="1:18">
      <c r="A8" s="98">
        <v>3</v>
      </c>
      <c r="B8" s="23" t="s">
        <v>638</v>
      </c>
      <c r="C8" s="393" t="s">
        <v>521</v>
      </c>
      <c r="D8" s="432">
        <v>0</v>
      </c>
      <c r="E8" s="644">
        <v>0.15</v>
      </c>
      <c r="F8" s="108">
        <f>F9/F7</f>
        <v>0.24956087317002734</v>
      </c>
      <c r="G8" s="433">
        <f>G9/G7</f>
        <v>0.21017538718340043</v>
      </c>
      <c r="H8" s="432">
        <v>0</v>
      </c>
      <c r="I8" s="644">
        <v>0.15</v>
      </c>
      <c r="J8" s="108">
        <f>J9/J7</f>
        <v>0.26776877158420642</v>
      </c>
      <c r="K8" s="433">
        <f>K9/K7</f>
        <v>0.18121951219512181</v>
      </c>
      <c r="L8" s="432">
        <v>0</v>
      </c>
      <c r="M8" s="644">
        <v>0.15</v>
      </c>
      <c r="N8" s="108">
        <f>N9/N7</f>
        <v>0.25840559407369218</v>
      </c>
      <c r="O8" s="433">
        <f>O9/O7</f>
        <v>0.1810937498437501</v>
      </c>
    </row>
    <row r="9" spans="1:18">
      <c r="A9" s="98">
        <v>4</v>
      </c>
      <c r="B9" s="23" t="s">
        <v>639</v>
      </c>
      <c r="C9" s="393" t="s">
        <v>623</v>
      </c>
      <c r="D9" s="1452">
        <f>D7*D8</f>
        <v>0</v>
      </c>
      <c r="E9" s="79">
        <f>E7*E8</f>
        <v>1001.7937697076952</v>
      </c>
      <c r="F9" s="79">
        <f>F7-F11</f>
        <v>955.61303423540949</v>
      </c>
      <c r="G9" s="1453">
        <f>G7-G11</f>
        <v>1957.406803943104</v>
      </c>
      <c r="H9" s="1452">
        <f>H7*H8</f>
        <v>0</v>
      </c>
      <c r="I9" s="79">
        <f>I7*I8</f>
        <v>1100.8499999999999</v>
      </c>
      <c r="J9" s="79">
        <f>J7-J11</f>
        <v>1128.1499999999992</v>
      </c>
      <c r="K9" s="1453">
        <f>K7-K11</f>
        <v>2228.9999999999982</v>
      </c>
      <c r="L9" s="1452">
        <f>L7*L8</f>
        <v>0</v>
      </c>
      <c r="M9" s="79">
        <f>M7*M8</f>
        <v>1163.25</v>
      </c>
      <c r="N9" s="79">
        <f>N7-N11</f>
        <v>1154.7499980000007</v>
      </c>
      <c r="O9" s="1453">
        <f>O7-O11</f>
        <v>2317.9999980000011</v>
      </c>
    </row>
    <row r="10" spans="1:18">
      <c r="A10" s="98">
        <v>5</v>
      </c>
      <c r="B10" s="23" t="s">
        <v>640</v>
      </c>
      <c r="C10" s="393" t="s">
        <v>641</v>
      </c>
      <c r="D10" s="1452">
        <f>D7-D9</f>
        <v>9313.2066041351354</v>
      </c>
      <c r="E10" s="79">
        <f t="shared" ref="E10:O10" si="0">E7-E9</f>
        <v>5676.8313616769401</v>
      </c>
      <c r="F10" s="79">
        <f t="shared" si="0"/>
        <v>2873.5650820967307</v>
      </c>
      <c r="G10" s="1453">
        <f t="shared" si="0"/>
        <v>7355.7998001920314</v>
      </c>
      <c r="H10" s="1452">
        <f t="shared" si="0"/>
        <v>12300</v>
      </c>
      <c r="I10" s="79">
        <f t="shared" si="0"/>
        <v>6238.15</v>
      </c>
      <c r="J10" s="79">
        <f t="shared" si="0"/>
        <v>3085.0000000000005</v>
      </c>
      <c r="K10" s="1453">
        <f t="shared" si="0"/>
        <v>10071.000000000002</v>
      </c>
      <c r="L10" s="1454">
        <f t="shared" si="0"/>
        <v>12800</v>
      </c>
      <c r="M10" s="79">
        <f t="shared" si="0"/>
        <v>6591.75</v>
      </c>
      <c r="N10" s="79">
        <f t="shared" si="0"/>
        <v>3313.9999999999995</v>
      </c>
      <c r="O10" s="1453">
        <f t="shared" si="0"/>
        <v>10482.000001999999</v>
      </c>
    </row>
    <row r="11" spans="1:18">
      <c r="A11" s="1423" t="s">
        <v>642</v>
      </c>
      <c r="B11" s="23" t="s">
        <v>643</v>
      </c>
      <c r="C11" s="393" t="s">
        <v>644</v>
      </c>
      <c r="D11" s="98">
        <f>+'T-1'!G70</f>
        <v>2634.5814727505003</v>
      </c>
      <c r="E11" s="23">
        <f>+'T-1'!G57</f>
        <v>1847.6532453448001</v>
      </c>
      <c r="F11" s="79">
        <f>+'T-1'!G38</f>
        <v>2873.5650820967307</v>
      </c>
      <c r="G11" s="1453">
        <f>SUM(D11:F11)</f>
        <v>7355.7998001920314</v>
      </c>
      <c r="H11" s="1452">
        <f>'T-1'!N70</f>
        <v>4961.0000000000009</v>
      </c>
      <c r="I11" s="79">
        <f>'T-1'!N57</f>
        <v>2025</v>
      </c>
      <c r="J11" s="79">
        <f>'T-1'!N38</f>
        <v>3085.0000000000005</v>
      </c>
      <c r="K11" s="1453">
        <f>SUM(H11:J11)</f>
        <v>10071.000000000002</v>
      </c>
      <c r="L11" s="1452">
        <f>'T-1'!S70</f>
        <v>5045</v>
      </c>
      <c r="M11" s="79">
        <f>'T-1'!S57</f>
        <v>2123.0000019999998</v>
      </c>
      <c r="N11" s="79">
        <f>'T-1'!S38</f>
        <v>3313.9999999999995</v>
      </c>
      <c r="O11" s="1453">
        <f>SUM(L11:N11)</f>
        <v>10482.000001999999</v>
      </c>
    </row>
    <row r="12" spans="1:18">
      <c r="A12" s="98"/>
      <c r="B12" s="23"/>
      <c r="C12" s="393"/>
      <c r="D12" s="98"/>
      <c r="E12" s="23"/>
      <c r="F12" s="23"/>
      <c r="G12" s="393"/>
      <c r="H12" s="98"/>
      <c r="I12" s="23"/>
      <c r="J12" s="23"/>
      <c r="K12" s="393"/>
      <c r="L12" s="98"/>
      <c r="M12" s="23"/>
      <c r="N12" s="23"/>
      <c r="O12" s="393"/>
    </row>
    <row r="13" spans="1:18" ht="15.75">
      <c r="A13" s="98"/>
      <c r="B13" s="1421" t="s">
        <v>645</v>
      </c>
      <c r="C13" s="1455"/>
      <c r="D13" s="1456"/>
      <c r="E13" s="1421"/>
      <c r="F13" s="1421"/>
      <c r="G13" s="1455"/>
      <c r="H13" s="98"/>
      <c r="I13" s="23"/>
      <c r="J13" s="23"/>
      <c r="K13" s="393"/>
      <c r="L13" s="98"/>
      <c r="M13" s="23"/>
      <c r="N13" s="23"/>
      <c r="O13" s="393"/>
    </row>
    <row r="14" spans="1:18">
      <c r="A14" s="98">
        <v>7</v>
      </c>
      <c r="B14" s="502" t="s">
        <v>646</v>
      </c>
      <c r="C14" s="645" t="s">
        <v>647</v>
      </c>
      <c r="D14" s="1457">
        <f>+'F-6'!G9/'F-5'!D7*10</f>
        <v>357.94950565337513</v>
      </c>
      <c r="E14" s="646">
        <f>+D14</f>
        <v>357.94950565337513</v>
      </c>
      <c r="F14" s="646">
        <f>+D14</f>
        <v>357.94950565337513</v>
      </c>
      <c r="G14" s="647">
        <f>+D14</f>
        <v>357.94950565337513</v>
      </c>
      <c r="H14" s="1458">
        <f>('F-4'!E51+'F-4'!G51)/H7*10</f>
        <v>395.05924473681296</v>
      </c>
      <c r="I14" s="78">
        <f>H14</f>
        <v>395.05924473681296</v>
      </c>
      <c r="J14" s="78">
        <f>I14</f>
        <v>395.05924473681296</v>
      </c>
      <c r="K14" s="1459">
        <f>H14</f>
        <v>395.05924473681296</v>
      </c>
      <c r="L14" s="1458">
        <f>'F-4'!I51/L7*10</f>
        <v>398.44274687500001</v>
      </c>
      <c r="M14" s="78">
        <f>L14</f>
        <v>398.44274687500001</v>
      </c>
      <c r="N14" s="78">
        <f>M14</f>
        <v>398.44274687500001</v>
      </c>
      <c r="O14" s="1459">
        <f>N14</f>
        <v>398.44274687500001</v>
      </c>
    </row>
    <row r="15" spans="1:18">
      <c r="A15" s="98">
        <v>8</v>
      </c>
      <c r="B15" s="23" t="s">
        <v>648</v>
      </c>
      <c r="C15" s="645" t="s">
        <v>649</v>
      </c>
      <c r="D15" s="1458">
        <f>G15/G11*D11</f>
        <v>34029.583875132084</v>
      </c>
      <c r="E15" s="78">
        <f>G15/G11*E11</f>
        <v>23865.221757207448</v>
      </c>
      <c r="F15" s="78">
        <f>G15-E15-D15</f>
        <v>37116.416779388048</v>
      </c>
      <c r="G15" s="647">
        <f>+'F-6'!G25</f>
        <v>95011.222411727576</v>
      </c>
      <c r="H15" s="1458">
        <f ca="1">K15/K11*H11</f>
        <v>60944.848395136061</v>
      </c>
      <c r="I15" s="78">
        <f ca="1">K15/K11*I11</f>
        <v>24876.70187465239</v>
      </c>
      <c r="J15" s="78">
        <f ca="1">K15-I15-H15</f>
        <v>37898.580386816124</v>
      </c>
      <c r="K15" s="1459">
        <f ca="1">+'F-6'!L25-'F-6'!L20</f>
        <v>123720.13065660457</v>
      </c>
      <c r="L15" s="1458">
        <f ca="1">O15/O11*L11</f>
        <v>75387.2424914203</v>
      </c>
      <c r="M15" s="78">
        <f ca="1">O15/O11*M11</f>
        <v>31723.908019833452</v>
      </c>
      <c r="N15" s="78">
        <f ca="1">O15-M15-L15</f>
        <v>49520.975543422552</v>
      </c>
      <c r="O15" s="1459">
        <f ca="1">'F-6'!P25-'F-6'!P20</f>
        <v>156632.12605467631</v>
      </c>
    </row>
    <row r="16" spans="1:18">
      <c r="A16" s="98">
        <v>9</v>
      </c>
      <c r="B16" s="23" t="s">
        <v>650</v>
      </c>
      <c r="C16" s="645" t="s">
        <v>651</v>
      </c>
      <c r="D16" s="1458">
        <f>D14*D9</f>
        <v>0</v>
      </c>
      <c r="E16" s="78">
        <f>E14*E9/10</f>
        <v>35859.158463350061</v>
      </c>
      <c r="F16" s="78">
        <f>F14*F9/10</f>
        <v>34206.121320048667</v>
      </c>
      <c r="G16" s="1459">
        <f>G14*G9/10</f>
        <v>70065.279783398699</v>
      </c>
      <c r="H16" s="1458">
        <f>H14*H9</f>
        <v>0</v>
      </c>
      <c r="I16" s="78">
        <f>I14*I9/10</f>
        <v>43490.096956852052</v>
      </c>
      <c r="J16" s="78">
        <f>J14*J9/10</f>
        <v>44568.608694983523</v>
      </c>
      <c r="K16" s="1459">
        <f>K14*K9/10</f>
        <v>88058.705651835538</v>
      </c>
      <c r="L16" s="1458">
        <f>L14*L9</f>
        <v>0</v>
      </c>
      <c r="M16" s="78">
        <f>M14*M9/10</f>
        <v>46348.852530234377</v>
      </c>
      <c r="N16" s="78">
        <f>N14*N9/10</f>
        <v>46010.176115702103</v>
      </c>
      <c r="O16" s="1459">
        <f>O14*O9/10</f>
        <v>92359.028645936502</v>
      </c>
      <c r="R16" s="506"/>
    </row>
    <row r="17" spans="1:18">
      <c r="A17" s="98">
        <v>10</v>
      </c>
      <c r="B17" s="23" t="s">
        <v>652</v>
      </c>
      <c r="C17" s="645" t="s">
        <v>653</v>
      </c>
      <c r="D17" s="1458">
        <f t="shared" ref="D17:I17" si="1">D15+D16</f>
        <v>34029.583875132084</v>
      </c>
      <c r="E17" s="78">
        <f t="shared" si="1"/>
        <v>59724.380220557505</v>
      </c>
      <c r="F17" s="78">
        <f t="shared" si="1"/>
        <v>71322.538099436715</v>
      </c>
      <c r="G17" s="1459">
        <f t="shared" si="1"/>
        <v>165076.50219512626</v>
      </c>
      <c r="H17" s="1458">
        <f t="shared" ca="1" si="1"/>
        <v>60944.848395136061</v>
      </c>
      <c r="I17" s="78">
        <f t="shared" ca="1" si="1"/>
        <v>68366.798831504449</v>
      </c>
      <c r="J17" s="78">
        <f t="shared" ref="J17:O17" ca="1" si="2">J15+J16</f>
        <v>82467.189081799646</v>
      </c>
      <c r="K17" s="1459">
        <f t="shared" ca="1" si="2"/>
        <v>211778.83630844011</v>
      </c>
      <c r="L17" s="1458">
        <f t="shared" ca="1" si="2"/>
        <v>75387.2424914203</v>
      </c>
      <c r="M17" s="78">
        <f t="shared" ca="1" si="2"/>
        <v>78072.760550067833</v>
      </c>
      <c r="N17" s="78">
        <f t="shared" ca="1" si="2"/>
        <v>95531.151659124647</v>
      </c>
      <c r="O17" s="1459">
        <f t="shared" ca="1" si="2"/>
        <v>248991.15470061282</v>
      </c>
      <c r="P17" s="7"/>
      <c r="R17" s="506"/>
    </row>
    <row r="18" spans="1:18">
      <c r="A18" s="98">
        <v>11</v>
      </c>
      <c r="B18" s="502" t="s">
        <v>654</v>
      </c>
      <c r="C18" s="645" t="s">
        <v>655</v>
      </c>
      <c r="D18" s="1458">
        <f>D17/D10*10</f>
        <v>36.539062560925778</v>
      </c>
      <c r="E18" s="78">
        <f>E17/E10*10</f>
        <v>105.20724752146747</v>
      </c>
      <c r="F18" s="78">
        <f>F17/F10*10</f>
        <v>248.20227160957629</v>
      </c>
      <c r="G18" s="1459">
        <f>G17/G10*10</f>
        <v>224.41679583342759</v>
      </c>
      <c r="H18" s="1458">
        <f t="shared" ref="H18:O18" ca="1" si="3">H17/H10*10</f>
        <v>49.548657231817934</v>
      </c>
      <c r="I18" s="78">
        <f t="shared" ca="1" si="3"/>
        <v>109.59466962401424</v>
      </c>
      <c r="J18" s="78">
        <f t="shared" ca="1" si="3"/>
        <v>267.31665828784321</v>
      </c>
      <c r="K18" s="1459">
        <f t="shared" ca="1" si="3"/>
        <v>210.28580707818494</v>
      </c>
      <c r="L18" s="1458">
        <f t="shared" ca="1" si="3"/>
        <v>58.896283196422104</v>
      </c>
      <c r="M18" s="78">
        <f t="shared" ca="1" si="3"/>
        <v>118.44011157897043</v>
      </c>
      <c r="N18" s="78">
        <f t="shared" ca="1" si="3"/>
        <v>288.26539426410579</v>
      </c>
      <c r="O18" s="1459">
        <f t="shared" ca="1" si="3"/>
        <v>237.54164725539451</v>
      </c>
    </row>
    <row r="19" spans="1:18">
      <c r="A19" s="98">
        <v>12</v>
      </c>
      <c r="B19" s="502" t="s">
        <v>656</v>
      </c>
      <c r="C19" s="645" t="s">
        <v>657</v>
      </c>
      <c r="D19" s="1458">
        <f>D18+D14</f>
        <v>394.48856821430093</v>
      </c>
      <c r="E19" s="78">
        <f>E18+E14</f>
        <v>463.15675317484261</v>
      </c>
      <c r="F19" s="78">
        <f>F18+F14</f>
        <v>606.15177726295144</v>
      </c>
      <c r="G19" s="1459">
        <f>G18+G14</f>
        <v>582.36630148680274</v>
      </c>
      <c r="H19" s="1458">
        <f t="shared" ref="H19:O19" ca="1" si="4">H18+H14</f>
        <v>444.60790196863087</v>
      </c>
      <c r="I19" s="78">
        <f t="shared" ca="1" si="4"/>
        <v>504.65391436082723</v>
      </c>
      <c r="J19" s="78">
        <f t="shared" ca="1" si="4"/>
        <v>662.37590302465617</v>
      </c>
      <c r="K19" s="1459">
        <f t="shared" ca="1" si="4"/>
        <v>605.34505181499787</v>
      </c>
      <c r="L19" s="1458">
        <f t="shared" ca="1" si="4"/>
        <v>457.33903007142214</v>
      </c>
      <c r="M19" s="78">
        <f t="shared" ca="1" si="4"/>
        <v>516.88285845397047</v>
      </c>
      <c r="N19" s="78">
        <f t="shared" ca="1" si="4"/>
        <v>686.70814113910581</v>
      </c>
      <c r="O19" s="1459">
        <f t="shared" ca="1" si="4"/>
        <v>635.98439413039455</v>
      </c>
    </row>
    <row r="20" spans="1:18">
      <c r="A20" s="1423">
        <v>13</v>
      </c>
      <c r="B20" s="23" t="s">
        <v>658</v>
      </c>
      <c r="C20" s="645" t="s">
        <v>659</v>
      </c>
      <c r="D20" s="1458">
        <f>G20</f>
        <v>0</v>
      </c>
      <c r="E20" s="78">
        <f>G20</f>
        <v>0</v>
      </c>
      <c r="F20" s="78">
        <f>G20</f>
        <v>0</v>
      </c>
      <c r="G20" s="1459">
        <f>(0/G11)*10</f>
        <v>0</v>
      </c>
      <c r="H20" s="1458">
        <f>K20</f>
        <v>0</v>
      </c>
      <c r="I20" s="78">
        <f>K20</f>
        <v>0</v>
      </c>
      <c r="J20" s="78">
        <f>K20</f>
        <v>0</v>
      </c>
      <c r="K20" s="1459">
        <f>(0/K11)*10</f>
        <v>0</v>
      </c>
      <c r="L20" s="1458">
        <f>O20</f>
        <v>0</v>
      </c>
      <c r="M20" s="78">
        <f>O20</f>
        <v>0</v>
      </c>
      <c r="N20" s="78">
        <f>O20</f>
        <v>0</v>
      </c>
      <c r="O20" s="1459">
        <f>(0/O11)*10</f>
        <v>0</v>
      </c>
    </row>
    <row r="21" spans="1:18" ht="13.5" thickBot="1">
      <c r="A21" s="1460">
        <v>14</v>
      </c>
      <c r="B21" s="435" t="s">
        <v>660</v>
      </c>
      <c r="C21" s="1461" t="s">
        <v>661</v>
      </c>
      <c r="D21" s="1462">
        <f>D20+D19</f>
        <v>394.48856821430093</v>
      </c>
      <c r="E21" s="1463">
        <f>E20+E19</f>
        <v>463.15675317484261</v>
      </c>
      <c r="F21" s="1463">
        <f>F20+F19</f>
        <v>606.15177726295144</v>
      </c>
      <c r="G21" s="1464">
        <f>G20+G19</f>
        <v>582.36630148680274</v>
      </c>
      <c r="H21" s="1462">
        <f t="shared" ref="H21:O21" ca="1" si="5">H20+H19</f>
        <v>444.60790196863087</v>
      </c>
      <c r="I21" s="1463">
        <f t="shared" ca="1" si="5"/>
        <v>504.65391436082723</v>
      </c>
      <c r="J21" s="1463">
        <f t="shared" ca="1" si="5"/>
        <v>662.37590302465617</v>
      </c>
      <c r="K21" s="1464">
        <f t="shared" ca="1" si="5"/>
        <v>605.34505181499787</v>
      </c>
      <c r="L21" s="1462">
        <f t="shared" ca="1" si="5"/>
        <v>457.33903007142214</v>
      </c>
      <c r="M21" s="1463">
        <f t="shared" ca="1" si="5"/>
        <v>516.88285845397047</v>
      </c>
      <c r="N21" s="1463">
        <f t="shared" ca="1" si="5"/>
        <v>686.70814113910581</v>
      </c>
      <c r="O21" s="1464">
        <f t="shared" ca="1" si="5"/>
        <v>635.98439413039455</v>
      </c>
    </row>
    <row r="22" spans="1:18">
      <c r="A22" s="30" t="s">
        <v>662</v>
      </c>
      <c r="K22" s="9"/>
    </row>
    <row r="23" spans="1:18" ht="15.75">
      <c r="B23" t="s">
        <v>663</v>
      </c>
    </row>
    <row r="25" spans="1:18">
      <c r="B25" t="s">
        <v>664</v>
      </c>
      <c r="C25" t="s">
        <v>665</v>
      </c>
      <c r="H25" s="7">
        <f ca="1">H21*H11/10</f>
        <v>220569.9801666378</v>
      </c>
      <c r="I25" s="298">
        <f ca="1">I21*I11/10</f>
        <v>102192.41765806751</v>
      </c>
      <c r="J25" s="7">
        <f ca="1">J21*J11/10</f>
        <v>204342.96608310647</v>
      </c>
      <c r="K25" s="7">
        <f ca="1">SUM(H25:J25)</f>
        <v>527105.36390781181</v>
      </c>
    </row>
    <row r="26" spans="1:18">
      <c r="B26" t="s">
        <v>666</v>
      </c>
      <c r="C26" t="s">
        <v>667</v>
      </c>
      <c r="H26" s="7">
        <f ca="1">H19*H11/10</f>
        <v>220569.9801666378</v>
      </c>
      <c r="I26" s="298">
        <f ca="1">I19*I11/10</f>
        <v>102192.41765806751</v>
      </c>
      <c r="J26" s="7">
        <f ca="1">J19*J11/10</f>
        <v>204342.96608310647</v>
      </c>
      <c r="K26" s="7">
        <f ca="1">SUM(H26:J26)</f>
        <v>527105.36390781181</v>
      </c>
    </row>
    <row r="27" spans="1:18">
      <c r="B27" s="1" t="s">
        <v>668</v>
      </c>
      <c r="K27" s="7">
        <f ca="1">K25-K26</f>
        <v>0</v>
      </c>
    </row>
    <row r="28" spans="1:18" ht="12.75" customHeight="1">
      <c r="A28" s="1821"/>
      <c r="B28" s="1821"/>
      <c r="C28" s="1821"/>
      <c r="D28" s="1821"/>
      <c r="E28" s="1821"/>
      <c r="F28" s="1821"/>
      <c r="G28" s="1821"/>
      <c r="H28" s="1821"/>
      <c r="I28" s="1821"/>
      <c r="J28" s="1821"/>
    </row>
    <row r="29" spans="1:18">
      <c r="A29" s="1822"/>
      <c r="B29" s="1822"/>
      <c r="C29" s="1822"/>
      <c r="D29" s="1822"/>
      <c r="E29" s="1822"/>
      <c r="F29" s="1822"/>
      <c r="G29" s="1822"/>
      <c r="H29" s="1822"/>
      <c r="I29" s="1822"/>
      <c r="J29" s="1822"/>
    </row>
    <row r="30" spans="1:18">
      <c r="C30" s="161"/>
      <c r="D30" s="161"/>
      <c r="E30" s="161"/>
      <c r="F30" s="161"/>
      <c r="G30" s="161"/>
      <c r="H30" s="1465"/>
      <c r="I30" s="1465"/>
      <c r="J30" s="1465"/>
      <c r="K30" s="1465"/>
    </row>
  </sheetData>
  <mergeCells count="4">
    <mergeCell ref="A28:J29"/>
    <mergeCell ref="H4:K4"/>
    <mergeCell ref="D4:G4"/>
    <mergeCell ref="L4:O4"/>
  </mergeCells>
  <phoneticPr fontId="0" type="noConversion"/>
  <printOptions horizontalCentered="1" verticalCentered="1" gridLines="1"/>
  <pageMargins left="3.937007874015748E-2" right="0" top="0.51181102362204722" bottom="0.51181102362204722" header="0.51181102362204722" footer="0.51181102362204722"/>
  <pageSetup paperSize="9" scale="84" orientation="landscape" blackAndWhite="1" r:id="rId1"/>
  <headerFooter alignWithMargins="0">
    <oddFooter>&amp;ROERC FORM-&amp;A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34"/>
  <dimension ref="A1:X61"/>
  <sheetViews>
    <sheetView showGridLines="0" view="pageBreakPreview" topLeftCell="B1" zoomScaleSheetLayoutView="100" workbookViewId="0">
      <pane xSplit="2" ySplit="4" topLeftCell="D16" activePane="bottomRight" state="frozen"/>
      <selection activeCell="B10" sqref="A10:XFD10"/>
      <selection pane="topRight" activeCell="B10" sqref="A10:XFD10"/>
      <selection pane="bottomLeft" activeCell="B10" sqref="A10:XFD10"/>
      <selection pane="bottomRight" activeCell="P43" sqref="P43"/>
    </sheetView>
  </sheetViews>
  <sheetFormatPr defaultColWidth="14.7109375" defaultRowHeight="12.75"/>
  <cols>
    <col min="1" max="1" width="4.140625" style="276" customWidth="1"/>
    <col min="2" max="2" width="4.42578125" style="277" customWidth="1"/>
    <col min="3" max="3" width="51.85546875" style="278" customWidth="1"/>
    <col min="4" max="4" width="10" style="278" hidden="1" customWidth="1"/>
    <col min="5" max="5" width="11.7109375" style="278" hidden="1" customWidth="1"/>
    <col min="6" max="6" width="9.85546875" style="278" hidden="1" customWidth="1"/>
    <col min="7" max="7" width="10.42578125" style="278" bestFit="1" customWidth="1"/>
    <col min="8" max="8" width="13" style="278" hidden="1" customWidth="1"/>
    <col min="9" max="9" width="10.85546875" style="278" hidden="1" customWidth="1"/>
    <col min="10" max="10" width="9.7109375" style="278" hidden="1" customWidth="1"/>
    <col min="11" max="11" width="9.85546875" style="278" hidden="1" customWidth="1"/>
    <col min="12" max="12" width="10.42578125" style="278" customWidth="1"/>
    <col min="13" max="13" width="11.7109375" style="278" hidden="1" customWidth="1"/>
    <col min="14" max="14" width="10.7109375" style="278" hidden="1" customWidth="1"/>
    <col min="15" max="15" width="11.7109375" style="278" hidden="1" customWidth="1"/>
    <col min="16" max="17" width="10.85546875" style="278" customWidth="1"/>
    <col min="18" max="18" width="14.7109375" style="276"/>
    <col min="19" max="19" width="10.5703125" style="276" customWidth="1"/>
    <col min="20" max="20" width="8.42578125" style="276" customWidth="1"/>
    <col min="21" max="21" width="9.140625" style="276" customWidth="1"/>
    <col min="22" max="22" width="8.85546875" style="276" customWidth="1"/>
    <col min="23" max="23" width="11.28515625" style="276" customWidth="1"/>
    <col min="24" max="24" width="10.7109375" style="276" customWidth="1"/>
    <col min="25" max="16384" width="14.7109375" style="276"/>
  </cols>
  <sheetData>
    <row r="1" spans="1:24">
      <c r="A1" s="811"/>
      <c r="B1" s="1466"/>
      <c r="C1" s="20" t="s">
        <v>106</v>
      </c>
      <c r="D1" s="648"/>
      <c r="E1" s="648"/>
      <c r="F1" s="648"/>
      <c r="G1" s="648"/>
      <c r="H1" s="648"/>
      <c r="I1" s="648"/>
      <c r="J1" s="648"/>
      <c r="K1" s="648"/>
      <c r="L1" s="648"/>
      <c r="M1" s="648"/>
      <c r="N1" s="648"/>
      <c r="O1" s="1831" t="s">
        <v>669</v>
      </c>
      <c r="P1" s="1831"/>
      <c r="Q1" s="1732"/>
      <c r="R1" s="811"/>
      <c r="S1" s="811"/>
      <c r="T1" s="811"/>
      <c r="U1" s="811"/>
      <c r="V1" s="811"/>
      <c r="W1" s="811"/>
      <c r="X1" s="811"/>
    </row>
    <row r="2" spans="1:24" s="279" customFormat="1" ht="15.75">
      <c r="A2" s="649"/>
      <c r="B2" s="1830" t="s">
        <v>670</v>
      </c>
      <c r="C2" s="1830"/>
      <c r="D2" s="1830"/>
      <c r="E2" s="1830"/>
      <c r="F2" s="1830"/>
      <c r="G2" s="1830"/>
      <c r="H2" s="1830"/>
      <c r="I2" s="1830"/>
      <c r="J2" s="1830"/>
      <c r="K2" s="1830"/>
      <c r="L2" s="1830"/>
      <c r="M2" s="1830"/>
      <c r="N2" s="1830"/>
      <c r="O2" s="1830"/>
      <c r="P2" s="1830"/>
      <c r="Q2" s="1740"/>
      <c r="R2" s="1467"/>
      <c r="S2" s="1467"/>
      <c r="T2" s="1467"/>
      <c r="U2" s="1467"/>
      <c r="V2" s="1467"/>
      <c r="W2" s="1467"/>
      <c r="X2" s="1467"/>
    </row>
    <row r="3" spans="1:24" s="1468" customFormat="1" ht="45">
      <c r="B3" s="1469"/>
      <c r="C3" s="1470"/>
      <c r="D3" s="1827" t="s">
        <v>671</v>
      </c>
      <c r="E3" s="1828"/>
      <c r="F3" s="1828"/>
      <c r="G3" s="1471" t="s">
        <v>1954</v>
      </c>
      <c r="H3" s="1472" t="s">
        <v>672</v>
      </c>
      <c r="I3" s="1827" t="s">
        <v>1972</v>
      </c>
      <c r="J3" s="1828"/>
      <c r="K3" s="1828"/>
      <c r="L3" s="1829"/>
      <c r="M3" s="1827" t="s">
        <v>673</v>
      </c>
      <c r="N3" s="1828"/>
      <c r="O3" s="1828"/>
      <c r="P3" s="1473" t="s">
        <v>1973</v>
      </c>
      <c r="Q3" s="1741"/>
    </row>
    <row r="4" spans="1:24" s="1474" customFormat="1">
      <c r="B4" s="1475"/>
      <c r="C4" s="280"/>
      <c r="D4" s="280" t="s">
        <v>674</v>
      </c>
      <c r="E4" s="280" t="s">
        <v>77</v>
      </c>
      <c r="F4" s="280" t="s">
        <v>45</v>
      </c>
      <c r="G4" s="280" t="s">
        <v>147</v>
      </c>
      <c r="H4" s="280" t="s">
        <v>147</v>
      </c>
      <c r="I4" s="280" t="s">
        <v>674</v>
      </c>
      <c r="J4" s="280" t="s">
        <v>77</v>
      </c>
      <c r="K4" s="280" t="s">
        <v>45</v>
      </c>
      <c r="L4" s="280" t="s">
        <v>147</v>
      </c>
      <c r="M4" s="280" t="s">
        <v>674</v>
      </c>
      <c r="N4" s="280" t="s">
        <v>77</v>
      </c>
      <c r="O4" s="280" t="s">
        <v>45</v>
      </c>
      <c r="P4" s="280" t="s">
        <v>147</v>
      </c>
      <c r="Q4" s="1742"/>
    </row>
    <row r="5" spans="1:24">
      <c r="A5" s="811"/>
      <c r="B5" s="1476"/>
      <c r="C5" s="563" t="s">
        <v>675</v>
      </c>
      <c r="D5" s="563"/>
      <c r="E5" s="563"/>
      <c r="F5" s="563"/>
      <c r="G5" s="1477"/>
      <c r="H5" s="1477"/>
      <c r="I5" s="1477"/>
      <c r="J5" s="1477"/>
      <c r="K5" s="1477"/>
      <c r="L5" s="1477"/>
      <c r="M5" s="1477"/>
      <c r="N5" s="1477"/>
      <c r="O5" s="1477"/>
      <c r="P5" s="1477"/>
      <c r="Q5" s="1491"/>
      <c r="R5" s="811"/>
      <c r="S5" s="1478">
        <f>G9/100</f>
        <v>3333.6576999979206</v>
      </c>
      <c r="T5" s="1478">
        <f>L9/100</f>
        <v>4859.2287102627997</v>
      </c>
      <c r="U5" s="1478">
        <f>P9/100</f>
        <v>5100.0671600000005</v>
      </c>
      <c r="V5" s="811"/>
      <c r="W5" s="811"/>
      <c r="X5" s="811"/>
    </row>
    <row r="6" spans="1:24">
      <c r="A6" s="811"/>
      <c r="B6" s="1476"/>
      <c r="C6" s="563" t="s">
        <v>676</v>
      </c>
      <c r="D6" s="1477">
        <f>+D9-D8-D7</f>
        <v>87676.631781104574</v>
      </c>
      <c r="E6" s="1477">
        <f>+E9-E8-E7</f>
        <v>61488.329333059213</v>
      </c>
      <c r="F6" s="1477">
        <f>+F9-F8-F7</f>
        <v>159259.75906562826</v>
      </c>
      <c r="G6" s="1477">
        <f>G9-G8-G7</f>
        <v>308424.72017979203</v>
      </c>
      <c r="H6" s="1477">
        <f>H9-H7-H8</f>
        <v>231402.49626000001</v>
      </c>
      <c r="I6" s="1477">
        <f>I49*(300+17)/10</f>
        <v>157263.70000000001</v>
      </c>
      <c r="J6" s="1477">
        <f>J49*(300+17)/10</f>
        <v>75520.588235294126</v>
      </c>
      <c r="K6" s="1477">
        <f>L6-J6-I6</f>
        <v>218876.40285630588</v>
      </c>
      <c r="L6" s="1477">
        <f>L9-L7-L8</f>
        <v>451660.69109159999</v>
      </c>
      <c r="M6" s="1477">
        <f>M49*(300+17)/10</f>
        <v>159926.5</v>
      </c>
      <c r="N6" s="1477">
        <f>N49*(300+17)/10</f>
        <v>79175.411839294102</v>
      </c>
      <c r="O6" s="1477">
        <f>P6-N6-M6</f>
        <v>234898.08816070587</v>
      </c>
      <c r="P6" s="1477">
        <f>P9-P7-P8</f>
        <v>474000</v>
      </c>
      <c r="Q6" s="1491"/>
      <c r="R6" s="811"/>
      <c r="S6" s="1478"/>
      <c r="T6" s="1478"/>
      <c r="U6" s="1478"/>
      <c r="V6" s="811"/>
      <c r="W6" s="811"/>
      <c r="X6" s="811"/>
    </row>
    <row r="7" spans="1:24">
      <c r="A7" s="811"/>
      <c r="B7" s="1476"/>
      <c r="C7" s="563" t="s">
        <v>677</v>
      </c>
      <c r="D7" s="1477">
        <f>D49*25/10</f>
        <v>6586.4536818762517</v>
      </c>
      <c r="E7" s="1477">
        <f>E49*25/10</f>
        <v>4619.1331133620006</v>
      </c>
      <c r="F7" s="1477">
        <f>G7-E7-D7</f>
        <v>13588.308254761747</v>
      </c>
      <c r="G7" s="1477">
        <v>24793.895049999999</v>
      </c>
      <c r="H7" s="1477">
        <f>'F-4'!M46</f>
        <v>17425.757669999999</v>
      </c>
      <c r="I7" s="1477">
        <f>I49*25/10</f>
        <v>12402.500000000004</v>
      </c>
      <c r="J7" s="1477">
        <f>J49*25/10</f>
        <v>5955.8823529411766</v>
      </c>
      <c r="K7" s="1477">
        <f>L7-J7-I7</f>
        <v>15737.081581738817</v>
      </c>
      <c r="L7" s="1477">
        <f>'F-4'!O46</f>
        <v>34095.463934679996</v>
      </c>
      <c r="M7" s="1477">
        <f>M49*25/10</f>
        <v>12612.5</v>
      </c>
      <c r="N7" s="1477">
        <f>N49*25/10</f>
        <v>6244.1176529411759</v>
      </c>
      <c r="O7" s="1477">
        <f>P7-N7-M7</f>
        <v>16983.382347058825</v>
      </c>
      <c r="P7" s="1477">
        <f>'F-4'!M55</f>
        <v>35840</v>
      </c>
      <c r="Q7" s="1491"/>
      <c r="R7" s="811"/>
      <c r="S7" s="1478"/>
      <c r="T7" s="1478"/>
      <c r="U7" s="1478"/>
      <c r="V7" s="811"/>
      <c r="W7" s="811"/>
      <c r="X7" s="811"/>
    </row>
    <row r="8" spans="1:24">
      <c r="A8" s="811"/>
      <c r="B8" s="1476"/>
      <c r="C8" s="563" t="s">
        <v>678</v>
      </c>
      <c r="D8" s="1477">
        <f>+G8/G49*D49</f>
        <v>41.628114477426408</v>
      </c>
      <c r="E8" s="1477">
        <f>+G8/G49*E49</f>
        <v>29.19413258133304</v>
      </c>
      <c r="F8" s="1477">
        <f>+G8/G49*F49</f>
        <v>76.332522941240526</v>
      </c>
      <c r="G8" s="1477">
        <v>147.15476999999998</v>
      </c>
      <c r="H8" s="1477">
        <f>'F-4'!M48</f>
        <v>83.358000000000004</v>
      </c>
      <c r="I8" s="1477">
        <f>(I49*0.17/10)</f>
        <v>84.337000000000018</v>
      </c>
      <c r="J8" s="1477">
        <f>(J49*0.17/10)</f>
        <v>40.500000000000007</v>
      </c>
      <c r="K8" s="1477">
        <f>L8-J8-I8</f>
        <v>41.878999999999991</v>
      </c>
      <c r="L8" s="1477">
        <f>'F-4'!O48</f>
        <v>166.71600000000001</v>
      </c>
      <c r="M8" s="1477">
        <f>(M49*0.17/10)</f>
        <v>85.765000000000015</v>
      </c>
      <c r="N8" s="1477">
        <f>(N49*0.17/10)</f>
        <v>42.460000039999997</v>
      </c>
      <c r="O8" s="1477">
        <f>P8-N8-M8</f>
        <v>38.490999959999996</v>
      </c>
      <c r="P8" s="1477">
        <f>'F-4'!M57</f>
        <v>166.71600000000001</v>
      </c>
      <c r="Q8" s="1491"/>
      <c r="R8" s="811"/>
      <c r="S8" s="1478">
        <f>G12-G23</f>
        <v>48368.336025800003</v>
      </c>
      <c r="T8" s="1478"/>
      <c r="U8" s="1478"/>
      <c r="V8" s="811"/>
      <c r="W8" s="811"/>
      <c r="X8" s="811"/>
    </row>
    <row r="9" spans="1:24">
      <c r="A9" s="811"/>
      <c r="B9" s="1476"/>
      <c r="C9" s="436" t="s">
        <v>679</v>
      </c>
      <c r="D9" s="1479">
        <f>+D51</f>
        <v>94304.713577458257</v>
      </c>
      <c r="E9" s="1479">
        <f>+E51</f>
        <v>66136.656579002549</v>
      </c>
      <c r="F9" s="1479">
        <f>+F51</f>
        <v>172924.39984333122</v>
      </c>
      <c r="G9" s="37">
        <f>333817.7476973*0+3333.65769999792*100</f>
        <v>333365.76999979204</v>
      </c>
      <c r="H9" s="37">
        <f>'F-4'!E51</f>
        <v>248911.61193000001</v>
      </c>
      <c r="I9" s="1479">
        <f>SUM(I6:I8)</f>
        <v>169750.53700000001</v>
      </c>
      <c r="J9" s="1479">
        <f>SUM(J6:J8)</f>
        <v>81516.970588235301</v>
      </c>
      <c r="K9" s="1479">
        <f>SUM(K6:K8)</f>
        <v>234655.36343804467</v>
      </c>
      <c r="L9" s="1479">
        <f>'F-4'!E51+'F-4'!G51</f>
        <v>485922.87102627999</v>
      </c>
      <c r="M9" s="1479">
        <f>SUM(M6:M8)</f>
        <v>172624.76500000001</v>
      </c>
      <c r="N9" s="1479">
        <f>SUM(N6:N8)</f>
        <v>85461.989492275272</v>
      </c>
      <c r="O9" s="1479">
        <f>SUM(O6:O8)</f>
        <v>251919.96150772469</v>
      </c>
      <c r="P9" s="1479">
        <f>'F-4'!I51</f>
        <v>510006.71600000001</v>
      </c>
      <c r="Q9" s="1743">
        <f>P9</f>
        <v>510006.71600000001</v>
      </c>
      <c r="R9" s="1478"/>
      <c r="S9" s="811"/>
      <c r="T9" s="811"/>
      <c r="U9" s="811"/>
      <c r="V9" s="811"/>
      <c r="W9" s="811"/>
      <c r="X9" s="811"/>
    </row>
    <row r="10" spans="1:24" hidden="1">
      <c r="A10" s="811"/>
      <c r="B10" s="1476"/>
      <c r="C10" s="436" t="s">
        <v>680</v>
      </c>
      <c r="D10" s="1479"/>
      <c r="E10" s="1479"/>
      <c r="F10" s="1479"/>
      <c r="G10" s="37"/>
      <c r="H10" s="37"/>
      <c r="I10" s="1479"/>
      <c r="J10" s="1479"/>
      <c r="K10" s="1479"/>
      <c r="L10" s="1479"/>
      <c r="M10" s="1479"/>
      <c r="N10" s="1479"/>
      <c r="O10" s="1479"/>
      <c r="P10" s="1479"/>
      <c r="Q10" s="1743"/>
      <c r="R10" s="1478"/>
      <c r="S10" s="811"/>
      <c r="T10" s="811"/>
      <c r="U10" s="811"/>
      <c r="V10" s="811"/>
      <c r="W10" s="811"/>
      <c r="X10" s="811"/>
    </row>
    <row r="11" spans="1:24">
      <c r="A11" s="811"/>
      <c r="B11" s="1476"/>
      <c r="C11" s="563" t="s">
        <v>681</v>
      </c>
      <c r="D11" s="1477"/>
      <c r="E11" s="1477"/>
      <c r="F11" s="1477"/>
      <c r="G11" s="1477"/>
      <c r="H11" s="1477"/>
      <c r="I11" s="1477"/>
      <c r="J11" s="1477"/>
      <c r="K11" s="1477"/>
      <c r="L11" s="1477"/>
      <c r="M11" s="1477"/>
      <c r="N11" s="1477"/>
      <c r="O11" s="1477"/>
      <c r="P11" s="1477"/>
      <c r="Q11" s="1491"/>
      <c r="R11" s="811"/>
      <c r="S11" s="811"/>
      <c r="T11" s="811"/>
      <c r="U11" s="811"/>
      <c r="V11" s="811"/>
      <c r="W11" s="811"/>
      <c r="X11" s="811"/>
    </row>
    <row r="12" spans="1:24">
      <c r="A12" s="811"/>
      <c r="B12" s="1476"/>
      <c r="C12" s="563" t="s">
        <v>682</v>
      </c>
      <c r="D12" s="1477">
        <f>+'F-12'!D53</f>
        <v>1867.5763221610202</v>
      </c>
      <c r="E12" s="1477">
        <f>+'F-12'!F53</f>
        <v>18418.732122144131</v>
      </c>
      <c r="F12" s="1477">
        <f>+'F-12'!G53+0.8</f>
        <v>28646.556781494855</v>
      </c>
      <c r="G12" s="1477">
        <f>'F-12'!I33</f>
        <v>48932.065225800005</v>
      </c>
      <c r="H12" s="1477">
        <f>'F-12'!P35</f>
        <v>26677.51037</v>
      </c>
      <c r="I12" s="1477">
        <f>'F-12'!R53</f>
        <v>3825.342082460043</v>
      </c>
      <c r="J12" s="1477">
        <f>'F-12'!T53</f>
        <v>21614.271523409792</v>
      </c>
      <c r="K12" s="1477">
        <f>'F-12'!U53</f>
        <v>32928.408715910729</v>
      </c>
      <c r="L12" s="1477">
        <f>'F-12'!W33</f>
        <v>58368.022321780569</v>
      </c>
      <c r="M12" s="1477">
        <f>+'F-12'!X53</f>
        <v>5890.672482226908</v>
      </c>
      <c r="N12" s="1477">
        <f>+'F-12'!Y53</f>
        <v>22715.076098763722</v>
      </c>
      <c r="O12" s="1477">
        <f>+'F-12'!AA53</f>
        <v>35458.201658213169</v>
      </c>
      <c r="P12" s="1477">
        <f>'F-12'!AD33</f>
        <v>64063.950239203798</v>
      </c>
      <c r="Q12" s="1491">
        <f t="shared" ref="Q12:Q17" si="0">P12</f>
        <v>64063.950239203798</v>
      </c>
      <c r="R12" s="1478">
        <f t="shared" ref="R12:R25" si="1">P12-L12</f>
        <v>5695.9279174232288</v>
      </c>
      <c r="S12" s="1478">
        <f t="shared" ref="S12:S25" si="2">G12/100</f>
        <v>489.32065225800005</v>
      </c>
      <c r="T12" s="1478">
        <f t="shared" ref="T12:T25" si="3">L12/100</f>
        <v>583.68022321780563</v>
      </c>
      <c r="U12" s="1478">
        <f t="shared" ref="U12:U25" si="4">P12/100</f>
        <v>640.63950239203803</v>
      </c>
      <c r="V12" s="811"/>
      <c r="W12" s="811"/>
      <c r="X12" s="811"/>
    </row>
    <row r="13" spans="1:24">
      <c r="A13" s="811"/>
      <c r="B13" s="1476"/>
      <c r="C13" s="563" t="s">
        <v>683</v>
      </c>
      <c r="D13" s="1477"/>
      <c r="E13" s="1477">
        <f>+'F-13'!C16*0.6</f>
        <v>8223.2583307199984</v>
      </c>
      <c r="F13" s="1477">
        <f>+'F-13'!C16*0.4</f>
        <v>5482.1722204799999</v>
      </c>
      <c r="G13" s="1477">
        <f>'F-13'!C16</f>
        <v>13705.430551199999</v>
      </c>
      <c r="H13" s="1477">
        <f>'F-13'!D16</f>
        <v>11306.999999999998</v>
      </c>
      <c r="I13" s="1477"/>
      <c r="J13" s="1477">
        <f>+'F-13'!E16*0.6</f>
        <v>18141.362525005923</v>
      </c>
      <c r="K13" s="1477">
        <f>+'F-13'!E16*0.4</f>
        <v>12094.241683337283</v>
      </c>
      <c r="L13" s="1477">
        <f>'F-13'!E16</f>
        <v>30235.604208343204</v>
      </c>
      <c r="M13" s="1477"/>
      <c r="N13" s="1477">
        <f ca="1">+'F-13'!F16*0.6</f>
        <v>20760.653474387258</v>
      </c>
      <c r="O13" s="1477">
        <f ca="1">+'F-13'!F16*0.4</f>
        <v>13840.435649591507</v>
      </c>
      <c r="P13" s="1477">
        <f ca="1">'F-13'!F16</f>
        <v>34601.089123978767</v>
      </c>
      <c r="Q13" s="1491">
        <f t="shared" ca="1" si="0"/>
        <v>34601.089123978767</v>
      </c>
      <c r="R13" s="1478">
        <f t="shared" ca="1" si="1"/>
        <v>4365.4849156355631</v>
      </c>
      <c r="S13" s="1478">
        <f t="shared" si="2"/>
        <v>137.05430551199998</v>
      </c>
      <c r="T13" s="1478">
        <f t="shared" si="3"/>
        <v>302.35604208343204</v>
      </c>
      <c r="U13" s="1478">
        <f t="shared" ca="1" si="4"/>
        <v>346.01089123978767</v>
      </c>
      <c r="V13" s="811"/>
      <c r="W13" s="811"/>
      <c r="X13" s="811"/>
    </row>
    <row r="14" spans="1:24" ht="13.5" thickBot="1">
      <c r="A14" s="811"/>
      <c r="B14" s="1476"/>
      <c r="C14" s="563" t="s">
        <v>684</v>
      </c>
      <c r="D14" s="1477">
        <f>+G14*2%</f>
        <v>226.53296338800007</v>
      </c>
      <c r="E14" s="1477">
        <f>+(G14-D14)/('F-5'!E11+'F-5'!F11)*'F-5'!E11</f>
        <v>4344.0405551427521</v>
      </c>
      <c r="F14" s="1477">
        <f>+(G14-D14-E14)</f>
        <v>6756.0746508692519</v>
      </c>
      <c r="G14" s="1477">
        <f>'F-14'!D66</f>
        <v>11326.648169400003</v>
      </c>
      <c r="H14" s="1477">
        <f>'F-14'!E66</f>
        <v>7040.9298904000007</v>
      </c>
      <c r="I14" s="1477">
        <f>'F-14'!C66</f>
        <v>354.21000000000004</v>
      </c>
      <c r="J14" s="1477">
        <f>'F-14'!D66</f>
        <v>11326.648169400003</v>
      </c>
      <c r="K14" s="1477">
        <f>'F-14'!E66</f>
        <v>7040.9298904000007</v>
      </c>
      <c r="L14" s="1477">
        <f>'F-14'!F66</f>
        <v>17375.903063534577</v>
      </c>
      <c r="M14" s="1477">
        <f>+P14*'F-14'!B88</f>
        <v>524.31399880391996</v>
      </c>
      <c r="N14" s="1477">
        <f>+P14*'F-14'!D88</f>
        <v>10031.784510740223</v>
      </c>
      <c r="O14" s="1477">
        <f>+P14*'F-14'!F88</f>
        <v>15659.601430651857</v>
      </c>
      <c r="P14" s="1477">
        <f>'F-14'!G66</f>
        <v>26215.699940195998</v>
      </c>
      <c r="Q14" s="1491">
        <f t="shared" si="0"/>
        <v>26215.699940195998</v>
      </c>
      <c r="R14" s="1478">
        <f t="shared" si="1"/>
        <v>8839.7968766614213</v>
      </c>
      <c r="S14" s="1478">
        <f t="shared" si="2"/>
        <v>113.26648169400003</v>
      </c>
      <c r="T14" s="1478">
        <f t="shared" si="3"/>
        <v>173.75903063534577</v>
      </c>
      <c r="U14" s="1478">
        <f t="shared" si="4"/>
        <v>262.15699940195998</v>
      </c>
      <c r="V14" s="811"/>
      <c r="W14" s="811"/>
      <c r="X14" s="811"/>
    </row>
    <row r="15" spans="1:24" ht="18.75" thickBot="1">
      <c r="A15" s="811"/>
      <c r="B15" s="1476"/>
      <c r="C15" s="563" t="s">
        <v>685</v>
      </c>
      <c r="D15" s="1477"/>
      <c r="E15" s="1477">
        <f>+E36*0.03</f>
        <v>3472.1568813131703</v>
      </c>
      <c r="F15" s="1477">
        <f>+G15-E15</f>
        <v>1030.3956926868291</v>
      </c>
      <c r="G15" s="1477">
        <v>4502.5525739999994</v>
      </c>
      <c r="H15" s="1477">
        <f>29.96*100</f>
        <v>2996</v>
      </c>
      <c r="I15" s="1477"/>
      <c r="J15" s="1477">
        <f>+J36*0.01</f>
        <v>619.14242124566022</v>
      </c>
      <c r="K15" s="1477">
        <f>+L15-J15</f>
        <v>5212.7095833938884</v>
      </c>
      <c r="L15" s="1477">
        <f>('F-22'!C6+'F-22'!C7)*0.01</f>
        <v>5831.8520046395488</v>
      </c>
      <c r="M15" s="1477"/>
      <c r="N15" s="1477">
        <f>+N36*0.01</f>
        <v>1318.034288594519</v>
      </c>
      <c r="O15" s="1477">
        <f>+P15-N15</f>
        <v>4853.7895395346868</v>
      </c>
      <c r="P15" s="1477">
        <f>('F-22'!D6+'F-22'!D7)*0.01</f>
        <v>6171.823828129206</v>
      </c>
      <c r="Q15" s="1491">
        <f t="shared" si="0"/>
        <v>6171.823828129206</v>
      </c>
      <c r="R15" s="1478">
        <f t="shared" si="1"/>
        <v>339.97182348965725</v>
      </c>
      <c r="S15" s="1478">
        <f t="shared" si="2"/>
        <v>45.025525739999992</v>
      </c>
      <c r="T15" s="1478">
        <f t="shared" si="3"/>
        <v>58.318520046395491</v>
      </c>
      <c r="U15" s="1478">
        <f t="shared" si="4"/>
        <v>61.718238281292059</v>
      </c>
      <c r="V15" s="811">
        <f>45.02552574*100</f>
        <v>4502.5525740000003</v>
      </c>
      <c r="W15" s="1480">
        <f>G15-V15</f>
        <v>0</v>
      </c>
      <c r="X15" s="1481">
        <v>1612.39</v>
      </c>
    </row>
    <row r="16" spans="1:24" ht="18.75" thickBot="1">
      <c r="A16" s="811"/>
      <c r="B16" s="1476"/>
      <c r="C16" s="563" t="s">
        <v>686</v>
      </c>
      <c r="D16" s="1477"/>
      <c r="E16" s="1477">
        <f>+G16*0.6</f>
        <v>1467.1542282599994</v>
      </c>
      <c r="F16" s="1477">
        <f>+G16-E16</f>
        <v>978.1028188399996</v>
      </c>
      <c r="G16" s="36">
        <f>DEPCAL!F67</f>
        <v>2445.257047099999</v>
      </c>
      <c r="H16" s="1477">
        <f>48.006024726*100-(5666/2)</f>
        <v>1967.6024725999996</v>
      </c>
      <c r="I16" s="1477"/>
      <c r="J16" s="1477">
        <f>+L16*0.6</f>
        <v>2274.10443933335</v>
      </c>
      <c r="K16" s="1477">
        <f>+L16-J16</f>
        <v>1516.0696262222332</v>
      </c>
      <c r="L16" s="1477">
        <f>DEPCAL!G67</f>
        <v>3790.1740655555832</v>
      </c>
      <c r="M16" s="1477"/>
      <c r="N16" s="1477">
        <f ca="1">+P16*0.6</f>
        <v>5823.7228020186622</v>
      </c>
      <c r="O16" s="1477">
        <f ca="1">+P16-N16</f>
        <v>3882.4818680124417</v>
      </c>
      <c r="P16" s="36">
        <f ca="1">DEPCAL!H67</f>
        <v>9706.2046700311039</v>
      </c>
      <c r="Q16" s="7">
        <f t="shared" ca="1" si="0"/>
        <v>9706.2046700311039</v>
      </c>
      <c r="R16" s="1478">
        <f t="shared" ca="1" si="1"/>
        <v>5916.0306044755207</v>
      </c>
      <c r="S16" s="1478">
        <f t="shared" si="2"/>
        <v>24.452570470999991</v>
      </c>
      <c r="T16" s="1478">
        <f t="shared" si="3"/>
        <v>37.901740655555834</v>
      </c>
      <c r="U16" s="1478">
        <f t="shared" ca="1" si="4"/>
        <v>97.062046700311043</v>
      </c>
      <c r="V16" s="811"/>
      <c r="W16" s="811"/>
      <c r="X16" s="1481" t="s">
        <v>687</v>
      </c>
    </row>
    <row r="17" spans="1:24" ht="24" thickBot="1">
      <c r="A17" s="811"/>
      <c r="B17" s="1476"/>
      <c r="C17" s="563" t="s">
        <v>2281</v>
      </c>
      <c r="D17" s="1477"/>
      <c r="E17" s="1477">
        <f>+G17*0.6</f>
        <v>320.52383999999995</v>
      </c>
      <c r="F17" s="1477">
        <f>+G17-E17</f>
        <v>213.68255999999997</v>
      </c>
      <c r="G17" s="1477">
        <f>('loan&amp;int'!B110-G19)*0+5.342064*100</f>
        <v>534.20639999999992</v>
      </c>
      <c r="H17" s="1477">
        <f>(28.34*100)-H19</f>
        <v>889.99999999999977</v>
      </c>
      <c r="I17" s="1477"/>
      <c r="J17" s="1477">
        <f ca="1">+L17*0.6</f>
        <v>1089.5305643827692</v>
      </c>
      <c r="K17" s="1477">
        <f ca="1">+L17-J17</f>
        <v>726.35370958851286</v>
      </c>
      <c r="L17" s="1477">
        <f ca="1">'loan&amp;int'!C56</f>
        <v>1815.884273971282</v>
      </c>
      <c r="M17" s="1477"/>
      <c r="N17" s="1477">
        <f ca="1">+P17*0.6</f>
        <v>4554.8695963331329</v>
      </c>
      <c r="O17" s="1477">
        <f ca="1">+P17-N17</f>
        <v>3036.579730888755</v>
      </c>
      <c r="P17" s="1477">
        <f ca="1">'loan&amp;int'!D56</f>
        <v>7591.4493272218879</v>
      </c>
      <c r="Q17" s="1491">
        <f t="shared" ca="1" si="0"/>
        <v>7591.4493272218879</v>
      </c>
      <c r="R17" s="1478">
        <f t="shared" ca="1" si="1"/>
        <v>5775.5650532506061</v>
      </c>
      <c r="S17" s="1478">
        <f>G17/100</f>
        <v>5.3420639999999988</v>
      </c>
      <c r="T17" s="1478">
        <f ca="1">L17/100</f>
        <v>18.158842739712821</v>
      </c>
      <c r="U17" s="1478">
        <f ca="1">P17/100</f>
        <v>75.914493272218877</v>
      </c>
      <c r="V17" s="811"/>
      <c r="W17" s="811"/>
      <c r="X17" s="1482"/>
    </row>
    <row r="18" spans="1:24" ht="24" thickBot="1">
      <c r="A18" s="811"/>
      <c r="B18" s="1476"/>
      <c r="C18" s="563" t="s">
        <v>2280</v>
      </c>
      <c r="D18" s="1477"/>
      <c r="E18" s="1477"/>
      <c r="F18" s="1477"/>
      <c r="G18" s="1477">
        <f>46.3113505317923*100</f>
        <v>4631.1350531792305</v>
      </c>
      <c r="H18" s="1477"/>
      <c r="I18" s="1477"/>
      <c r="J18" s="1477"/>
      <c r="K18" s="1477"/>
      <c r="L18" s="1477">
        <f>'loan&amp;int'!C101</f>
        <v>5882.7374102216609</v>
      </c>
      <c r="M18" s="1477"/>
      <c r="N18" s="1477"/>
      <c r="O18" s="1477"/>
      <c r="P18" s="1477">
        <f ca="1">'loan&amp;int'!D101</f>
        <v>5895.2403618205071</v>
      </c>
      <c r="Q18" s="1491">
        <f ca="1">'loan&amp;int'!J139</f>
        <v>5895.2333808205067</v>
      </c>
      <c r="R18" s="1478"/>
      <c r="S18" s="1478"/>
      <c r="T18" s="1478"/>
      <c r="U18" s="1478"/>
      <c r="V18" s="811"/>
      <c r="W18" s="811"/>
      <c r="X18" s="1482"/>
    </row>
    <row r="19" spans="1:24" ht="18.75" thickBot="1">
      <c r="A19" s="811"/>
      <c r="B19" s="1476"/>
      <c r="C19" s="563" t="s">
        <v>688</v>
      </c>
      <c r="D19" s="1477">
        <f>G19*50%</f>
        <v>1647.5346200000001</v>
      </c>
      <c r="E19" s="1477">
        <f>G19*30%</f>
        <v>988.52077200000008</v>
      </c>
      <c r="F19" s="36">
        <f>G19-D19-E19</f>
        <v>659.01384800000005</v>
      </c>
      <c r="G19" s="1477">
        <f>'loan&amp;int'!B109</f>
        <v>3295.0692400000003</v>
      </c>
      <c r="H19" s="1477">
        <f>19.44*100</f>
        <v>1944.0000000000002</v>
      </c>
      <c r="I19" s="1477">
        <f>40023.02796*5.4%</f>
        <v>2161.2435098400001</v>
      </c>
      <c r="J19" s="1477">
        <f>30593.8168*5.4%</f>
        <v>1652.0661072000003</v>
      </c>
      <c r="K19" s="36">
        <f>L19-I19-J19</f>
        <v>376.21210771324877</v>
      </c>
      <c r="L19" s="1477">
        <f>'loan&amp;int'!C109</f>
        <v>4189.5217247532491</v>
      </c>
      <c r="M19" s="1477">
        <f>44023.02796*5.4%</f>
        <v>2377.2435098400001</v>
      </c>
      <c r="N19" s="1477">
        <f>35013.816776*5.4%</f>
        <v>1890.7461059040002</v>
      </c>
      <c r="O19" s="36">
        <f>P19-M19-N19</f>
        <v>407.07399650924935</v>
      </c>
      <c r="P19" s="1477">
        <f>'loan&amp;int'!D109</f>
        <v>4675.0636122532496</v>
      </c>
      <c r="Q19" s="1491">
        <f t="shared" ref="Q19:Q24" si="5">P19</f>
        <v>4675.0636122532496</v>
      </c>
      <c r="R19" s="1478">
        <f t="shared" si="1"/>
        <v>485.54188750000048</v>
      </c>
      <c r="S19" s="1478">
        <f t="shared" si="2"/>
        <v>32.950692400000001</v>
      </c>
      <c r="T19" s="1478">
        <f t="shared" si="3"/>
        <v>41.895217247532493</v>
      </c>
      <c r="U19" s="1478">
        <f t="shared" si="4"/>
        <v>46.750636122532498</v>
      </c>
      <c r="V19" s="811"/>
      <c r="W19" s="811"/>
      <c r="X19" s="1483"/>
    </row>
    <row r="20" spans="1:24" ht="18.75" thickBot="1">
      <c r="A20" s="811"/>
      <c r="B20" s="1476"/>
      <c r="C20" s="1484" t="s">
        <v>2407</v>
      </c>
      <c r="D20" s="1477">
        <f>+G20/G49*D49</f>
        <v>2285.0702634718805</v>
      </c>
      <c r="E20" s="1477">
        <f>+G20/G49*E49</f>
        <v>1602.5382140628717</v>
      </c>
      <c r="F20" s="1477">
        <f>+G20/G49*F49</f>
        <v>4190.0811626574878</v>
      </c>
      <c r="G20" s="1477">
        <f>(63.7416376321995*100)*0+(68.8523854069224+11.924510995)*100</f>
        <v>8077.6896401922404</v>
      </c>
      <c r="H20" s="1477">
        <f>45.540158633732*100</f>
        <v>4554.0158633731999</v>
      </c>
      <c r="I20" s="1477">
        <f ca="1">+L20/L49*I49</f>
        <v>3326.9323019566395</v>
      </c>
      <c r="J20" s="1477">
        <f ca="1">+L20/L49*J49</f>
        <v>1597.6470378273343</v>
      </c>
      <c r="K20" s="1477">
        <f ca="1">+L20/L49*K49</f>
        <v>3324.0131444060407</v>
      </c>
      <c r="L20" s="1477">
        <f ca="1">'F-21'!D10*16%</f>
        <v>8248.5924841900141</v>
      </c>
      <c r="M20" s="1477">
        <f ca="1">+P20/P49*M49</f>
        <v>4313.5889003970406</v>
      </c>
      <c r="N20" s="1477">
        <f ca="1">+P20/P49*N49</f>
        <v>2135.5446264024004</v>
      </c>
      <c r="O20" s="1477">
        <f ca="1">+P20/P49*O49</f>
        <v>4495.1554573595513</v>
      </c>
      <c r="P20" s="1477">
        <f ca="1">'F-21'!E10*16%</f>
        <v>10944.288984158993</v>
      </c>
      <c r="Q20" s="1491">
        <f t="shared" ca="1" si="5"/>
        <v>10944.288984158993</v>
      </c>
      <c r="R20" s="1478">
        <f t="shared" ca="1" si="1"/>
        <v>2695.696499968979</v>
      </c>
      <c r="S20" s="1478">
        <f>G20/100</f>
        <v>80.7768964019224</v>
      </c>
      <c r="T20" s="1478">
        <f ca="1">L20/100</f>
        <v>82.485924841900143</v>
      </c>
      <c r="U20" s="1478">
        <f ca="1">P20/100</f>
        <v>109.44288984158993</v>
      </c>
      <c r="V20" s="811"/>
      <c r="W20" s="811"/>
      <c r="X20" s="1483"/>
    </row>
    <row r="21" spans="1:24" ht="18.75" thickBot="1">
      <c r="A21" s="811"/>
      <c r="B21" s="1476"/>
      <c r="C21" s="563" t="s">
        <v>689</v>
      </c>
      <c r="D21" s="1477"/>
      <c r="E21" s="1477"/>
      <c r="F21" s="1477"/>
      <c r="G21" s="1477"/>
      <c r="H21" s="1477"/>
      <c r="I21" s="1477"/>
      <c r="J21" s="1477"/>
      <c r="K21" s="1477"/>
      <c r="L21" s="1477">
        <f ca="1">(('F-21'!D10*16%)/0.7483)-L20</f>
        <v>2774.5165418557081</v>
      </c>
      <c r="M21" s="1477"/>
      <c r="N21" s="1477"/>
      <c r="O21" s="1477"/>
      <c r="P21" s="1477">
        <f ca="1">(('F-21'!E10*16%)/0.7483)-P20</f>
        <v>3681.2475441839088</v>
      </c>
      <c r="Q21" s="1491">
        <f t="shared" ca="1" si="5"/>
        <v>3681.2475441839088</v>
      </c>
      <c r="R21" s="1478"/>
      <c r="S21" s="1478"/>
      <c r="T21" s="1478"/>
      <c r="U21" s="1478"/>
      <c r="V21" s="811"/>
      <c r="W21" s="811"/>
      <c r="X21" s="1483"/>
    </row>
    <row r="22" spans="1:24" ht="18.75" thickBot="1">
      <c r="A22" s="811"/>
      <c r="B22" s="1476"/>
      <c r="C22" s="563" t="s">
        <v>690</v>
      </c>
      <c r="D22" s="1477"/>
      <c r="E22" s="1477"/>
      <c r="F22" s="1477"/>
      <c r="G22" s="1477">
        <f>-18.7510228914388*100</f>
        <v>-1875.1022891438802</v>
      </c>
      <c r="H22" s="1477"/>
      <c r="I22" s="1477"/>
      <c r="J22" s="1477"/>
      <c r="K22" s="1477"/>
      <c r="L22" s="1477">
        <f>G38*7.45%</f>
        <v>-3915.1573592211344</v>
      </c>
      <c r="M22" s="1477"/>
      <c r="N22" s="1477"/>
      <c r="O22" s="1477"/>
      <c r="P22" s="1477">
        <f ca="1">L38*8.7%</f>
        <v>-1644.541238084244</v>
      </c>
      <c r="Q22" s="1491">
        <f t="shared" ca="1" si="5"/>
        <v>-1644.541238084244</v>
      </c>
      <c r="R22" s="1478"/>
      <c r="S22" s="1478"/>
      <c r="T22" s="1478"/>
      <c r="U22" s="1478"/>
      <c r="V22" s="811"/>
      <c r="W22" s="811"/>
      <c r="X22" s="1483"/>
    </row>
    <row r="23" spans="1:24" ht="18">
      <c r="A23" s="811"/>
      <c r="B23" s="1476"/>
      <c r="C23" s="563" t="s">
        <v>691</v>
      </c>
      <c r="D23" s="1477">
        <f>+'F-12'!D57</f>
        <v>57.552414752455917</v>
      </c>
      <c r="E23" s="1477">
        <f>+'F-12'!F57</f>
        <v>198.09276231621274</v>
      </c>
      <c r="F23" s="1477">
        <f>+'F-12'!G57</f>
        <v>308.08402293133128</v>
      </c>
      <c r="G23" s="1477">
        <f>'F-12'!I34</f>
        <v>563.72919999999999</v>
      </c>
      <c r="H23" s="1477">
        <f>'F-12'!P34</f>
        <v>162.55699999999996</v>
      </c>
      <c r="I23" s="1477">
        <f>'F-12'!R57</f>
        <v>124.31553906910051</v>
      </c>
      <c r="J23" s="1477">
        <f>'F-12'!T57</f>
        <v>702.4181780602006</v>
      </c>
      <c r="K23" s="1477">
        <f>'F-12'!U57</f>
        <v>1070.1037428719601</v>
      </c>
      <c r="L23" s="1477">
        <f>'F-12'!W34</f>
        <v>1896.8374600012612</v>
      </c>
      <c r="M23" s="1477">
        <f>+'F-12'!X57</f>
        <v>235.99367676729932</v>
      </c>
      <c r="N23" s="1477">
        <f>+'F-12'!Y57</f>
        <v>910.01737794285339</v>
      </c>
      <c r="O23" s="1477">
        <f>+'F-12'!AA57</f>
        <v>1420.5358396898466</v>
      </c>
      <c r="P23" s="1477">
        <f>'F-12'!AD34</f>
        <v>2566.5468943999999</v>
      </c>
      <c r="Q23" s="1491">
        <f t="shared" si="5"/>
        <v>2566.5468943999999</v>
      </c>
      <c r="R23" s="1478">
        <f t="shared" si="1"/>
        <v>669.70943439873872</v>
      </c>
      <c r="S23" s="1478">
        <f t="shared" si="2"/>
        <v>5.6372919999999995</v>
      </c>
      <c r="T23" s="1478">
        <f t="shared" si="3"/>
        <v>18.968374600012613</v>
      </c>
      <c r="U23" s="1478">
        <f t="shared" si="4"/>
        <v>25.665468944000001</v>
      </c>
      <c r="V23" s="811"/>
      <c r="W23" s="811"/>
      <c r="X23" s="1485"/>
    </row>
    <row r="24" spans="1:24" ht="18">
      <c r="A24" s="811"/>
      <c r="B24" s="1476"/>
      <c r="C24" s="563" t="s">
        <v>692</v>
      </c>
      <c r="D24" s="1477"/>
      <c r="E24" s="1477">
        <f>+G24*0.6</f>
        <v>0</v>
      </c>
      <c r="F24" s="1477">
        <f>+G24-E24</f>
        <v>0</v>
      </c>
      <c r="G24" s="1477">
        <f>'loan&amp;int'!B119</f>
        <v>0</v>
      </c>
      <c r="H24" s="1477"/>
      <c r="I24" s="1477"/>
      <c r="J24" s="1477">
        <f ca="1">+L24*0.6</f>
        <v>439.25408329703129</v>
      </c>
      <c r="K24" s="1477">
        <f ca="1">+L24-J24</f>
        <v>292.83605553135425</v>
      </c>
      <c r="L24" s="1477">
        <f ca="1">'loan&amp;int'!C119</f>
        <v>732.09013882838553</v>
      </c>
      <c r="M24" s="1477"/>
      <c r="N24" s="1477">
        <f ca="1">+P24*0.6</f>
        <v>1055.1326759147337</v>
      </c>
      <c r="O24" s="1477">
        <f ca="1">+P24-N24</f>
        <v>703.42178394315602</v>
      </c>
      <c r="P24" s="1477">
        <f ca="1">'loan&amp;int'!D119</f>
        <v>1758.5544598578897</v>
      </c>
      <c r="Q24" s="1491">
        <f t="shared" ca="1" si="5"/>
        <v>1758.5544598578897</v>
      </c>
      <c r="R24" s="1478">
        <f t="shared" ca="1" si="1"/>
        <v>1026.4643210295042</v>
      </c>
      <c r="S24" s="1478">
        <f t="shared" si="2"/>
        <v>0</v>
      </c>
      <c r="T24" s="1478">
        <f t="shared" ca="1" si="3"/>
        <v>7.3209013882838549</v>
      </c>
      <c r="U24" s="1478">
        <f t="shared" ca="1" si="4"/>
        <v>17.585544598578895</v>
      </c>
      <c r="V24" s="811"/>
      <c r="W24" s="811"/>
      <c r="X24" s="1486"/>
    </row>
    <row r="25" spans="1:24" ht="26.25">
      <c r="A25" s="811"/>
      <c r="B25" s="1476"/>
      <c r="C25" s="436" t="s">
        <v>693</v>
      </c>
      <c r="D25" s="1487">
        <f>SUM(D12:D20)-D23-D24</f>
        <v>5969.1617542684453</v>
      </c>
      <c r="E25" s="1487">
        <f>SUM(E12:E20)-E23-E24</f>
        <v>38638.83218132671</v>
      </c>
      <c r="F25" s="1487">
        <f>SUM(F12:F20)-F23-F24</f>
        <v>47647.995712097094</v>
      </c>
      <c r="G25" s="1487">
        <f>SUM(G12:G20)-G23-G24+G22</f>
        <v>95011.222411727576</v>
      </c>
      <c r="H25" s="1487">
        <f t="shared" ref="H25:O25" si="6">SUM(H12:H20)-H23-H24</f>
        <v>57214.501596373193</v>
      </c>
      <c r="I25" s="1487">
        <f t="shared" ca="1" si="6"/>
        <v>9543.4123551875819</v>
      </c>
      <c r="J25" s="1487">
        <f t="shared" ca="1" si="6"/>
        <v>57173.100526447597</v>
      </c>
      <c r="K25" s="1487">
        <f t="shared" ca="1" si="6"/>
        <v>61855.998662568622</v>
      </c>
      <c r="L25" s="1487">
        <f ca="1">SUM(L12:L22)-L23-L24</f>
        <v>131968.72314079458</v>
      </c>
      <c r="M25" s="1487">
        <f t="shared" ca="1" si="6"/>
        <v>12869.82521450057</v>
      </c>
      <c r="N25" s="1487">
        <f t="shared" ca="1" si="6"/>
        <v>67265.28144928634</v>
      </c>
      <c r="O25" s="1487">
        <f t="shared" ca="1" si="6"/>
        <v>79509.361707128221</v>
      </c>
      <c r="P25" s="1487">
        <f ca="1">SUM(P12:P22)-P23-P24</f>
        <v>167576.41503883529</v>
      </c>
      <c r="Q25" s="1487">
        <f ca="1">SUM(Q12:Q22)-Q23-Q24</f>
        <v>167576.40805783533</v>
      </c>
      <c r="R25" s="1478">
        <f t="shared" ca="1" si="1"/>
        <v>35607.691898040706</v>
      </c>
      <c r="S25" s="1478">
        <f t="shared" si="2"/>
        <v>950.11222411727579</v>
      </c>
      <c r="T25" s="1478">
        <f t="shared" ca="1" si="3"/>
        <v>1319.6872314079458</v>
      </c>
      <c r="U25" s="1478">
        <f t="shared" ca="1" si="4"/>
        <v>1675.7641503883528</v>
      </c>
      <c r="V25" s="811"/>
      <c r="W25" s="811"/>
      <c r="X25" s="1486"/>
    </row>
    <row r="26" spans="1:24" ht="18">
      <c r="A26" s="811"/>
      <c r="B26" s="1476"/>
      <c r="C26" s="563" t="s">
        <v>694</v>
      </c>
      <c r="D26" s="1477"/>
      <c r="E26" s="1477"/>
      <c r="F26" s="1477"/>
      <c r="G26" s="1477">
        <f>-'F-22'!B25</f>
        <v>0</v>
      </c>
      <c r="H26" s="1477"/>
      <c r="I26" s="1477"/>
      <c r="J26" s="1477"/>
      <c r="K26" s="1477"/>
      <c r="L26" s="1477"/>
      <c r="M26" s="1477"/>
      <c r="N26" s="1477"/>
      <c r="O26" s="1477"/>
      <c r="P26" s="1477"/>
      <c r="Q26" s="1491"/>
      <c r="R26" s="811"/>
      <c r="S26" s="811"/>
      <c r="T26" s="811"/>
      <c r="U26" s="811"/>
      <c r="V26" s="811"/>
      <c r="W26" s="811"/>
      <c r="X26" s="1486"/>
    </row>
    <row r="27" spans="1:24" ht="18">
      <c r="A27" s="811"/>
      <c r="B27" s="1476"/>
      <c r="C27" s="563" t="s">
        <v>2282</v>
      </c>
      <c r="D27" s="1477"/>
      <c r="E27" s="1477"/>
      <c r="F27" s="1477"/>
      <c r="G27" s="1477"/>
      <c r="H27" s="1477"/>
      <c r="I27" s="1477"/>
      <c r="J27" s="1477"/>
      <c r="K27" s="1477"/>
      <c r="L27" s="1477"/>
      <c r="M27" s="1477">
        <f>+P27/P49*M49</f>
        <v>0</v>
      </c>
      <c r="N27" s="1477">
        <f>+P27/P49*N49</f>
        <v>0</v>
      </c>
      <c r="O27" s="1477">
        <f>+P27/P49*O49</f>
        <v>0</v>
      </c>
      <c r="P27" s="1477">
        <f>(-'F-22'!B26-'truing 20-21'!H23*100)*0.1*0</f>
        <v>0</v>
      </c>
      <c r="Q27" s="1491"/>
      <c r="R27" s="811"/>
      <c r="S27" s="811"/>
      <c r="T27" s="811"/>
      <c r="U27" s="1478">
        <f>P27/100</f>
        <v>0</v>
      </c>
      <c r="V27" s="811"/>
      <c r="W27" s="811"/>
      <c r="X27" s="1488"/>
    </row>
    <row r="28" spans="1:24">
      <c r="A28" s="811"/>
      <c r="B28" s="1476"/>
      <c r="C28" s="563" t="s">
        <v>696</v>
      </c>
      <c r="D28" s="1477"/>
      <c r="E28" s="1477"/>
      <c r="F28" s="1477"/>
      <c r="G28" s="1477"/>
      <c r="H28" s="1477"/>
      <c r="I28" s="1477"/>
      <c r="J28" s="1477"/>
      <c r="K28" s="1477"/>
      <c r="L28" s="1477">
        <f>-50000*0</f>
        <v>0</v>
      </c>
      <c r="M28" s="1477">
        <f ca="1">+P28/P49*M49</f>
        <v>-28163.405317171982</v>
      </c>
      <c r="N28" s="1477">
        <f ca="1">+P28/P49*N49</f>
        <v>-13942.962640863505</v>
      </c>
      <c r="O28" s="1477">
        <f ca="1">+P28/P49*O49</f>
        <v>-29348.852668287876</v>
      </c>
      <c r="P28" s="1477">
        <f ca="1">L38+G38</f>
        <v>-71455.220626323367</v>
      </c>
      <c r="Q28" s="1491"/>
      <c r="R28" s="811"/>
      <c r="S28" s="811"/>
      <c r="T28" s="811"/>
      <c r="U28" s="1478">
        <f ca="1">P28/100</f>
        <v>-714.55220626323364</v>
      </c>
      <c r="V28" s="811"/>
      <c r="W28" s="811"/>
      <c r="X28" s="811"/>
    </row>
    <row r="29" spans="1:24">
      <c r="A29" s="811"/>
      <c r="B29" s="1476"/>
      <c r="C29" s="563" t="s">
        <v>697</v>
      </c>
      <c r="D29" s="1477"/>
      <c r="E29" s="36">
        <f>G29*0.6</f>
        <v>0</v>
      </c>
      <c r="F29" s="36">
        <f>G29-E29</f>
        <v>0</v>
      </c>
      <c r="G29" s="1477">
        <v>0</v>
      </c>
      <c r="H29" s="1477"/>
      <c r="I29" s="1477"/>
      <c r="J29" s="36">
        <f>L29*0.6</f>
        <v>0</v>
      </c>
      <c r="K29" s="36">
        <f>L29-J29</f>
        <v>0</v>
      </c>
      <c r="L29" s="36">
        <f>DEPCAL!G16*0.375%*0</f>
        <v>0</v>
      </c>
      <c r="M29" s="1477"/>
      <c r="N29" s="36">
        <f ca="1">P29*0.6</f>
        <v>0</v>
      </c>
      <c r="O29" s="36">
        <f ca="1">P29-N29</f>
        <v>0</v>
      </c>
      <c r="P29" s="36">
        <f ca="1">DEPCAL!H16*0.375%*0</f>
        <v>0</v>
      </c>
      <c r="Q29" s="7"/>
      <c r="R29" s="811"/>
      <c r="S29" s="1478">
        <f>G29/100</f>
        <v>0</v>
      </c>
      <c r="T29" s="1478">
        <f>L29/100</f>
        <v>0</v>
      </c>
      <c r="U29" s="1478">
        <f ca="1">P29/100</f>
        <v>0</v>
      </c>
      <c r="V29" s="811"/>
      <c r="W29" s="811"/>
      <c r="X29" s="811"/>
    </row>
    <row r="30" spans="1:24">
      <c r="A30" s="811"/>
      <c r="B30" s="1476"/>
      <c r="C30" s="436" t="s">
        <v>698</v>
      </c>
      <c r="D30" s="1479">
        <f>SUM(D27:D29)</f>
        <v>0</v>
      </c>
      <c r="E30" s="1479">
        <f>SUM(E27:E29)</f>
        <v>0</v>
      </c>
      <c r="F30" s="1479">
        <f>SUM(F27:F29)</f>
        <v>0</v>
      </c>
      <c r="G30" s="1479">
        <f>SUM(G26:G29)</f>
        <v>0</v>
      </c>
      <c r="H30" s="1479"/>
      <c r="I30" s="1479">
        <f t="shared" ref="I30:P30" si="7">SUM(I27:I29)</f>
        <v>0</v>
      </c>
      <c r="J30" s="1479">
        <f t="shared" si="7"/>
        <v>0</v>
      </c>
      <c r="K30" s="1479">
        <f t="shared" si="7"/>
        <v>0</v>
      </c>
      <c r="L30" s="1479">
        <f t="shared" si="7"/>
        <v>0</v>
      </c>
      <c r="M30" s="1479">
        <f t="shared" ca="1" si="7"/>
        <v>-28163.405317171982</v>
      </c>
      <c r="N30" s="1479">
        <f t="shared" ca="1" si="7"/>
        <v>-13942.962640863505</v>
      </c>
      <c r="O30" s="1479">
        <f t="shared" ca="1" si="7"/>
        <v>-29348.852668287876</v>
      </c>
      <c r="P30" s="1479">
        <f t="shared" ca="1" si="7"/>
        <v>-71455.220626323367</v>
      </c>
      <c r="Q30" s="1743">
        <f ca="1">P30</f>
        <v>-71455.220626323367</v>
      </c>
      <c r="R30" s="811"/>
      <c r="S30" s="811"/>
      <c r="T30" s="811"/>
      <c r="U30" s="811"/>
      <c r="V30" s="811"/>
      <c r="W30" s="811"/>
      <c r="X30" s="811"/>
    </row>
    <row r="31" spans="1:24">
      <c r="A31" s="811"/>
      <c r="B31" s="1476"/>
      <c r="C31" s="563"/>
      <c r="D31" s="1477"/>
      <c r="E31" s="1477"/>
      <c r="F31" s="1477"/>
      <c r="G31" s="1477"/>
      <c r="H31" s="1477"/>
      <c r="I31" s="1477"/>
      <c r="J31" s="1477"/>
      <c r="K31" s="1477"/>
      <c r="L31" s="1477"/>
      <c r="M31" s="1477"/>
      <c r="N31" s="1477"/>
      <c r="O31" s="1477"/>
      <c r="P31" s="1477"/>
      <c r="Q31" s="1491"/>
      <c r="R31" s="811"/>
      <c r="S31" s="811"/>
      <c r="T31" s="811"/>
      <c r="U31" s="811"/>
      <c r="V31" s="811"/>
      <c r="W31" s="811"/>
      <c r="X31" s="811"/>
    </row>
    <row r="32" spans="1:24">
      <c r="A32" s="811"/>
      <c r="B32" s="1476"/>
      <c r="C32" s="563" t="s">
        <v>699</v>
      </c>
      <c r="D32" s="1479">
        <f>D9+D25+D30</f>
        <v>100273.8753317267</v>
      </c>
      <c r="E32" s="1479">
        <f>E9+E25+E30</f>
        <v>104775.48876032926</v>
      </c>
      <c r="F32" s="1479">
        <f>F9+F25+F30</f>
        <v>220572.39555542832</v>
      </c>
      <c r="G32" s="1479">
        <f>G9+G25+G30</f>
        <v>428376.99241151963</v>
      </c>
      <c r="H32" s="1479">
        <f t="shared" ref="H32:O32" si="8">H9+H25+H30</f>
        <v>306126.11352637323</v>
      </c>
      <c r="I32" s="1479">
        <f t="shared" ca="1" si="8"/>
        <v>179293.94935518759</v>
      </c>
      <c r="J32" s="1479">
        <f t="shared" ca="1" si="8"/>
        <v>138690.07111468288</v>
      </c>
      <c r="K32" s="1479">
        <f t="shared" ca="1" si="8"/>
        <v>296511.3621006133</v>
      </c>
      <c r="L32" s="1479">
        <f ca="1">L9+L10+L25+L30</f>
        <v>617891.59416707454</v>
      </c>
      <c r="M32" s="1479">
        <f t="shared" ca="1" si="8"/>
        <v>157331.18489732861</v>
      </c>
      <c r="N32" s="1479">
        <f t="shared" ca="1" si="8"/>
        <v>138784.30830069812</v>
      </c>
      <c r="O32" s="1479">
        <f t="shared" ca="1" si="8"/>
        <v>302080.47054656502</v>
      </c>
      <c r="P32" s="1479">
        <f ca="1">P9+P25+P30</f>
        <v>606127.9104125119</v>
      </c>
      <c r="Q32" s="1479">
        <f ca="1">Q9+Q25+Q30</f>
        <v>606127.90343151195</v>
      </c>
      <c r="R32" s="1478">
        <f ca="1">P32-P28-P20</f>
        <v>666638.84205467626</v>
      </c>
      <c r="S32" s="1478">
        <f>G32/100</f>
        <v>4283.7699241151968</v>
      </c>
      <c r="T32" s="1478">
        <f ca="1">L32/100</f>
        <v>6178.9159416707453</v>
      </c>
      <c r="U32" s="1478">
        <f ca="1">P32/100</f>
        <v>6061.2791041251194</v>
      </c>
      <c r="V32" s="1478"/>
      <c r="W32" s="1478">
        <f ca="1">U32-U27-U28</f>
        <v>6775.8313103883529</v>
      </c>
      <c r="X32" s="811"/>
    </row>
    <row r="33" spans="1:24">
      <c r="A33" s="811"/>
      <c r="B33" s="1476"/>
      <c r="C33" s="563" t="s">
        <v>700</v>
      </c>
      <c r="D33" s="1477">
        <f>+G33/G49*D49</f>
        <v>3322.2770853468587</v>
      </c>
      <c r="E33" s="1477">
        <f>+G33/G49*E49</f>
        <v>2329.9397274920052</v>
      </c>
      <c r="F33" s="1477">
        <f>+G33/G49*F49</f>
        <v>6091.9836273611372</v>
      </c>
      <c r="G33" s="1477">
        <f>('F-22'!B8+'F-22'!B9)*0+(117.442004402)*100</f>
        <v>11744.2004402</v>
      </c>
      <c r="H33" s="1477">
        <f>(85.15+48.16+349.569378444)*100</f>
        <v>48287.937844400003</v>
      </c>
      <c r="I33" s="1477">
        <f>+L33/L49*I49</f>
        <v>21622.363843714003</v>
      </c>
      <c r="J33" s="1477">
        <f>+L33/L49*J49</f>
        <v>10383.411025652051</v>
      </c>
      <c r="K33" s="1477">
        <f>+L33/L49*K49</f>
        <v>21603.391685296756</v>
      </c>
      <c r="L33" s="1477">
        <f>V59</f>
        <v>53609.166554662806</v>
      </c>
      <c r="M33" s="1477">
        <f>+P33/P49*M49</f>
        <v>11403.82855381771</v>
      </c>
      <c r="N33" s="1477">
        <f>+P33/P49*N49</f>
        <v>5645.7361493762373</v>
      </c>
      <c r="O33" s="1477">
        <f>+P33/P49*O49</f>
        <v>11883.835790139387</v>
      </c>
      <c r="P33" s="1477">
        <f>X59</f>
        <v>28933.400493333334</v>
      </c>
      <c r="Q33" s="1491"/>
      <c r="R33" s="811"/>
      <c r="S33" s="1478">
        <f>G33/100</f>
        <v>117.44200440200001</v>
      </c>
      <c r="T33" s="1478">
        <f>L33/100</f>
        <v>536.09166554662806</v>
      </c>
      <c r="U33" s="1478">
        <f>P33/100</f>
        <v>289.33400493333335</v>
      </c>
      <c r="V33" s="811"/>
      <c r="W33" s="811"/>
      <c r="X33" s="811"/>
    </row>
    <row r="34" spans="1:24">
      <c r="B34" s="1476"/>
      <c r="C34" s="355" t="s">
        <v>701</v>
      </c>
      <c r="D34" s="1479">
        <f>D32-D33</f>
        <v>96951.598246379843</v>
      </c>
      <c r="E34" s="1479">
        <f>E32-E33</f>
        <v>102445.54903283725</v>
      </c>
      <c r="F34" s="1479">
        <f>F32-F33</f>
        <v>214480.41192806719</v>
      </c>
      <c r="G34" s="1479">
        <f t="shared" ref="G34:P34" si="9">G32-G33</f>
        <v>416632.79197131965</v>
      </c>
      <c r="H34" s="1479">
        <f>H32-H33</f>
        <v>257838.17568197323</v>
      </c>
      <c r="I34" s="1479">
        <f t="shared" ca="1" si="9"/>
        <v>157671.58551147359</v>
      </c>
      <c r="J34" s="1479">
        <f t="shared" ca="1" si="9"/>
        <v>128306.66008903083</v>
      </c>
      <c r="K34" s="1479">
        <f t="shared" ca="1" si="9"/>
        <v>274907.97041531652</v>
      </c>
      <c r="L34" s="1479">
        <f t="shared" ca="1" si="9"/>
        <v>564282.42761241179</v>
      </c>
      <c r="M34" s="1479">
        <f t="shared" ca="1" si="9"/>
        <v>145927.35634351091</v>
      </c>
      <c r="N34" s="1479">
        <f t="shared" ca="1" si="9"/>
        <v>133138.57215132189</v>
      </c>
      <c r="O34" s="1479">
        <f t="shared" ca="1" si="9"/>
        <v>290196.63475642563</v>
      </c>
      <c r="P34" s="1479">
        <f t="shared" ca="1" si="9"/>
        <v>577194.50991917856</v>
      </c>
      <c r="Q34" s="1743"/>
      <c r="R34" s="1478">
        <f t="shared" ref="R34" ca="1" si="10">P34-L34</f>
        <v>12912.082306766766</v>
      </c>
      <c r="S34" s="1478">
        <f>G34/100</f>
        <v>4166.327919713196</v>
      </c>
      <c r="T34" s="1478">
        <f ca="1">L34/100</f>
        <v>5642.8242761241181</v>
      </c>
      <c r="U34" s="1478">
        <f ca="1">P34/100</f>
        <v>5771.9450991917856</v>
      </c>
      <c r="V34" s="811"/>
      <c r="W34" s="1478">
        <f ca="1">W32-U33</f>
        <v>6486.4973054550192</v>
      </c>
      <c r="X34" s="811"/>
    </row>
    <row r="35" spans="1:24">
      <c r="B35" s="1476"/>
      <c r="C35" s="563"/>
      <c r="D35" s="1477"/>
      <c r="E35" s="1477"/>
      <c r="F35" s="1477"/>
      <c r="G35" s="1477"/>
      <c r="H35" s="1477"/>
      <c r="I35" s="1477"/>
      <c r="J35" s="1477"/>
      <c r="K35" s="1477"/>
      <c r="L35" s="1477"/>
      <c r="M35" s="1477"/>
      <c r="N35" s="1477"/>
      <c r="O35" s="1477"/>
      <c r="P35" s="1477"/>
      <c r="Q35" s="1491"/>
      <c r="R35" s="811"/>
      <c r="S35" s="811"/>
      <c r="T35" s="811"/>
      <c r="U35" s="811"/>
      <c r="V35" s="811"/>
      <c r="W35" s="811"/>
      <c r="X35" s="811"/>
    </row>
    <row r="36" spans="1:24">
      <c r="B36" s="1476"/>
      <c r="C36" s="563" t="s">
        <v>702</v>
      </c>
      <c r="D36" s="1477">
        <f>+'T-6'!I66</f>
        <v>182008.40258128001</v>
      </c>
      <c r="E36" s="1477">
        <f>+'T-6'!I54</f>
        <v>115738.56271043902</v>
      </c>
      <c r="F36" s="1477">
        <f>+G36-D36-E36</f>
        <v>171438.27445438091</v>
      </c>
      <c r="G36" s="1477">
        <f>+'F-22'!B6*0+(4691.852397461*100)</f>
        <v>469185.23974609998</v>
      </c>
      <c r="H36" s="1477">
        <f>(3319.26-349.569378444)*100-H37</f>
        <v>267422.0621556</v>
      </c>
      <c r="I36" s="1477">
        <f>+'T-7 (Curr)'!AL66-'T-7 (Curr)'!AI66</f>
        <v>162172.57581476049</v>
      </c>
      <c r="J36" s="1477">
        <f>+'T-7 (Curr)'!AL53-'T-7 (Curr)'!AI53</f>
        <v>61914.242124566023</v>
      </c>
      <c r="K36" s="1477">
        <f>+'T-7 (Curr)'!AL35-'T-7 (Curr)'!AI35</f>
        <v>76056.677603617354</v>
      </c>
      <c r="L36" s="1477">
        <f>('T-7 (Curr)'!AL67-'T-7 (Curr)'!AI67+'T-6 (six mth)'!I70)</f>
        <v>583185.20046395482</v>
      </c>
      <c r="M36" s="1477">
        <f>+'T-8'!BQ66-'T-8'!BN66</f>
        <v>309688.81590243429</v>
      </c>
      <c r="N36" s="1477">
        <f>+'T-8'!BQ53-'T-8'!BN53</f>
        <v>131803.4288594519</v>
      </c>
      <c r="O36" s="1477">
        <f>+'T-8'!BQ34-'T-8'!BN34</f>
        <v>175690.13805103442</v>
      </c>
      <c r="P36" s="1477">
        <f>'T-8'!BQ67-'T-8'!BN67</f>
        <v>617182.38281292061</v>
      </c>
      <c r="Q36" s="1491"/>
      <c r="R36" s="1478">
        <f t="shared" ref="R36" si="11">P36-L36</f>
        <v>33997.182348965784</v>
      </c>
      <c r="S36" s="1478">
        <f>G36/100</f>
        <v>4691.8523974609998</v>
      </c>
      <c r="T36" s="1478">
        <f>L36/100</f>
        <v>5831.8520046395479</v>
      </c>
      <c r="U36" s="1478">
        <f>P36/100</f>
        <v>6171.823828129206</v>
      </c>
      <c r="V36" s="811"/>
      <c r="W36" s="811"/>
      <c r="X36" s="811"/>
    </row>
    <row r="37" spans="1:24" hidden="1">
      <c r="B37" s="1476"/>
      <c r="C37" s="68" t="s">
        <v>703</v>
      </c>
      <c r="D37" s="1477"/>
      <c r="E37" s="1477"/>
      <c r="F37" s="1477"/>
      <c r="G37" s="1477">
        <f>+'F-22'!B7*0</f>
        <v>0</v>
      </c>
      <c r="H37" s="1477">
        <v>29547</v>
      </c>
      <c r="I37" s="1477"/>
      <c r="J37" s="1477"/>
      <c r="K37" s="1477"/>
      <c r="L37" s="1477">
        <f>'F-22'!C7*0</f>
        <v>0</v>
      </c>
      <c r="M37" s="1477"/>
      <c r="N37" s="1477"/>
      <c r="O37" s="1477"/>
      <c r="P37" s="1477">
        <f>'F-22'!D7*0</f>
        <v>0</v>
      </c>
      <c r="Q37" s="1491"/>
      <c r="R37" s="811"/>
      <c r="S37" s="811"/>
      <c r="T37" s="811"/>
      <c r="U37" s="811"/>
      <c r="V37" s="811"/>
      <c r="W37" s="1489"/>
      <c r="X37" s="811"/>
    </row>
    <row r="38" spans="1:24">
      <c r="B38" s="1476"/>
      <c r="C38" s="563" t="s">
        <v>704</v>
      </c>
      <c r="D38" s="1477">
        <f>D34-D36</f>
        <v>-85056.804334900167</v>
      </c>
      <c r="E38" s="1477">
        <f>E34-E36</f>
        <v>-13293.013677601761</v>
      </c>
      <c r="F38" s="1477">
        <f>F34-F36</f>
        <v>43042.137473686278</v>
      </c>
      <c r="G38" s="1477">
        <f>G34-G36-G37</f>
        <v>-52552.447774780332</v>
      </c>
      <c r="H38" s="1477">
        <f>H34-H36-H37</f>
        <v>-39130.886473626771</v>
      </c>
      <c r="I38" s="1477">
        <f t="shared" ref="I38:O38" ca="1" si="12">I34-I36</f>
        <v>-4500.9903032869042</v>
      </c>
      <c r="J38" s="1477">
        <f t="shared" ca="1" si="12"/>
        <v>66392.41796446481</v>
      </c>
      <c r="K38" s="1477">
        <f t="shared" ca="1" si="12"/>
        <v>198851.29281169915</v>
      </c>
      <c r="L38" s="1477">
        <f ca="1">L34-L36-L37</f>
        <v>-18902.772851543035</v>
      </c>
      <c r="M38" s="1477">
        <f t="shared" ca="1" si="12"/>
        <v>-163761.45955892338</v>
      </c>
      <c r="N38" s="1477">
        <f t="shared" ca="1" si="12"/>
        <v>1335.1432918699866</v>
      </c>
      <c r="O38" s="1477">
        <f t="shared" ca="1" si="12"/>
        <v>114506.49670539121</v>
      </c>
      <c r="P38" s="1477">
        <f ca="1">P34-P36-P37</f>
        <v>-39987.872893742053</v>
      </c>
      <c r="Q38" s="1491"/>
      <c r="R38" s="1478">
        <f t="shared" ref="R38" ca="1" si="13">P38-L38</f>
        <v>-21085.100042199017</v>
      </c>
      <c r="S38" s="1478">
        <f>G38/100</f>
        <v>-525.5244777478033</v>
      </c>
      <c r="T38" s="1478">
        <f ca="1">L38/100</f>
        <v>-189.02772851543034</v>
      </c>
      <c r="U38" s="1478">
        <f ca="1">P38/100</f>
        <v>-399.87872893742053</v>
      </c>
      <c r="V38" s="811"/>
      <c r="W38" s="811"/>
      <c r="X38" s="811"/>
    </row>
    <row r="39" spans="1:24">
      <c r="B39" s="1466"/>
      <c r="C39" s="648" t="s">
        <v>705</v>
      </c>
      <c r="D39" s="648"/>
      <c r="E39" s="648"/>
      <c r="F39" s="648"/>
      <c r="G39" s="648"/>
      <c r="H39" s="648"/>
      <c r="I39" s="648"/>
      <c r="J39" s="648"/>
      <c r="K39" s="648"/>
      <c r="L39" s="648"/>
      <c r="M39" s="648"/>
      <c r="N39" s="648"/>
      <c r="O39" s="648"/>
      <c r="P39" s="648"/>
      <c r="Q39" s="648"/>
      <c r="R39" s="811"/>
      <c r="S39" s="811"/>
      <c r="T39" s="811"/>
      <c r="U39" s="811"/>
      <c r="V39" s="811"/>
      <c r="W39" s="811"/>
      <c r="X39" s="811"/>
    </row>
    <row r="40" spans="1:24">
      <c r="B40" s="1466"/>
      <c r="C40" s="648"/>
      <c r="D40" s="648"/>
      <c r="E40" s="648"/>
      <c r="F40" s="648"/>
      <c r="G40" s="1490">
        <f>'F-22'!B24</f>
        <v>12956.036873143974</v>
      </c>
      <c r="H40" s="1490"/>
      <c r="I40" s="1490"/>
      <c r="J40" s="1490"/>
      <c r="K40" s="1490"/>
      <c r="L40" s="1490">
        <f ca="1">-('F-22'!C32-'F-22'!C26)</f>
        <v>-18902.772851543101</v>
      </c>
      <c r="M40" s="1490">
        <f ca="1">L40+4800</f>
        <v>-14102.772851543101</v>
      </c>
      <c r="N40" s="1490"/>
      <c r="O40" s="1490"/>
      <c r="P40" s="1490">
        <f ca="1">-('F-22'!D32)</f>
        <v>12564.574881038232</v>
      </c>
      <c r="Q40" s="1490"/>
      <c r="R40" s="1478">
        <f ca="1">P40+4800</f>
        <v>17364.574881038232</v>
      </c>
      <c r="S40" s="811"/>
      <c r="T40" s="811"/>
      <c r="U40" s="811"/>
      <c r="V40" s="811"/>
      <c r="W40" s="811"/>
      <c r="X40" s="811"/>
    </row>
    <row r="41" spans="1:24">
      <c r="B41" s="1466"/>
      <c r="C41" s="1491"/>
      <c r="D41" s="648"/>
      <c r="E41" s="648"/>
      <c r="F41" s="648"/>
      <c r="G41" s="1490">
        <f>G38-G20</f>
        <v>-60630.137414972574</v>
      </c>
      <c r="H41" s="1490"/>
      <c r="I41" s="1490"/>
      <c r="J41" s="1490"/>
      <c r="K41" s="1490"/>
      <c r="L41" s="1490">
        <f ca="1">L38-L40</f>
        <v>6.5483618527650833E-11</v>
      </c>
      <c r="M41" s="1490"/>
      <c r="N41" s="1490"/>
      <c r="O41" s="1490"/>
      <c r="P41" s="1490">
        <f ca="1">P38-P40</f>
        <v>-52552.447774780288</v>
      </c>
      <c r="Q41" s="1490"/>
      <c r="R41" s="811"/>
      <c r="S41" s="811"/>
      <c r="T41" s="811"/>
      <c r="U41" s="811"/>
      <c r="V41" s="811"/>
      <c r="W41" s="811"/>
      <c r="X41" s="811"/>
    </row>
    <row r="42" spans="1:24">
      <c r="B42" s="1466"/>
      <c r="C42" s="1492" t="s">
        <v>586</v>
      </c>
      <c r="D42" s="1490">
        <f>+'loan&amp;int'!B106</f>
        <v>90402.466758899987</v>
      </c>
      <c r="E42" s="1490"/>
      <c r="F42" s="1490"/>
      <c r="G42" s="1490">
        <f>G40-G41</f>
        <v>73586.174288116541</v>
      </c>
      <c r="H42" s="1490"/>
      <c r="I42" s="1490">
        <f>+'loan&amp;int'!C106</f>
        <v>106751.49675889999</v>
      </c>
      <c r="J42" s="1490"/>
      <c r="K42" s="1490"/>
      <c r="L42" s="1490"/>
      <c r="M42" s="1490"/>
      <c r="N42" s="1490"/>
      <c r="O42" s="1490"/>
      <c r="P42" s="1490"/>
      <c r="Q42" s="1490"/>
      <c r="R42" s="811"/>
      <c r="S42" s="811"/>
      <c r="T42" s="811"/>
      <c r="U42" s="811"/>
      <c r="V42" s="811"/>
      <c r="W42" s="811"/>
      <c r="X42" s="811"/>
    </row>
    <row r="43" spans="1:24">
      <c r="B43" s="1466"/>
      <c r="C43" s="648"/>
      <c r="D43" s="1493"/>
      <c r="E43" s="1493"/>
      <c r="F43" s="1494"/>
      <c r="G43" s="648"/>
      <c r="H43" s="648"/>
      <c r="I43" s="1493"/>
      <c r="J43" s="648"/>
      <c r="K43" s="1491"/>
      <c r="L43" s="648"/>
      <c r="M43" s="648"/>
      <c r="N43" s="648"/>
      <c r="O43" s="1491"/>
      <c r="P43" s="648"/>
      <c r="Q43" s="648"/>
      <c r="R43" s="811"/>
      <c r="S43" s="811"/>
      <c r="T43" s="811"/>
      <c r="U43" s="811"/>
      <c r="V43" s="811"/>
      <c r="W43" s="811"/>
      <c r="X43" s="811"/>
    </row>
    <row r="44" spans="1:24">
      <c r="B44" s="1466"/>
      <c r="C44" s="648"/>
      <c r="D44" s="648"/>
      <c r="E44" s="648"/>
      <c r="F44" s="648"/>
      <c r="G44" s="1491"/>
      <c r="H44" s="1491"/>
      <c r="I44" s="648"/>
      <c r="J44" s="648"/>
      <c r="K44" s="648"/>
      <c r="L44" s="648"/>
      <c r="M44" s="648"/>
      <c r="N44" s="648"/>
      <c r="O44" s="648"/>
      <c r="P44" s="648"/>
      <c r="Q44" s="648"/>
      <c r="R44" s="811"/>
      <c r="S44" s="811"/>
      <c r="T44" s="811"/>
      <c r="U44" s="811"/>
      <c r="V44" s="811"/>
      <c r="W44" s="811"/>
      <c r="X44" s="811"/>
    </row>
    <row r="45" spans="1:24">
      <c r="B45" s="1466"/>
      <c r="C45" s="648"/>
      <c r="D45" s="648"/>
      <c r="E45" s="648"/>
      <c r="F45" s="648"/>
      <c r="G45" s="648"/>
      <c r="H45" s="648"/>
      <c r="I45" s="648"/>
      <c r="J45" s="648"/>
      <c r="K45" s="648"/>
      <c r="L45" s="648"/>
      <c r="M45" s="648"/>
      <c r="N45" s="648"/>
      <c r="O45" s="648"/>
      <c r="P45" s="648"/>
      <c r="Q45" s="648"/>
      <c r="R45" s="811"/>
      <c r="S45" s="811"/>
      <c r="T45" s="811"/>
      <c r="U45" s="811"/>
      <c r="V45" s="811"/>
      <c r="W45" s="811"/>
      <c r="X45" s="811"/>
    </row>
    <row r="46" spans="1:24">
      <c r="B46" s="1466"/>
      <c r="C46" s="648"/>
      <c r="D46" s="648"/>
      <c r="E46" s="648"/>
      <c r="F46" s="648"/>
      <c r="G46" s="648"/>
      <c r="H46" s="648"/>
      <c r="I46" s="648"/>
      <c r="J46" s="648"/>
      <c r="K46" s="648"/>
      <c r="L46" s="7"/>
      <c r="M46" s="648"/>
      <c r="N46" s="648"/>
      <c r="O46" s="648"/>
      <c r="P46" s="648"/>
      <c r="Q46" s="648"/>
      <c r="R46" s="811"/>
      <c r="S46" s="1495"/>
      <c r="T46" s="1826" t="s">
        <v>706</v>
      </c>
      <c r="U46" s="1826"/>
      <c r="V46" s="1826"/>
      <c r="W46" s="1495"/>
      <c r="X46" s="1495" t="s">
        <v>2238</v>
      </c>
    </row>
    <row r="47" spans="1:24">
      <c r="B47"/>
      <c r="C47" s="1496" t="s">
        <v>707</v>
      </c>
      <c r="D47" s="648"/>
      <c r="E47" s="648"/>
      <c r="F47" s="648"/>
      <c r="G47" s="648"/>
      <c r="H47" s="648"/>
      <c r="I47"/>
      <c r="J47"/>
      <c r="K47"/>
      <c r="L47" s="7"/>
      <c r="M47" s="648"/>
      <c r="N47" s="648"/>
      <c r="O47" s="648"/>
      <c r="P47" s="1491"/>
      <c r="Q47" s="1491"/>
      <c r="R47" s="811"/>
      <c r="S47" s="1495" t="s">
        <v>386</v>
      </c>
      <c r="T47" s="1495" t="s">
        <v>708</v>
      </c>
      <c r="U47" s="1495" t="s">
        <v>709</v>
      </c>
      <c r="V47" s="1495" t="s">
        <v>147</v>
      </c>
      <c r="W47" s="1495" t="s">
        <v>710</v>
      </c>
      <c r="X47" s="1495"/>
    </row>
    <row r="48" spans="1:24">
      <c r="B48" s="1" t="s">
        <v>404</v>
      </c>
      <c r="C48" t="s">
        <v>711</v>
      </c>
      <c r="D48" s="648"/>
      <c r="E48" s="648"/>
      <c r="F48" s="648"/>
      <c r="G48" s="648"/>
      <c r="H48" s="648"/>
      <c r="I48"/>
      <c r="J48"/>
      <c r="K48"/>
      <c r="L48"/>
      <c r="M48" s="648"/>
      <c r="N48" s="648"/>
      <c r="O48" s="648"/>
      <c r="P48" s="648"/>
      <c r="Q48" s="648"/>
      <c r="R48" s="811"/>
      <c r="S48" s="811" t="s">
        <v>712</v>
      </c>
      <c r="T48" s="811">
        <f>26.74*100</f>
        <v>2674</v>
      </c>
      <c r="U48" s="1478">
        <f>V48-T48</f>
        <v>2185.2287102627997</v>
      </c>
      <c r="V48" s="1478">
        <f>'F-22'!C12*1%</f>
        <v>4859.2287102627997</v>
      </c>
      <c r="W48" s="1478">
        <f>V48*0.5</f>
        <v>2429.6143551313999</v>
      </c>
      <c r="X48" s="1478">
        <f>P9*1%</f>
        <v>5100.0671600000005</v>
      </c>
    </row>
    <row r="49" spans="2:24">
      <c r="B49" s="1"/>
      <c r="C49" t="s">
        <v>713</v>
      </c>
      <c r="D49" s="648">
        <f>+'F-5'!D11</f>
        <v>2634.5814727505003</v>
      </c>
      <c r="E49" s="648">
        <f>+'F-5'!E11</f>
        <v>1847.6532453448001</v>
      </c>
      <c r="F49" s="4">
        <f>G49-E49-D49</f>
        <v>4830.9718860398352</v>
      </c>
      <c r="G49" s="4">
        <f>'F-5'!G7</f>
        <v>9313.2066041351354</v>
      </c>
      <c r="H49" s="4"/>
      <c r="I49" s="4">
        <f>'F-5'!H11</f>
        <v>4961.0000000000009</v>
      </c>
      <c r="J49" s="4">
        <f>'F-5'!I11/85*100</f>
        <v>2382.3529411764707</v>
      </c>
      <c r="K49" s="4">
        <f>L49-J49-I49</f>
        <v>4956.6470588235288</v>
      </c>
      <c r="L49" s="4">
        <f>'F-5'!K7</f>
        <v>12300</v>
      </c>
      <c r="M49" s="648">
        <f>+'F-5'!L11</f>
        <v>5045</v>
      </c>
      <c r="N49" s="1497">
        <f>+'F-5'!M11/85*100</f>
        <v>2497.6470611764703</v>
      </c>
      <c r="O49" s="1491">
        <f>+P49-M49-N49</f>
        <v>5257.3529388235293</v>
      </c>
      <c r="P49" s="1491">
        <f>+'F-5'!O7</f>
        <v>12800</v>
      </c>
      <c r="Q49" s="1491"/>
      <c r="R49" s="811"/>
      <c r="S49" s="811" t="s">
        <v>714</v>
      </c>
      <c r="T49" s="811">
        <f>12.3*100</f>
        <v>1230</v>
      </c>
      <c r="U49" s="811">
        <v>851</v>
      </c>
      <c r="V49" s="811">
        <f>(U49+T49)*0</f>
        <v>0</v>
      </c>
      <c r="W49" s="811">
        <v>2500</v>
      </c>
      <c r="X49" s="811">
        <f>W49*0</f>
        <v>0</v>
      </c>
    </row>
    <row r="50" spans="2:24">
      <c r="B50" s="1"/>
      <c r="C50" t="s">
        <v>715</v>
      </c>
      <c r="D50" s="648"/>
      <c r="E50" s="648"/>
      <c r="F50" s="648"/>
      <c r="G50" s="7">
        <f>G9/G49/10</f>
        <v>3.5794950565337516</v>
      </c>
      <c r="H50" s="7"/>
      <c r="I50" s="4"/>
      <c r="J50" s="4"/>
      <c r="K50" s="4"/>
      <c r="L50" s="7">
        <f>L9/L49/10</f>
        <v>3.9505924473681295</v>
      </c>
      <c r="M50" s="648"/>
      <c r="N50" s="648"/>
      <c r="O50" s="648"/>
      <c r="P50" s="7">
        <f>P9/P49/10</f>
        <v>3.9844274687500003</v>
      </c>
      <c r="Q50" s="7"/>
      <c r="R50" s="811"/>
      <c r="S50" s="811" t="s">
        <v>716</v>
      </c>
      <c r="T50" s="811">
        <f>20.84*100</f>
        <v>2084</v>
      </c>
      <c r="U50" s="811">
        <v>0</v>
      </c>
      <c r="V50" s="1478">
        <f>(U50+T50)/3</f>
        <v>694.66666666666663</v>
      </c>
      <c r="W50" s="811">
        <v>2500</v>
      </c>
      <c r="X50" s="1498">
        <f>W50/3</f>
        <v>833.33333333333337</v>
      </c>
    </row>
    <row r="51" spans="2:24">
      <c r="B51" s="1"/>
      <c r="C51" t="s">
        <v>717</v>
      </c>
      <c r="D51" s="7">
        <f>D49*$G$50*10</f>
        <v>94304.713577458257</v>
      </c>
      <c r="E51" s="7">
        <f>E49*$G$50*10</f>
        <v>66136.656579002549</v>
      </c>
      <c r="F51" s="7">
        <f>F49*$G$50*10</f>
        <v>172924.39984333122</v>
      </c>
      <c r="G51" s="7">
        <f>SUM(D51:F51)</f>
        <v>333365.76999979198</v>
      </c>
      <c r="H51" s="7"/>
      <c r="I51" s="7">
        <f>I49*$L$50*10</f>
        <v>195988.89131393295</v>
      </c>
      <c r="J51" s="7">
        <f>J49*$L$50*10</f>
        <v>94117.055363770138</v>
      </c>
      <c r="K51" s="7">
        <f>K49*$L$50*10</f>
        <v>195816.92434857687</v>
      </c>
      <c r="L51" s="7">
        <f>SUM(I51:K51)</f>
        <v>485922.87102627993</v>
      </c>
      <c r="M51" s="648">
        <f>+M49*P50*10</f>
        <v>201014.3657984375</v>
      </c>
      <c r="N51" s="648">
        <f>+N49*P50*10</f>
        <v>99516.935577942408</v>
      </c>
      <c r="O51" s="648">
        <f>+O49*P50*10</f>
        <v>209475.4146236201</v>
      </c>
      <c r="P51" s="7">
        <f>SUM(M51:O51)</f>
        <v>510006.71600000001</v>
      </c>
      <c r="Q51" s="7"/>
      <c r="R51" s="811"/>
      <c r="S51" s="811" t="s">
        <v>718</v>
      </c>
      <c r="T51" s="811">
        <f>0*100</f>
        <v>0</v>
      </c>
      <c r="U51" s="811">
        <v>0</v>
      </c>
      <c r="V51" s="811">
        <f t="shared" ref="V51:V56" si="14">U51+T51</f>
        <v>0</v>
      </c>
      <c r="W51" s="811">
        <f t="shared" ref="W51" si="15">V51</f>
        <v>0</v>
      </c>
      <c r="X51" s="811">
        <v>0</v>
      </c>
    </row>
    <row r="52" spans="2:24">
      <c r="B52" s="1"/>
      <c r="C52"/>
      <c r="D52" s="648"/>
      <c r="E52" s="648"/>
      <c r="F52" s="648"/>
      <c r="G52" s="648"/>
      <c r="H52" s="648"/>
      <c r="I52"/>
      <c r="J52"/>
      <c r="K52"/>
      <c r="L52"/>
      <c r="M52" s="648"/>
      <c r="N52" s="648"/>
      <c r="O52" s="648"/>
      <c r="P52" s="648"/>
      <c r="Q52" s="648"/>
      <c r="R52" s="811"/>
      <c r="S52" s="811" t="s">
        <v>719</v>
      </c>
      <c r="T52" s="811">
        <f>14.12*100</f>
        <v>1412</v>
      </c>
      <c r="U52" s="811">
        <v>250</v>
      </c>
      <c r="V52" s="811">
        <f>(U52+T52)/3</f>
        <v>554</v>
      </c>
      <c r="W52" s="811">
        <v>2000</v>
      </c>
      <c r="X52" s="1478">
        <f>W52/3</f>
        <v>666.66666666666663</v>
      </c>
    </row>
    <row r="53" spans="2:24">
      <c r="B53" s="1" t="s">
        <v>521</v>
      </c>
      <c r="C53" t="s">
        <v>720</v>
      </c>
      <c r="D53" s="648"/>
      <c r="E53" s="648"/>
      <c r="F53" s="648"/>
      <c r="G53" s="648"/>
      <c r="H53" s="648"/>
      <c r="I53"/>
      <c r="J53"/>
      <c r="K53"/>
      <c r="L53"/>
      <c r="M53" s="648"/>
      <c r="N53" s="648"/>
      <c r="O53" s="648"/>
      <c r="P53" s="648"/>
      <c r="Q53" s="648"/>
      <c r="R53" s="811"/>
      <c r="S53" s="811" t="s">
        <v>721</v>
      </c>
      <c r="T53" s="811">
        <f>7.11*100</f>
        <v>711</v>
      </c>
      <c r="U53" s="811"/>
      <c r="V53" s="811">
        <f t="shared" si="14"/>
        <v>711</v>
      </c>
      <c r="W53" s="811">
        <v>1000</v>
      </c>
      <c r="X53" s="811">
        <f>W53</f>
        <v>1000</v>
      </c>
    </row>
    <row r="54" spans="2:24">
      <c r="B54" s="1" t="s">
        <v>623</v>
      </c>
      <c r="C54" t="s">
        <v>722</v>
      </c>
      <c r="D54" s="648"/>
      <c r="E54" s="648"/>
      <c r="F54" s="648"/>
      <c r="G54" s="648"/>
      <c r="H54" s="648"/>
      <c r="I54"/>
      <c r="J54"/>
      <c r="K54"/>
      <c r="L54"/>
      <c r="M54" s="648"/>
      <c r="N54" s="648"/>
      <c r="O54" s="648"/>
      <c r="P54" s="648"/>
      <c r="Q54" s="648"/>
      <c r="R54" s="811"/>
      <c r="S54" s="811" t="s">
        <v>723</v>
      </c>
      <c r="T54" s="811">
        <f>33.75*100</f>
        <v>3375</v>
      </c>
      <c r="U54" s="811">
        <v>2200</v>
      </c>
      <c r="V54" s="811">
        <f t="shared" si="14"/>
        <v>5575</v>
      </c>
      <c r="W54" s="811">
        <f>5600</f>
        <v>5600</v>
      </c>
      <c r="X54" s="811">
        <f>W54</f>
        <v>5600</v>
      </c>
    </row>
    <row r="55" spans="2:24">
      <c r="B55" s="1" t="s">
        <v>724</v>
      </c>
      <c r="C55" t="s">
        <v>725</v>
      </c>
      <c r="D55" s="648"/>
      <c r="E55" s="648"/>
      <c r="F55" s="648"/>
      <c r="G55" s="648"/>
      <c r="H55" s="648"/>
      <c r="I55" s="834" t="s">
        <v>726</v>
      </c>
      <c r="J55"/>
      <c r="K55"/>
      <c r="L55"/>
      <c r="M55" s="648"/>
      <c r="N55" s="648"/>
      <c r="O55" s="648"/>
      <c r="P55" s="648"/>
      <c r="Q55" s="648"/>
      <c r="R55" s="811"/>
      <c r="S55" s="811" t="s">
        <v>727</v>
      </c>
      <c r="T55" s="811">
        <f>7.54*100</f>
        <v>754</v>
      </c>
      <c r="U55" s="811">
        <v>0</v>
      </c>
      <c r="V55" s="1499">
        <f>(U55+T55)/3</f>
        <v>251.33333333333334</v>
      </c>
      <c r="W55" s="811">
        <v>1000</v>
      </c>
      <c r="X55" s="1478">
        <f>W55/3</f>
        <v>333.33333333333331</v>
      </c>
    </row>
    <row r="56" spans="2:24">
      <c r="B56" s="1" t="s">
        <v>644</v>
      </c>
      <c r="C56" t="s">
        <v>728</v>
      </c>
      <c r="D56" s="648"/>
      <c r="E56" s="648"/>
      <c r="F56" s="648"/>
      <c r="G56" s="648"/>
      <c r="H56" s="648"/>
      <c r="I56" s="834" t="s">
        <v>726</v>
      </c>
      <c r="J56"/>
      <c r="K56"/>
      <c r="L56"/>
      <c r="M56" s="648"/>
      <c r="N56" s="648"/>
      <c r="O56" s="648"/>
      <c r="P56" s="648"/>
      <c r="Q56" s="648"/>
      <c r="R56" s="811"/>
      <c r="S56" s="811" t="s">
        <v>729</v>
      </c>
      <c r="T56" s="811">
        <f>6.87*100</f>
        <v>687</v>
      </c>
      <c r="U56" s="811"/>
      <c r="V56" s="811">
        <f t="shared" si="14"/>
        <v>687</v>
      </c>
      <c r="W56" s="811">
        <v>400</v>
      </c>
      <c r="X56" s="811">
        <f>W56</f>
        <v>400</v>
      </c>
    </row>
    <row r="57" spans="2:24">
      <c r="B57" s="1" t="s">
        <v>647</v>
      </c>
      <c r="C57" t="s">
        <v>730</v>
      </c>
      <c r="D57" s="648"/>
      <c r="E57" s="648"/>
      <c r="F57" s="648"/>
      <c r="G57" s="648"/>
      <c r="H57" s="648"/>
      <c r="I57" s="834" t="s">
        <v>726</v>
      </c>
      <c r="J57"/>
      <c r="K57"/>
      <c r="L57"/>
      <c r="M57" s="648"/>
      <c r="N57" s="648"/>
      <c r="O57" s="648"/>
      <c r="P57" s="648"/>
      <c r="Q57" s="648"/>
      <c r="R57" s="811"/>
      <c r="S57" s="811"/>
      <c r="T57" s="1500">
        <f>SUM(T48:T56)</f>
        <v>12927</v>
      </c>
      <c r="U57" s="1499">
        <f>SUM(U48:U56)</f>
        <v>5486.2287102627997</v>
      </c>
      <c r="V57" s="1499">
        <f>SUM(V48:V56)</f>
        <v>13332.228710262802</v>
      </c>
      <c r="W57" s="1499">
        <f>SUM(W48:W56)</f>
        <v>17429.614355131402</v>
      </c>
      <c r="X57" s="1499">
        <f>SUM(X48:X56)</f>
        <v>13933.400493333334</v>
      </c>
    </row>
    <row r="58" spans="2:24">
      <c r="B58" s="1466"/>
      <c r="C58" s="648"/>
      <c r="D58" s="648"/>
      <c r="E58" s="648"/>
      <c r="F58" s="648"/>
      <c r="G58" s="648"/>
      <c r="H58" s="648"/>
      <c r="I58" s="648"/>
      <c r="J58" s="648"/>
      <c r="K58" s="648"/>
      <c r="L58" s="648"/>
      <c r="M58" s="648"/>
      <c r="N58" s="648"/>
      <c r="O58" s="648"/>
      <c r="P58" s="648"/>
      <c r="Q58" s="648"/>
      <c r="R58" s="811"/>
      <c r="S58" s="811" t="s">
        <v>731</v>
      </c>
      <c r="T58" s="1499">
        <f>349.569378444*100</f>
        <v>34956.937844400003</v>
      </c>
      <c r="U58" s="1499">
        <f>3820+300*5</f>
        <v>5320</v>
      </c>
      <c r="V58" s="1499">
        <f>U58+T58</f>
        <v>40276.937844400003</v>
      </c>
      <c r="W58" s="1499">
        <v>15000</v>
      </c>
      <c r="X58" s="1499">
        <f>W58</f>
        <v>15000</v>
      </c>
    </row>
    <row r="59" spans="2:24">
      <c r="B59" s="1466"/>
      <c r="C59" s="648"/>
      <c r="D59" s="648"/>
      <c r="E59" s="648"/>
      <c r="F59" s="648"/>
      <c r="G59" s="648"/>
      <c r="H59" s="648"/>
      <c r="I59" s="648"/>
      <c r="J59" s="648"/>
      <c r="K59" s="648"/>
      <c r="L59" s="648"/>
      <c r="M59" s="648"/>
      <c r="N59" s="648"/>
      <c r="O59" s="648"/>
      <c r="P59" s="648"/>
      <c r="Q59" s="648"/>
      <c r="R59" s="811"/>
      <c r="S59" s="811"/>
      <c r="T59" s="1499">
        <f>T57+T58</f>
        <v>47883.937844400003</v>
      </c>
      <c r="U59" s="1499">
        <f>U57+U58</f>
        <v>10806.2287102628</v>
      </c>
      <c r="V59" s="1499">
        <f>V57+V58</f>
        <v>53609.166554662806</v>
      </c>
      <c r="W59" s="1499">
        <f>W57+W58</f>
        <v>32429.614355131402</v>
      </c>
      <c r="X59" s="1499">
        <f>X57+X58</f>
        <v>28933.400493333334</v>
      </c>
    </row>
    <row r="61" spans="2:24">
      <c r="B61" s="1466"/>
      <c r="C61" s="648"/>
      <c r="D61" s="648"/>
      <c r="E61" s="648"/>
      <c r="F61" s="648"/>
      <c r="G61" s="648"/>
      <c r="H61" s="648"/>
      <c r="I61" s="648"/>
      <c r="J61" s="648"/>
      <c r="K61" s="648"/>
      <c r="L61" s="648"/>
      <c r="M61" s="648"/>
      <c r="N61" s="648"/>
      <c r="O61" s="648"/>
      <c r="P61" s="648"/>
      <c r="Q61" s="648"/>
      <c r="R61" s="811"/>
      <c r="S61" s="811"/>
      <c r="T61" s="811"/>
      <c r="U61" s="811"/>
      <c r="V61" s="811"/>
      <c r="W61" s="811"/>
      <c r="X61" s="811">
        <v>26769.439999999999</v>
      </c>
    </row>
  </sheetData>
  <mergeCells count="6">
    <mergeCell ref="T46:V46"/>
    <mergeCell ref="I3:L3"/>
    <mergeCell ref="B2:P2"/>
    <mergeCell ref="O1:P1"/>
    <mergeCell ref="D3:F3"/>
    <mergeCell ref="M3:O3"/>
  </mergeCells>
  <phoneticPr fontId="43" type="noConversion"/>
  <printOptions horizontalCentered="1" gridLines="1"/>
  <pageMargins left="0" right="0" top="0.70866141732283472" bottom="0.51181102362204722" header="0" footer="0.39370078740157483"/>
  <pageSetup paperSize="9" scale="110" orientation="portrait" blackAndWhite="1" r:id="rId1"/>
  <headerFooter alignWithMargins="0">
    <oddHeader xml:space="preserve">&amp;R
</oddHeader>
    <oddFooter>&amp;R&amp;"Arial,Bold"&amp;12OERC FORM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5C6508-0C85-4A5D-AAA6-4B28511B6F52}">
  <dimension ref="A1:U73"/>
  <sheetViews>
    <sheetView view="pageBreakPreview" topLeftCell="A35" zoomScale="70" zoomScaleNormal="70" zoomScaleSheetLayoutView="70" workbookViewId="0">
      <selection activeCell="B78" sqref="B78"/>
    </sheetView>
  </sheetViews>
  <sheetFormatPr defaultColWidth="14.7109375" defaultRowHeight="15"/>
  <cols>
    <col min="1" max="1" width="6" style="513" customWidth="1"/>
    <col min="2" max="2" width="34" style="540" customWidth="1"/>
    <col min="3" max="3" width="14.28515625" style="518" customWidth="1"/>
    <col min="4" max="4" width="13.7109375" style="518" customWidth="1"/>
    <col min="5" max="8" width="12.5703125" style="518" customWidth="1"/>
    <col min="9" max="9" width="13.140625" style="518" customWidth="1"/>
    <col min="10" max="10" width="12.5703125" style="518" customWidth="1"/>
    <col min="11" max="11" width="13.7109375" style="518" customWidth="1"/>
    <col min="12" max="12" width="12.5703125" style="518" customWidth="1"/>
    <col min="13" max="14" width="12.85546875" style="518" customWidth="1"/>
    <col min="15" max="15" width="14.7109375" style="518" customWidth="1"/>
    <col min="16" max="16" width="15.140625" style="518" customWidth="1"/>
    <col min="17" max="17" width="16.28515625" style="518" customWidth="1"/>
    <col min="18" max="256" width="14.7109375" style="518"/>
    <col min="257" max="257" width="6" style="518" customWidth="1"/>
    <col min="258" max="258" width="34" style="518" customWidth="1"/>
    <col min="259" max="259" width="14.28515625" style="518" customWidth="1"/>
    <col min="260" max="260" width="13.7109375" style="518" customWidth="1"/>
    <col min="261" max="264" width="12.5703125" style="518" customWidth="1"/>
    <col min="265" max="265" width="13.140625" style="518" customWidth="1"/>
    <col min="266" max="268" width="12.5703125" style="518" customWidth="1"/>
    <col min="269" max="270" width="12.85546875" style="518" customWidth="1"/>
    <col min="271" max="271" width="14.7109375" style="518"/>
    <col min="272" max="272" width="15.140625" style="518" customWidth="1"/>
    <col min="273" max="273" width="16.28515625" style="518" customWidth="1"/>
    <col min="274" max="512" width="14.7109375" style="518"/>
    <col min="513" max="513" width="6" style="518" customWidth="1"/>
    <col min="514" max="514" width="34" style="518" customWidth="1"/>
    <col min="515" max="515" width="14.28515625" style="518" customWidth="1"/>
    <col min="516" max="516" width="13.7109375" style="518" customWidth="1"/>
    <col min="517" max="520" width="12.5703125" style="518" customWidth="1"/>
    <col min="521" max="521" width="13.140625" style="518" customWidth="1"/>
    <col min="522" max="524" width="12.5703125" style="518" customWidth="1"/>
    <col min="525" max="526" width="12.85546875" style="518" customWidth="1"/>
    <col min="527" max="527" width="14.7109375" style="518"/>
    <col min="528" max="528" width="15.140625" style="518" customWidth="1"/>
    <col min="529" max="529" width="16.28515625" style="518" customWidth="1"/>
    <col min="530" max="768" width="14.7109375" style="518"/>
    <col min="769" max="769" width="6" style="518" customWidth="1"/>
    <col min="770" max="770" width="34" style="518" customWidth="1"/>
    <col min="771" max="771" width="14.28515625" style="518" customWidth="1"/>
    <col min="772" max="772" width="13.7109375" style="518" customWidth="1"/>
    <col min="773" max="776" width="12.5703125" style="518" customWidth="1"/>
    <col min="777" max="777" width="13.140625" style="518" customWidth="1"/>
    <col min="778" max="780" width="12.5703125" style="518" customWidth="1"/>
    <col min="781" max="782" width="12.85546875" style="518" customWidth="1"/>
    <col min="783" max="783" width="14.7109375" style="518"/>
    <col min="784" max="784" width="15.140625" style="518" customWidth="1"/>
    <col min="785" max="785" width="16.28515625" style="518" customWidth="1"/>
    <col min="786" max="1024" width="14.7109375" style="518"/>
    <col min="1025" max="1025" width="6" style="518" customWidth="1"/>
    <col min="1026" max="1026" width="34" style="518" customWidth="1"/>
    <col min="1027" max="1027" width="14.28515625" style="518" customWidth="1"/>
    <col min="1028" max="1028" width="13.7109375" style="518" customWidth="1"/>
    <col min="1029" max="1032" width="12.5703125" style="518" customWidth="1"/>
    <col min="1033" max="1033" width="13.140625" style="518" customWidth="1"/>
    <col min="1034" max="1036" width="12.5703125" style="518" customWidth="1"/>
    <col min="1037" max="1038" width="12.85546875" style="518" customWidth="1"/>
    <col min="1039" max="1039" width="14.7109375" style="518"/>
    <col min="1040" max="1040" width="15.140625" style="518" customWidth="1"/>
    <col min="1041" max="1041" width="16.28515625" style="518" customWidth="1"/>
    <col min="1042" max="1280" width="14.7109375" style="518"/>
    <col min="1281" max="1281" width="6" style="518" customWidth="1"/>
    <col min="1282" max="1282" width="34" style="518" customWidth="1"/>
    <col min="1283" max="1283" width="14.28515625" style="518" customWidth="1"/>
    <col min="1284" max="1284" width="13.7109375" style="518" customWidth="1"/>
    <col min="1285" max="1288" width="12.5703125" style="518" customWidth="1"/>
    <col min="1289" max="1289" width="13.140625" style="518" customWidth="1"/>
    <col min="1290" max="1292" width="12.5703125" style="518" customWidth="1"/>
    <col min="1293" max="1294" width="12.85546875" style="518" customWidth="1"/>
    <col min="1295" max="1295" width="14.7109375" style="518"/>
    <col min="1296" max="1296" width="15.140625" style="518" customWidth="1"/>
    <col min="1297" max="1297" width="16.28515625" style="518" customWidth="1"/>
    <col min="1298" max="1536" width="14.7109375" style="518"/>
    <col min="1537" max="1537" width="6" style="518" customWidth="1"/>
    <col min="1538" max="1538" width="34" style="518" customWidth="1"/>
    <col min="1539" max="1539" width="14.28515625" style="518" customWidth="1"/>
    <col min="1540" max="1540" width="13.7109375" style="518" customWidth="1"/>
    <col min="1541" max="1544" width="12.5703125" style="518" customWidth="1"/>
    <col min="1545" max="1545" width="13.140625" style="518" customWidth="1"/>
    <col min="1546" max="1548" width="12.5703125" style="518" customWidth="1"/>
    <col min="1549" max="1550" width="12.85546875" style="518" customWidth="1"/>
    <col min="1551" max="1551" width="14.7109375" style="518"/>
    <col min="1552" max="1552" width="15.140625" style="518" customWidth="1"/>
    <col min="1553" max="1553" width="16.28515625" style="518" customWidth="1"/>
    <col min="1554" max="1792" width="14.7109375" style="518"/>
    <col min="1793" max="1793" width="6" style="518" customWidth="1"/>
    <col min="1794" max="1794" width="34" style="518" customWidth="1"/>
    <col min="1795" max="1795" width="14.28515625" style="518" customWidth="1"/>
    <col min="1796" max="1796" width="13.7109375" style="518" customWidth="1"/>
    <col min="1797" max="1800" width="12.5703125" style="518" customWidth="1"/>
    <col min="1801" max="1801" width="13.140625" style="518" customWidth="1"/>
    <col min="1802" max="1804" width="12.5703125" style="518" customWidth="1"/>
    <col min="1805" max="1806" width="12.85546875" style="518" customWidth="1"/>
    <col min="1807" max="1807" width="14.7109375" style="518"/>
    <col min="1808" max="1808" width="15.140625" style="518" customWidth="1"/>
    <col min="1809" max="1809" width="16.28515625" style="518" customWidth="1"/>
    <col min="1810" max="2048" width="14.7109375" style="518"/>
    <col min="2049" max="2049" width="6" style="518" customWidth="1"/>
    <col min="2050" max="2050" width="34" style="518" customWidth="1"/>
    <col min="2051" max="2051" width="14.28515625" style="518" customWidth="1"/>
    <col min="2052" max="2052" width="13.7109375" style="518" customWidth="1"/>
    <col min="2053" max="2056" width="12.5703125" style="518" customWidth="1"/>
    <col min="2057" max="2057" width="13.140625" style="518" customWidth="1"/>
    <col min="2058" max="2060" width="12.5703125" style="518" customWidth="1"/>
    <col min="2061" max="2062" width="12.85546875" style="518" customWidth="1"/>
    <col min="2063" max="2063" width="14.7109375" style="518"/>
    <col min="2064" max="2064" width="15.140625" style="518" customWidth="1"/>
    <col min="2065" max="2065" width="16.28515625" style="518" customWidth="1"/>
    <col min="2066" max="2304" width="14.7109375" style="518"/>
    <col min="2305" max="2305" width="6" style="518" customWidth="1"/>
    <col min="2306" max="2306" width="34" style="518" customWidth="1"/>
    <col min="2307" max="2307" width="14.28515625" style="518" customWidth="1"/>
    <col min="2308" max="2308" width="13.7109375" style="518" customWidth="1"/>
    <col min="2309" max="2312" width="12.5703125" style="518" customWidth="1"/>
    <col min="2313" max="2313" width="13.140625" style="518" customWidth="1"/>
    <col min="2314" max="2316" width="12.5703125" style="518" customWidth="1"/>
    <col min="2317" max="2318" width="12.85546875" style="518" customWidth="1"/>
    <col min="2319" max="2319" width="14.7109375" style="518"/>
    <col min="2320" max="2320" width="15.140625" style="518" customWidth="1"/>
    <col min="2321" max="2321" width="16.28515625" style="518" customWidth="1"/>
    <col min="2322" max="2560" width="14.7109375" style="518"/>
    <col min="2561" max="2561" width="6" style="518" customWidth="1"/>
    <col min="2562" max="2562" width="34" style="518" customWidth="1"/>
    <col min="2563" max="2563" width="14.28515625" style="518" customWidth="1"/>
    <col min="2564" max="2564" width="13.7109375" style="518" customWidth="1"/>
    <col min="2565" max="2568" width="12.5703125" style="518" customWidth="1"/>
    <col min="2569" max="2569" width="13.140625" style="518" customWidth="1"/>
    <col min="2570" max="2572" width="12.5703125" style="518" customWidth="1"/>
    <col min="2573" max="2574" width="12.85546875" style="518" customWidth="1"/>
    <col min="2575" max="2575" width="14.7109375" style="518"/>
    <col min="2576" max="2576" width="15.140625" style="518" customWidth="1"/>
    <col min="2577" max="2577" width="16.28515625" style="518" customWidth="1"/>
    <col min="2578" max="2816" width="14.7109375" style="518"/>
    <col min="2817" max="2817" width="6" style="518" customWidth="1"/>
    <col min="2818" max="2818" width="34" style="518" customWidth="1"/>
    <col min="2819" max="2819" width="14.28515625" style="518" customWidth="1"/>
    <col min="2820" max="2820" width="13.7109375" style="518" customWidth="1"/>
    <col min="2821" max="2824" width="12.5703125" style="518" customWidth="1"/>
    <col min="2825" max="2825" width="13.140625" style="518" customWidth="1"/>
    <col min="2826" max="2828" width="12.5703125" style="518" customWidth="1"/>
    <col min="2829" max="2830" width="12.85546875" style="518" customWidth="1"/>
    <col min="2831" max="2831" width="14.7109375" style="518"/>
    <col min="2832" max="2832" width="15.140625" style="518" customWidth="1"/>
    <col min="2833" max="2833" width="16.28515625" style="518" customWidth="1"/>
    <col min="2834" max="3072" width="14.7109375" style="518"/>
    <col min="3073" max="3073" width="6" style="518" customWidth="1"/>
    <col min="3074" max="3074" width="34" style="518" customWidth="1"/>
    <col min="3075" max="3075" width="14.28515625" style="518" customWidth="1"/>
    <col min="3076" max="3076" width="13.7109375" style="518" customWidth="1"/>
    <col min="3077" max="3080" width="12.5703125" style="518" customWidth="1"/>
    <col min="3081" max="3081" width="13.140625" style="518" customWidth="1"/>
    <col min="3082" max="3084" width="12.5703125" style="518" customWidth="1"/>
    <col min="3085" max="3086" width="12.85546875" style="518" customWidth="1"/>
    <col min="3087" max="3087" width="14.7109375" style="518"/>
    <col min="3088" max="3088" width="15.140625" style="518" customWidth="1"/>
    <col min="3089" max="3089" width="16.28515625" style="518" customWidth="1"/>
    <col min="3090" max="3328" width="14.7109375" style="518"/>
    <col min="3329" max="3329" width="6" style="518" customWidth="1"/>
    <col min="3330" max="3330" width="34" style="518" customWidth="1"/>
    <col min="3331" max="3331" width="14.28515625" style="518" customWidth="1"/>
    <col min="3332" max="3332" width="13.7109375" style="518" customWidth="1"/>
    <col min="3333" max="3336" width="12.5703125" style="518" customWidth="1"/>
    <col min="3337" max="3337" width="13.140625" style="518" customWidth="1"/>
    <col min="3338" max="3340" width="12.5703125" style="518" customWidth="1"/>
    <col min="3341" max="3342" width="12.85546875" style="518" customWidth="1"/>
    <col min="3343" max="3343" width="14.7109375" style="518"/>
    <col min="3344" max="3344" width="15.140625" style="518" customWidth="1"/>
    <col min="3345" max="3345" width="16.28515625" style="518" customWidth="1"/>
    <col min="3346" max="3584" width="14.7109375" style="518"/>
    <col min="3585" max="3585" width="6" style="518" customWidth="1"/>
    <col min="3586" max="3586" width="34" style="518" customWidth="1"/>
    <col min="3587" max="3587" width="14.28515625" style="518" customWidth="1"/>
    <col min="3588" max="3588" width="13.7109375" style="518" customWidth="1"/>
    <col min="3589" max="3592" width="12.5703125" style="518" customWidth="1"/>
    <col min="3593" max="3593" width="13.140625" style="518" customWidth="1"/>
    <col min="3594" max="3596" width="12.5703125" style="518" customWidth="1"/>
    <col min="3597" max="3598" width="12.85546875" style="518" customWidth="1"/>
    <col min="3599" max="3599" width="14.7109375" style="518"/>
    <col min="3600" max="3600" width="15.140625" style="518" customWidth="1"/>
    <col min="3601" max="3601" width="16.28515625" style="518" customWidth="1"/>
    <col min="3602" max="3840" width="14.7109375" style="518"/>
    <col min="3841" max="3841" width="6" style="518" customWidth="1"/>
    <col min="3842" max="3842" width="34" style="518" customWidth="1"/>
    <col min="3843" max="3843" width="14.28515625" style="518" customWidth="1"/>
    <col min="3844" max="3844" width="13.7109375" style="518" customWidth="1"/>
    <col min="3845" max="3848" width="12.5703125" style="518" customWidth="1"/>
    <col min="3849" max="3849" width="13.140625" style="518" customWidth="1"/>
    <col min="3850" max="3852" width="12.5703125" style="518" customWidth="1"/>
    <col min="3853" max="3854" width="12.85546875" style="518" customWidth="1"/>
    <col min="3855" max="3855" width="14.7109375" style="518"/>
    <col min="3856" max="3856" width="15.140625" style="518" customWidth="1"/>
    <col min="3857" max="3857" width="16.28515625" style="518" customWidth="1"/>
    <col min="3858" max="4096" width="14.7109375" style="518"/>
    <col min="4097" max="4097" width="6" style="518" customWidth="1"/>
    <col min="4098" max="4098" width="34" style="518" customWidth="1"/>
    <col min="4099" max="4099" width="14.28515625" style="518" customWidth="1"/>
    <col min="4100" max="4100" width="13.7109375" style="518" customWidth="1"/>
    <col min="4101" max="4104" width="12.5703125" style="518" customWidth="1"/>
    <col min="4105" max="4105" width="13.140625" style="518" customWidth="1"/>
    <col min="4106" max="4108" width="12.5703125" style="518" customWidth="1"/>
    <col min="4109" max="4110" width="12.85546875" style="518" customWidth="1"/>
    <col min="4111" max="4111" width="14.7109375" style="518"/>
    <col min="4112" max="4112" width="15.140625" style="518" customWidth="1"/>
    <col min="4113" max="4113" width="16.28515625" style="518" customWidth="1"/>
    <col min="4114" max="4352" width="14.7109375" style="518"/>
    <col min="4353" max="4353" width="6" style="518" customWidth="1"/>
    <col min="4354" max="4354" width="34" style="518" customWidth="1"/>
    <col min="4355" max="4355" width="14.28515625" style="518" customWidth="1"/>
    <col min="4356" max="4356" width="13.7109375" style="518" customWidth="1"/>
    <col min="4357" max="4360" width="12.5703125" style="518" customWidth="1"/>
    <col min="4361" max="4361" width="13.140625" style="518" customWidth="1"/>
    <col min="4362" max="4364" width="12.5703125" style="518" customWidth="1"/>
    <col min="4365" max="4366" width="12.85546875" style="518" customWidth="1"/>
    <col min="4367" max="4367" width="14.7109375" style="518"/>
    <col min="4368" max="4368" width="15.140625" style="518" customWidth="1"/>
    <col min="4369" max="4369" width="16.28515625" style="518" customWidth="1"/>
    <col min="4370" max="4608" width="14.7109375" style="518"/>
    <col min="4609" max="4609" width="6" style="518" customWidth="1"/>
    <col min="4610" max="4610" width="34" style="518" customWidth="1"/>
    <col min="4611" max="4611" width="14.28515625" style="518" customWidth="1"/>
    <col min="4612" max="4612" width="13.7109375" style="518" customWidth="1"/>
    <col min="4613" max="4616" width="12.5703125" style="518" customWidth="1"/>
    <col min="4617" max="4617" width="13.140625" style="518" customWidth="1"/>
    <col min="4618" max="4620" width="12.5703125" style="518" customWidth="1"/>
    <col min="4621" max="4622" width="12.85546875" style="518" customWidth="1"/>
    <col min="4623" max="4623" width="14.7109375" style="518"/>
    <col min="4624" max="4624" width="15.140625" style="518" customWidth="1"/>
    <col min="4625" max="4625" width="16.28515625" style="518" customWidth="1"/>
    <col min="4626" max="4864" width="14.7109375" style="518"/>
    <col min="4865" max="4865" width="6" style="518" customWidth="1"/>
    <col min="4866" max="4866" width="34" style="518" customWidth="1"/>
    <col min="4867" max="4867" width="14.28515625" style="518" customWidth="1"/>
    <col min="4868" max="4868" width="13.7109375" style="518" customWidth="1"/>
    <col min="4869" max="4872" width="12.5703125" style="518" customWidth="1"/>
    <col min="4873" max="4873" width="13.140625" style="518" customWidth="1"/>
    <col min="4874" max="4876" width="12.5703125" style="518" customWidth="1"/>
    <col min="4877" max="4878" width="12.85546875" style="518" customWidth="1"/>
    <col min="4879" max="4879" width="14.7109375" style="518"/>
    <col min="4880" max="4880" width="15.140625" style="518" customWidth="1"/>
    <col min="4881" max="4881" width="16.28515625" style="518" customWidth="1"/>
    <col min="4882" max="5120" width="14.7109375" style="518"/>
    <col min="5121" max="5121" width="6" style="518" customWidth="1"/>
    <col min="5122" max="5122" width="34" style="518" customWidth="1"/>
    <col min="5123" max="5123" width="14.28515625" style="518" customWidth="1"/>
    <col min="5124" max="5124" width="13.7109375" style="518" customWidth="1"/>
    <col min="5125" max="5128" width="12.5703125" style="518" customWidth="1"/>
    <col min="5129" max="5129" width="13.140625" style="518" customWidth="1"/>
    <col min="5130" max="5132" width="12.5703125" style="518" customWidth="1"/>
    <col min="5133" max="5134" width="12.85546875" style="518" customWidth="1"/>
    <col min="5135" max="5135" width="14.7109375" style="518"/>
    <col min="5136" max="5136" width="15.140625" style="518" customWidth="1"/>
    <col min="5137" max="5137" width="16.28515625" style="518" customWidth="1"/>
    <col min="5138" max="5376" width="14.7109375" style="518"/>
    <col min="5377" max="5377" width="6" style="518" customWidth="1"/>
    <col min="5378" max="5378" width="34" style="518" customWidth="1"/>
    <col min="5379" max="5379" width="14.28515625" style="518" customWidth="1"/>
    <col min="5380" max="5380" width="13.7109375" style="518" customWidth="1"/>
    <col min="5381" max="5384" width="12.5703125" style="518" customWidth="1"/>
    <col min="5385" max="5385" width="13.140625" style="518" customWidth="1"/>
    <col min="5386" max="5388" width="12.5703125" style="518" customWidth="1"/>
    <col min="5389" max="5390" width="12.85546875" style="518" customWidth="1"/>
    <col min="5391" max="5391" width="14.7109375" style="518"/>
    <col min="5392" max="5392" width="15.140625" style="518" customWidth="1"/>
    <col min="5393" max="5393" width="16.28515625" style="518" customWidth="1"/>
    <col min="5394" max="5632" width="14.7109375" style="518"/>
    <col min="5633" max="5633" width="6" style="518" customWidth="1"/>
    <col min="5634" max="5634" width="34" style="518" customWidth="1"/>
    <col min="5635" max="5635" width="14.28515625" style="518" customWidth="1"/>
    <col min="5636" max="5636" width="13.7109375" style="518" customWidth="1"/>
    <col min="5637" max="5640" width="12.5703125" style="518" customWidth="1"/>
    <col min="5641" max="5641" width="13.140625" style="518" customWidth="1"/>
    <col min="5642" max="5644" width="12.5703125" style="518" customWidth="1"/>
    <col min="5645" max="5646" width="12.85546875" style="518" customWidth="1"/>
    <col min="5647" max="5647" width="14.7109375" style="518"/>
    <col min="5648" max="5648" width="15.140625" style="518" customWidth="1"/>
    <col min="5649" max="5649" width="16.28515625" style="518" customWidth="1"/>
    <col min="5650" max="5888" width="14.7109375" style="518"/>
    <col min="5889" max="5889" width="6" style="518" customWidth="1"/>
    <col min="5890" max="5890" width="34" style="518" customWidth="1"/>
    <col min="5891" max="5891" width="14.28515625" style="518" customWidth="1"/>
    <col min="5892" max="5892" width="13.7109375" style="518" customWidth="1"/>
    <col min="5893" max="5896" width="12.5703125" style="518" customWidth="1"/>
    <col min="5897" max="5897" width="13.140625" style="518" customWidth="1"/>
    <col min="5898" max="5900" width="12.5703125" style="518" customWidth="1"/>
    <col min="5901" max="5902" width="12.85546875" style="518" customWidth="1"/>
    <col min="5903" max="5903" width="14.7109375" style="518"/>
    <col min="5904" max="5904" width="15.140625" style="518" customWidth="1"/>
    <col min="5905" max="5905" width="16.28515625" style="518" customWidth="1"/>
    <col min="5906" max="6144" width="14.7109375" style="518"/>
    <col min="6145" max="6145" width="6" style="518" customWidth="1"/>
    <col min="6146" max="6146" width="34" style="518" customWidth="1"/>
    <col min="6147" max="6147" width="14.28515625" style="518" customWidth="1"/>
    <col min="6148" max="6148" width="13.7109375" style="518" customWidth="1"/>
    <col min="6149" max="6152" width="12.5703125" style="518" customWidth="1"/>
    <col min="6153" max="6153" width="13.140625" style="518" customWidth="1"/>
    <col min="6154" max="6156" width="12.5703125" style="518" customWidth="1"/>
    <col min="6157" max="6158" width="12.85546875" style="518" customWidth="1"/>
    <col min="6159" max="6159" width="14.7109375" style="518"/>
    <col min="6160" max="6160" width="15.140625" style="518" customWidth="1"/>
    <col min="6161" max="6161" width="16.28515625" style="518" customWidth="1"/>
    <col min="6162" max="6400" width="14.7109375" style="518"/>
    <col min="6401" max="6401" width="6" style="518" customWidth="1"/>
    <col min="6402" max="6402" width="34" style="518" customWidth="1"/>
    <col min="6403" max="6403" width="14.28515625" style="518" customWidth="1"/>
    <col min="6404" max="6404" width="13.7109375" style="518" customWidth="1"/>
    <col min="6405" max="6408" width="12.5703125" style="518" customWidth="1"/>
    <col min="6409" max="6409" width="13.140625" style="518" customWidth="1"/>
    <col min="6410" max="6412" width="12.5703125" style="518" customWidth="1"/>
    <col min="6413" max="6414" width="12.85546875" style="518" customWidth="1"/>
    <col min="6415" max="6415" width="14.7109375" style="518"/>
    <col min="6416" max="6416" width="15.140625" style="518" customWidth="1"/>
    <col min="6417" max="6417" width="16.28515625" style="518" customWidth="1"/>
    <col min="6418" max="6656" width="14.7109375" style="518"/>
    <col min="6657" max="6657" width="6" style="518" customWidth="1"/>
    <col min="6658" max="6658" width="34" style="518" customWidth="1"/>
    <col min="6659" max="6659" width="14.28515625" style="518" customWidth="1"/>
    <col min="6660" max="6660" width="13.7109375" style="518" customWidth="1"/>
    <col min="6661" max="6664" width="12.5703125" style="518" customWidth="1"/>
    <col min="6665" max="6665" width="13.140625" style="518" customWidth="1"/>
    <col min="6666" max="6668" width="12.5703125" style="518" customWidth="1"/>
    <col min="6669" max="6670" width="12.85546875" style="518" customWidth="1"/>
    <col min="6671" max="6671" width="14.7109375" style="518"/>
    <col min="6672" max="6672" width="15.140625" style="518" customWidth="1"/>
    <col min="6673" max="6673" width="16.28515625" style="518" customWidth="1"/>
    <col min="6674" max="6912" width="14.7109375" style="518"/>
    <col min="6913" max="6913" width="6" style="518" customWidth="1"/>
    <col min="6914" max="6914" width="34" style="518" customWidth="1"/>
    <col min="6915" max="6915" width="14.28515625" style="518" customWidth="1"/>
    <col min="6916" max="6916" width="13.7109375" style="518" customWidth="1"/>
    <col min="6917" max="6920" width="12.5703125" style="518" customWidth="1"/>
    <col min="6921" max="6921" width="13.140625" style="518" customWidth="1"/>
    <col min="6922" max="6924" width="12.5703125" style="518" customWidth="1"/>
    <col min="6925" max="6926" width="12.85546875" style="518" customWidth="1"/>
    <col min="6927" max="6927" width="14.7109375" style="518"/>
    <col min="6928" max="6928" width="15.140625" style="518" customWidth="1"/>
    <col min="6929" max="6929" width="16.28515625" style="518" customWidth="1"/>
    <col min="6930" max="7168" width="14.7109375" style="518"/>
    <col min="7169" max="7169" width="6" style="518" customWidth="1"/>
    <col min="7170" max="7170" width="34" style="518" customWidth="1"/>
    <col min="7171" max="7171" width="14.28515625" style="518" customWidth="1"/>
    <col min="7172" max="7172" width="13.7109375" style="518" customWidth="1"/>
    <col min="7173" max="7176" width="12.5703125" style="518" customWidth="1"/>
    <col min="7177" max="7177" width="13.140625" style="518" customWidth="1"/>
    <col min="7178" max="7180" width="12.5703125" style="518" customWidth="1"/>
    <col min="7181" max="7182" width="12.85546875" style="518" customWidth="1"/>
    <col min="7183" max="7183" width="14.7109375" style="518"/>
    <col min="7184" max="7184" width="15.140625" style="518" customWidth="1"/>
    <col min="7185" max="7185" width="16.28515625" style="518" customWidth="1"/>
    <col min="7186" max="7424" width="14.7109375" style="518"/>
    <col min="7425" max="7425" width="6" style="518" customWidth="1"/>
    <col min="7426" max="7426" width="34" style="518" customWidth="1"/>
    <col min="7427" max="7427" width="14.28515625" style="518" customWidth="1"/>
    <col min="7428" max="7428" width="13.7109375" style="518" customWidth="1"/>
    <col min="7429" max="7432" width="12.5703125" style="518" customWidth="1"/>
    <col min="7433" max="7433" width="13.140625" style="518" customWidth="1"/>
    <col min="7434" max="7436" width="12.5703125" style="518" customWidth="1"/>
    <col min="7437" max="7438" width="12.85546875" style="518" customWidth="1"/>
    <col min="7439" max="7439" width="14.7109375" style="518"/>
    <col min="7440" max="7440" width="15.140625" style="518" customWidth="1"/>
    <col min="7441" max="7441" width="16.28515625" style="518" customWidth="1"/>
    <col min="7442" max="7680" width="14.7109375" style="518"/>
    <col min="7681" max="7681" width="6" style="518" customWidth="1"/>
    <col min="7682" max="7682" width="34" style="518" customWidth="1"/>
    <col min="7683" max="7683" width="14.28515625" style="518" customWidth="1"/>
    <col min="7684" max="7684" width="13.7109375" style="518" customWidth="1"/>
    <col min="7685" max="7688" width="12.5703125" style="518" customWidth="1"/>
    <col min="7689" max="7689" width="13.140625" style="518" customWidth="1"/>
    <col min="7690" max="7692" width="12.5703125" style="518" customWidth="1"/>
    <col min="7693" max="7694" width="12.85546875" style="518" customWidth="1"/>
    <col min="7695" max="7695" width="14.7109375" style="518"/>
    <col min="7696" max="7696" width="15.140625" style="518" customWidth="1"/>
    <col min="7697" max="7697" width="16.28515625" style="518" customWidth="1"/>
    <col min="7698" max="7936" width="14.7109375" style="518"/>
    <col min="7937" max="7937" width="6" style="518" customWidth="1"/>
    <col min="7938" max="7938" width="34" style="518" customWidth="1"/>
    <col min="7939" max="7939" width="14.28515625" style="518" customWidth="1"/>
    <col min="7940" max="7940" width="13.7109375" style="518" customWidth="1"/>
    <col min="7941" max="7944" width="12.5703125" style="518" customWidth="1"/>
    <col min="7945" max="7945" width="13.140625" style="518" customWidth="1"/>
    <col min="7946" max="7948" width="12.5703125" style="518" customWidth="1"/>
    <col min="7949" max="7950" width="12.85546875" style="518" customWidth="1"/>
    <col min="7951" max="7951" width="14.7109375" style="518"/>
    <col min="7952" max="7952" width="15.140625" style="518" customWidth="1"/>
    <col min="7953" max="7953" width="16.28515625" style="518" customWidth="1"/>
    <col min="7954" max="8192" width="14.7109375" style="518"/>
    <col min="8193" max="8193" width="6" style="518" customWidth="1"/>
    <col min="8194" max="8194" width="34" style="518" customWidth="1"/>
    <col min="8195" max="8195" width="14.28515625" style="518" customWidth="1"/>
    <col min="8196" max="8196" width="13.7109375" style="518" customWidth="1"/>
    <col min="8197" max="8200" width="12.5703125" style="518" customWidth="1"/>
    <col min="8201" max="8201" width="13.140625" style="518" customWidth="1"/>
    <col min="8202" max="8204" width="12.5703125" style="518" customWidth="1"/>
    <col min="8205" max="8206" width="12.85546875" style="518" customWidth="1"/>
    <col min="8207" max="8207" width="14.7109375" style="518"/>
    <col min="8208" max="8208" width="15.140625" style="518" customWidth="1"/>
    <col min="8209" max="8209" width="16.28515625" style="518" customWidth="1"/>
    <col min="8210" max="8448" width="14.7109375" style="518"/>
    <col min="8449" max="8449" width="6" style="518" customWidth="1"/>
    <col min="8450" max="8450" width="34" style="518" customWidth="1"/>
    <col min="8451" max="8451" width="14.28515625" style="518" customWidth="1"/>
    <col min="8452" max="8452" width="13.7109375" style="518" customWidth="1"/>
    <col min="8453" max="8456" width="12.5703125" style="518" customWidth="1"/>
    <col min="8457" max="8457" width="13.140625" style="518" customWidth="1"/>
    <col min="8458" max="8460" width="12.5703125" style="518" customWidth="1"/>
    <col min="8461" max="8462" width="12.85546875" style="518" customWidth="1"/>
    <col min="8463" max="8463" width="14.7109375" style="518"/>
    <col min="8464" max="8464" width="15.140625" style="518" customWidth="1"/>
    <col min="8465" max="8465" width="16.28515625" style="518" customWidth="1"/>
    <col min="8466" max="8704" width="14.7109375" style="518"/>
    <col min="8705" max="8705" width="6" style="518" customWidth="1"/>
    <col min="8706" max="8706" width="34" style="518" customWidth="1"/>
    <col min="8707" max="8707" width="14.28515625" style="518" customWidth="1"/>
    <col min="8708" max="8708" width="13.7109375" style="518" customWidth="1"/>
    <col min="8709" max="8712" width="12.5703125" style="518" customWidth="1"/>
    <col min="8713" max="8713" width="13.140625" style="518" customWidth="1"/>
    <col min="8714" max="8716" width="12.5703125" style="518" customWidth="1"/>
    <col min="8717" max="8718" width="12.85546875" style="518" customWidth="1"/>
    <col min="8719" max="8719" width="14.7109375" style="518"/>
    <col min="8720" max="8720" width="15.140625" style="518" customWidth="1"/>
    <col min="8721" max="8721" width="16.28515625" style="518" customWidth="1"/>
    <col min="8722" max="8960" width="14.7109375" style="518"/>
    <col min="8961" max="8961" width="6" style="518" customWidth="1"/>
    <col min="8962" max="8962" width="34" style="518" customWidth="1"/>
    <col min="8963" max="8963" width="14.28515625" style="518" customWidth="1"/>
    <col min="8964" max="8964" width="13.7109375" style="518" customWidth="1"/>
    <col min="8965" max="8968" width="12.5703125" style="518" customWidth="1"/>
    <col min="8969" max="8969" width="13.140625" style="518" customWidth="1"/>
    <col min="8970" max="8972" width="12.5703125" style="518" customWidth="1"/>
    <col min="8973" max="8974" width="12.85546875" style="518" customWidth="1"/>
    <col min="8975" max="8975" width="14.7109375" style="518"/>
    <col min="8976" max="8976" width="15.140625" style="518" customWidth="1"/>
    <col min="8977" max="8977" width="16.28515625" style="518" customWidth="1"/>
    <col min="8978" max="9216" width="14.7109375" style="518"/>
    <col min="9217" max="9217" width="6" style="518" customWidth="1"/>
    <col min="9218" max="9218" width="34" style="518" customWidth="1"/>
    <col min="9219" max="9219" width="14.28515625" style="518" customWidth="1"/>
    <col min="9220" max="9220" width="13.7109375" style="518" customWidth="1"/>
    <col min="9221" max="9224" width="12.5703125" style="518" customWidth="1"/>
    <col min="9225" max="9225" width="13.140625" style="518" customWidth="1"/>
    <col min="9226" max="9228" width="12.5703125" style="518" customWidth="1"/>
    <col min="9229" max="9230" width="12.85546875" style="518" customWidth="1"/>
    <col min="9231" max="9231" width="14.7109375" style="518"/>
    <col min="9232" max="9232" width="15.140625" style="518" customWidth="1"/>
    <col min="9233" max="9233" width="16.28515625" style="518" customWidth="1"/>
    <col min="9234" max="9472" width="14.7109375" style="518"/>
    <col min="9473" max="9473" width="6" style="518" customWidth="1"/>
    <col min="9474" max="9474" width="34" style="518" customWidth="1"/>
    <col min="9475" max="9475" width="14.28515625" style="518" customWidth="1"/>
    <col min="9476" max="9476" width="13.7109375" style="518" customWidth="1"/>
    <col min="9477" max="9480" width="12.5703125" style="518" customWidth="1"/>
    <col min="9481" max="9481" width="13.140625" style="518" customWidth="1"/>
    <col min="9482" max="9484" width="12.5703125" style="518" customWidth="1"/>
    <col min="9485" max="9486" width="12.85546875" style="518" customWidth="1"/>
    <col min="9487" max="9487" width="14.7109375" style="518"/>
    <col min="9488" max="9488" width="15.140625" style="518" customWidth="1"/>
    <col min="9489" max="9489" width="16.28515625" style="518" customWidth="1"/>
    <col min="9490" max="9728" width="14.7109375" style="518"/>
    <col min="9729" max="9729" width="6" style="518" customWidth="1"/>
    <col min="9730" max="9730" width="34" style="518" customWidth="1"/>
    <col min="9731" max="9731" width="14.28515625" style="518" customWidth="1"/>
    <col min="9732" max="9732" width="13.7109375" style="518" customWidth="1"/>
    <col min="9733" max="9736" width="12.5703125" style="518" customWidth="1"/>
    <col min="9737" max="9737" width="13.140625" style="518" customWidth="1"/>
    <col min="9738" max="9740" width="12.5703125" style="518" customWidth="1"/>
    <col min="9741" max="9742" width="12.85546875" style="518" customWidth="1"/>
    <col min="9743" max="9743" width="14.7109375" style="518"/>
    <col min="9744" max="9744" width="15.140625" style="518" customWidth="1"/>
    <col min="9745" max="9745" width="16.28515625" style="518" customWidth="1"/>
    <col min="9746" max="9984" width="14.7109375" style="518"/>
    <col min="9985" max="9985" width="6" style="518" customWidth="1"/>
    <col min="9986" max="9986" width="34" style="518" customWidth="1"/>
    <col min="9987" max="9987" width="14.28515625" style="518" customWidth="1"/>
    <col min="9988" max="9988" width="13.7109375" style="518" customWidth="1"/>
    <col min="9989" max="9992" width="12.5703125" style="518" customWidth="1"/>
    <col min="9993" max="9993" width="13.140625" style="518" customWidth="1"/>
    <col min="9994" max="9996" width="12.5703125" style="518" customWidth="1"/>
    <col min="9997" max="9998" width="12.85546875" style="518" customWidth="1"/>
    <col min="9999" max="9999" width="14.7109375" style="518"/>
    <col min="10000" max="10000" width="15.140625" style="518" customWidth="1"/>
    <col min="10001" max="10001" width="16.28515625" style="518" customWidth="1"/>
    <col min="10002" max="10240" width="14.7109375" style="518"/>
    <col min="10241" max="10241" width="6" style="518" customWidth="1"/>
    <col min="10242" max="10242" width="34" style="518" customWidth="1"/>
    <col min="10243" max="10243" width="14.28515625" style="518" customWidth="1"/>
    <col min="10244" max="10244" width="13.7109375" style="518" customWidth="1"/>
    <col min="10245" max="10248" width="12.5703125" style="518" customWidth="1"/>
    <col min="10249" max="10249" width="13.140625" style="518" customWidth="1"/>
    <col min="10250" max="10252" width="12.5703125" style="518" customWidth="1"/>
    <col min="10253" max="10254" width="12.85546875" style="518" customWidth="1"/>
    <col min="10255" max="10255" width="14.7109375" style="518"/>
    <col min="10256" max="10256" width="15.140625" style="518" customWidth="1"/>
    <col min="10257" max="10257" width="16.28515625" style="518" customWidth="1"/>
    <col min="10258" max="10496" width="14.7109375" style="518"/>
    <col min="10497" max="10497" width="6" style="518" customWidth="1"/>
    <col min="10498" max="10498" width="34" style="518" customWidth="1"/>
    <col min="10499" max="10499" width="14.28515625" style="518" customWidth="1"/>
    <col min="10500" max="10500" width="13.7109375" style="518" customWidth="1"/>
    <col min="10501" max="10504" width="12.5703125" style="518" customWidth="1"/>
    <col min="10505" max="10505" width="13.140625" style="518" customWidth="1"/>
    <col min="10506" max="10508" width="12.5703125" style="518" customWidth="1"/>
    <col min="10509" max="10510" width="12.85546875" style="518" customWidth="1"/>
    <col min="10511" max="10511" width="14.7109375" style="518"/>
    <col min="10512" max="10512" width="15.140625" style="518" customWidth="1"/>
    <col min="10513" max="10513" width="16.28515625" style="518" customWidth="1"/>
    <col min="10514" max="10752" width="14.7109375" style="518"/>
    <col min="10753" max="10753" width="6" style="518" customWidth="1"/>
    <col min="10754" max="10754" width="34" style="518" customWidth="1"/>
    <col min="10755" max="10755" width="14.28515625" style="518" customWidth="1"/>
    <col min="10756" max="10756" width="13.7109375" style="518" customWidth="1"/>
    <col min="10757" max="10760" width="12.5703125" style="518" customWidth="1"/>
    <col min="10761" max="10761" width="13.140625" style="518" customWidth="1"/>
    <col min="10762" max="10764" width="12.5703125" style="518" customWidth="1"/>
    <col min="10765" max="10766" width="12.85546875" style="518" customWidth="1"/>
    <col min="10767" max="10767" width="14.7109375" style="518"/>
    <col min="10768" max="10768" width="15.140625" style="518" customWidth="1"/>
    <col min="10769" max="10769" width="16.28515625" style="518" customWidth="1"/>
    <col min="10770" max="11008" width="14.7109375" style="518"/>
    <col min="11009" max="11009" width="6" style="518" customWidth="1"/>
    <col min="11010" max="11010" width="34" style="518" customWidth="1"/>
    <col min="11011" max="11011" width="14.28515625" style="518" customWidth="1"/>
    <col min="11012" max="11012" width="13.7109375" style="518" customWidth="1"/>
    <col min="11013" max="11016" width="12.5703125" style="518" customWidth="1"/>
    <col min="11017" max="11017" width="13.140625" style="518" customWidth="1"/>
    <col min="11018" max="11020" width="12.5703125" style="518" customWidth="1"/>
    <col min="11021" max="11022" width="12.85546875" style="518" customWidth="1"/>
    <col min="11023" max="11023" width="14.7109375" style="518"/>
    <col min="11024" max="11024" width="15.140625" style="518" customWidth="1"/>
    <col min="11025" max="11025" width="16.28515625" style="518" customWidth="1"/>
    <col min="11026" max="11264" width="14.7109375" style="518"/>
    <col min="11265" max="11265" width="6" style="518" customWidth="1"/>
    <col min="11266" max="11266" width="34" style="518" customWidth="1"/>
    <col min="11267" max="11267" width="14.28515625" style="518" customWidth="1"/>
    <col min="11268" max="11268" width="13.7109375" style="518" customWidth="1"/>
    <col min="11269" max="11272" width="12.5703125" style="518" customWidth="1"/>
    <col min="11273" max="11273" width="13.140625" style="518" customWidth="1"/>
    <col min="11274" max="11276" width="12.5703125" style="518" customWidth="1"/>
    <col min="11277" max="11278" width="12.85546875" style="518" customWidth="1"/>
    <col min="11279" max="11279" width="14.7109375" style="518"/>
    <col min="11280" max="11280" width="15.140625" style="518" customWidth="1"/>
    <col min="11281" max="11281" width="16.28515625" style="518" customWidth="1"/>
    <col min="11282" max="11520" width="14.7109375" style="518"/>
    <col min="11521" max="11521" width="6" style="518" customWidth="1"/>
    <col min="11522" max="11522" width="34" style="518" customWidth="1"/>
    <col min="11523" max="11523" width="14.28515625" style="518" customWidth="1"/>
    <col min="11524" max="11524" width="13.7109375" style="518" customWidth="1"/>
    <col min="11525" max="11528" width="12.5703125" style="518" customWidth="1"/>
    <col min="11529" max="11529" width="13.140625" style="518" customWidth="1"/>
    <col min="11530" max="11532" width="12.5703125" style="518" customWidth="1"/>
    <col min="11533" max="11534" width="12.85546875" style="518" customWidth="1"/>
    <col min="11535" max="11535" width="14.7109375" style="518"/>
    <col min="11536" max="11536" width="15.140625" style="518" customWidth="1"/>
    <col min="11537" max="11537" width="16.28515625" style="518" customWidth="1"/>
    <col min="11538" max="11776" width="14.7109375" style="518"/>
    <col min="11777" max="11777" width="6" style="518" customWidth="1"/>
    <col min="11778" max="11778" width="34" style="518" customWidth="1"/>
    <col min="11779" max="11779" width="14.28515625" style="518" customWidth="1"/>
    <col min="11780" max="11780" width="13.7109375" style="518" customWidth="1"/>
    <col min="11781" max="11784" width="12.5703125" style="518" customWidth="1"/>
    <col min="11785" max="11785" width="13.140625" style="518" customWidth="1"/>
    <col min="11786" max="11788" width="12.5703125" style="518" customWidth="1"/>
    <col min="11789" max="11790" width="12.85546875" style="518" customWidth="1"/>
    <col min="11791" max="11791" width="14.7109375" style="518"/>
    <col min="11792" max="11792" width="15.140625" style="518" customWidth="1"/>
    <col min="11793" max="11793" width="16.28515625" style="518" customWidth="1"/>
    <col min="11794" max="12032" width="14.7109375" style="518"/>
    <col min="12033" max="12033" width="6" style="518" customWidth="1"/>
    <col min="12034" max="12034" width="34" style="518" customWidth="1"/>
    <col min="12035" max="12035" width="14.28515625" style="518" customWidth="1"/>
    <col min="12036" max="12036" width="13.7109375" style="518" customWidth="1"/>
    <col min="12037" max="12040" width="12.5703125" style="518" customWidth="1"/>
    <col min="12041" max="12041" width="13.140625" style="518" customWidth="1"/>
    <col min="12042" max="12044" width="12.5703125" style="518" customWidth="1"/>
    <col min="12045" max="12046" width="12.85546875" style="518" customWidth="1"/>
    <col min="12047" max="12047" width="14.7109375" style="518"/>
    <col min="12048" max="12048" width="15.140625" style="518" customWidth="1"/>
    <col min="12049" max="12049" width="16.28515625" style="518" customWidth="1"/>
    <col min="12050" max="12288" width="14.7109375" style="518"/>
    <col min="12289" max="12289" width="6" style="518" customWidth="1"/>
    <col min="12290" max="12290" width="34" style="518" customWidth="1"/>
    <col min="12291" max="12291" width="14.28515625" style="518" customWidth="1"/>
    <col min="12292" max="12292" width="13.7109375" style="518" customWidth="1"/>
    <col min="12293" max="12296" width="12.5703125" style="518" customWidth="1"/>
    <col min="12297" max="12297" width="13.140625" style="518" customWidth="1"/>
    <col min="12298" max="12300" width="12.5703125" style="518" customWidth="1"/>
    <col min="12301" max="12302" width="12.85546875" style="518" customWidth="1"/>
    <col min="12303" max="12303" width="14.7109375" style="518"/>
    <col min="12304" max="12304" width="15.140625" style="518" customWidth="1"/>
    <col min="12305" max="12305" width="16.28515625" style="518" customWidth="1"/>
    <col min="12306" max="12544" width="14.7109375" style="518"/>
    <col min="12545" max="12545" width="6" style="518" customWidth="1"/>
    <col min="12546" max="12546" width="34" style="518" customWidth="1"/>
    <col min="12547" max="12547" width="14.28515625" style="518" customWidth="1"/>
    <col min="12548" max="12548" width="13.7109375" style="518" customWidth="1"/>
    <col min="12549" max="12552" width="12.5703125" style="518" customWidth="1"/>
    <col min="12553" max="12553" width="13.140625" style="518" customWidth="1"/>
    <col min="12554" max="12556" width="12.5703125" style="518" customWidth="1"/>
    <col min="12557" max="12558" width="12.85546875" style="518" customWidth="1"/>
    <col min="12559" max="12559" width="14.7109375" style="518"/>
    <col min="12560" max="12560" width="15.140625" style="518" customWidth="1"/>
    <col min="12561" max="12561" width="16.28515625" style="518" customWidth="1"/>
    <col min="12562" max="12800" width="14.7109375" style="518"/>
    <col min="12801" max="12801" width="6" style="518" customWidth="1"/>
    <col min="12802" max="12802" width="34" style="518" customWidth="1"/>
    <col min="12803" max="12803" width="14.28515625" style="518" customWidth="1"/>
    <col min="12804" max="12804" width="13.7109375" style="518" customWidth="1"/>
    <col min="12805" max="12808" width="12.5703125" style="518" customWidth="1"/>
    <col min="12809" max="12809" width="13.140625" style="518" customWidth="1"/>
    <col min="12810" max="12812" width="12.5703125" style="518" customWidth="1"/>
    <col min="12813" max="12814" width="12.85546875" style="518" customWidth="1"/>
    <col min="12815" max="12815" width="14.7109375" style="518"/>
    <col min="12816" max="12816" width="15.140625" style="518" customWidth="1"/>
    <col min="12817" max="12817" width="16.28515625" style="518" customWidth="1"/>
    <col min="12818" max="13056" width="14.7109375" style="518"/>
    <col min="13057" max="13057" width="6" style="518" customWidth="1"/>
    <col min="13058" max="13058" width="34" style="518" customWidth="1"/>
    <col min="13059" max="13059" width="14.28515625" style="518" customWidth="1"/>
    <col min="13060" max="13060" width="13.7109375" style="518" customWidth="1"/>
    <col min="13061" max="13064" width="12.5703125" style="518" customWidth="1"/>
    <col min="13065" max="13065" width="13.140625" style="518" customWidth="1"/>
    <col min="13066" max="13068" width="12.5703125" style="518" customWidth="1"/>
    <col min="13069" max="13070" width="12.85546875" style="518" customWidth="1"/>
    <col min="13071" max="13071" width="14.7109375" style="518"/>
    <col min="13072" max="13072" width="15.140625" style="518" customWidth="1"/>
    <col min="13073" max="13073" width="16.28515625" style="518" customWidth="1"/>
    <col min="13074" max="13312" width="14.7109375" style="518"/>
    <col min="13313" max="13313" width="6" style="518" customWidth="1"/>
    <col min="13314" max="13314" width="34" style="518" customWidth="1"/>
    <col min="13315" max="13315" width="14.28515625" style="518" customWidth="1"/>
    <col min="13316" max="13316" width="13.7109375" style="518" customWidth="1"/>
    <col min="13317" max="13320" width="12.5703125" style="518" customWidth="1"/>
    <col min="13321" max="13321" width="13.140625" style="518" customWidth="1"/>
    <col min="13322" max="13324" width="12.5703125" style="518" customWidth="1"/>
    <col min="13325" max="13326" width="12.85546875" style="518" customWidth="1"/>
    <col min="13327" max="13327" width="14.7109375" style="518"/>
    <col min="13328" max="13328" width="15.140625" style="518" customWidth="1"/>
    <col min="13329" max="13329" width="16.28515625" style="518" customWidth="1"/>
    <col min="13330" max="13568" width="14.7109375" style="518"/>
    <col min="13569" max="13569" width="6" style="518" customWidth="1"/>
    <col min="13570" max="13570" width="34" style="518" customWidth="1"/>
    <col min="13571" max="13571" width="14.28515625" style="518" customWidth="1"/>
    <col min="13572" max="13572" width="13.7109375" style="518" customWidth="1"/>
    <col min="13573" max="13576" width="12.5703125" style="518" customWidth="1"/>
    <col min="13577" max="13577" width="13.140625" style="518" customWidth="1"/>
    <col min="13578" max="13580" width="12.5703125" style="518" customWidth="1"/>
    <col min="13581" max="13582" width="12.85546875" style="518" customWidth="1"/>
    <col min="13583" max="13583" width="14.7109375" style="518"/>
    <col min="13584" max="13584" width="15.140625" style="518" customWidth="1"/>
    <col min="13585" max="13585" width="16.28515625" style="518" customWidth="1"/>
    <col min="13586" max="13824" width="14.7109375" style="518"/>
    <col min="13825" max="13825" width="6" style="518" customWidth="1"/>
    <col min="13826" max="13826" width="34" style="518" customWidth="1"/>
    <col min="13827" max="13827" width="14.28515625" style="518" customWidth="1"/>
    <col min="13828" max="13828" width="13.7109375" style="518" customWidth="1"/>
    <col min="13829" max="13832" width="12.5703125" style="518" customWidth="1"/>
    <col min="13833" max="13833" width="13.140625" style="518" customWidth="1"/>
    <col min="13834" max="13836" width="12.5703125" style="518" customWidth="1"/>
    <col min="13837" max="13838" width="12.85546875" style="518" customWidth="1"/>
    <col min="13839" max="13839" width="14.7109375" style="518"/>
    <col min="13840" max="13840" width="15.140625" style="518" customWidth="1"/>
    <col min="13841" max="13841" width="16.28515625" style="518" customWidth="1"/>
    <col min="13842" max="14080" width="14.7109375" style="518"/>
    <col min="14081" max="14081" width="6" style="518" customWidth="1"/>
    <col min="14082" max="14082" width="34" style="518" customWidth="1"/>
    <col min="14083" max="14083" width="14.28515625" style="518" customWidth="1"/>
    <col min="14084" max="14084" width="13.7109375" style="518" customWidth="1"/>
    <col min="14085" max="14088" width="12.5703125" style="518" customWidth="1"/>
    <col min="14089" max="14089" width="13.140625" style="518" customWidth="1"/>
    <col min="14090" max="14092" width="12.5703125" style="518" customWidth="1"/>
    <col min="14093" max="14094" width="12.85546875" style="518" customWidth="1"/>
    <col min="14095" max="14095" width="14.7109375" style="518"/>
    <col min="14096" max="14096" width="15.140625" style="518" customWidth="1"/>
    <col min="14097" max="14097" width="16.28515625" style="518" customWidth="1"/>
    <col min="14098" max="14336" width="14.7109375" style="518"/>
    <col min="14337" max="14337" width="6" style="518" customWidth="1"/>
    <col min="14338" max="14338" width="34" style="518" customWidth="1"/>
    <col min="14339" max="14339" width="14.28515625" style="518" customWidth="1"/>
    <col min="14340" max="14340" width="13.7109375" style="518" customWidth="1"/>
    <col min="14341" max="14344" width="12.5703125" style="518" customWidth="1"/>
    <col min="14345" max="14345" width="13.140625" style="518" customWidth="1"/>
    <col min="14346" max="14348" width="12.5703125" style="518" customWidth="1"/>
    <col min="14349" max="14350" width="12.85546875" style="518" customWidth="1"/>
    <col min="14351" max="14351" width="14.7109375" style="518"/>
    <col min="14352" max="14352" width="15.140625" style="518" customWidth="1"/>
    <col min="14353" max="14353" width="16.28515625" style="518" customWidth="1"/>
    <col min="14354" max="14592" width="14.7109375" style="518"/>
    <col min="14593" max="14593" width="6" style="518" customWidth="1"/>
    <col min="14594" max="14594" width="34" style="518" customWidth="1"/>
    <col min="14595" max="14595" width="14.28515625" style="518" customWidth="1"/>
    <col min="14596" max="14596" width="13.7109375" style="518" customWidth="1"/>
    <col min="14597" max="14600" width="12.5703125" style="518" customWidth="1"/>
    <col min="14601" max="14601" width="13.140625" style="518" customWidth="1"/>
    <col min="14602" max="14604" width="12.5703125" style="518" customWidth="1"/>
    <col min="14605" max="14606" width="12.85546875" style="518" customWidth="1"/>
    <col min="14607" max="14607" width="14.7109375" style="518"/>
    <col min="14608" max="14608" width="15.140625" style="518" customWidth="1"/>
    <col min="14609" max="14609" width="16.28515625" style="518" customWidth="1"/>
    <col min="14610" max="14848" width="14.7109375" style="518"/>
    <col min="14849" max="14849" width="6" style="518" customWidth="1"/>
    <col min="14850" max="14850" width="34" style="518" customWidth="1"/>
    <col min="14851" max="14851" width="14.28515625" style="518" customWidth="1"/>
    <col min="14852" max="14852" width="13.7109375" style="518" customWidth="1"/>
    <col min="14853" max="14856" width="12.5703125" style="518" customWidth="1"/>
    <col min="14857" max="14857" width="13.140625" style="518" customWidth="1"/>
    <col min="14858" max="14860" width="12.5703125" style="518" customWidth="1"/>
    <col min="14861" max="14862" width="12.85546875" style="518" customWidth="1"/>
    <col min="14863" max="14863" width="14.7109375" style="518"/>
    <col min="14864" max="14864" width="15.140625" style="518" customWidth="1"/>
    <col min="14865" max="14865" width="16.28515625" style="518" customWidth="1"/>
    <col min="14866" max="15104" width="14.7109375" style="518"/>
    <col min="15105" max="15105" width="6" style="518" customWidth="1"/>
    <col min="15106" max="15106" width="34" style="518" customWidth="1"/>
    <col min="15107" max="15107" width="14.28515625" style="518" customWidth="1"/>
    <col min="15108" max="15108" width="13.7109375" style="518" customWidth="1"/>
    <col min="15109" max="15112" width="12.5703125" style="518" customWidth="1"/>
    <col min="15113" max="15113" width="13.140625" style="518" customWidth="1"/>
    <col min="15114" max="15116" width="12.5703125" style="518" customWidth="1"/>
    <col min="15117" max="15118" width="12.85546875" style="518" customWidth="1"/>
    <col min="15119" max="15119" width="14.7109375" style="518"/>
    <col min="15120" max="15120" width="15.140625" style="518" customWidth="1"/>
    <col min="15121" max="15121" width="16.28515625" style="518" customWidth="1"/>
    <col min="15122" max="15360" width="14.7109375" style="518"/>
    <col min="15361" max="15361" width="6" style="518" customWidth="1"/>
    <col min="15362" max="15362" width="34" style="518" customWidth="1"/>
    <col min="15363" max="15363" width="14.28515625" style="518" customWidth="1"/>
    <col min="15364" max="15364" width="13.7109375" style="518" customWidth="1"/>
    <col min="15365" max="15368" width="12.5703125" style="518" customWidth="1"/>
    <col min="15369" max="15369" width="13.140625" style="518" customWidth="1"/>
    <col min="15370" max="15372" width="12.5703125" style="518" customWidth="1"/>
    <col min="15373" max="15374" width="12.85546875" style="518" customWidth="1"/>
    <col min="15375" max="15375" width="14.7109375" style="518"/>
    <col min="15376" max="15376" width="15.140625" style="518" customWidth="1"/>
    <col min="15377" max="15377" width="16.28515625" style="518" customWidth="1"/>
    <col min="15378" max="15616" width="14.7109375" style="518"/>
    <col min="15617" max="15617" width="6" style="518" customWidth="1"/>
    <col min="15618" max="15618" width="34" style="518" customWidth="1"/>
    <col min="15619" max="15619" width="14.28515625" style="518" customWidth="1"/>
    <col min="15620" max="15620" width="13.7109375" style="518" customWidth="1"/>
    <col min="15621" max="15624" width="12.5703125" style="518" customWidth="1"/>
    <col min="15625" max="15625" width="13.140625" style="518" customWidth="1"/>
    <col min="15626" max="15628" width="12.5703125" style="518" customWidth="1"/>
    <col min="15629" max="15630" width="12.85546875" style="518" customWidth="1"/>
    <col min="15631" max="15631" width="14.7109375" style="518"/>
    <col min="15632" max="15632" width="15.140625" style="518" customWidth="1"/>
    <col min="15633" max="15633" width="16.28515625" style="518" customWidth="1"/>
    <col min="15634" max="15872" width="14.7109375" style="518"/>
    <col min="15873" max="15873" width="6" style="518" customWidth="1"/>
    <col min="15874" max="15874" width="34" style="518" customWidth="1"/>
    <col min="15875" max="15875" width="14.28515625" style="518" customWidth="1"/>
    <col min="15876" max="15876" width="13.7109375" style="518" customWidth="1"/>
    <col min="15877" max="15880" width="12.5703125" style="518" customWidth="1"/>
    <col min="15881" max="15881" width="13.140625" style="518" customWidth="1"/>
    <col min="15882" max="15884" width="12.5703125" style="518" customWidth="1"/>
    <col min="15885" max="15886" width="12.85546875" style="518" customWidth="1"/>
    <col min="15887" max="15887" width="14.7109375" style="518"/>
    <col min="15888" max="15888" width="15.140625" style="518" customWidth="1"/>
    <col min="15889" max="15889" width="16.28515625" style="518" customWidth="1"/>
    <col min="15890" max="16128" width="14.7109375" style="518"/>
    <col min="16129" max="16129" width="6" style="518" customWidth="1"/>
    <col min="16130" max="16130" width="34" style="518" customWidth="1"/>
    <col min="16131" max="16131" width="14.28515625" style="518" customWidth="1"/>
    <col min="16132" max="16132" width="13.7109375" style="518" customWidth="1"/>
    <col min="16133" max="16136" width="12.5703125" style="518" customWidth="1"/>
    <col min="16137" max="16137" width="13.140625" style="518" customWidth="1"/>
    <col min="16138" max="16140" width="12.5703125" style="518" customWidth="1"/>
    <col min="16141" max="16142" width="12.85546875" style="518" customWidth="1"/>
    <col min="16143" max="16143" width="14.7109375" style="518"/>
    <col min="16144" max="16144" width="15.140625" style="518" customWidth="1"/>
    <col min="16145" max="16145" width="16.28515625" style="518" customWidth="1"/>
    <col min="16146" max="16384" width="14.7109375" style="518"/>
  </cols>
  <sheetData>
    <row r="1" spans="1:16" ht="18">
      <c r="B1" s="514" t="s">
        <v>106</v>
      </c>
      <c r="C1" s="515"/>
      <c r="D1" s="515"/>
      <c r="E1" s="515"/>
      <c r="F1" s="515"/>
      <c r="G1" s="515"/>
      <c r="H1" s="515"/>
      <c r="I1" s="515"/>
      <c r="J1" s="515"/>
      <c r="K1" s="516" t="s">
        <v>0</v>
      </c>
      <c r="L1" s="517" t="s">
        <v>107</v>
      </c>
    </row>
    <row r="2" spans="1:16" ht="8.25" customHeight="1">
      <c r="B2" s="518"/>
      <c r="C2" s="515"/>
      <c r="D2" s="515"/>
      <c r="E2" s="515"/>
      <c r="F2" s="515"/>
      <c r="G2" s="515"/>
      <c r="H2" s="515"/>
      <c r="I2" s="515"/>
      <c r="J2" s="515"/>
      <c r="K2" s="515"/>
      <c r="L2" s="515"/>
    </row>
    <row r="3" spans="1:16" ht="18">
      <c r="B3" s="519" t="s">
        <v>108</v>
      </c>
      <c r="C3" s="515"/>
      <c r="D3" s="515"/>
      <c r="E3" s="515"/>
      <c r="F3" s="515"/>
      <c r="G3" s="515"/>
      <c r="H3" s="515"/>
      <c r="I3" s="515"/>
      <c r="J3" s="515"/>
      <c r="K3" s="515"/>
    </row>
    <row r="4" spans="1:16" ht="3.75" customHeight="1">
      <c r="B4" s="520"/>
      <c r="C4" s="515"/>
      <c r="D4" s="515"/>
      <c r="E4" s="515"/>
      <c r="F4" s="515"/>
      <c r="G4" s="515"/>
      <c r="H4" s="515"/>
      <c r="I4" s="515"/>
      <c r="J4" s="515"/>
      <c r="K4" s="515"/>
      <c r="L4" s="515"/>
    </row>
    <row r="5" spans="1:16" ht="18">
      <c r="A5" s="521" t="s">
        <v>109</v>
      </c>
      <c r="B5" s="522" t="s">
        <v>110</v>
      </c>
      <c r="C5" s="519" t="s">
        <v>111</v>
      </c>
      <c r="D5" s="515"/>
      <c r="E5" s="515"/>
      <c r="G5" s="515"/>
      <c r="H5" s="515"/>
      <c r="I5" s="515"/>
      <c r="J5" s="515"/>
      <c r="K5" s="515"/>
      <c r="L5" s="515"/>
    </row>
    <row r="6" spans="1:16" ht="18.75" thickBot="1">
      <c r="A6" s="523"/>
      <c r="B6" s="515"/>
      <c r="C6" s="520"/>
      <c r="D6" s="515"/>
      <c r="E6" s="515"/>
      <c r="F6" s="519" t="s">
        <v>112</v>
      </c>
      <c r="G6" s="515"/>
      <c r="H6" s="515"/>
      <c r="I6" s="519" t="s">
        <v>113</v>
      </c>
      <c r="J6" s="515"/>
      <c r="K6" s="515"/>
      <c r="L6" s="515"/>
    </row>
    <row r="7" spans="1:16" ht="18">
      <c r="A7" s="1768"/>
      <c r="B7" s="1758" t="s">
        <v>114</v>
      </c>
      <c r="C7" s="1758" t="s">
        <v>115</v>
      </c>
      <c r="D7" s="1766" t="s">
        <v>116</v>
      </c>
      <c r="E7" s="1128"/>
      <c r="F7" s="1099" t="s">
        <v>117</v>
      </c>
      <c r="G7" s="1099"/>
      <c r="H7" s="1099"/>
      <c r="I7" s="1100"/>
      <c r="J7" s="1122"/>
      <c r="K7" s="1099"/>
      <c r="L7" s="1100"/>
    </row>
    <row r="8" spans="1:16" s="526" customFormat="1" ht="70.5" customHeight="1" thickBot="1">
      <c r="A8" s="1769"/>
      <c r="B8" s="1765"/>
      <c r="C8" s="1765"/>
      <c r="D8" s="1767"/>
      <c r="E8" s="1129" t="s">
        <v>118</v>
      </c>
      <c r="F8" s="1115" t="s">
        <v>119</v>
      </c>
      <c r="G8" s="1115" t="s">
        <v>120</v>
      </c>
      <c r="H8" s="1115" t="s">
        <v>121</v>
      </c>
      <c r="I8" s="1116" t="s">
        <v>122</v>
      </c>
      <c r="J8" s="1123" t="s">
        <v>123</v>
      </c>
      <c r="K8" s="1115" t="s">
        <v>124</v>
      </c>
      <c r="L8" s="1116" t="s">
        <v>125</v>
      </c>
    </row>
    <row r="9" spans="1:16" ht="18">
      <c r="A9" s="1110"/>
      <c r="B9" s="1111" t="s">
        <v>126</v>
      </c>
      <c r="C9" s="1112"/>
      <c r="D9" s="1117"/>
      <c r="E9" s="1130"/>
      <c r="F9" s="1112"/>
      <c r="G9" s="1112"/>
      <c r="H9" s="1112"/>
      <c r="I9" s="1131"/>
      <c r="J9" s="1124"/>
      <c r="K9" s="1113"/>
      <c r="L9" s="1114"/>
    </row>
    <row r="10" spans="1:16" ht="18">
      <c r="A10" s="1101">
        <v>1</v>
      </c>
      <c r="B10" s="528" t="s">
        <v>127</v>
      </c>
      <c r="C10" s="524">
        <v>96057</v>
      </c>
      <c r="D10" s="1118">
        <v>78960.89</v>
      </c>
      <c r="E10" s="1132"/>
      <c r="F10" s="529">
        <v>11.684130949595739</v>
      </c>
      <c r="G10" s="529">
        <v>52.01199321788885</v>
      </c>
      <c r="H10" s="529">
        <v>22.070007121290381</v>
      </c>
      <c r="I10" s="1133">
        <v>20.591256469392764</v>
      </c>
      <c r="J10" s="1125">
        <f>F10+G10+H10+I10</f>
        <v>106.35738775816773</v>
      </c>
      <c r="K10" s="530">
        <v>4661.8296012591563</v>
      </c>
      <c r="L10" s="1102">
        <v>2221.2462852000003</v>
      </c>
      <c r="M10" s="545"/>
      <c r="N10" s="577"/>
      <c r="P10" s="515"/>
    </row>
    <row r="11" spans="1:16" ht="18">
      <c r="A11" s="1101">
        <v>2</v>
      </c>
      <c r="B11" s="528" t="s">
        <v>128</v>
      </c>
      <c r="C11" s="524">
        <v>136412</v>
      </c>
      <c r="D11" s="1118">
        <v>238738.89</v>
      </c>
      <c r="E11" s="1132"/>
      <c r="F11" s="529">
        <v>8.5016729535156941</v>
      </c>
      <c r="G11" s="529">
        <f>95.5217958832869-2</f>
        <v>93.521795883286899</v>
      </c>
      <c r="H11" s="529">
        <f>92.3730925736773-2</f>
        <v>90.373092573677297</v>
      </c>
      <c r="I11" s="1133">
        <f>74.7523662424932-4.88851361</f>
        <v>69.863852632493192</v>
      </c>
      <c r="J11" s="1125">
        <f>F11+G11+H11+I11</f>
        <v>262.26041404297308</v>
      </c>
      <c r="K11" s="530">
        <f>11836.7112442834-515</f>
        <v>11321.7112442834</v>
      </c>
      <c r="L11" s="1102">
        <v>8005.9669345000002</v>
      </c>
      <c r="M11" s="545"/>
      <c r="N11" s="577"/>
      <c r="P11" s="515"/>
    </row>
    <row r="12" spans="1:16" ht="18">
      <c r="A12" s="1101">
        <v>3</v>
      </c>
      <c r="B12" s="528" t="s">
        <v>129</v>
      </c>
      <c r="C12" s="524">
        <v>69271</v>
      </c>
      <c r="D12" s="1118">
        <v>180510.03</v>
      </c>
      <c r="E12" s="1132"/>
      <c r="F12" s="529">
        <v>3.402613348835974</v>
      </c>
      <c r="G12" s="529">
        <v>43.64777246593804</v>
      </c>
      <c r="H12" s="529">
        <v>60.954676381399068</v>
      </c>
      <c r="I12" s="1133">
        <v>61.068761441473882</v>
      </c>
      <c r="J12" s="1125">
        <f>F12+G12+H12+I12</f>
        <v>169.07382363764697</v>
      </c>
      <c r="K12" s="530">
        <v>7689.8011328785688</v>
      </c>
      <c r="L12" s="1102">
        <v>5727.8600645999995</v>
      </c>
      <c r="M12" s="545"/>
      <c r="N12" s="577"/>
      <c r="P12" s="515"/>
    </row>
    <row r="13" spans="1:16" ht="18">
      <c r="A13" s="1101">
        <v>4</v>
      </c>
      <c r="B13" s="528">
        <v>4</v>
      </c>
      <c r="C13" s="524">
        <v>23454</v>
      </c>
      <c r="D13" s="1118">
        <v>80858.28</v>
      </c>
      <c r="E13" s="1132"/>
      <c r="F13" s="529">
        <v>0.87535621781657114</v>
      </c>
      <c r="G13" s="529">
        <v>14.225019574950789</v>
      </c>
      <c r="H13" s="529">
        <v>22.10673024807836</v>
      </c>
      <c r="I13" s="1133">
        <v>29.298475273611523</v>
      </c>
      <c r="J13" s="1125">
        <f>F13+G13+H13+I13</f>
        <v>66.505581314457245</v>
      </c>
      <c r="K13" s="530">
        <v>3103.3004344382862</v>
      </c>
      <c r="L13" s="1102">
        <v>2601.5129234999999</v>
      </c>
      <c r="M13" s="545"/>
      <c r="N13" s="577"/>
      <c r="P13" s="515"/>
    </row>
    <row r="14" spans="1:16" ht="18">
      <c r="A14" s="1101">
        <v>5</v>
      </c>
      <c r="B14" s="531" t="s">
        <v>130</v>
      </c>
      <c r="C14" s="524">
        <v>17509</v>
      </c>
      <c r="D14" s="1118">
        <v>95931.78</v>
      </c>
      <c r="E14" s="1132"/>
      <c r="F14" s="529">
        <v>0.3432090304610072</v>
      </c>
      <c r="G14" s="529">
        <v>7.6166284698317828</v>
      </c>
      <c r="H14" s="529">
        <v>17.471323088020817</v>
      </c>
      <c r="I14" s="1133">
        <f>67.0385626914942-13.41</f>
        <v>53.62856269149421</v>
      </c>
      <c r="J14" s="1125">
        <f>F14+G14+H14+I14</f>
        <v>79.059723279807812</v>
      </c>
      <c r="K14" s="530">
        <f>4882.50408240958-(13.41*4.9*10)</f>
        <v>4225.4140824095803</v>
      </c>
      <c r="L14" s="1102">
        <f>4200.1238698-500</f>
        <v>3700.1238697999997</v>
      </c>
      <c r="M14" s="545"/>
      <c r="N14" s="577"/>
      <c r="P14" s="515"/>
    </row>
    <row r="15" spans="1:16" ht="18">
      <c r="A15" s="1101">
        <v>6</v>
      </c>
      <c r="B15" s="534" t="s">
        <v>131</v>
      </c>
      <c r="C15" s="525">
        <f>SUM(C10:C14)</f>
        <v>342703</v>
      </c>
      <c r="D15" s="1119">
        <f t="shared" ref="D15:L15" si="0">SUM(D10:D14)</f>
        <v>674999.87000000011</v>
      </c>
      <c r="E15" s="1134"/>
      <c r="F15" s="960">
        <f t="shared" si="0"/>
        <v>24.806982500224986</v>
      </c>
      <c r="G15" s="960">
        <f t="shared" si="0"/>
        <v>211.02320961189636</v>
      </c>
      <c r="H15" s="960">
        <f t="shared" si="0"/>
        <v>212.97582941246594</v>
      </c>
      <c r="I15" s="1135">
        <f t="shared" si="0"/>
        <v>234.45090850846557</v>
      </c>
      <c r="J15" s="1126">
        <f t="shared" si="0"/>
        <v>683.25693003305275</v>
      </c>
      <c r="K15" s="961">
        <f t="shared" si="0"/>
        <v>31002.056495268993</v>
      </c>
      <c r="L15" s="1103">
        <f t="shared" si="0"/>
        <v>22256.710077600001</v>
      </c>
      <c r="N15" s="577"/>
    </row>
    <row r="16" spans="1:16" ht="38.450000000000003" customHeight="1">
      <c r="A16" s="1101">
        <v>7</v>
      </c>
      <c r="B16" s="531" t="s">
        <v>132</v>
      </c>
      <c r="C16" s="531">
        <v>25</v>
      </c>
      <c r="D16" s="1120">
        <v>8810</v>
      </c>
      <c r="E16" s="1132"/>
      <c r="F16" s="529"/>
      <c r="G16" s="529"/>
      <c r="H16" s="529"/>
      <c r="I16" s="1133">
        <v>13.736000000000001</v>
      </c>
      <c r="J16" s="1125">
        <f>F16+G16+H16+I16</f>
        <v>13.736000000000001</v>
      </c>
      <c r="K16" s="530">
        <v>67.960209218145508</v>
      </c>
      <c r="L16" s="1102">
        <v>649.10270890000004</v>
      </c>
      <c r="N16" s="577"/>
    </row>
    <row r="17" spans="1:16" ht="18">
      <c r="A17" s="1101">
        <v>8</v>
      </c>
      <c r="B17" s="534" t="s">
        <v>131</v>
      </c>
      <c r="C17" s="525">
        <f>C16</f>
        <v>25</v>
      </c>
      <c r="D17" s="1119">
        <f>D16</f>
        <v>8810</v>
      </c>
      <c r="E17" s="1134"/>
      <c r="F17" s="960"/>
      <c r="G17" s="960"/>
      <c r="H17" s="960"/>
      <c r="I17" s="1135">
        <f t="shared" ref="I17" si="1">I16</f>
        <v>13.736000000000001</v>
      </c>
      <c r="J17" s="1126">
        <f>J16</f>
        <v>13.736000000000001</v>
      </c>
      <c r="K17" s="961">
        <f>K16</f>
        <v>67.960209218145508</v>
      </c>
      <c r="L17" s="1103">
        <f>L16</f>
        <v>649.10270890000004</v>
      </c>
      <c r="N17" s="577"/>
    </row>
    <row r="18" spans="1:16" ht="18">
      <c r="A18" s="1101">
        <v>9</v>
      </c>
      <c r="B18" s="531" t="s">
        <v>133</v>
      </c>
      <c r="C18" s="524"/>
      <c r="D18" s="1118"/>
      <c r="E18" s="1132"/>
      <c r="F18" s="529"/>
      <c r="G18" s="529"/>
      <c r="H18" s="529"/>
      <c r="I18" s="1133"/>
      <c r="J18" s="1125"/>
      <c r="K18" s="530"/>
      <c r="L18" s="1102"/>
      <c r="N18" s="577"/>
    </row>
    <row r="19" spans="1:16" ht="18">
      <c r="A19" s="1101">
        <v>10</v>
      </c>
      <c r="B19" s="531" t="s">
        <v>134</v>
      </c>
      <c r="C19" s="524"/>
      <c r="D19" s="1118"/>
      <c r="E19" s="1132"/>
      <c r="F19" s="529"/>
      <c r="G19" s="529"/>
      <c r="H19" s="529"/>
      <c r="I19" s="1133"/>
      <c r="J19" s="1125">
        <f>F19+G19+H19+I19</f>
        <v>0</v>
      </c>
      <c r="K19" s="530"/>
      <c r="L19" s="1102"/>
      <c r="N19" s="577"/>
    </row>
    <row r="20" spans="1:16" ht="18">
      <c r="A20" s="1101">
        <v>11</v>
      </c>
      <c r="B20" s="534" t="s">
        <v>135</v>
      </c>
      <c r="C20" s="525"/>
      <c r="D20" s="1119"/>
      <c r="E20" s="1134"/>
      <c r="F20" s="960">
        <f>F19</f>
        <v>0</v>
      </c>
      <c r="G20" s="960">
        <f t="shared" ref="G20:I20" si="2">G19</f>
        <v>0</v>
      </c>
      <c r="H20" s="960">
        <f t="shared" si="2"/>
        <v>0</v>
      </c>
      <c r="I20" s="1135">
        <f t="shared" si="2"/>
        <v>0</v>
      </c>
      <c r="J20" s="1126">
        <f>J19</f>
        <v>0</v>
      </c>
      <c r="K20" s="961">
        <f>K19</f>
        <v>0</v>
      </c>
      <c r="L20" s="1103">
        <f>L19</f>
        <v>0</v>
      </c>
      <c r="N20" s="577"/>
    </row>
    <row r="21" spans="1:16" ht="8.25" customHeight="1">
      <c r="A21" s="1101"/>
      <c r="B21" s="531"/>
      <c r="C21" s="524"/>
      <c r="D21" s="1118"/>
      <c r="E21" s="1132"/>
      <c r="F21" s="529"/>
      <c r="G21" s="529"/>
      <c r="H21" s="529"/>
      <c r="I21" s="1133"/>
      <c r="J21" s="1125"/>
      <c r="K21" s="530"/>
      <c r="L21" s="1102"/>
      <c r="N21" s="515"/>
    </row>
    <row r="22" spans="1:16" ht="18.75" thickBot="1">
      <c r="A22" s="1104">
        <v>12</v>
      </c>
      <c r="B22" s="1105" t="s">
        <v>136</v>
      </c>
      <c r="C22" s="1106">
        <f>C15+C17</f>
        <v>342728</v>
      </c>
      <c r="D22" s="1121">
        <f>D15+D17+D18</f>
        <v>683809.87000000011</v>
      </c>
      <c r="E22" s="1136"/>
      <c r="F22" s="1107">
        <f t="shared" ref="F22:L22" si="3">F15+F17+F20</f>
        <v>24.806982500224986</v>
      </c>
      <c r="G22" s="1107">
        <f t="shared" si="3"/>
        <v>211.02320961189636</v>
      </c>
      <c r="H22" s="1107">
        <f t="shared" si="3"/>
        <v>212.97582941246594</v>
      </c>
      <c r="I22" s="1137">
        <f t="shared" si="3"/>
        <v>248.18690850846556</v>
      </c>
      <c r="J22" s="1127">
        <f t="shared" si="3"/>
        <v>696.99293003305274</v>
      </c>
      <c r="K22" s="1108">
        <f t="shared" si="3"/>
        <v>31070.016704487138</v>
      </c>
      <c r="L22" s="1109">
        <f t="shared" si="3"/>
        <v>22905.812786500002</v>
      </c>
      <c r="N22" s="577"/>
      <c r="O22" s="535"/>
    </row>
    <row r="23" spans="1:16" ht="10.5" customHeight="1">
      <c r="B23" s="532"/>
      <c r="C23" s="965"/>
      <c r="D23" s="965"/>
      <c r="E23" s="965"/>
      <c r="F23" s="965"/>
      <c r="G23" s="965"/>
      <c r="H23" s="965"/>
      <c r="I23" s="965"/>
      <c r="J23" s="965"/>
      <c r="K23" s="965"/>
      <c r="L23" s="965"/>
    </row>
    <row r="24" spans="1:16" ht="18">
      <c r="A24" s="533" t="s">
        <v>137</v>
      </c>
      <c r="B24" s="522" t="s">
        <v>110</v>
      </c>
      <c r="C24" s="519" t="s">
        <v>138</v>
      </c>
      <c r="D24" s="515"/>
      <c r="E24" s="515"/>
      <c r="G24" s="515"/>
      <c r="H24" s="515"/>
      <c r="I24" s="515"/>
      <c r="J24" s="515"/>
      <c r="K24" s="515"/>
      <c r="L24" s="515"/>
    </row>
    <row r="25" spans="1:16" ht="18.75" thickBot="1">
      <c r="B25" s="532"/>
      <c r="C25" s="520"/>
      <c r="D25" s="515"/>
      <c r="E25" s="515"/>
      <c r="F25" s="519" t="s">
        <v>112</v>
      </c>
      <c r="G25" s="515"/>
      <c r="H25" s="515"/>
      <c r="I25" s="519" t="s">
        <v>113</v>
      </c>
      <c r="J25" s="515"/>
      <c r="K25" s="515"/>
      <c r="L25" s="515"/>
    </row>
    <row r="26" spans="1:16" ht="18">
      <c r="A26" s="1763"/>
      <c r="B26" s="1758" t="s">
        <v>114</v>
      </c>
      <c r="C26" s="1758" t="s">
        <v>115</v>
      </c>
      <c r="D26" s="1766" t="s">
        <v>116</v>
      </c>
      <c r="E26" s="1128"/>
      <c r="F26" s="1099" t="s">
        <v>117</v>
      </c>
      <c r="G26" s="1099"/>
      <c r="H26" s="1099"/>
      <c r="I26" s="1100"/>
      <c r="J26" s="1122"/>
      <c r="K26" s="1099"/>
      <c r="L26" s="1100"/>
    </row>
    <row r="27" spans="1:16" s="526" customFormat="1" ht="69.75" customHeight="1" thickBot="1">
      <c r="A27" s="1764"/>
      <c r="B27" s="1765"/>
      <c r="C27" s="1765"/>
      <c r="D27" s="1767"/>
      <c r="E27" s="1129" t="s">
        <v>118</v>
      </c>
      <c r="F27" s="1115" t="s">
        <v>119</v>
      </c>
      <c r="G27" s="1115" t="s">
        <v>120</v>
      </c>
      <c r="H27" s="1115" t="s">
        <v>121</v>
      </c>
      <c r="I27" s="1116" t="s">
        <v>122</v>
      </c>
      <c r="J27" s="1123" t="s">
        <v>123</v>
      </c>
      <c r="K27" s="1115" t="s">
        <v>124</v>
      </c>
      <c r="L27" s="1116" t="s">
        <v>125</v>
      </c>
    </row>
    <row r="28" spans="1:16" ht="18">
      <c r="A28" s="1110"/>
      <c r="B28" s="1111" t="s">
        <v>126</v>
      </c>
      <c r="C28" s="1112"/>
      <c r="D28" s="1117"/>
      <c r="E28" s="1130"/>
      <c r="F28" s="1112"/>
      <c r="G28" s="1112"/>
      <c r="H28" s="1112"/>
      <c r="I28" s="1131"/>
      <c r="J28" s="1124"/>
      <c r="K28" s="1113"/>
      <c r="L28" s="1114"/>
    </row>
    <row r="29" spans="1:16" ht="18">
      <c r="A29" s="1101">
        <v>1</v>
      </c>
      <c r="B29" s="528" t="s">
        <v>127</v>
      </c>
      <c r="C29" s="524">
        <v>1232535</v>
      </c>
      <c r="D29" s="1118">
        <v>563122.28999999992</v>
      </c>
      <c r="E29" s="1132"/>
      <c r="F29" s="529">
        <v>155.79062368068736</v>
      </c>
      <c r="G29" s="529">
        <f>335.457503517567-14</f>
        <v>321.45750351756698</v>
      </c>
      <c r="H29" s="529">
        <v>106.04349461930049</v>
      </c>
      <c r="I29" s="1133">
        <v>130.55717890367725</v>
      </c>
      <c r="J29" s="1125">
        <f>F29+G29+H29+I29</f>
        <v>713.84880072123212</v>
      </c>
      <c r="K29" s="530">
        <f>36134.8296676123-672-400-6.61</f>
        <v>35056.219667612299</v>
      </c>
      <c r="L29" s="1102">
        <v>7879.1245319999998</v>
      </c>
      <c r="M29" s="545"/>
      <c r="N29" s="535"/>
      <c r="P29" s="515"/>
    </row>
    <row r="30" spans="1:16" ht="18">
      <c r="A30" s="1101">
        <v>2</v>
      </c>
      <c r="B30" s="528" t="s">
        <v>128</v>
      </c>
      <c r="C30" s="524">
        <v>204961</v>
      </c>
      <c r="D30" s="1118">
        <v>263437.90000000002</v>
      </c>
      <c r="E30" s="1132"/>
      <c r="F30" s="529">
        <v>16.800502914604913</v>
      </c>
      <c r="G30" s="529">
        <v>103.61302746636669</v>
      </c>
      <c r="H30" s="529">
        <v>53.470541197286614</v>
      </c>
      <c r="I30" s="1133">
        <v>41.543750125065152</v>
      </c>
      <c r="J30" s="1125">
        <f>F30+G30+H30+I30</f>
        <v>215.42782170332336</v>
      </c>
      <c r="K30" s="530">
        <f>11148.7516902848-600</f>
        <v>10548.7516902848</v>
      </c>
      <c r="L30" s="1102">
        <v>3779.0616965999993</v>
      </c>
      <c r="M30" s="545"/>
      <c r="N30" s="535"/>
      <c r="P30" s="515"/>
    </row>
    <row r="31" spans="1:16" ht="18">
      <c r="A31" s="1101">
        <v>3</v>
      </c>
      <c r="B31" s="528" t="s">
        <v>129</v>
      </c>
      <c r="C31" s="524">
        <v>76047</v>
      </c>
      <c r="D31" s="1118">
        <v>141281.06</v>
      </c>
      <c r="E31" s="1132"/>
      <c r="F31" s="529">
        <v>4.4211313689211194</v>
      </c>
      <c r="G31" s="529">
        <v>37.91968567673765</v>
      </c>
      <c r="H31" s="529">
        <v>40.029822382215251</v>
      </c>
      <c r="I31" s="1133">
        <v>36.0976552712348</v>
      </c>
      <c r="J31" s="1125">
        <f>F31+G31+H31+I31</f>
        <v>118.46829469910881</v>
      </c>
      <c r="K31" s="530">
        <f>5473.78157312627+100</f>
        <v>5573.7815731262699</v>
      </c>
      <c r="L31" s="1102">
        <v>2163.7126328000004</v>
      </c>
      <c r="M31" s="545"/>
      <c r="N31" s="535"/>
      <c r="P31" s="515"/>
    </row>
    <row r="32" spans="1:16" ht="18">
      <c r="A32" s="1101">
        <v>4</v>
      </c>
      <c r="B32" s="528">
        <v>4</v>
      </c>
      <c r="C32" s="524">
        <v>7553</v>
      </c>
      <c r="D32" s="1118">
        <v>18913.21</v>
      </c>
      <c r="E32" s="1132"/>
      <c r="F32" s="529">
        <v>0.26097001197730801</v>
      </c>
      <c r="G32" s="529">
        <v>3.5906427723526106</v>
      </c>
      <c r="H32" s="529">
        <v>5.5018346721366269</v>
      </c>
      <c r="I32" s="1133">
        <v>6.9671388045262059</v>
      </c>
      <c r="J32" s="1125">
        <f>F32+G32+H32+I32</f>
        <v>16.320586260992751</v>
      </c>
      <c r="K32" s="530">
        <f>861.20273411319-70</f>
        <v>791.20273411318999</v>
      </c>
      <c r="L32" s="1102">
        <v>540.01345500000002</v>
      </c>
      <c r="M32" s="545"/>
      <c r="N32" s="535"/>
      <c r="P32" s="515"/>
    </row>
    <row r="33" spans="1:16" ht="18">
      <c r="A33" s="1101">
        <v>5</v>
      </c>
      <c r="B33" s="531" t="s">
        <v>130</v>
      </c>
      <c r="C33" s="524">
        <v>5593</v>
      </c>
      <c r="D33" s="1118">
        <v>21402.85</v>
      </c>
      <c r="E33" s="1132"/>
      <c r="F33" s="529">
        <v>0.13532621448274867</v>
      </c>
      <c r="G33" s="529">
        <v>2.1747943581184552</v>
      </c>
      <c r="H33" s="529">
        <v>4.0595509339245091</v>
      </c>
      <c r="I33" s="1133">
        <v>15.402895072455486</v>
      </c>
      <c r="J33" s="1125">
        <f>F33+G33+H33+I33</f>
        <v>21.772566578981198</v>
      </c>
      <c r="K33" s="530">
        <f>1195.46168602096-150</f>
        <v>1045.4616860209601</v>
      </c>
      <c r="L33" s="1102">
        <v>899.47022000000004</v>
      </c>
      <c r="M33" s="545"/>
      <c r="N33" s="535"/>
      <c r="P33" s="515"/>
    </row>
    <row r="34" spans="1:16" ht="18">
      <c r="A34" s="1101">
        <v>6</v>
      </c>
      <c r="B34" s="534" t="s">
        <v>131</v>
      </c>
      <c r="C34" s="525">
        <f>SUM(C29:C33)</f>
        <v>1526689</v>
      </c>
      <c r="D34" s="1119">
        <f t="shared" ref="D34:L34" si="4">SUM(D29:D33)</f>
        <v>1008157.3099999999</v>
      </c>
      <c r="E34" s="1134"/>
      <c r="F34" s="960">
        <f t="shared" si="4"/>
        <v>177.40855419067347</v>
      </c>
      <c r="G34" s="960">
        <f t="shared" si="4"/>
        <v>468.75565379114238</v>
      </c>
      <c r="H34" s="960">
        <f t="shared" si="4"/>
        <v>209.10524380486348</v>
      </c>
      <c r="I34" s="1135">
        <f t="shared" si="4"/>
        <v>230.56861817695889</v>
      </c>
      <c r="J34" s="1126">
        <f t="shared" si="4"/>
        <v>1085.8380699636384</v>
      </c>
      <c r="K34" s="961">
        <f>SUM(K29:K33)</f>
        <v>53015.417351157514</v>
      </c>
      <c r="L34" s="1103">
        <f t="shared" si="4"/>
        <v>15261.3825364</v>
      </c>
      <c r="N34" s="535"/>
    </row>
    <row r="35" spans="1:16" ht="36.6" customHeight="1">
      <c r="A35" s="1101">
        <v>7</v>
      </c>
      <c r="B35" s="531" t="s">
        <v>132</v>
      </c>
      <c r="C35" s="531">
        <v>3</v>
      </c>
      <c r="D35" s="1120">
        <v>420</v>
      </c>
      <c r="E35" s="1132"/>
      <c r="F35" s="529"/>
      <c r="G35" s="529"/>
      <c r="H35" s="529"/>
      <c r="I35" s="1133">
        <v>0.66500000000000004</v>
      </c>
      <c r="J35" s="1125">
        <f>F35+G35+H35+I35</f>
        <v>0.66500000000000004</v>
      </c>
      <c r="K35" s="530">
        <v>3.2303641572666812</v>
      </c>
      <c r="L35" s="1102">
        <v>29.142230000000001</v>
      </c>
    </row>
    <row r="36" spans="1:16" ht="18">
      <c r="A36" s="1101">
        <v>8</v>
      </c>
      <c r="B36" s="534" t="s">
        <v>131</v>
      </c>
      <c r="C36" s="525">
        <f>C35</f>
        <v>3</v>
      </c>
      <c r="D36" s="1119">
        <f>D35</f>
        <v>420</v>
      </c>
      <c r="E36" s="1134"/>
      <c r="F36" s="960"/>
      <c r="G36" s="960"/>
      <c r="H36" s="960"/>
      <c r="I36" s="1135">
        <f t="shared" ref="I36" si="5">I35</f>
        <v>0.66500000000000004</v>
      </c>
      <c r="J36" s="1126">
        <f>J35</f>
        <v>0.66500000000000004</v>
      </c>
      <c r="K36" s="961">
        <f>K35</f>
        <v>3.2303641572666812</v>
      </c>
      <c r="L36" s="1103">
        <f>L35</f>
        <v>29.142230000000001</v>
      </c>
    </row>
    <row r="37" spans="1:16" ht="18">
      <c r="A37" s="1101">
        <v>9</v>
      </c>
      <c r="B37" s="531" t="s">
        <v>133</v>
      </c>
      <c r="C37" s="524">
        <f>162843+4115</f>
        <v>166958</v>
      </c>
      <c r="D37" s="1118">
        <f>31946.31+1753.88+40015</f>
        <v>73715.19</v>
      </c>
      <c r="E37" s="1132"/>
      <c r="F37" s="529"/>
      <c r="G37" s="529"/>
      <c r="H37" s="529"/>
      <c r="I37" s="1133"/>
      <c r="J37" s="1125"/>
      <c r="K37" s="530"/>
      <c r="L37" s="1102"/>
    </row>
    <row r="38" spans="1:16" ht="18">
      <c r="A38" s="1101">
        <v>10</v>
      </c>
      <c r="B38" s="531" t="s">
        <v>134</v>
      </c>
      <c r="C38" s="524"/>
      <c r="D38" s="1118"/>
      <c r="E38" s="1132"/>
      <c r="F38" s="529"/>
      <c r="G38" s="529"/>
      <c r="H38" s="529"/>
      <c r="I38" s="1133"/>
      <c r="J38" s="1125"/>
      <c r="K38" s="530"/>
      <c r="L38" s="1102"/>
    </row>
    <row r="39" spans="1:16" ht="20.25">
      <c r="A39" s="1101">
        <v>11</v>
      </c>
      <c r="B39" s="534" t="s">
        <v>135</v>
      </c>
      <c r="C39" s="525"/>
      <c r="D39" s="1119"/>
      <c r="E39" s="1141">
        <v>45.554000000000002</v>
      </c>
      <c r="F39" s="960">
        <f>F38</f>
        <v>0</v>
      </c>
      <c r="G39" s="960">
        <f t="shared" ref="G39:I39" si="6">G38</f>
        <v>0</v>
      </c>
      <c r="H39" s="960">
        <f t="shared" si="6"/>
        <v>0</v>
      </c>
      <c r="I39" s="1135">
        <f t="shared" si="6"/>
        <v>0</v>
      </c>
      <c r="J39" s="1126">
        <f>F39+G39+H39+I39</f>
        <v>0</v>
      </c>
      <c r="K39" s="961">
        <v>1219.0260000000001</v>
      </c>
      <c r="L39" s="1103">
        <v>300.64999999999998</v>
      </c>
      <c r="O39" s="688"/>
    </row>
    <row r="40" spans="1:16" ht="7.5" customHeight="1">
      <c r="A40" s="1101"/>
      <c r="B40" s="531"/>
      <c r="C40" s="524"/>
      <c r="D40" s="1118"/>
      <c r="E40" s="1132"/>
      <c r="F40" s="529"/>
      <c r="G40" s="529"/>
      <c r="H40" s="529"/>
      <c r="I40" s="1133"/>
      <c r="J40" s="1125"/>
      <c r="K40" s="530"/>
      <c r="L40" s="1102"/>
      <c r="O40" s="689"/>
    </row>
    <row r="41" spans="1:16" ht="18">
      <c r="A41" s="1101">
        <v>12</v>
      </c>
      <c r="B41" s="534" t="s">
        <v>139</v>
      </c>
      <c r="C41" s="525">
        <f>C36+C37+C39+C34</f>
        <v>1693650</v>
      </c>
      <c r="D41" s="1119">
        <f>D36+D37+D39+D34</f>
        <v>1082292.5</v>
      </c>
      <c r="E41" s="1141">
        <f t="shared" ref="E41" si="7">E36+E37+E39</f>
        <v>45.554000000000002</v>
      </c>
      <c r="F41" s="960">
        <f>F36+F37+F39+F34</f>
        <v>177.40855419067347</v>
      </c>
      <c r="G41" s="960">
        <f t="shared" ref="G41:I41" si="8">G36+G37+G39+G34</f>
        <v>468.75565379114238</v>
      </c>
      <c r="H41" s="960">
        <f t="shared" si="8"/>
        <v>209.10524380486348</v>
      </c>
      <c r="I41" s="1135">
        <f t="shared" si="8"/>
        <v>231.23361817695888</v>
      </c>
      <c r="J41" s="1126">
        <f>J36+J37+J39+J34</f>
        <v>1086.5030699636384</v>
      </c>
      <c r="K41" s="961">
        <f>K36+K37+K34+K39</f>
        <v>54237.673715314777</v>
      </c>
      <c r="L41" s="1103">
        <f>L36+L37+L34+L39</f>
        <v>15591.174766399999</v>
      </c>
    </row>
    <row r="42" spans="1:16" ht="18">
      <c r="A42" s="1101"/>
      <c r="B42" s="531"/>
      <c r="C42" s="966"/>
      <c r="D42" s="1139"/>
      <c r="E42" s="1142"/>
      <c r="F42" s="984"/>
      <c r="G42" s="984"/>
      <c r="H42" s="984"/>
      <c r="I42" s="1143"/>
      <c r="J42" s="1140"/>
      <c r="K42" s="983"/>
      <c r="L42" s="1138"/>
    </row>
    <row r="43" spans="1:16" ht="18.75" thickBot="1">
      <c r="A43" s="1104"/>
      <c r="B43" s="1105" t="s">
        <v>140</v>
      </c>
      <c r="C43" s="1106">
        <f>C41+C22</f>
        <v>2036378</v>
      </c>
      <c r="D43" s="1121">
        <f t="shared" ref="D43:L43" si="9">D41+D22</f>
        <v>1766102.37</v>
      </c>
      <c r="E43" s="1144">
        <f>E41+E22</f>
        <v>45.554000000000002</v>
      </c>
      <c r="F43" s="1107">
        <f t="shared" si="9"/>
        <v>202.21553669089846</v>
      </c>
      <c r="G43" s="1107">
        <f t="shared" si="9"/>
        <v>679.77886340303871</v>
      </c>
      <c r="H43" s="1107">
        <f t="shared" si="9"/>
        <v>422.08107321732939</v>
      </c>
      <c r="I43" s="1137">
        <f t="shared" si="9"/>
        <v>479.42052668542442</v>
      </c>
      <c r="J43" s="1127">
        <f>J41+J22</f>
        <v>1783.4959999966911</v>
      </c>
      <c r="K43" s="1108">
        <f>K41+K22</f>
        <v>85307.690419801918</v>
      </c>
      <c r="L43" s="1109">
        <f t="shared" si="9"/>
        <v>38496.987552899998</v>
      </c>
      <c r="N43" s="569"/>
    </row>
    <row r="44" spans="1:16" ht="18" customHeight="1">
      <c r="B44" s="532"/>
      <c r="C44" s="965"/>
      <c r="D44" s="965"/>
      <c r="E44" s="965"/>
      <c r="F44" s="965"/>
      <c r="G44" s="965"/>
      <c r="H44" s="965"/>
      <c r="I44" s="965"/>
      <c r="J44" s="965"/>
      <c r="K44" s="977"/>
      <c r="L44" s="965"/>
    </row>
    <row r="45" spans="1:16" ht="18" customHeight="1" thickBot="1">
      <c r="B45" s="519" t="s">
        <v>141</v>
      </c>
      <c r="C45" s="520"/>
      <c r="D45" s="520"/>
      <c r="E45" s="515"/>
      <c r="F45" s="515"/>
      <c r="G45" s="515"/>
      <c r="H45" s="515"/>
      <c r="I45" s="515"/>
      <c r="J45" s="578"/>
      <c r="K45" s="515"/>
      <c r="L45" s="978"/>
      <c r="N45" s="535"/>
    </row>
    <row r="46" spans="1:16" ht="54" customHeight="1">
      <c r="A46" s="1145"/>
      <c r="B46" s="1147"/>
      <c r="C46" s="1757" t="s">
        <v>142</v>
      </c>
      <c r="D46" s="1758"/>
      <c r="E46" s="1758"/>
      <c r="F46" s="1759"/>
      <c r="G46" s="1757" t="s">
        <v>143</v>
      </c>
      <c r="H46" s="1758"/>
      <c r="I46" s="1758"/>
      <c r="J46" s="1759"/>
      <c r="K46" s="1757" t="s">
        <v>144</v>
      </c>
      <c r="L46" s="1758"/>
      <c r="M46" s="1758"/>
      <c r="N46" s="1759"/>
    </row>
    <row r="47" spans="1:16" ht="18" customHeight="1">
      <c r="A47" s="1101"/>
      <c r="B47" s="1148"/>
      <c r="C47" s="1760" t="s">
        <v>111</v>
      </c>
      <c r="D47" s="1761"/>
      <c r="E47" s="1761" t="s">
        <v>138</v>
      </c>
      <c r="F47" s="1762"/>
      <c r="G47" s="1760" t="s">
        <v>111</v>
      </c>
      <c r="H47" s="1761"/>
      <c r="I47" s="1761" t="s">
        <v>138</v>
      </c>
      <c r="J47" s="1762"/>
      <c r="K47" s="1760" t="s">
        <v>111</v>
      </c>
      <c r="L47" s="1761"/>
      <c r="M47" s="1761" t="s">
        <v>138</v>
      </c>
      <c r="N47" s="1762"/>
    </row>
    <row r="48" spans="1:16" ht="55.5" customHeight="1" thickBot="1">
      <c r="A48" s="1104"/>
      <c r="B48" s="1160"/>
      <c r="C48" s="1129" t="s">
        <v>145</v>
      </c>
      <c r="D48" s="1115" t="s">
        <v>27</v>
      </c>
      <c r="E48" s="1115" t="s">
        <v>145</v>
      </c>
      <c r="F48" s="1116" t="s">
        <v>27</v>
      </c>
      <c r="G48" s="1129" t="s">
        <v>145</v>
      </c>
      <c r="H48" s="1115" t="s">
        <v>27</v>
      </c>
      <c r="I48" s="1115" t="s">
        <v>145</v>
      </c>
      <c r="J48" s="1116" t="s">
        <v>27</v>
      </c>
      <c r="K48" s="1129" t="s">
        <v>145</v>
      </c>
      <c r="L48" s="1115" t="s">
        <v>27</v>
      </c>
      <c r="M48" s="1115" t="s">
        <v>145</v>
      </c>
      <c r="N48" s="1116" t="s">
        <v>27</v>
      </c>
    </row>
    <row r="49" spans="1:21" ht="18">
      <c r="A49" s="1110">
        <v>1</v>
      </c>
      <c r="B49" s="1157" t="s">
        <v>146</v>
      </c>
      <c r="C49" s="1130"/>
      <c r="D49" s="1158"/>
      <c r="E49" s="1112">
        <v>63553</v>
      </c>
      <c r="F49" s="1159">
        <v>3.4803317688950597</v>
      </c>
      <c r="G49" s="1130"/>
      <c r="H49" s="1112"/>
      <c r="I49" s="1112"/>
      <c r="J49" s="1131"/>
      <c r="K49" s="1130"/>
      <c r="L49" s="1158"/>
      <c r="M49" s="1112">
        <f>99290+1798+2317</f>
        <v>103405</v>
      </c>
      <c r="N49" s="1159">
        <f>18.5826682311049+0.489977279120594+0.113022720879406+22.888</f>
        <v>42.073668231104904</v>
      </c>
      <c r="Q49" s="545"/>
    </row>
    <row r="50" spans="1:21" ht="18">
      <c r="A50" s="1101"/>
      <c r="B50" s="1150" t="s">
        <v>126</v>
      </c>
      <c r="C50" s="1132"/>
      <c r="D50" s="529"/>
      <c r="E50" s="524"/>
      <c r="F50" s="1133"/>
      <c r="G50" s="1132"/>
      <c r="H50" s="524"/>
      <c r="I50" s="524"/>
      <c r="J50" s="1155"/>
      <c r="K50" s="1132"/>
      <c r="L50" s="529"/>
      <c r="M50" s="524"/>
      <c r="N50" s="1133"/>
    </row>
    <row r="51" spans="1:21" ht="18">
      <c r="A51" s="1101">
        <v>2</v>
      </c>
      <c r="B51" s="1151" t="s">
        <v>127</v>
      </c>
      <c r="C51" s="1132">
        <v>72144</v>
      </c>
      <c r="D51" s="529">
        <v>76.415846083377559</v>
      </c>
      <c r="E51" s="524">
        <v>759141</v>
      </c>
      <c r="F51" s="1133">
        <v>400.63270020847915</v>
      </c>
      <c r="G51" s="1132"/>
      <c r="H51" s="524"/>
      <c r="I51" s="524"/>
      <c r="J51" s="1155"/>
      <c r="K51" s="1132">
        <f>23919-6</f>
        <v>23913</v>
      </c>
      <c r="L51" s="529">
        <f>37.6162893417247-8</f>
        <v>29.616289341724702</v>
      </c>
      <c r="M51" s="524">
        <f>473592-198</f>
        <v>473394</v>
      </c>
      <c r="N51" s="1133">
        <f>358.139966408757-44.9238+0.665-0.665</f>
        <v>313.21616640875698</v>
      </c>
      <c r="O51" s="545"/>
      <c r="P51" s="975"/>
      <c r="R51" s="975"/>
      <c r="S51" s="975"/>
      <c r="T51" s="975"/>
      <c r="U51" s="975"/>
    </row>
    <row r="52" spans="1:21" ht="18">
      <c r="A52" s="1101">
        <v>3</v>
      </c>
      <c r="B52" s="1151" t="s">
        <v>128</v>
      </c>
      <c r="C52" s="1132">
        <v>104868</v>
      </c>
      <c r="D52" s="529">
        <v>186.48760509214029</v>
      </c>
      <c r="E52" s="524">
        <v>136808</v>
      </c>
      <c r="F52" s="1133">
        <v>120.15799660864299</v>
      </c>
      <c r="G52" s="1132"/>
      <c r="H52" s="524"/>
      <c r="I52" s="524"/>
      <c r="J52" s="1155"/>
      <c r="K52" s="1132">
        <f>31543+1</f>
        <v>31544</v>
      </c>
      <c r="L52" s="529">
        <f>83.1903685862119-7.418+6.06-6</f>
        <v>75.832368586211899</v>
      </c>
      <c r="M52" s="524">
        <f>67945+208</f>
        <v>68153</v>
      </c>
      <c r="N52" s="1133">
        <f>91.3921497824128+3.87767</f>
        <v>95.269819782412796</v>
      </c>
      <c r="O52" s="545"/>
      <c r="P52" s="975"/>
      <c r="R52" s="975"/>
      <c r="S52" s="975"/>
      <c r="T52" s="975"/>
      <c r="U52" s="975"/>
    </row>
    <row r="53" spans="1:21" ht="18">
      <c r="A53" s="1101">
        <v>4</v>
      </c>
      <c r="B53" s="1151" t="s">
        <v>129</v>
      </c>
      <c r="C53" s="1132">
        <v>56369</v>
      </c>
      <c r="D53" s="529">
        <v>123.42761796381473</v>
      </c>
      <c r="E53" s="524">
        <v>60068</v>
      </c>
      <c r="F53" s="1133">
        <v>64.883957272663096</v>
      </c>
      <c r="G53" s="1132"/>
      <c r="H53" s="524"/>
      <c r="I53" s="524"/>
      <c r="J53" s="1155"/>
      <c r="K53" s="1132">
        <f>12862+40</f>
        <v>12902</v>
      </c>
      <c r="L53" s="529">
        <f>43.7456610291627+1.901</f>
        <v>45.646661029162701</v>
      </c>
      <c r="M53" s="524">
        <f>15990-11</f>
        <v>15979</v>
      </c>
      <c r="N53" s="1133">
        <f>32.2986496576575+21.28568</f>
        <v>53.584329657657499</v>
      </c>
      <c r="O53" s="545"/>
      <c r="P53" s="975"/>
      <c r="R53" s="975"/>
      <c r="S53" s="975"/>
      <c r="T53" s="975"/>
      <c r="U53" s="975"/>
    </row>
    <row r="54" spans="1:21" ht="18">
      <c r="A54" s="1101">
        <v>5</v>
      </c>
      <c r="B54" s="1151">
        <v>4</v>
      </c>
      <c r="C54" s="1132">
        <v>19302</v>
      </c>
      <c r="D54" s="529">
        <v>51.510414194226293</v>
      </c>
      <c r="E54" s="524">
        <v>5878</v>
      </c>
      <c r="F54" s="1133">
        <v>10.219193830862276</v>
      </c>
      <c r="G54" s="1132"/>
      <c r="H54" s="524"/>
      <c r="I54" s="524"/>
      <c r="J54" s="1155"/>
      <c r="K54" s="1132">
        <f>4156-4</f>
        <v>4152</v>
      </c>
      <c r="L54" s="529">
        <f>14.039613915977+0.956</f>
        <v>14.995613915977</v>
      </c>
      <c r="M54" s="524">
        <f>1674+1</f>
        <v>1675</v>
      </c>
      <c r="N54" s="1133">
        <f>4.17168308161536+1.9297</f>
        <v>6.10138308161536</v>
      </c>
      <c r="O54" s="545"/>
      <c r="P54" s="975"/>
      <c r="R54" s="975"/>
      <c r="S54" s="975"/>
      <c r="T54" s="975"/>
      <c r="U54" s="975"/>
    </row>
    <row r="55" spans="1:21" ht="18">
      <c r="A55" s="1101">
        <v>6</v>
      </c>
      <c r="B55" s="1149" t="s">
        <v>130</v>
      </c>
      <c r="C55" s="1132">
        <v>15803</v>
      </c>
      <c r="D55" s="529">
        <v>74.182101920031897</v>
      </c>
      <c r="E55" s="524">
        <v>4554</v>
      </c>
      <c r="F55" s="1133">
        <v>13.44833113110492</v>
      </c>
      <c r="G55" s="1132"/>
      <c r="H55" s="524"/>
      <c r="I55" s="524"/>
      <c r="J55" s="1155"/>
      <c r="K55" s="1132">
        <f>1737-6</f>
        <v>1731</v>
      </c>
      <c r="L55" s="529">
        <f>14.9399255163858-10.062+14</f>
        <v>18.877925516385801</v>
      </c>
      <c r="M55" s="524">
        <f>1039+3</f>
        <v>1042</v>
      </c>
      <c r="N55" s="1133">
        <f>4.49344198144214+3.83079+0.665</f>
        <v>8.9892319814421384</v>
      </c>
      <c r="O55" s="545"/>
      <c r="P55" s="975"/>
      <c r="R55" s="975"/>
      <c r="S55" s="975"/>
      <c r="T55" s="975"/>
      <c r="U55" s="975"/>
    </row>
    <row r="56" spans="1:21" ht="18.75" thickBot="1">
      <c r="A56" s="1146">
        <v>7</v>
      </c>
      <c r="B56" s="1152" t="s">
        <v>147</v>
      </c>
      <c r="C56" s="1136">
        <f>SUM(C49:C55)</f>
        <v>268486</v>
      </c>
      <c r="D56" s="1107">
        <f t="shared" ref="D56" si="10">SUM(D49:D55)</f>
        <v>512.0235852535908</v>
      </c>
      <c r="E56" s="1106">
        <f>SUM(E51:E55)</f>
        <v>966449</v>
      </c>
      <c r="F56" s="1137">
        <f>SUM(F51:F55)</f>
        <v>609.34217905175251</v>
      </c>
      <c r="G56" s="1136"/>
      <c r="H56" s="1106"/>
      <c r="I56" s="1106"/>
      <c r="J56" s="1156"/>
      <c r="K56" s="1136">
        <f>SUM(K49:K55)</f>
        <v>74242</v>
      </c>
      <c r="L56" s="1107">
        <f t="shared" ref="L56" si="11">SUM(L49:L55)</f>
        <v>184.96885838946213</v>
      </c>
      <c r="M56" s="1106">
        <f>SUM(M51:M55)</f>
        <v>560243</v>
      </c>
      <c r="N56" s="1137">
        <f>SUM(N51:N55)</f>
        <v>477.1609309118848</v>
      </c>
      <c r="O56" s="981"/>
      <c r="P56" s="975"/>
      <c r="S56" s="975"/>
      <c r="T56" s="975"/>
      <c r="U56" s="975"/>
    </row>
    <row r="57" spans="1:21" ht="18">
      <c r="A57" s="539"/>
      <c r="B57" s="532"/>
      <c r="C57" s="515"/>
      <c r="D57" s="515"/>
      <c r="G57" s="515"/>
      <c r="H57" s="515"/>
      <c r="I57" s="515"/>
      <c r="J57" s="515"/>
      <c r="K57" s="515"/>
      <c r="L57" s="515"/>
    </row>
    <row r="58" spans="1:21">
      <c r="M58" s="535"/>
      <c r="O58" s="975"/>
      <c r="P58" s="975"/>
      <c r="Q58" s="545"/>
      <c r="T58" s="975"/>
      <c r="U58" s="545"/>
    </row>
    <row r="59" spans="1:21">
      <c r="M59" s="535"/>
      <c r="N59" s="535"/>
      <c r="P59" s="975"/>
      <c r="Q59" s="545"/>
      <c r="T59" s="975"/>
      <c r="U59" s="545"/>
    </row>
    <row r="60" spans="1:21">
      <c r="M60" s="535"/>
      <c r="O60" s="973"/>
      <c r="P60" s="975"/>
      <c r="Q60" s="545"/>
      <c r="T60" s="975"/>
      <c r="U60" s="545"/>
    </row>
    <row r="61" spans="1:21">
      <c r="L61" s="969"/>
      <c r="M61" s="969"/>
      <c r="P61" s="975"/>
      <c r="Q61" s="545"/>
      <c r="T61" s="975"/>
      <c r="U61" s="545"/>
    </row>
    <row r="62" spans="1:21">
      <c r="L62" s="969"/>
      <c r="M62" s="970"/>
      <c r="P62" s="975"/>
      <c r="Q62" s="545"/>
      <c r="T62" s="975"/>
      <c r="U62" s="545"/>
    </row>
    <row r="63" spans="1:21">
      <c r="P63" s="975"/>
      <c r="Q63" s="545"/>
      <c r="T63" s="975"/>
      <c r="U63" s="545"/>
    </row>
    <row r="64" spans="1:21">
      <c r="P64" s="975"/>
      <c r="Q64" s="545"/>
    </row>
    <row r="65" spans="16:17">
      <c r="P65" s="975"/>
      <c r="Q65" s="545"/>
    </row>
    <row r="66" spans="16:17">
      <c r="P66" s="975"/>
      <c r="Q66" s="545"/>
    </row>
    <row r="67" spans="16:17">
      <c r="P67" s="975"/>
      <c r="Q67" s="545"/>
    </row>
    <row r="68" spans="16:17">
      <c r="P68" s="975"/>
      <c r="Q68" s="545"/>
    </row>
    <row r="69" spans="16:17">
      <c r="P69" s="975"/>
      <c r="Q69" s="545"/>
    </row>
    <row r="70" spans="16:17">
      <c r="P70" s="975"/>
      <c r="Q70" s="545"/>
    </row>
    <row r="71" spans="16:17">
      <c r="P71" s="975"/>
      <c r="Q71" s="545"/>
    </row>
    <row r="72" spans="16:17">
      <c r="P72" s="975"/>
      <c r="Q72" s="545"/>
    </row>
    <row r="73" spans="16:17">
      <c r="P73" s="975"/>
      <c r="Q73" s="545"/>
    </row>
  </sheetData>
  <mergeCells count="17">
    <mergeCell ref="A26:A27"/>
    <mergeCell ref="B26:B27"/>
    <mergeCell ref="C26:C27"/>
    <mergeCell ref="D26:D27"/>
    <mergeCell ref="A7:A8"/>
    <mergeCell ref="B7:B8"/>
    <mergeCell ref="C7:C8"/>
    <mergeCell ref="D7:D8"/>
    <mergeCell ref="C46:F46"/>
    <mergeCell ref="G46:J46"/>
    <mergeCell ref="K46:N46"/>
    <mergeCell ref="C47:D47"/>
    <mergeCell ref="E47:F47"/>
    <mergeCell ref="G47:H47"/>
    <mergeCell ref="I47:J47"/>
    <mergeCell ref="K47:L47"/>
    <mergeCell ref="M47:N47"/>
  </mergeCells>
  <printOptions horizontalCentered="1"/>
  <pageMargins left="0" right="0" top="0" bottom="0.19685039370078741" header="0" footer="0.19685039370078741"/>
  <pageSetup paperSize="9" scale="66" orientation="landscape" errors="blank" r:id="rId1"/>
  <headerFooter alignWithMargins="0">
    <oddFooter>&amp;R&amp;"Arial,Bold"&amp;12OERC FORM &amp;A</oddFooter>
  </headerFooter>
  <rowBreaks count="1" manualBreakCount="1">
    <brk id="43" max="12"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36"/>
  <dimension ref="A1:Q43"/>
  <sheetViews>
    <sheetView view="pageBreakPreview" topLeftCell="A8" zoomScaleSheetLayoutView="100" workbookViewId="0">
      <selection activeCell="B10" sqref="A10:XFD10"/>
    </sheetView>
  </sheetViews>
  <sheetFormatPr defaultColWidth="14.7109375" defaultRowHeight="12.75"/>
  <cols>
    <col min="1" max="1" width="33" customWidth="1"/>
    <col min="2" max="2" width="10.7109375" customWidth="1"/>
    <col min="3" max="3" width="9.7109375" customWidth="1"/>
    <col min="4" max="5" width="9.42578125" customWidth="1"/>
    <col min="6" max="6" width="10.28515625" customWidth="1"/>
    <col min="7" max="7" width="9.7109375" customWidth="1"/>
    <col min="8" max="8" width="9.85546875" customWidth="1"/>
    <col min="9" max="9" width="10.28515625" customWidth="1"/>
    <col min="10" max="10" width="10.140625" customWidth="1"/>
    <col min="11" max="11" width="9.5703125" customWidth="1"/>
    <col min="12" max="12" width="10.140625" customWidth="1"/>
    <col min="13" max="13" width="10.28515625" customWidth="1"/>
    <col min="14" max="16" width="14.7109375" customWidth="1"/>
    <col min="17" max="17" width="14.7109375" hidden="1" customWidth="1"/>
  </cols>
  <sheetData>
    <row r="1" spans="1:13">
      <c r="A1" s="20" t="s">
        <v>106</v>
      </c>
      <c r="K1" s="3" t="s">
        <v>0</v>
      </c>
      <c r="L1" s="21" t="s">
        <v>732</v>
      </c>
    </row>
    <row r="2" spans="1:13" ht="36">
      <c r="A2" s="27" t="s">
        <v>733</v>
      </c>
      <c r="B2" s="32"/>
      <c r="C2" s="32"/>
      <c r="D2" s="32"/>
      <c r="E2" s="32"/>
      <c r="F2" s="32"/>
      <c r="G2" s="32"/>
      <c r="H2" s="32"/>
      <c r="I2" s="32"/>
      <c r="J2" s="32"/>
      <c r="K2" s="32"/>
      <c r="L2" s="22"/>
      <c r="M2" s="22"/>
    </row>
    <row r="3" spans="1:13" ht="13.5" thickBot="1"/>
    <row r="4" spans="1:13" ht="16.5" thickBot="1">
      <c r="A4" s="136"/>
      <c r="B4" s="1838" t="s">
        <v>91</v>
      </c>
      <c r="C4" s="1839"/>
      <c r="D4" s="1840"/>
      <c r="E4" s="1838" t="s">
        <v>77</v>
      </c>
      <c r="F4" s="1839"/>
      <c r="G4" s="1840"/>
      <c r="H4" s="1838" t="s">
        <v>45</v>
      </c>
      <c r="I4" s="1839"/>
      <c r="J4" s="1840"/>
      <c r="K4" s="1838" t="s">
        <v>231</v>
      </c>
      <c r="L4" s="1839"/>
      <c r="M4" s="1840"/>
    </row>
    <row r="5" spans="1:13" ht="12.75" customHeight="1">
      <c r="A5" s="137"/>
      <c r="B5" s="1835" t="s">
        <v>734</v>
      </c>
      <c r="C5" s="1841" t="s">
        <v>735</v>
      </c>
      <c r="D5" s="1832" t="s">
        <v>736</v>
      </c>
      <c r="E5" s="1835" t="s">
        <v>734</v>
      </c>
      <c r="F5" s="1841" t="s">
        <v>735</v>
      </c>
      <c r="G5" s="1832" t="s">
        <v>736</v>
      </c>
      <c r="H5" s="1835" t="s">
        <v>734</v>
      </c>
      <c r="I5" s="1841" t="s">
        <v>735</v>
      </c>
      <c r="J5" s="1832" t="s">
        <v>736</v>
      </c>
      <c r="K5" s="1835" t="s">
        <v>734</v>
      </c>
      <c r="L5" s="1841" t="s">
        <v>735</v>
      </c>
      <c r="M5" s="1832" t="s">
        <v>736</v>
      </c>
    </row>
    <row r="6" spans="1:13">
      <c r="A6" s="138"/>
      <c r="B6" s="1836"/>
      <c r="C6" s="1842" t="s">
        <v>284</v>
      </c>
      <c r="D6" s="1833" t="s">
        <v>737</v>
      </c>
      <c r="E6" s="1836"/>
      <c r="F6" s="1842" t="s">
        <v>284</v>
      </c>
      <c r="G6" s="1833" t="s">
        <v>737</v>
      </c>
      <c r="H6" s="1836"/>
      <c r="I6" s="1842" t="s">
        <v>284</v>
      </c>
      <c r="J6" s="1833" t="s">
        <v>737</v>
      </c>
      <c r="K6" s="1836"/>
      <c r="L6" s="1842" t="s">
        <v>284</v>
      </c>
      <c r="M6" s="1833" t="s">
        <v>737</v>
      </c>
    </row>
    <row r="7" spans="1:13" ht="13.5" thickBot="1">
      <c r="A7" s="138"/>
      <c r="B7" s="1837"/>
      <c r="C7" s="1843"/>
      <c r="D7" s="1834"/>
      <c r="E7" s="1837"/>
      <c r="F7" s="1843"/>
      <c r="G7" s="1834"/>
      <c r="H7" s="1837"/>
      <c r="I7" s="1843"/>
      <c r="J7" s="1834"/>
      <c r="K7" s="1837"/>
      <c r="L7" s="1843"/>
      <c r="M7" s="1834"/>
    </row>
    <row r="8" spans="1:13" ht="15.75">
      <c r="A8" s="139" t="s">
        <v>738</v>
      </c>
      <c r="B8" s="140"/>
      <c r="C8" s="141"/>
      <c r="D8" s="142"/>
      <c r="E8" s="140"/>
      <c r="F8" s="141"/>
      <c r="G8" s="142"/>
      <c r="H8" s="140"/>
      <c r="I8" s="141"/>
      <c r="J8" s="142"/>
      <c r="K8" s="140"/>
      <c r="L8" s="141"/>
      <c r="M8" s="142"/>
    </row>
    <row r="9" spans="1:13">
      <c r="A9" s="138"/>
      <c r="B9" s="143"/>
      <c r="C9" s="144"/>
      <c r="D9" s="145"/>
      <c r="E9" s="143"/>
      <c r="F9" s="144"/>
      <c r="G9" s="145"/>
      <c r="H9" s="143"/>
      <c r="I9" s="144"/>
      <c r="J9" s="145"/>
      <c r="K9" s="143"/>
      <c r="L9" s="144"/>
      <c r="M9" s="145"/>
    </row>
    <row r="10" spans="1:13">
      <c r="A10" s="138" t="s">
        <v>174</v>
      </c>
      <c r="B10" s="143"/>
      <c r="C10" s="144"/>
      <c r="D10" s="145"/>
      <c r="E10" s="146">
        <f ca="1">'T-8'!BL36</f>
        <v>95.813666537929336</v>
      </c>
      <c r="F10" s="147">
        <f ca="1">'T-8'!BV36</f>
        <v>31.375738091590506</v>
      </c>
      <c r="G10" s="265">
        <f ca="1">'T-8'!BW36</f>
        <v>21.638440063165866</v>
      </c>
      <c r="H10" s="146">
        <f ca="1">'T-8'!BL16</f>
        <v>78.752865712150296</v>
      </c>
      <c r="I10" s="147">
        <f ca="1">'T-8'!BV16</f>
        <v>30844.486313097426</v>
      </c>
      <c r="J10" s="265">
        <f ca="1">I10/'T-8'!D16*10</f>
        <v>145.90580091342213</v>
      </c>
      <c r="K10" s="146">
        <f ca="1">('T-8'!BB16+'T-8'!BB36)/('T-8'!BU36+'T-8'!BU16)*100</f>
        <v>78.840494331757498</v>
      </c>
      <c r="L10" s="147">
        <f t="shared" ref="L10:L30" ca="1" si="0">C10+F10+I10</f>
        <v>30875.862051189019</v>
      </c>
      <c r="M10" s="265">
        <f ca="1">('T-8'!BV16+'T-8'!BV36)/('T-8'!D16+'T-8'!D36)*10</f>
        <v>145.05925323556036</v>
      </c>
    </row>
    <row r="11" spans="1:13">
      <c r="A11" s="138" t="s">
        <v>739</v>
      </c>
      <c r="B11" s="143"/>
      <c r="C11" s="144"/>
      <c r="D11" s="145"/>
      <c r="E11" s="146"/>
      <c r="F11" s="147"/>
      <c r="G11" s="265"/>
      <c r="H11" s="146">
        <f ca="1">'T-8'!BL22</f>
        <v>111.77639421259849</v>
      </c>
      <c r="I11" s="147">
        <f ca="1">'T-8'!BV22</f>
        <v>-3760.4297872604948</v>
      </c>
      <c r="J11" s="265">
        <f ca="1">'T-8'!BW22</f>
        <v>-80.869457790548267</v>
      </c>
      <c r="K11" s="146">
        <f ca="1">'T-8'!BL22</f>
        <v>111.77639421259849</v>
      </c>
      <c r="L11" s="147">
        <f t="shared" ca="1" si="0"/>
        <v>-3760.4297872604948</v>
      </c>
      <c r="M11" s="265">
        <f ca="1">'T-8'!BW22</f>
        <v>-80.869457790548267</v>
      </c>
    </row>
    <row r="12" spans="1:13">
      <c r="A12" s="138" t="s">
        <v>63</v>
      </c>
      <c r="B12" s="143"/>
      <c r="C12" s="144"/>
      <c r="D12" s="145"/>
      <c r="E12" s="146">
        <f ca="1">'T-8'!BL37</f>
        <v>40.643248896862886</v>
      </c>
      <c r="F12" s="147">
        <f ca="1">'T-8'!BV37</f>
        <v>1840.8292307238225</v>
      </c>
      <c r="G12" s="265">
        <f ca="1">'T-8'!BW37</f>
        <v>306.8048717873038</v>
      </c>
      <c r="H12" s="146">
        <f ca="1">'T-8'!BL23</f>
        <v>23.31550859500399</v>
      </c>
      <c r="I12" s="147">
        <f ca="1">'T-8'!BV23</f>
        <v>23688.987406568562</v>
      </c>
      <c r="J12" s="265">
        <f ca="1">'T-8'!BW23</f>
        <v>526.59864546922552</v>
      </c>
      <c r="K12" s="146">
        <f ca="1">('T-8'!BB23+'T-8'!BB37)/('T-8'!BU37+'T-8'!BU23)*100</f>
        <v>24.896386921632597</v>
      </c>
      <c r="L12" s="147">
        <f t="shared" ca="1" si="0"/>
        <v>25529.816637292384</v>
      </c>
      <c r="M12" s="265">
        <f ca="1">('T-8'!BV23+'T-8'!BV37)/('T-8'!D23+'T-8'!D37)*10</f>
        <v>500.73289615734041</v>
      </c>
    </row>
    <row r="13" spans="1:13">
      <c r="A13" s="138" t="s">
        <v>64</v>
      </c>
      <c r="B13" s="143"/>
      <c r="C13" s="144"/>
      <c r="D13" s="145"/>
      <c r="E13" s="146">
        <f ca="1">'T-8'!BL38</f>
        <v>29.342207333715642</v>
      </c>
      <c r="F13" s="147">
        <f ca="1">'T-8'!BV38</f>
        <v>182.60900922698525</v>
      </c>
      <c r="G13" s="265">
        <f ca="1">'T-8'!BW38</f>
        <v>365.2180184539705</v>
      </c>
      <c r="H13" s="146">
        <f ca="1">'T-8'!BL24</f>
        <v>24.558581717154507</v>
      </c>
      <c r="I13" s="147">
        <f ca="1">'T-8'!BV24</f>
        <v>373.00490002015619</v>
      </c>
      <c r="J13" s="265">
        <f ca="1">'T-8'!BW24</f>
        <v>518.06236113910575</v>
      </c>
      <c r="K13" s="146">
        <f ca="1">('T-8'!BB24+'T-8'!BB38)/('T-8'!BU38+'T-8'!BU24)*100</f>
        <v>26.20067785797001</v>
      </c>
      <c r="L13" s="147">
        <f ca="1">C13+F13+I13</f>
        <v>555.61390924714146</v>
      </c>
      <c r="M13" s="265">
        <f ca="1">('T-8'!BV24+'T-8'!BV38)/('T-8'!D24+'T-8'!D38)*10</f>
        <v>455.42123708782094</v>
      </c>
    </row>
    <row r="14" spans="1:13">
      <c r="A14" s="138" t="s">
        <v>65</v>
      </c>
      <c r="B14" s="143"/>
      <c r="C14" s="144"/>
      <c r="D14" s="145"/>
      <c r="E14" s="146">
        <f ca="1">'T-8'!BL39</f>
        <v>92.342412249390691</v>
      </c>
      <c r="F14" s="147">
        <f ca="1">'T-8'!BV39</f>
        <v>28.498146086858753</v>
      </c>
      <c r="G14" s="265">
        <f ca="1">'T-8'!BW39</f>
        <v>39.580758453970489</v>
      </c>
      <c r="H14" s="146">
        <f ca="1">'T-8'!BL25</f>
        <v>72.392641258989926</v>
      </c>
      <c r="I14" s="147">
        <f ca="1">'T-8'!BV25</f>
        <v>70.065269090078118</v>
      </c>
      <c r="J14" s="265">
        <f ca="1">'T-8'!BW25</f>
        <v>194.6257474724392</v>
      </c>
      <c r="K14" s="146">
        <f ca="1">('T-8'!BB25+'T-8'!BB39)/('T-8'!BU39+'T-8'!BU25)*100</f>
        <v>84.940135587797812</v>
      </c>
      <c r="L14" s="147">
        <f ca="1">C14+F14+I14</f>
        <v>98.563415176936871</v>
      </c>
      <c r="M14" s="265">
        <f ca="1">('T-8'!BV25+'T-8'!BV39)/('T-8'!D25+'T-8'!D39)*10</f>
        <v>91.262421460126731</v>
      </c>
    </row>
    <row r="15" spans="1:13">
      <c r="A15" s="138" t="s">
        <v>740</v>
      </c>
      <c r="B15" s="143"/>
      <c r="C15" s="144"/>
      <c r="D15" s="145"/>
      <c r="E15" s="149"/>
      <c r="F15" s="144"/>
      <c r="G15" s="265"/>
      <c r="H15" s="146">
        <f ca="1">'T-8'!BL26</f>
        <v>91.087404560121371</v>
      </c>
      <c r="I15" s="147">
        <f ca="1">'T-8'!BV26</f>
        <v>275.41583312597595</v>
      </c>
      <c r="J15" s="265">
        <f ca="1">'T-8'!BW26</f>
        <v>61.2035184724391</v>
      </c>
      <c r="K15" s="146">
        <f ca="1">'T-8'!BL26</f>
        <v>91.087404560121371</v>
      </c>
      <c r="L15" s="147">
        <f t="shared" ca="1" si="0"/>
        <v>275.41583312597595</v>
      </c>
      <c r="M15" s="265">
        <f ca="1">'T-8'!BW26</f>
        <v>61.2035184724391</v>
      </c>
    </row>
    <row r="16" spans="1:13">
      <c r="A16" s="138" t="s">
        <v>182</v>
      </c>
      <c r="B16" s="143"/>
      <c r="C16" s="144"/>
      <c r="D16" s="145"/>
      <c r="E16" s="149"/>
      <c r="F16" s="144"/>
      <c r="G16" s="265"/>
      <c r="H16" s="146">
        <f ca="1">'T-8'!BL27</f>
        <v>101.52388144903087</v>
      </c>
      <c r="I16" s="147">
        <f ca="1">'T-8'!BV27</f>
        <v>-23.022159537967582</v>
      </c>
      <c r="J16" s="265">
        <f ca="1">'T-8'!BW27</f>
        <v>-10.464617971803447</v>
      </c>
      <c r="K16" s="146">
        <f ca="1">'T-8'!BL27</f>
        <v>101.52388144903087</v>
      </c>
      <c r="L16" s="147">
        <f t="shared" ca="1" si="0"/>
        <v>-23.022159537967582</v>
      </c>
      <c r="M16" s="265">
        <f ca="1">'T-8'!BW27</f>
        <v>-10.464617971803447</v>
      </c>
    </row>
    <row r="17" spans="1:14">
      <c r="A17" s="138" t="s">
        <v>741</v>
      </c>
      <c r="B17" s="143"/>
      <c r="C17" s="144"/>
      <c r="D17" s="145"/>
      <c r="E17" s="146"/>
      <c r="F17" s="147"/>
      <c r="G17" s="265"/>
      <c r="H17" s="146">
        <f ca="1">'T-8'!BL28</f>
        <v>103.85440153335854</v>
      </c>
      <c r="I17" s="147">
        <f ca="1">'T-8'!BV28</f>
        <v>-133.42338745216875</v>
      </c>
      <c r="J17" s="265">
        <f ca="1">'T-8'!BW28</f>
        <v>-19.336722819154893</v>
      </c>
      <c r="K17" s="146">
        <f ca="1">'T-8'!BL28</f>
        <v>103.85440153335854</v>
      </c>
      <c r="L17" s="147">
        <f t="shared" ca="1" si="0"/>
        <v>-133.42338745216875</v>
      </c>
      <c r="M17" s="265">
        <f ca="1">'T-8'!BW28</f>
        <v>-19.336722819154893</v>
      </c>
    </row>
    <row r="18" spans="1:14">
      <c r="A18" s="138" t="s">
        <v>742</v>
      </c>
      <c r="B18" s="143"/>
      <c r="C18" s="144"/>
      <c r="D18" s="145"/>
      <c r="E18" s="146">
        <f ca="1">'T-8'!BL40</f>
        <v>147.95448088323533</v>
      </c>
      <c r="F18" s="147">
        <f ca="1">'T-8'!BV40</f>
        <v>-892.32656956570668</v>
      </c>
      <c r="G18" s="265">
        <f ca="1">'T-8'!BW40</f>
        <v>-247.86849154602962</v>
      </c>
      <c r="H18" s="146">
        <f ca="1">'T-8'!BL29</f>
        <v>95.057181717029479</v>
      </c>
      <c r="I18" s="147">
        <f ca="1">'T-8'!BV29</f>
        <v>275.19864932592009</v>
      </c>
      <c r="J18" s="265">
        <f ca="1">'T-8'!BW29</f>
        <v>40.470389606752953</v>
      </c>
      <c r="K18" s="146">
        <f ca="1">'T-8'!BL29</f>
        <v>95.057181717029479</v>
      </c>
      <c r="L18" s="147">
        <f t="shared" ca="1" si="0"/>
        <v>-617.12792023978659</v>
      </c>
      <c r="M18" s="265">
        <f ca="1">'T-8'!BW29</f>
        <v>40.470389606752953</v>
      </c>
    </row>
    <row r="19" spans="1:14">
      <c r="A19" s="138" t="s">
        <v>90</v>
      </c>
      <c r="B19" s="143"/>
      <c r="C19" s="144"/>
      <c r="D19" s="145"/>
      <c r="E19" s="146">
        <f ca="1">'T-8'!BL43</f>
        <v>127.17107635132862</v>
      </c>
      <c r="F19" s="147">
        <f ca="1">'T-8'!BV43</f>
        <v>-2359.4362867732962</v>
      </c>
      <c r="G19" s="265">
        <f ca="1">'T-8'!BW43</f>
        <v>-140.44263611745811</v>
      </c>
      <c r="H19" s="146">
        <f ca="1">'T-8'!BL32</f>
        <v>148.68130452377031</v>
      </c>
      <c r="I19" s="147">
        <f ca="1">'T-8'!BV32</f>
        <v>-4.8937350687995007</v>
      </c>
      <c r="J19" s="265">
        <f ca="1">'T-8'!BW32</f>
        <v>-324.08841515228482</v>
      </c>
      <c r="K19" s="146">
        <f ca="1">('T-8'!BB32+'T-8'!BB43)/('T-8'!BU43+'T-8'!BU32)*100</f>
        <v>128.47975573819451</v>
      </c>
      <c r="L19" s="147">
        <f t="shared" ca="1" si="0"/>
        <v>-2364.3300218420954</v>
      </c>
      <c r="M19" s="265">
        <f ca="1">('T-8'!BV32+'T-8'!BV43)/('T-8'!D43+'T-8'!D32)*10</f>
        <v>-140.60755046607485</v>
      </c>
    </row>
    <row r="20" spans="1:14">
      <c r="A20" s="138" t="s">
        <v>743</v>
      </c>
      <c r="B20" s="143"/>
      <c r="C20" s="144"/>
      <c r="D20" s="145"/>
      <c r="E20" s="146"/>
      <c r="F20" s="147"/>
      <c r="G20" s="265"/>
      <c r="H20" s="146">
        <f ca="1">'T-8'!BL30</f>
        <v>94.481578841976471</v>
      </c>
      <c r="I20" s="147">
        <f ca="1">'T-8'!BV30</f>
        <v>246.32040780418811</v>
      </c>
      <c r="J20" s="265">
        <f ca="1">'T-8'!BW30</f>
        <v>37.895447354490479</v>
      </c>
      <c r="K20" s="146">
        <f ca="1">'T-8'!BL30</f>
        <v>94.481578841976471</v>
      </c>
      <c r="L20" s="147">
        <f t="shared" ca="1" si="0"/>
        <v>246.32040780418811</v>
      </c>
      <c r="M20" s="265">
        <f ca="1">'T-8'!BW30</f>
        <v>37.895447354490479</v>
      </c>
    </row>
    <row r="21" spans="1:14">
      <c r="A21" s="138" t="s">
        <v>744</v>
      </c>
      <c r="B21" s="143"/>
      <c r="C21" s="144"/>
      <c r="D21" s="145"/>
      <c r="E21" s="146">
        <f ca="1">'T-8'!BL44</f>
        <v>126.53564711426499</v>
      </c>
      <c r="F21" s="147">
        <f ca="1">'T-8'!BV44</f>
        <v>-589.78030864792709</v>
      </c>
      <c r="G21" s="265">
        <f ca="1">'T-8'!BW44</f>
        <v>-137.15821131347141</v>
      </c>
      <c r="H21" s="146">
        <f ca="1">'T-8'!BL31</f>
        <v>91.613048375237256</v>
      </c>
      <c r="I21" s="147">
        <f ca="1">'T-8'!BV31</f>
        <v>33.230212752335035</v>
      </c>
      <c r="J21" s="265">
        <f ca="1">'T-8'!BW31</f>
        <v>63.904255292951994</v>
      </c>
      <c r="K21" s="146">
        <f ca="1">('T-8'!BB31+'T-8'!BB44)/('T-8'!BU31+'T-8'!BU44)*100</f>
        <v>122.80433281457977</v>
      </c>
      <c r="L21" s="147">
        <f t="shared" ca="1" si="0"/>
        <v>-556.55009589559199</v>
      </c>
      <c r="M21" s="265">
        <f ca="1">('T-8'!BV31+'T-8'!BV44)/('T-8'!D44+'T-8'!D31)*10</f>
        <v>-115.46682487460414</v>
      </c>
    </row>
    <row r="22" spans="1:14">
      <c r="A22" s="138" t="s">
        <v>73</v>
      </c>
      <c r="B22" s="146">
        <f ca="1">'T-8'!BL56</f>
        <v>155.5025749410878</v>
      </c>
      <c r="C22" s="147">
        <f ca="1">'T-8'!BV56</f>
        <v>-9095.232213870011</v>
      </c>
      <c r="D22" s="265">
        <f ca="1">'T-8'!BW56</f>
        <v>-253.83493790023505</v>
      </c>
      <c r="E22" s="146">
        <f ca="1">'T-8'!BL45</f>
        <v>123.34425710594445</v>
      </c>
      <c r="F22" s="147">
        <f ca="1">'T-8'!BV45</f>
        <v>-12380.471506545742</v>
      </c>
      <c r="G22" s="265">
        <f ca="1">'T-8'!BW45</f>
        <v>-120.66246341404985</v>
      </c>
      <c r="H22" s="146"/>
      <c r="I22" s="147"/>
      <c r="J22" s="265"/>
      <c r="K22" s="146">
        <f ca="1">('T-8'!BB33+'T-8'!BB45+'T-8'!BB56)/('T-8'!BU56+'T-8'!BU45+'T-8'!BU33)*100</f>
        <v>132.25786628868715</v>
      </c>
      <c r="L22" s="147">
        <f t="shared" ca="1" si="0"/>
        <v>-21475.703720415753</v>
      </c>
      <c r="M22" s="265">
        <f ca="1">('T-8'!BV33+'T-8'!BV45+'T-8'!BV56)/('T-8'!D56+'T-8'!D45+'T-8'!D33)*10</f>
        <v>-155.13153121476148</v>
      </c>
    </row>
    <row r="23" spans="1:14">
      <c r="A23" s="138" t="s">
        <v>85</v>
      </c>
      <c r="B23" s="146">
        <f ca="1">'T-8'!BL58</f>
        <v>140.92797124422958</v>
      </c>
      <c r="C23" s="147">
        <f ca="1">'T-8'!BV58</f>
        <v>-16441.450184537243</v>
      </c>
      <c r="D23" s="265">
        <f ca="1">'T-8'!BW58</f>
        <v>-187.17958671627014</v>
      </c>
      <c r="E23" s="146">
        <f ca="1">'T-8'!BL49</f>
        <v>110.25844457381081</v>
      </c>
      <c r="F23" s="147">
        <f ca="1">'T-8'!BV49</f>
        <v>-7.151014154602952E-6</v>
      </c>
      <c r="G23" s="265">
        <f ca="1">'T-8'!BW49</f>
        <v>-71.51014154602953</v>
      </c>
      <c r="H23" s="146"/>
      <c r="I23" s="147"/>
      <c r="J23" s="265"/>
      <c r="K23" s="146">
        <f ca="1">('T-8'!BB49+'T-8'!BB58)/('T-8'!BU58+'T-8'!BU49)*100</f>
        <v>142.3514860677459</v>
      </c>
      <c r="L23" s="147">
        <f t="shared" ca="1" si="0"/>
        <v>-16441.450191688258</v>
      </c>
      <c r="M23" s="265">
        <f ca="1">('T-8'!BV49+'T-8'!BV58)/('T-8'!D58+'T-8'!D49)*10</f>
        <v>-187.17958658458491</v>
      </c>
      <c r="N23" s="506"/>
    </row>
    <row r="24" spans="1:14">
      <c r="A24" s="138" t="s">
        <v>92</v>
      </c>
      <c r="B24" s="146">
        <f ca="1">'T-8'!BL59</f>
        <v>142.91760607765897</v>
      </c>
      <c r="C24" s="147">
        <f ca="1">'T-8'!BV59</f>
        <v>-13702.215249439971</v>
      </c>
      <c r="D24" s="265">
        <f ca="1">'T-8'!BW59</f>
        <v>-196.27896336543932</v>
      </c>
      <c r="E24" s="146"/>
      <c r="F24" s="147"/>
      <c r="G24" s="265"/>
      <c r="H24" s="146"/>
      <c r="I24" s="147"/>
      <c r="J24" s="265"/>
      <c r="K24" s="146">
        <f ca="1">'T-8'!BL59</f>
        <v>142.91760607765897</v>
      </c>
      <c r="L24" s="147">
        <f t="shared" ca="1" si="0"/>
        <v>-13702.215249439971</v>
      </c>
      <c r="M24" s="265">
        <f ca="1">'T-8'!BW59</f>
        <v>-196.27896336543932</v>
      </c>
      <c r="N24" s="506"/>
    </row>
    <row r="25" spans="1:14">
      <c r="A25" s="138" t="s">
        <v>83</v>
      </c>
      <c r="B25" s="146">
        <f ca="1">'T-8'!BL60</f>
        <v>161.47016127126</v>
      </c>
      <c r="C25" s="147">
        <f ca="1">'T-8'!BV60</f>
        <v>-27991.31670628846</v>
      </c>
      <c r="D25" s="265">
        <f ca="1">'T-8'!BW60</f>
        <v>-281.1270393413194</v>
      </c>
      <c r="E25" s="146">
        <f ca="1">'T-8'!BL47</f>
        <v>112.54785803927687</v>
      </c>
      <c r="F25" s="147">
        <f ca="1">'T-8'!BV47</f>
        <v>-4024.3325865098159</v>
      </c>
      <c r="G25" s="265">
        <f ca="1">'T-8'!BW47</f>
        <v>-64.857727308160648</v>
      </c>
      <c r="H25" s="146"/>
      <c r="I25" s="147"/>
      <c r="J25" s="265"/>
      <c r="K25" s="146">
        <f ca="1">'T-8'!BL60</f>
        <v>161.47016127126</v>
      </c>
      <c r="L25" s="147">
        <f t="shared" ca="1" si="0"/>
        <v>-32015.649292798276</v>
      </c>
      <c r="M25" s="265">
        <f ca="1">'T-8'!BW60</f>
        <v>-281.1270393413194</v>
      </c>
      <c r="N25" s="506"/>
    </row>
    <row r="26" spans="1:14">
      <c r="A26" s="138" t="s">
        <v>745</v>
      </c>
      <c r="B26" s="146">
        <f ca="1">'T-8'!BL62</f>
        <v>159.03658802232837</v>
      </c>
      <c r="C26" s="147">
        <f ca="1">'T-8'!BV62</f>
        <v>-204.13106782906596</v>
      </c>
      <c r="D26" s="265">
        <f ca="1">'T-8'!BW62</f>
        <v>-269.99735904857789</v>
      </c>
      <c r="E26" s="146">
        <f ca="1">'T-8'!BL48</f>
        <v>113.63750195143926</v>
      </c>
      <c r="F26" s="147">
        <f ca="1">'T-8'!BV48</f>
        <v>-1248.1770954118347</v>
      </c>
      <c r="G26" s="265">
        <f ca="1">'T-8'!BW48</f>
        <v>-70.489909908315212</v>
      </c>
      <c r="H26" s="146"/>
      <c r="I26" s="147"/>
      <c r="J26" s="265"/>
      <c r="K26" s="146">
        <f ca="1">'T-8'!BL62</f>
        <v>159.03658802232837</v>
      </c>
      <c r="L26" s="147">
        <f t="shared" ca="1" si="0"/>
        <v>-1452.3081632409007</v>
      </c>
      <c r="M26" s="265">
        <f ca="1">'T-8'!BW62</f>
        <v>-269.99735904857789</v>
      </c>
    </row>
    <row r="27" spans="1:14">
      <c r="A27" s="138" t="s">
        <v>746</v>
      </c>
      <c r="B27" s="146">
        <f ca="1">'T-8'!BL64</f>
        <v>104.98775928330795</v>
      </c>
      <c r="C27" s="147">
        <f ca="1">'T-8'!BV64</f>
        <v>-164.23898348576085</v>
      </c>
      <c r="D27" s="265">
        <f ca="1">'T-8'!BW64</f>
        <v>-22.810969928577897</v>
      </c>
      <c r="E27" s="146">
        <f ca="1">'T-8'!BL51</f>
        <v>93.851051948397952</v>
      </c>
      <c r="F27" s="147">
        <f ca="1">'T-8'!BV51</f>
        <v>13.34880055066759</v>
      </c>
      <c r="G27" s="265">
        <f ca="1">'T-8'!BW51</f>
        <v>31.782858453970452</v>
      </c>
      <c r="H27" s="146"/>
      <c r="I27" s="147"/>
      <c r="J27" s="265"/>
      <c r="K27" s="146">
        <f ca="1">('T-8'!BB51+'T-8'!BB64)/('T-8'!BU64+'T-8'!BU51)*100</f>
        <v>105.35247385780255</v>
      </c>
      <c r="L27" s="147">
        <f t="shared" ca="1" si="0"/>
        <v>-150.89018293509326</v>
      </c>
      <c r="M27" s="265">
        <f ca="1">('T-8'!BV51+'T-8'!BV64)/('T-8'!D64+'T-8'!D51)*10</f>
        <v>-19.801861277571295</v>
      </c>
    </row>
    <row r="28" spans="1:14">
      <c r="A28" s="138" t="s">
        <v>747</v>
      </c>
      <c r="B28" s="146">
        <f ca="1">'T-8'!BL63</f>
        <v>166.76816860369223</v>
      </c>
      <c r="C28" s="147">
        <f ca="1">'T-8'!BV63</f>
        <v>-64.137133940049964</v>
      </c>
      <c r="D28" s="265">
        <f ca="1">'T-8'!BW63</f>
        <v>-305.35689468857788</v>
      </c>
      <c r="E28" s="147" t="e">
        <f ca="1">'T-8'!BL50</f>
        <v>#DIV/0!</v>
      </c>
      <c r="F28" s="147">
        <f ca="1">'T-8'!BV50</f>
        <v>0</v>
      </c>
      <c r="G28" s="265" t="e">
        <f ca="1">'T-8'!BW50</f>
        <v>#DIV/0!</v>
      </c>
      <c r="H28" s="146"/>
      <c r="I28" s="147"/>
      <c r="J28" s="265"/>
      <c r="K28" s="146"/>
      <c r="L28" s="147">
        <f t="shared" ca="1" si="0"/>
        <v>-64.137133940049964</v>
      </c>
      <c r="M28" s="148"/>
    </row>
    <row r="29" spans="1:14">
      <c r="A29" s="138" t="s">
        <v>748</v>
      </c>
      <c r="B29" s="146"/>
      <c r="C29" s="147"/>
      <c r="D29" s="265"/>
      <c r="E29" s="146"/>
      <c r="F29" s="147"/>
      <c r="G29" s="265"/>
      <c r="H29" s="146"/>
      <c r="I29" s="147"/>
      <c r="J29" s="265"/>
      <c r="K29" s="146"/>
      <c r="L29" s="147">
        <f t="shared" si="0"/>
        <v>0</v>
      </c>
      <c r="M29" s="148"/>
    </row>
    <row r="30" spans="1:14">
      <c r="A30" s="138" t="s">
        <v>749</v>
      </c>
      <c r="B30" s="146">
        <f ca="1">'T-8'!BL65</f>
        <v>0</v>
      </c>
      <c r="C30" s="147">
        <f ca="1">'T-8'!BV65</f>
        <v>0</v>
      </c>
      <c r="D30" s="301">
        <f>'T-8'!BW65</f>
        <v>0</v>
      </c>
      <c r="E30" s="146"/>
      <c r="F30" s="147"/>
      <c r="G30" s="265"/>
      <c r="H30" s="146"/>
      <c r="I30" s="147"/>
      <c r="J30" s="265"/>
      <c r="K30" s="146"/>
      <c r="L30" s="147">
        <f t="shared" ca="1" si="0"/>
        <v>0</v>
      </c>
      <c r="M30" s="148"/>
    </row>
    <row r="31" spans="1:14">
      <c r="A31" s="138"/>
      <c r="B31" s="146"/>
      <c r="C31" s="147"/>
      <c r="D31" s="265"/>
      <c r="E31" s="146"/>
      <c r="F31" s="147"/>
      <c r="G31" s="265"/>
      <c r="H31" s="146"/>
      <c r="I31" s="147"/>
      <c r="J31" s="265"/>
      <c r="K31" s="146"/>
      <c r="L31" s="147"/>
      <c r="M31" s="148"/>
    </row>
    <row r="32" spans="1:14" ht="15.75">
      <c r="A32" s="139" t="s">
        <v>231</v>
      </c>
      <c r="B32" s="150">
        <f ca="1">'T-8'!BB66/'T-8'!BU66*100</f>
        <v>130.54636151548524</v>
      </c>
      <c r="C32" s="151">
        <f ca="1">SUM(C10:C31)</f>
        <v>-67662.72153939055</v>
      </c>
      <c r="D32" s="266">
        <f ca="1">'T-8'!BV66/'T-8'!D66*10</f>
        <v>-135.72683914152768</v>
      </c>
      <c r="E32" s="150">
        <f ca="1">'T-8'!BB53/'T-8'!BU53*100</f>
        <v>118.27858649565535</v>
      </c>
      <c r="F32" s="151">
        <f ca="1">SUM(F10:F31)</f>
        <v>-19397.863435925414</v>
      </c>
      <c r="G32" s="266">
        <f ca="1">'T-8'!BV53/'T-8'!D53*10</f>
        <v>-88.490732319816644</v>
      </c>
      <c r="H32" s="150">
        <f ca="1">'T-8'!BB34/'T-8'!BU34*100</f>
        <v>77.244392564906605</v>
      </c>
      <c r="I32" s="151">
        <f ca="1">SUM(I10:I31)</f>
        <v>51884.939922465201</v>
      </c>
      <c r="J32" s="266">
        <f ca="1">'T-8'!BV34/'T-8'!D34*10</f>
        <v>156.56288449748106</v>
      </c>
      <c r="K32" s="150">
        <f ca="1">'T-8'!BB67/'T-8'!BU67*100</f>
        <v>107.20872831083935</v>
      </c>
      <c r="L32" s="151">
        <f ca="1">SUM(L10:L31)</f>
        <v>-35175.645052850756</v>
      </c>
      <c r="M32" s="152"/>
    </row>
    <row r="33" spans="1:13" ht="13.5" thickBot="1">
      <c r="A33" s="153"/>
      <c r="B33" s="154"/>
      <c r="C33" s="155"/>
      <c r="D33" s="156"/>
      <c r="E33" s="157"/>
      <c r="F33" s="158"/>
      <c r="G33" s="159"/>
      <c r="H33" s="157"/>
      <c r="I33" s="158"/>
      <c r="J33" s="159"/>
      <c r="K33" s="157"/>
      <c r="L33" s="158"/>
      <c r="M33" s="159"/>
    </row>
    <row r="34" spans="1:13">
      <c r="B34" s="7"/>
    </row>
    <row r="35" spans="1:13">
      <c r="B35" s="7"/>
    </row>
    <row r="38" spans="1:13">
      <c r="L38" s="7"/>
    </row>
    <row r="39" spans="1:13">
      <c r="L39" s="7"/>
    </row>
    <row r="40" spans="1:13">
      <c r="L40" s="7"/>
    </row>
    <row r="41" spans="1:13">
      <c r="L41" s="7"/>
    </row>
    <row r="42" spans="1:13">
      <c r="L42" s="7"/>
    </row>
    <row r="43" spans="1:13">
      <c r="L43" s="7"/>
    </row>
  </sheetData>
  <mergeCells count="16">
    <mergeCell ref="J5:J7"/>
    <mergeCell ref="K5:K7"/>
    <mergeCell ref="B4:D4"/>
    <mergeCell ref="E4:G4"/>
    <mergeCell ref="H4:J4"/>
    <mergeCell ref="K4:M4"/>
    <mergeCell ref="L5:L7"/>
    <mergeCell ref="M5:M7"/>
    <mergeCell ref="B5:B7"/>
    <mergeCell ref="C5:C7"/>
    <mergeCell ref="H5:H7"/>
    <mergeCell ref="I5:I7"/>
    <mergeCell ref="D5:D7"/>
    <mergeCell ref="E5:E7"/>
    <mergeCell ref="F5:F7"/>
    <mergeCell ref="G5:G7"/>
  </mergeCells>
  <phoneticPr fontId="0" type="noConversion"/>
  <printOptions horizontalCentered="1" gridLines="1"/>
  <pageMargins left="0.23622047244094491" right="0" top="0.51181102362204722" bottom="0.51181102362204722" header="0.51181102362204722" footer="0.51181102362204722"/>
  <pageSetup paperSize="9" scale="95" orientation="landscape" r:id="rId1"/>
  <headerFooter alignWithMargins="0">
    <oddFooter>&amp;R&amp;"Arial,Bold"&amp;12OERC FORM-&amp;A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37"/>
  <dimension ref="A1:Q42"/>
  <sheetViews>
    <sheetView view="pageBreakPreview" topLeftCell="A9" zoomScale="85" workbookViewId="0">
      <selection activeCell="E17" sqref="E17"/>
    </sheetView>
  </sheetViews>
  <sheetFormatPr defaultColWidth="14.7109375" defaultRowHeight="12.75"/>
  <cols>
    <col min="1" max="1" width="6" customWidth="1"/>
    <col min="2" max="2" width="45.28515625" customWidth="1"/>
    <col min="3" max="3" width="21.85546875" customWidth="1"/>
    <col min="4" max="4" width="20" customWidth="1"/>
    <col min="5" max="16" width="14.7109375" customWidth="1"/>
    <col min="17" max="17" width="14.7109375" hidden="1" customWidth="1"/>
  </cols>
  <sheetData>
    <row r="1" spans="1:4">
      <c r="A1" s="20" t="s">
        <v>106</v>
      </c>
      <c r="C1" s="3" t="s">
        <v>0</v>
      </c>
      <c r="D1" s="21" t="s">
        <v>750</v>
      </c>
    </row>
    <row r="2" spans="1:4">
      <c r="A2" s="1844" t="s">
        <v>751</v>
      </c>
      <c r="B2" s="1844"/>
      <c r="C2" s="1844"/>
      <c r="D2" s="1844"/>
    </row>
    <row r="3" spans="1:4">
      <c r="A3" s="1844"/>
      <c r="B3" s="1844"/>
      <c r="C3" s="1844"/>
      <c r="D3" s="1844"/>
    </row>
    <row r="4" spans="1:4">
      <c r="A4" s="1844"/>
      <c r="B4" s="1844"/>
      <c r="C4" s="1844"/>
      <c r="D4" s="1844"/>
    </row>
    <row r="5" spans="1:4">
      <c r="D5" s="2" t="s">
        <v>752</v>
      </c>
    </row>
    <row r="6" spans="1:4" ht="15.75">
      <c r="A6" s="1501" t="s">
        <v>753</v>
      </c>
      <c r="B6" s="1421" t="s">
        <v>754</v>
      </c>
      <c r="C6" s="1422" t="s">
        <v>320</v>
      </c>
      <c r="D6" s="1422" t="s">
        <v>321</v>
      </c>
    </row>
    <row r="7" spans="1:4" ht="15.75">
      <c r="A7" s="23"/>
      <c r="B7" s="23"/>
      <c r="C7" s="1422"/>
      <c r="D7" s="29"/>
    </row>
    <row r="8" spans="1:4">
      <c r="A8" s="23">
        <v>1</v>
      </c>
      <c r="B8" s="23" t="s">
        <v>755</v>
      </c>
      <c r="C8" s="1502">
        <v>20</v>
      </c>
      <c r="D8" s="1502">
        <v>20</v>
      </c>
    </row>
    <row r="9" spans="1:4">
      <c r="A9" s="23">
        <v>2</v>
      </c>
      <c r="B9" s="23" t="s">
        <v>756</v>
      </c>
      <c r="C9" s="1502">
        <v>40</v>
      </c>
      <c r="D9" s="1502">
        <v>40</v>
      </c>
    </row>
    <row r="10" spans="1:4">
      <c r="A10" s="23">
        <v>3</v>
      </c>
      <c r="B10" s="23" t="s">
        <v>757</v>
      </c>
      <c r="C10" s="1502">
        <v>1000</v>
      </c>
      <c r="D10" s="1502">
        <v>1000</v>
      </c>
    </row>
    <row r="11" spans="1:4">
      <c r="A11" s="23">
        <v>4</v>
      </c>
      <c r="B11" s="23" t="s">
        <v>758</v>
      </c>
      <c r="C11" s="1502">
        <v>1000</v>
      </c>
      <c r="D11" s="1502">
        <v>1000</v>
      </c>
    </row>
    <row r="12" spans="1:4">
      <c r="A12" s="23">
        <v>5</v>
      </c>
      <c r="B12" s="23" t="s">
        <v>759</v>
      </c>
      <c r="C12" s="1502">
        <v>40</v>
      </c>
      <c r="D12" s="1502">
        <v>40</v>
      </c>
    </row>
    <row r="13" spans="1:4">
      <c r="A13" s="23">
        <v>6</v>
      </c>
      <c r="B13" s="23" t="s">
        <v>760</v>
      </c>
      <c r="C13" s="1502">
        <v>150</v>
      </c>
      <c r="D13" s="1502">
        <v>150</v>
      </c>
    </row>
    <row r="14" spans="1:4">
      <c r="A14" s="23">
        <v>7</v>
      </c>
      <c r="B14" s="23" t="s">
        <v>761</v>
      </c>
      <c r="C14" s="1502">
        <v>1000</v>
      </c>
      <c r="D14" s="1502">
        <v>1000</v>
      </c>
    </row>
    <row r="15" spans="1:4">
      <c r="A15" s="23">
        <v>8</v>
      </c>
      <c r="B15" s="23" t="s">
        <v>762</v>
      </c>
      <c r="C15" s="1502">
        <v>1000</v>
      </c>
      <c r="D15" s="1502">
        <v>1000</v>
      </c>
    </row>
    <row r="16" spans="1:4">
      <c r="A16" s="23">
        <v>9</v>
      </c>
      <c r="B16" s="23" t="s">
        <v>2305</v>
      </c>
      <c r="C16" s="1502">
        <v>60</v>
      </c>
      <c r="D16" s="1502">
        <v>80</v>
      </c>
    </row>
    <row r="17" spans="1:14">
      <c r="A17" s="23">
        <v>10</v>
      </c>
      <c r="B17" s="23" t="s">
        <v>2306</v>
      </c>
      <c r="C17" s="1502">
        <v>150</v>
      </c>
      <c r="D17" s="1502">
        <v>150</v>
      </c>
    </row>
    <row r="18" spans="1:14">
      <c r="A18" s="23">
        <v>11</v>
      </c>
      <c r="B18" s="23" t="s">
        <v>763</v>
      </c>
      <c r="C18" s="80"/>
      <c r="D18" s="80"/>
    </row>
    <row r="19" spans="1:14">
      <c r="A19" s="23">
        <v>12</v>
      </c>
      <c r="B19" s="23" t="s">
        <v>764</v>
      </c>
      <c r="C19" s="80"/>
      <c r="D19" s="80"/>
    </row>
    <row r="20" spans="1:14">
      <c r="A20" s="23"/>
      <c r="B20" s="23"/>
      <c r="C20" s="80"/>
      <c r="D20" s="80"/>
    </row>
    <row r="21" spans="1:14" ht="15.75">
      <c r="A21" s="1422" t="s">
        <v>765</v>
      </c>
      <c r="B21" s="1421" t="s">
        <v>766</v>
      </c>
      <c r="C21" s="80"/>
      <c r="D21" s="80"/>
    </row>
    <row r="22" spans="1:14">
      <c r="A22" s="23"/>
      <c r="B22" s="23"/>
      <c r="C22" s="191"/>
      <c r="D22" s="80"/>
      <c r="N22" s="506"/>
    </row>
    <row r="23" spans="1:14">
      <c r="A23" s="23">
        <v>1</v>
      </c>
      <c r="B23" s="23" t="s">
        <v>767</v>
      </c>
      <c r="C23" s="1502">
        <v>150</v>
      </c>
      <c r="D23" s="1502">
        <f>150*2</f>
        <v>300</v>
      </c>
      <c r="G23" s="223"/>
      <c r="N23" s="506"/>
    </row>
    <row r="24" spans="1:14">
      <c r="A24" s="23">
        <v>2</v>
      </c>
      <c r="B24" s="23" t="s">
        <v>768</v>
      </c>
      <c r="C24" s="1502">
        <v>400</v>
      </c>
      <c r="D24" s="1502">
        <f>400*2</f>
        <v>800</v>
      </c>
      <c r="N24" s="506"/>
    </row>
    <row r="25" spans="1:14">
      <c r="A25" s="23">
        <v>3</v>
      </c>
      <c r="B25" s="23" t="s">
        <v>769</v>
      </c>
      <c r="C25" s="1502">
        <v>600</v>
      </c>
      <c r="D25" s="1502">
        <f>600*2</f>
        <v>1200</v>
      </c>
    </row>
    <row r="26" spans="1:14">
      <c r="A26" s="23">
        <v>4</v>
      </c>
      <c r="B26" s="23" t="s">
        <v>770</v>
      </c>
      <c r="C26" s="1502">
        <v>3000</v>
      </c>
      <c r="D26" s="1502">
        <f>3000*2</f>
        <v>6000</v>
      </c>
    </row>
    <row r="27" spans="1:14">
      <c r="A27" s="23"/>
      <c r="B27" s="23"/>
      <c r="C27" s="29"/>
      <c r="D27" s="29"/>
    </row>
    <row r="28" spans="1:14" ht="27.95" customHeight="1">
      <c r="A28" s="1503" t="s">
        <v>771</v>
      </c>
      <c r="B28" s="1504" t="s">
        <v>772</v>
      </c>
      <c r="C28" s="29"/>
      <c r="D28" s="29"/>
    </row>
    <row r="29" spans="1:14">
      <c r="A29" s="23"/>
      <c r="B29" s="23"/>
      <c r="C29" s="29"/>
      <c r="D29" s="29"/>
    </row>
    <row r="30" spans="1:14" ht="15">
      <c r="A30" s="23"/>
      <c r="B30" s="1505" t="s">
        <v>773</v>
      </c>
      <c r="C30" s="29"/>
      <c r="D30" s="29"/>
    </row>
    <row r="31" spans="1:14">
      <c r="A31" s="23"/>
      <c r="B31" s="23"/>
      <c r="C31" s="29"/>
      <c r="D31" s="29"/>
    </row>
    <row r="32" spans="1:14" ht="42.95" customHeight="1">
      <c r="A32" s="1503" t="s">
        <v>774</v>
      </c>
      <c r="B32" s="1504" t="s">
        <v>775</v>
      </c>
      <c r="C32" s="29"/>
      <c r="D32" s="1506" t="s">
        <v>776</v>
      </c>
    </row>
    <row r="33" spans="1:4">
      <c r="A33" s="23"/>
      <c r="B33" s="23"/>
      <c r="C33" s="29"/>
      <c r="D33" s="29"/>
    </row>
    <row r="34" spans="1:4" ht="15.75">
      <c r="A34" s="1422" t="s">
        <v>777</v>
      </c>
      <c r="B34" s="23" t="s">
        <v>778</v>
      </c>
      <c r="C34" s="29"/>
      <c r="D34" s="1506" t="s">
        <v>776</v>
      </c>
    </row>
    <row r="35" spans="1:4">
      <c r="A35" s="23"/>
      <c r="B35" s="23"/>
      <c r="C35" s="29"/>
      <c r="D35" s="29"/>
    </row>
    <row r="36" spans="1:4" ht="27.95" customHeight="1">
      <c r="A36" s="1503" t="s">
        <v>779</v>
      </c>
      <c r="B36" s="1504" t="s">
        <v>780</v>
      </c>
      <c r="C36" s="29"/>
      <c r="D36" s="1506" t="s">
        <v>776</v>
      </c>
    </row>
    <row r="37" spans="1:4">
      <c r="A37" s="23"/>
      <c r="B37" s="23"/>
      <c r="C37" s="29"/>
      <c r="D37" s="29"/>
    </row>
    <row r="38" spans="1:4" ht="15.75">
      <c r="A38" s="1503" t="s">
        <v>781</v>
      </c>
      <c r="B38" s="1504" t="s">
        <v>782</v>
      </c>
      <c r="C38" s="29"/>
      <c r="D38" s="1506" t="s">
        <v>783</v>
      </c>
    </row>
    <row r="39" spans="1:4">
      <c r="A39" s="23"/>
      <c r="B39" s="23"/>
      <c r="C39" s="29"/>
      <c r="D39" s="29"/>
    </row>
    <row r="40" spans="1:4" ht="15.75">
      <c r="A40" s="1503" t="s">
        <v>784</v>
      </c>
      <c r="B40" s="1504" t="s">
        <v>785</v>
      </c>
      <c r="C40" s="29"/>
      <c r="D40" s="1506" t="s">
        <v>776</v>
      </c>
    </row>
    <row r="41" spans="1:4">
      <c r="A41" s="23"/>
      <c r="B41" s="23"/>
      <c r="C41" s="29"/>
      <c r="D41" s="29"/>
    </row>
    <row r="42" spans="1:4" ht="15.75">
      <c r="A42" s="1503" t="s">
        <v>786</v>
      </c>
      <c r="B42" s="1504" t="s">
        <v>787</v>
      </c>
      <c r="C42" s="29"/>
      <c r="D42" s="1506" t="s">
        <v>776</v>
      </c>
    </row>
  </sheetData>
  <mergeCells count="1">
    <mergeCell ref="A2:D4"/>
  </mergeCells>
  <phoneticPr fontId="0" type="noConversion"/>
  <printOptions horizontalCentered="1"/>
  <pageMargins left="0.51181102362204722" right="0" top="0.74803149606299213" bottom="0.74803149606299213" header="0.51181102362204722" footer="0.51181102362204722"/>
  <pageSetup paperSize="9" orientation="portrait" horizontalDpi="300" verticalDpi="300" r:id="rId1"/>
  <headerFooter alignWithMargins="0">
    <oddFooter xml:space="preserve">&amp;R&amp;"Arial,Bold"&amp;12OERC Form-&amp;A&amp;"Arial,Regular"&amp;10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38"/>
  <dimension ref="A1:Q35"/>
  <sheetViews>
    <sheetView view="pageBreakPreview" topLeftCell="A2" zoomScaleSheetLayoutView="85" workbookViewId="0">
      <selection activeCell="C12" sqref="C12"/>
    </sheetView>
  </sheetViews>
  <sheetFormatPr defaultColWidth="14.7109375" defaultRowHeight="12.75"/>
  <cols>
    <col min="1" max="1" width="6" customWidth="1"/>
    <col min="2" max="2" width="40.7109375" customWidth="1"/>
    <col min="3" max="3" width="10.5703125" customWidth="1"/>
    <col min="4" max="4" width="11.85546875" customWidth="1"/>
    <col min="5" max="5" width="10.85546875" customWidth="1"/>
    <col min="6" max="16" width="14.7109375" customWidth="1"/>
    <col min="17" max="17" width="14.7109375" hidden="1" customWidth="1"/>
  </cols>
  <sheetData>
    <row r="1" spans="1:7">
      <c r="A1" s="20" t="s">
        <v>106</v>
      </c>
      <c r="C1" s="3" t="s">
        <v>0</v>
      </c>
      <c r="D1" s="853" t="s">
        <v>788</v>
      </c>
    </row>
    <row r="2" spans="1:7" ht="15.75">
      <c r="A2" s="1847" t="s">
        <v>789</v>
      </c>
      <c r="B2" s="1847"/>
      <c r="C2" s="1847"/>
      <c r="D2" s="1847"/>
      <c r="E2" s="1847"/>
    </row>
    <row r="3" spans="1:7">
      <c r="E3" s="2" t="s">
        <v>526</v>
      </c>
    </row>
    <row r="4" spans="1:7">
      <c r="A4" s="1845" t="s">
        <v>790</v>
      </c>
      <c r="B4" s="1845" t="s">
        <v>791</v>
      </c>
      <c r="C4" s="1845" t="s">
        <v>2241</v>
      </c>
      <c r="D4" s="1845" t="s">
        <v>2242</v>
      </c>
      <c r="E4" s="1845" t="s">
        <v>2243</v>
      </c>
    </row>
    <row r="5" spans="1:7" ht="13.5" thickBot="1">
      <c r="A5" s="1846" t="s">
        <v>23</v>
      </c>
      <c r="B5" s="1846"/>
      <c r="C5" s="1846"/>
      <c r="D5" s="1846"/>
      <c r="E5" s="1846"/>
    </row>
    <row r="6" spans="1:7" ht="13.5" thickTop="1">
      <c r="A6" s="81"/>
      <c r="B6" s="81"/>
      <c r="C6" s="81"/>
      <c r="D6" s="81"/>
      <c r="E6" s="81"/>
    </row>
    <row r="7" spans="1:7">
      <c r="A7" s="29">
        <v>1</v>
      </c>
      <c r="B7" s="23" t="s">
        <v>792</v>
      </c>
      <c r="C7" s="36">
        <f>37888.34</f>
        <v>37888.339999999997</v>
      </c>
      <c r="D7" s="36">
        <f>C16</f>
        <v>118731.43</v>
      </c>
      <c r="E7" s="36">
        <f>D16</f>
        <v>131826.61561299069</v>
      </c>
      <c r="F7" s="7"/>
    </row>
    <row r="8" spans="1:7">
      <c r="A8" s="29"/>
      <c r="B8" s="23" t="s">
        <v>793</v>
      </c>
      <c r="C8" s="23"/>
      <c r="D8" s="36"/>
      <c r="E8" s="36"/>
    </row>
    <row r="9" spans="1:7">
      <c r="A9" s="29"/>
      <c r="B9" s="23"/>
      <c r="C9" s="23"/>
      <c r="D9" s="36"/>
      <c r="E9" s="36"/>
    </row>
    <row r="10" spans="1:7">
      <c r="A10" s="29">
        <v>2</v>
      </c>
      <c r="B10" s="23" t="s">
        <v>794</v>
      </c>
      <c r="C10" s="36">
        <f>'F-22'!B6+'F-22'!B8</f>
        <v>429304.89690979995</v>
      </c>
      <c r="D10" s="36">
        <f>'F-22'!C6+'F-22'!C7+'F-22'!C8+'F-22'!C9</f>
        <v>636794.36701861769</v>
      </c>
      <c r="E10" s="36">
        <f>'F-22'!D6+'F-22'!D8+'F-22'!D9+'F-22'!D7</f>
        <v>646115.78330625396</v>
      </c>
    </row>
    <row r="11" spans="1:7">
      <c r="A11" s="29"/>
      <c r="B11" s="23"/>
      <c r="C11" s="23"/>
      <c r="D11" s="36"/>
      <c r="E11" s="36"/>
    </row>
    <row r="12" spans="1:7">
      <c r="A12" s="29">
        <v>3</v>
      </c>
      <c r="B12" s="23" t="s">
        <v>795</v>
      </c>
      <c r="C12" s="36">
        <v>348461.81</v>
      </c>
      <c r="D12" s="36">
        <f>'F-23 CASHFLOW'!B7</f>
        <v>623699.18140562694</v>
      </c>
      <c r="E12" s="36">
        <f>'F-23 CASHFLOW'!C7</f>
        <v>641318.95947812474</v>
      </c>
      <c r="F12" s="7"/>
      <c r="G12" s="7"/>
    </row>
    <row r="13" spans="1:7">
      <c r="A13" s="29"/>
      <c r="B13" s="23" t="s">
        <v>796</v>
      </c>
      <c r="C13" s="36">
        <f>C12-C14</f>
        <v>342836.81</v>
      </c>
      <c r="D13" s="36">
        <f>D12-D14</f>
        <v>600299.18140562694</v>
      </c>
      <c r="E13" s="36">
        <f>E12-E14</f>
        <v>596318.95947812474</v>
      </c>
    </row>
    <row r="14" spans="1:7">
      <c r="A14" s="29"/>
      <c r="B14" s="23" t="s">
        <v>797</v>
      </c>
      <c r="C14" s="36">
        <v>5625</v>
      </c>
      <c r="D14" s="36">
        <f>23400</f>
        <v>23400</v>
      </c>
      <c r="E14" s="36">
        <v>45000</v>
      </c>
    </row>
    <row r="15" spans="1:7">
      <c r="A15" s="29"/>
      <c r="B15" s="23"/>
      <c r="C15" s="36"/>
      <c r="D15" s="36"/>
      <c r="E15" s="36"/>
    </row>
    <row r="16" spans="1:7">
      <c r="A16" s="29">
        <v>4</v>
      </c>
      <c r="B16" s="23" t="s">
        <v>798</v>
      </c>
      <c r="C16" s="36">
        <v>118731.43</v>
      </c>
      <c r="D16" s="36">
        <f>D7+D10-D12</f>
        <v>131826.61561299069</v>
      </c>
      <c r="E16" s="36">
        <f>E7+E10-E12</f>
        <v>136623.4394411199</v>
      </c>
    </row>
    <row r="17" spans="1:14">
      <c r="A17" s="29"/>
      <c r="B17" s="502" t="s">
        <v>799</v>
      </c>
      <c r="C17" s="36"/>
      <c r="D17" s="36"/>
      <c r="E17" s="36"/>
    </row>
    <row r="18" spans="1:14">
      <c r="A18" s="29"/>
      <c r="B18" s="23"/>
      <c r="C18" s="36"/>
      <c r="D18" s="36"/>
      <c r="E18" s="36"/>
    </row>
    <row r="19" spans="1:14">
      <c r="A19" s="29">
        <v>5</v>
      </c>
      <c r="B19" s="23" t="s">
        <v>800</v>
      </c>
      <c r="C19" s="36"/>
      <c r="D19" s="36"/>
      <c r="E19" s="36"/>
    </row>
    <row r="20" spans="1:14">
      <c r="A20" s="29"/>
      <c r="B20" s="23" t="s">
        <v>801</v>
      </c>
      <c r="C20" s="36"/>
      <c r="D20" s="36"/>
      <c r="E20" s="36"/>
    </row>
    <row r="21" spans="1:14">
      <c r="A21" s="29"/>
      <c r="B21" s="23"/>
      <c r="C21" s="36"/>
      <c r="D21" s="36"/>
      <c r="E21" s="36"/>
    </row>
    <row r="22" spans="1:14">
      <c r="A22" s="29">
        <v>6</v>
      </c>
      <c r="B22" s="23" t="s">
        <v>802</v>
      </c>
      <c r="C22" s="36">
        <f>C16-C19</f>
        <v>118731.43</v>
      </c>
      <c r="D22" s="36">
        <f>D16-D19</f>
        <v>131826.61561299069</v>
      </c>
      <c r="E22" s="36">
        <f>E16-E19</f>
        <v>136623.4394411199</v>
      </c>
      <c r="N22" s="506"/>
    </row>
    <row r="23" spans="1:14">
      <c r="A23" s="29"/>
      <c r="B23" s="23"/>
      <c r="C23" s="36"/>
      <c r="D23" s="36"/>
      <c r="E23" s="36"/>
      <c r="N23" s="506"/>
    </row>
    <row r="24" spans="1:14">
      <c r="A24" s="29"/>
      <c r="B24" s="23"/>
      <c r="C24" s="36"/>
      <c r="D24" s="36"/>
      <c r="E24" s="36"/>
      <c r="N24" s="506"/>
    </row>
    <row r="25" spans="1:14">
      <c r="A25" s="29">
        <v>7</v>
      </c>
      <c r="B25" s="23" t="s">
        <v>803</v>
      </c>
      <c r="C25" s="36">
        <v>5355.16</v>
      </c>
      <c r="D25" s="36">
        <f>'F-6'!L15+C25</f>
        <v>11187.01200463955</v>
      </c>
      <c r="E25" s="36">
        <f>'F-6'!P15+D25</f>
        <v>17358.835832768757</v>
      </c>
      <c r="F25" s="7"/>
    </row>
    <row r="26" spans="1:14">
      <c r="A26" s="29"/>
      <c r="B26" s="23"/>
      <c r="C26" s="23"/>
      <c r="D26" s="23"/>
      <c r="E26" s="23"/>
    </row>
    <row r="27" spans="1:14">
      <c r="A27" s="29"/>
      <c r="B27" s="23"/>
      <c r="C27" s="23"/>
      <c r="D27" s="23"/>
      <c r="E27" s="23"/>
    </row>
    <row r="28" spans="1:14">
      <c r="A28" s="29"/>
      <c r="B28" s="23"/>
      <c r="C28" s="23"/>
      <c r="D28" s="23"/>
      <c r="E28" s="23"/>
    </row>
    <row r="29" spans="1:14">
      <c r="A29" s="29">
        <v>8</v>
      </c>
      <c r="B29" s="23" t="s">
        <v>804</v>
      </c>
      <c r="C29" s="108">
        <f>C25/C22</f>
        <v>4.5103137391674639E-2</v>
      </c>
      <c r="D29" s="108">
        <f>D25/D22</f>
        <v>8.4861558135435736E-2</v>
      </c>
      <c r="E29" s="108">
        <f>E25/E22</f>
        <v>0.12705605936856706</v>
      </c>
    </row>
    <row r="30" spans="1:14">
      <c r="A30" s="23"/>
      <c r="B30" s="23" t="s">
        <v>805</v>
      </c>
      <c r="C30" s="23"/>
      <c r="D30" s="23"/>
      <c r="E30" s="23"/>
    </row>
    <row r="31" spans="1:14">
      <c r="A31" s="2" t="s">
        <v>806</v>
      </c>
      <c r="B31" s="2"/>
      <c r="C31" s="2"/>
      <c r="D31" s="2"/>
    </row>
    <row r="32" spans="1:14">
      <c r="B32" s="2" t="s">
        <v>807</v>
      </c>
      <c r="C32" s="12">
        <f>C22-C25</f>
        <v>113376.26999999999</v>
      </c>
      <c r="D32" s="12">
        <f>D22-D25</f>
        <v>120639.60360835114</v>
      </c>
      <c r="E32" s="12">
        <f>E22-E25</f>
        <v>119264.60360835114</v>
      </c>
    </row>
    <row r="33" spans="2:5">
      <c r="B33" s="2"/>
      <c r="C33" s="12"/>
      <c r="D33" s="12"/>
      <c r="E33" s="12"/>
    </row>
    <row r="34" spans="2:5">
      <c r="B34" s="161" t="s">
        <v>808</v>
      </c>
      <c r="C34" s="162">
        <f>'F-21'!C31</f>
        <v>113376.2689375</v>
      </c>
      <c r="D34" s="162">
        <f>'F-21'!D31</f>
        <v>120639.60254585114</v>
      </c>
      <c r="E34" s="162">
        <f>'F-21'!E31</f>
        <v>119264.60254585114</v>
      </c>
    </row>
    <row r="35" spans="2:5">
      <c r="B35" s="161"/>
      <c r="C35" s="162">
        <f>C32-C34</f>
        <v>1.0624999849824235E-3</v>
      </c>
      <c r="D35" s="162">
        <f>D32-D34</f>
        <v>1.0624999995343387E-3</v>
      </c>
      <c r="E35" s="162">
        <f>E32-E34</f>
        <v>1.0624999995343387E-3</v>
      </c>
    </row>
  </sheetData>
  <mergeCells count="6">
    <mergeCell ref="C4:C5"/>
    <mergeCell ref="D4:D5"/>
    <mergeCell ref="A2:E2"/>
    <mergeCell ref="B4:B5"/>
    <mergeCell ref="A4:A5"/>
    <mergeCell ref="E4:E5"/>
  </mergeCells>
  <phoneticPr fontId="0" type="noConversion"/>
  <printOptions horizontalCentered="1" verticalCentered="1" gridLines="1"/>
  <pageMargins left="0.39370078740157483" right="0.39370078740157483" top="1.4960629921259843" bottom="0.98425196850393704" header="0.51181102362204722" footer="0.51181102362204722"/>
  <pageSetup paperSize="9" scale="115" orientation="portrait" r:id="rId1"/>
  <headerFooter alignWithMargins="0">
    <oddFooter xml:space="preserve">&amp;R&amp;"Arial,Bold"&amp;12OERC FORM-&amp;A&amp;"Arial,Regular"&amp;10
</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39"/>
  <dimension ref="A1:S52"/>
  <sheetViews>
    <sheetView view="pageBreakPreview" topLeftCell="A30" zoomScale="95" zoomScaleSheetLayoutView="95" workbookViewId="0">
      <selection activeCell="B10" sqref="A10:XFD10"/>
    </sheetView>
  </sheetViews>
  <sheetFormatPr defaultColWidth="14.7109375" defaultRowHeight="12.75"/>
  <cols>
    <col min="1" max="1" width="6" customWidth="1"/>
    <col min="2" max="2" width="27.85546875" customWidth="1"/>
    <col min="3" max="3" width="11.28515625" bestFit="1" customWidth="1"/>
    <col min="4" max="4" width="10.5703125" bestFit="1" customWidth="1"/>
    <col min="5" max="5" width="9.5703125" bestFit="1" customWidth="1"/>
    <col min="6" max="6" width="8.85546875" customWidth="1"/>
    <col min="7" max="7" width="10.28515625" bestFit="1" customWidth="1"/>
    <col min="8" max="8" width="10" bestFit="1" customWidth="1"/>
    <col min="9" max="9" width="9.85546875" bestFit="1" customWidth="1"/>
    <col min="10" max="10" width="10.28515625" bestFit="1" customWidth="1"/>
    <col min="11" max="11" width="10" bestFit="1" customWidth="1"/>
    <col min="12" max="12" width="9.28515625" bestFit="1" customWidth="1"/>
    <col min="13" max="13" width="9.140625" customWidth="1"/>
    <col min="14" max="14" width="8.5703125" customWidth="1"/>
    <col min="15" max="15" width="11.28515625" bestFit="1" customWidth="1"/>
    <col min="16" max="16" width="11.42578125" bestFit="1" customWidth="1"/>
  </cols>
  <sheetData>
    <row r="1" spans="1:19">
      <c r="A1" s="20" t="s">
        <v>809</v>
      </c>
      <c r="L1" s="3" t="s">
        <v>0</v>
      </c>
      <c r="M1" s="853" t="s">
        <v>810</v>
      </c>
      <c r="N1" s="853"/>
      <c r="O1" s="1"/>
    </row>
    <row r="2" spans="1:19" ht="15.75">
      <c r="A2" s="854" t="s">
        <v>811</v>
      </c>
      <c r="B2" s="26"/>
      <c r="C2" s="26"/>
      <c r="D2" s="26"/>
      <c r="E2" s="26"/>
      <c r="F2" s="26"/>
      <c r="G2" s="26"/>
      <c r="H2" s="26"/>
      <c r="I2" s="26"/>
      <c r="J2" s="26"/>
      <c r="K2" s="26"/>
      <c r="L2" s="26"/>
      <c r="M2" s="26"/>
      <c r="N2" s="26"/>
      <c r="O2" s="26"/>
      <c r="P2" s="2" t="s">
        <v>526</v>
      </c>
    </row>
    <row r="3" spans="1:19">
      <c r="C3" s="7"/>
      <c r="D3" s="7"/>
      <c r="E3" s="7"/>
      <c r="F3" s="31" t="s">
        <v>631</v>
      </c>
      <c r="G3" s="7"/>
      <c r="H3" s="7"/>
      <c r="I3" s="7"/>
      <c r="J3" s="7"/>
      <c r="K3" s="7"/>
      <c r="L3" s="7"/>
      <c r="M3" s="7"/>
      <c r="N3" s="7"/>
      <c r="O3" s="7"/>
      <c r="P3" s="7"/>
    </row>
    <row r="4" spans="1:19">
      <c r="A4" s="855" t="s">
        <v>812</v>
      </c>
      <c r="B4" s="856" t="s">
        <v>791</v>
      </c>
      <c r="C4" s="857">
        <v>44287</v>
      </c>
      <c r="D4" s="857">
        <v>44317</v>
      </c>
      <c r="E4" s="857">
        <v>44348</v>
      </c>
      <c r="F4" s="857">
        <v>44378</v>
      </c>
      <c r="G4" s="857">
        <v>44409</v>
      </c>
      <c r="H4" s="857">
        <v>44440</v>
      </c>
      <c r="I4" s="857">
        <v>44470</v>
      </c>
      <c r="J4" s="857">
        <v>44501</v>
      </c>
      <c r="K4" s="857">
        <v>44531</v>
      </c>
      <c r="L4" s="857">
        <v>44562</v>
      </c>
      <c r="M4" s="857">
        <v>44593</v>
      </c>
      <c r="N4" s="857">
        <v>44621</v>
      </c>
      <c r="O4" s="858" t="s">
        <v>147</v>
      </c>
      <c r="P4" s="858" t="s">
        <v>813</v>
      </c>
    </row>
    <row r="5" spans="1:19">
      <c r="A5" s="859" t="s">
        <v>23</v>
      </c>
      <c r="B5" s="860"/>
      <c r="C5" s="861"/>
      <c r="D5" s="861"/>
      <c r="E5" s="861"/>
      <c r="F5" s="861"/>
      <c r="G5" s="861"/>
      <c r="H5" s="861"/>
      <c r="I5" s="861"/>
      <c r="J5" s="861"/>
      <c r="K5" s="861"/>
      <c r="L5" s="861"/>
      <c r="M5" s="861"/>
      <c r="N5" s="862"/>
      <c r="O5" s="863"/>
      <c r="P5" s="863"/>
    </row>
    <row r="6" spans="1:19">
      <c r="A6" s="23"/>
      <c r="B6" s="23"/>
      <c r="C6" s="36"/>
      <c r="D6" s="36"/>
      <c r="E6" s="36"/>
      <c r="F6" s="36"/>
      <c r="G6" s="36"/>
      <c r="H6" s="36"/>
      <c r="I6" s="36"/>
      <c r="J6" s="36"/>
      <c r="K6" s="36"/>
      <c r="L6" s="36"/>
      <c r="M6" s="36"/>
      <c r="N6" s="36"/>
      <c r="O6" s="36"/>
      <c r="P6" s="36"/>
      <c r="R6" t="s">
        <v>30</v>
      </c>
    </row>
    <row r="7" spans="1:19">
      <c r="A7" s="29">
        <v>1</v>
      </c>
      <c r="B7" s="23" t="s">
        <v>814</v>
      </c>
      <c r="C7" s="7">
        <f>(639109105.723672)/100000</f>
        <v>6391.0910572367202</v>
      </c>
      <c r="D7" s="36">
        <f t="shared" ref="D7:N7" si="0">C16</f>
        <v>6502.6347975367207</v>
      </c>
      <c r="E7" s="36">
        <f t="shared" si="0"/>
        <v>6806.7602168367202</v>
      </c>
      <c r="F7" s="36">
        <f t="shared" si="0"/>
        <v>6584.6702880367211</v>
      </c>
      <c r="G7" s="36">
        <f t="shared" si="0"/>
        <v>6678.8342095367216</v>
      </c>
      <c r="H7" s="36">
        <f t="shared" si="0"/>
        <v>6915.2295394367211</v>
      </c>
      <c r="I7" s="36">
        <f t="shared" si="0"/>
        <v>7608.09551863672</v>
      </c>
      <c r="J7" s="36">
        <f t="shared" si="0"/>
        <v>7696.8266347367507</v>
      </c>
      <c r="K7" s="36">
        <f t="shared" si="0"/>
        <v>7911.29510693673</v>
      </c>
      <c r="L7" s="36">
        <f t="shared" si="0"/>
        <v>8487.6035411666562</v>
      </c>
      <c r="M7" s="36">
        <f t="shared" si="0"/>
        <v>10272.182064366652</v>
      </c>
      <c r="N7" s="36">
        <f t="shared" si="0"/>
        <v>9677.9862632666518</v>
      </c>
      <c r="O7" s="36">
        <f>C7</f>
        <v>6391.0910572367202</v>
      </c>
      <c r="P7" s="36"/>
    </row>
    <row r="8" spans="1:19">
      <c r="A8" s="29"/>
      <c r="B8" s="23"/>
      <c r="C8" s="36"/>
      <c r="D8" s="36"/>
      <c r="E8" s="36"/>
      <c r="F8" s="36"/>
      <c r="G8" s="36"/>
      <c r="H8" s="36"/>
      <c r="I8" s="36"/>
      <c r="J8" s="36"/>
      <c r="K8" s="36"/>
      <c r="L8" s="36"/>
      <c r="M8" s="36"/>
      <c r="N8" s="36"/>
      <c r="O8" s="36"/>
      <c r="P8" s="36"/>
    </row>
    <row r="9" spans="1:19">
      <c r="A9" s="29">
        <v>2</v>
      </c>
      <c r="B9" s="23" t="s">
        <v>815</v>
      </c>
      <c r="C9" s="36">
        <v>122.75597289999999</v>
      </c>
      <c r="D9" s="36">
        <v>330.53933900000004</v>
      </c>
      <c r="E9" s="36">
        <v>79.763099600000004</v>
      </c>
      <c r="F9" s="36">
        <v>153.39419770000001</v>
      </c>
      <c r="G9" s="36">
        <v>258.90459340000001</v>
      </c>
      <c r="H9" s="36">
        <v>864.68720130000042</v>
      </c>
      <c r="I9" s="36">
        <v>388.66278080000006</v>
      </c>
      <c r="J9" s="36">
        <v>791.29298199999971</v>
      </c>
      <c r="K9" s="36">
        <v>924.7156291</v>
      </c>
      <c r="L9" s="36">
        <f>2439.7202233-200</f>
        <v>2239.7202232999998</v>
      </c>
      <c r="M9" s="36">
        <f>971.9952255-45.13</f>
        <v>926.86522549999995</v>
      </c>
      <c r="N9" s="36">
        <f>4745.293839-2000</f>
        <v>2745.2938389999999</v>
      </c>
      <c r="O9" s="36">
        <f>SUM(C9:N9)</f>
        <v>9826.5950836000011</v>
      </c>
      <c r="P9" s="36"/>
    </row>
    <row r="10" spans="1:19">
      <c r="A10" s="29"/>
      <c r="B10" s="23"/>
      <c r="C10" s="36"/>
      <c r="D10" s="36"/>
      <c r="E10" s="36"/>
      <c r="F10" s="36"/>
      <c r="G10" s="36"/>
      <c r="H10" s="36"/>
      <c r="I10" s="36"/>
      <c r="J10" s="36"/>
      <c r="K10" s="36"/>
      <c r="L10" s="36"/>
      <c r="M10" s="36"/>
      <c r="N10" s="36"/>
      <c r="O10" s="36"/>
      <c r="P10" s="36"/>
    </row>
    <row r="11" spans="1:19">
      <c r="A11" s="29">
        <v>3</v>
      </c>
      <c r="B11" s="23" t="s">
        <v>816</v>
      </c>
      <c r="C11" s="36">
        <v>11.2122326</v>
      </c>
      <c r="D11" s="36">
        <v>26.413919700000001</v>
      </c>
      <c r="E11" s="36">
        <v>301.853028399999</v>
      </c>
      <c r="F11" s="36">
        <v>59.230276199999999</v>
      </c>
      <c r="G11" s="36">
        <v>22.509263499999999</v>
      </c>
      <c r="H11" s="36">
        <v>171.82122210000102</v>
      </c>
      <c r="I11" s="36">
        <v>299.93166469996999</v>
      </c>
      <c r="J11" s="36">
        <v>576.82450980002102</v>
      </c>
      <c r="K11" s="36">
        <v>348.407194870073</v>
      </c>
      <c r="L11" s="36">
        <v>455.14170010000197</v>
      </c>
      <c r="M11" s="36">
        <v>1521.0610265999999</v>
      </c>
      <c r="N11" s="36">
        <v>4724.2530797012296</v>
      </c>
      <c r="O11" s="36">
        <f>SUM(C11:N11)</f>
        <v>8518.6591182712946</v>
      </c>
      <c r="P11" s="36"/>
    </row>
    <row r="12" spans="1:19">
      <c r="A12" s="29"/>
      <c r="B12" s="23"/>
      <c r="C12" s="36"/>
      <c r="D12" s="36"/>
      <c r="E12" s="36"/>
      <c r="F12" s="36"/>
      <c r="G12" s="36"/>
      <c r="H12" s="36"/>
      <c r="I12" s="36"/>
      <c r="J12" s="36"/>
      <c r="K12" s="36"/>
      <c r="L12" s="36"/>
      <c r="M12" s="36"/>
      <c r="N12" s="36"/>
      <c r="O12" s="36"/>
      <c r="P12" s="36"/>
    </row>
    <row r="13" spans="1:19">
      <c r="A13" s="29">
        <v>4</v>
      </c>
      <c r="B13" s="23" t="s">
        <v>817</v>
      </c>
      <c r="C13" s="36"/>
      <c r="D13" s="36"/>
      <c r="E13" s="36"/>
      <c r="F13" s="36"/>
      <c r="G13" s="36"/>
      <c r="H13" s="36"/>
      <c r="I13" s="36"/>
      <c r="J13" s="36"/>
      <c r="K13" s="36"/>
      <c r="L13" s="36"/>
      <c r="M13" s="36"/>
      <c r="N13" s="36"/>
      <c r="O13" s="36"/>
      <c r="P13" s="36"/>
    </row>
    <row r="14" spans="1:19">
      <c r="A14" s="29"/>
      <c r="B14" s="23" t="s">
        <v>818</v>
      </c>
      <c r="C14" s="36"/>
      <c r="D14" s="36"/>
      <c r="E14" s="36"/>
      <c r="F14" s="36"/>
      <c r="G14" s="36"/>
      <c r="H14" s="36"/>
      <c r="I14" s="36"/>
      <c r="J14" s="36"/>
      <c r="K14" s="36"/>
      <c r="L14" s="36"/>
      <c r="M14" s="36"/>
      <c r="N14" s="36"/>
      <c r="O14" s="36"/>
      <c r="P14" s="36"/>
    </row>
    <row r="15" spans="1:19">
      <c r="A15" s="29"/>
      <c r="B15" s="23"/>
      <c r="C15" s="36"/>
      <c r="D15" s="36"/>
      <c r="E15" s="36"/>
      <c r="F15" s="36"/>
      <c r="G15" s="36"/>
      <c r="H15" s="36"/>
      <c r="I15" s="36"/>
      <c r="J15" s="36"/>
      <c r="K15" s="36"/>
      <c r="L15" s="36"/>
      <c r="M15" s="36"/>
      <c r="N15" s="36"/>
      <c r="O15" s="36"/>
      <c r="P15" s="36"/>
    </row>
    <row r="16" spans="1:19">
      <c r="A16" s="29">
        <v>5</v>
      </c>
      <c r="B16" s="23" t="s">
        <v>819</v>
      </c>
      <c r="C16" s="36">
        <f t="shared" ref="C16:N16" si="1">C7+C9-C11-C13</f>
        <v>6502.6347975367207</v>
      </c>
      <c r="D16" s="36">
        <f t="shared" si="1"/>
        <v>6806.7602168367202</v>
      </c>
      <c r="E16" s="36">
        <f t="shared" si="1"/>
        <v>6584.6702880367211</v>
      </c>
      <c r="F16" s="36">
        <f t="shared" si="1"/>
        <v>6678.8342095367216</v>
      </c>
      <c r="G16" s="36">
        <f t="shared" si="1"/>
        <v>6915.2295394367211</v>
      </c>
      <c r="H16" s="36">
        <f t="shared" si="1"/>
        <v>7608.09551863672</v>
      </c>
      <c r="I16" s="36">
        <f t="shared" si="1"/>
        <v>7696.8266347367507</v>
      </c>
      <c r="J16" s="36">
        <f t="shared" si="1"/>
        <v>7911.29510693673</v>
      </c>
      <c r="K16" s="36">
        <f t="shared" si="1"/>
        <v>8487.6035411666562</v>
      </c>
      <c r="L16" s="36">
        <f t="shared" si="1"/>
        <v>10272.182064366652</v>
      </c>
      <c r="M16" s="36">
        <f t="shared" si="1"/>
        <v>9677.9862632666518</v>
      </c>
      <c r="N16" s="36">
        <f t="shared" si="1"/>
        <v>7699.0270225654222</v>
      </c>
      <c r="O16" s="37">
        <f>O7+O9-O11-O13</f>
        <v>7699.0270225654276</v>
      </c>
      <c r="P16" s="37">
        <f>SUM(C16:N16)/12</f>
        <v>7736.7621002549322</v>
      </c>
      <c r="Q16" s="864"/>
      <c r="R16" s="7">
        <f>'F-21'!C27+'F-21'!C32</f>
        <v>7699.0241677999993</v>
      </c>
      <c r="S16" s="7">
        <f>O16-R16</f>
        <v>2.854765428310202E-3</v>
      </c>
    </row>
    <row r="17" spans="1:18">
      <c r="A17" s="23"/>
      <c r="B17" s="23" t="s">
        <v>820</v>
      </c>
      <c r="C17" s="23"/>
      <c r="D17" s="23"/>
      <c r="E17" s="23"/>
      <c r="F17" s="23"/>
      <c r="G17" s="23"/>
      <c r="H17" s="23"/>
      <c r="I17" s="23"/>
      <c r="J17" s="23"/>
      <c r="K17" s="23"/>
      <c r="L17" s="23"/>
      <c r="M17" s="23"/>
      <c r="N17" s="23"/>
      <c r="O17" s="23"/>
      <c r="P17" s="23"/>
      <c r="Q17" s="7"/>
    </row>
    <row r="18" spans="1:18">
      <c r="B18" t="s">
        <v>821</v>
      </c>
      <c r="N18" s="7"/>
      <c r="O18" s="7"/>
      <c r="P18" s="7"/>
    </row>
    <row r="19" spans="1:18">
      <c r="C19" s="7"/>
      <c r="D19" s="7"/>
      <c r="E19" s="7"/>
      <c r="F19" s="31" t="s">
        <v>822</v>
      </c>
      <c r="G19" s="7"/>
      <c r="H19" s="7"/>
      <c r="I19" s="7"/>
      <c r="J19" s="7"/>
      <c r="K19" s="7"/>
      <c r="L19" s="7"/>
      <c r="M19" s="7"/>
      <c r="N19" s="7"/>
      <c r="O19" s="7"/>
      <c r="P19" s="2" t="s">
        <v>526</v>
      </c>
    </row>
    <row r="20" spans="1:18">
      <c r="A20" s="855" t="s">
        <v>812</v>
      </c>
      <c r="B20" s="856" t="s">
        <v>791</v>
      </c>
      <c r="C20" s="857">
        <v>44652</v>
      </c>
      <c r="D20" s="857">
        <v>44682</v>
      </c>
      <c r="E20" s="857">
        <v>44713</v>
      </c>
      <c r="F20" s="857">
        <v>44743</v>
      </c>
      <c r="G20" s="857">
        <v>44774</v>
      </c>
      <c r="H20" s="857">
        <v>44805</v>
      </c>
      <c r="I20" s="857">
        <v>44835</v>
      </c>
      <c r="J20" s="857">
        <v>44866</v>
      </c>
      <c r="K20" s="857">
        <v>44896</v>
      </c>
      <c r="L20" s="857">
        <v>44927</v>
      </c>
      <c r="M20" s="857">
        <v>44958</v>
      </c>
      <c r="N20" s="857">
        <v>44986</v>
      </c>
      <c r="O20" s="858" t="s">
        <v>147</v>
      </c>
      <c r="P20" s="858" t="s">
        <v>813</v>
      </c>
    </row>
    <row r="21" spans="1:18">
      <c r="A21" s="859" t="s">
        <v>23</v>
      </c>
      <c r="B21" s="860"/>
      <c r="C21" s="861"/>
      <c r="D21" s="861"/>
      <c r="E21" s="861"/>
      <c r="F21" s="861"/>
      <c r="G21" s="861"/>
      <c r="H21" s="861"/>
      <c r="I21" s="861"/>
      <c r="J21" s="861"/>
      <c r="K21" s="861"/>
      <c r="L21" s="861"/>
      <c r="M21" s="861"/>
      <c r="N21" s="862"/>
      <c r="O21" s="863"/>
      <c r="P21" s="863"/>
    </row>
    <row r="22" spans="1:18">
      <c r="A22" s="23"/>
      <c r="B22" s="23"/>
      <c r="C22" s="36"/>
      <c r="D22" s="36"/>
      <c r="E22" s="36"/>
      <c r="F22" s="36"/>
      <c r="G22" s="36"/>
      <c r="H22" s="36"/>
      <c r="I22" s="36"/>
      <c r="J22" s="36"/>
      <c r="K22" s="36"/>
      <c r="L22" s="36"/>
      <c r="M22" s="36"/>
      <c r="N22" s="354"/>
      <c r="O22" s="36"/>
      <c r="P22" s="36"/>
    </row>
    <row r="23" spans="1:18">
      <c r="A23" s="29">
        <v>1</v>
      </c>
      <c r="B23" s="23" t="s">
        <v>814</v>
      </c>
      <c r="C23" s="36">
        <f>O16</f>
        <v>7699.0270225654276</v>
      </c>
      <c r="D23" s="36">
        <f t="shared" ref="D23:N23" si="2">C32</f>
        <v>8660.0612501654286</v>
      </c>
      <c r="E23" s="36">
        <f t="shared" si="2"/>
        <v>9196.8215518654306</v>
      </c>
      <c r="F23" s="36">
        <f t="shared" si="2"/>
        <v>9916.1222474654296</v>
      </c>
      <c r="G23" s="36">
        <f t="shared" si="2"/>
        <v>10982.511043965433</v>
      </c>
      <c r="H23" s="36">
        <f t="shared" si="2"/>
        <v>12040.630275265436</v>
      </c>
      <c r="I23" s="36">
        <f t="shared" si="2"/>
        <v>11123.890902365438</v>
      </c>
      <c r="J23" s="36">
        <f t="shared" si="2"/>
        <v>12899.696249665438</v>
      </c>
      <c r="K23" s="36">
        <f t="shared" si="2"/>
        <v>13014.696249665438</v>
      </c>
      <c r="L23" s="36">
        <f t="shared" si="2"/>
        <v>13064.696249665438</v>
      </c>
      <c r="M23" s="36">
        <f t="shared" si="2"/>
        <v>12689.696249665438</v>
      </c>
      <c r="N23" s="36">
        <f t="shared" si="2"/>
        <v>12884.696249665438</v>
      </c>
      <c r="O23" s="36">
        <f>C23</f>
        <v>7699.0270225654276</v>
      </c>
      <c r="P23" s="36"/>
    </row>
    <row r="24" spans="1:18">
      <c r="A24" s="29"/>
      <c r="B24" s="23"/>
      <c r="C24" s="36"/>
      <c r="D24" s="36"/>
      <c r="E24" s="36"/>
      <c r="F24" s="36"/>
      <c r="G24" s="36"/>
      <c r="H24" s="36"/>
      <c r="I24" s="36"/>
      <c r="J24" s="36"/>
      <c r="K24" s="36"/>
      <c r="L24" s="36"/>
      <c r="M24" s="36"/>
      <c r="N24" s="36"/>
      <c r="O24" s="36"/>
      <c r="P24" s="36"/>
    </row>
    <row r="25" spans="1:18">
      <c r="A25" s="29">
        <v>2</v>
      </c>
      <c r="B25" s="23" t="s">
        <v>815</v>
      </c>
      <c r="C25" s="36">
        <v>1298.4090239999998</v>
      </c>
      <c r="D25" s="36">
        <v>1144.6922852000002</v>
      </c>
      <c r="E25" s="36">
        <v>1681.8415505999997</v>
      </c>
      <c r="F25" s="36">
        <v>2260.0476071000021</v>
      </c>
      <c r="G25" s="36">
        <v>2211.4056646000022</v>
      </c>
      <c r="H25" s="36">
        <v>2063.8212866000008</v>
      </c>
      <c r="I25" s="36">
        <v>3320.054410700001</v>
      </c>
      <c r="J25" s="36">
        <v>3840</v>
      </c>
      <c r="K25" s="36">
        <v>4200</v>
      </c>
      <c r="L25" s="36">
        <v>3950</v>
      </c>
      <c r="M25" s="36">
        <v>4210</v>
      </c>
      <c r="N25" s="36">
        <v>5215</v>
      </c>
      <c r="O25" s="36">
        <f>SUM(C25:N25)</f>
        <v>35395.271828800003</v>
      </c>
      <c r="P25" s="36"/>
    </row>
    <row r="26" spans="1:18">
      <c r="A26" s="29"/>
      <c r="B26" s="23"/>
      <c r="C26" s="36"/>
      <c r="D26" s="36"/>
      <c r="E26" s="36"/>
      <c r="F26" s="36"/>
      <c r="G26" s="36"/>
      <c r="H26" s="36"/>
      <c r="I26" s="36"/>
      <c r="J26" s="36"/>
      <c r="K26" s="36"/>
      <c r="L26" s="36"/>
      <c r="M26" s="36"/>
      <c r="N26" s="36"/>
      <c r="O26" s="36"/>
      <c r="P26" s="36"/>
    </row>
    <row r="27" spans="1:18">
      <c r="A27" s="29">
        <v>3</v>
      </c>
      <c r="B27" s="23" t="s">
        <v>816</v>
      </c>
      <c r="C27" s="36">
        <v>337.37479639999998</v>
      </c>
      <c r="D27" s="36">
        <v>607.93198349999898</v>
      </c>
      <c r="E27" s="36">
        <v>962.54085500000099</v>
      </c>
      <c r="F27" s="36">
        <v>1193.6588105999999</v>
      </c>
      <c r="G27" s="36">
        <v>1153.2864333</v>
      </c>
      <c r="H27" s="36">
        <v>2980.5606594999999</v>
      </c>
      <c r="I27" s="36">
        <v>1544.2490634000001</v>
      </c>
      <c r="J27" s="36">
        <v>3725</v>
      </c>
      <c r="K27" s="36">
        <v>4150</v>
      </c>
      <c r="L27" s="36">
        <v>4325</v>
      </c>
      <c r="M27" s="36">
        <v>4015</v>
      </c>
      <c r="N27" s="36">
        <v>5565</v>
      </c>
      <c r="O27" s="36">
        <f>SUM(C27:N27)</f>
        <v>30559.6026017</v>
      </c>
      <c r="P27" s="36"/>
    </row>
    <row r="28" spans="1:18">
      <c r="A28" s="29"/>
      <c r="B28" s="23"/>
      <c r="C28" s="36"/>
      <c r="D28" s="36"/>
      <c r="E28" s="36"/>
      <c r="F28" s="36"/>
      <c r="G28" s="36"/>
      <c r="H28" s="36"/>
      <c r="I28" s="36"/>
      <c r="J28" s="36"/>
      <c r="K28" s="36"/>
      <c r="L28" s="36"/>
      <c r="M28" s="36"/>
      <c r="N28" s="36"/>
      <c r="O28" s="36"/>
      <c r="P28" s="36"/>
    </row>
    <row r="29" spans="1:18">
      <c r="A29" s="29">
        <v>4</v>
      </c>
      <c r="B29" s="23" t="s">
        <v>817</v>
      </c>
      <c r="C29" s="36"/>
      <c r="D29" s="36"/>
      <c r="E29" s="36"/>
      <c r="F29" s="36"/>
      <c r="G29" s="36"/>
      <c r="H29" s="36"/>
      <c r="I29" s="36"/>
      <c r="J29" s="36"/>
      <c r="K29" s="36"/>
      <c r="L29" s="36"/>
      <c r="M29" s="36"/>
      <c r="N29" s="36"/>
      <c r="O29" s="36"/>
      <c r="P29" s="36"/>
    </row>
    <row r="30" spans="1:18">
      <c r="A30" s="29"/>
      <c r="B30" s="23" t="s">
        <v>818</v>
      </c>
      <c r="C30" s="36"/>
      <c r="D30" s="36"/>
      <c r="E30" s="36"/>
      <c r="F30" s="36"/>
      <c r="G30" s="36"/>
      <c r="H30" s="36"/>
      <c r="I30" s="36"/>
      <c r="J30" s="36"/>
      <c r="K30" s="36"/>
      <c r="L30" s="36"/>
      <c r="M30" s="36"/>
      <c r="N30" s="36"/>
      <c r="O30" s="36"/>
      <c r="P30" s="36"/>
    </row>
    <row r="31" spans="1:18">
      <c r="A31" s="29"/>
      <c r="B31" s="23"/>
      <c r="C31" s="36"/>
      <c r="D31" s="36"/>
      <c r="E31" s="36"/>
      <c r="F31" s="36"/>
      <c r="G31" s="36"/>
      <c r="H31" s="36"/>
      <c r="I31" s="36"/>
      <c r="J31" s="36"/>
      <c r="K31" s="36"/>
      <c r="L31" s="36"/>
      <c r="M31" s="36"/>
      <c r="N31" s="36"/>
      <c r="O31" s="36"/>
      <c r="P31" s="36"/>
    </row>
    <row r="32" spans="1:18">
      <c r="A32" s="29">
        <v>5</v>
      </c>
      <c r="B32" s="23" t="s">
        <v>819</v>
      </c>
      <c r="C32" s="36">
        <f t="shared" ref="C32:O32" si="3">C23+C25-C27-C29</f>
        <v>8660.0612501654286</v>
      </c>
      <c r="D32" s="36">
        <f t="shared" si="3"/>
        <v>9196.8215518654306</v>
      </c>
      <c r="E32" s="36">
        <f t="shared" si="3"/>
        <v>9916.1222474654296</v>
      </c>
      <c r="F32" s="36">
        <f t="shared" si="3"/>
        <v>10982.511043965433</v>
      </c>
      <c r="G32" s="36">
        <f t="shared" si="3"/>
        <v>12040.630275265436</v>
      </c>
      <c r="H32" s="36">
        <f t="shared" si="3"/>
        <v>11123.890902365438</v>
      </c>
      <c r="I32" s="36">
        <f t="shared" si="3"/>
        <v>12899.696249665438</v>
      </c>
      <c r="J32" s="36">
        <f t="shared" si="3"/>
        <v>13014.696249665438</v>
      </c>
      <c r="K32" s="36">
        <f t="shared" si="3"/>
        <v>13064.696249665438</v>
      </c>
      <c r="L32" s="36">
        <f t="shared" si="3"/>
        <v>12689.696249665438</v>
      </c>
      <c r="M32" s="36">
        <f t="shared" si="3"/>
        <v>12884.696249665438</v>
      </c>
      <c r="N32" s="36">
        <f t="shared" si="3"/>
        <v>12534.696249665438</v>
      </c>
      <c r="O32" s="37">
        <f t="shared" si="3"/>
        <v>12534.696249665427</v>
      </c>
      <c r="P32" s="37">
        <f>SUM(C32:N32)/12</f>
        <v>11584.017897423764</v>
      </c>
      <c r="R32" s="7"/>
    </row>
    <row r="33" spans="1:16">
      <c r="A33" s="23"/>
      <c r="B33" s="23" t="s">
        <v>820</v>
      </c>
      <c r="C33" s="23"/>
      <c r="D33" s="23"/>
      <c r="E33" s="23"/>
      <c r="F33" s="23"/>
      <c r="G33" s="23"/>
      <c r="H33" s="36"/>
      <c r="I33" s="23"/>
      <c r="J33" s="23"/>
      <c r="K33" s="23"/>
      <c r="L33" s="23"/>
      <c r="M33" s="23"/>
      <c r="N33" s="23"/>
      <c r="O33" s="23"/>
      <c r="P33" s="23"/>
    </row>
    <row r="34" spans="1:16">
      <c r="B34" t="s">
        <v>821</v>
      </c>
    </row>
    <row r="36" spans="1:16">
      <c r="C36" s="7"/>
      <c r="D36" s="7"/>
      <c r="E36" s="7"/>
      <c r="F36" s="31" t="s">
        <v>823</v>
      </c>
      <c r="G36" s="7"/>
      <c r="H36" s="7"/>
      <c r="I36" s="7"/>
      <c r="J36" s="7"/>
      <c r="K36" s="7"/>
      <c r="L36" s="7"/>
      <c r="M36" s="7"/>
      <c r="N36" s="7"/>
      <c r="O36" s="7"/>
      <c r="P36" s="2" t="s">
        <v>526</v>
      </c>
    </row>
    <row r="37" spans="1:16">
      <c r="A37" s="855" t="s">
        <v>812</v>
      </c>
      <c r="B37" s="856" t="s">
        <v>791</v>
      </c>
      <c r="C37" s="857">
        <v>44652</v>
      </c>
      <c r="D37" s="857">
        <v>44682</v>
      </c>
      <c r="E37" s="857">
        <v>44713</v>
      </c>
      <c r="F37" s="857">
        <v>44743</v>
      </c>
      <c r="G37" s="857">
        <v>44774</v>
      </c>
      <c r="H37" s="857">
        <v>44805</v>
      </c>
      <c r="I37" s="857">
        <v>44835</v>
      </c>
      <c r="J37" s="857">
        <v>44866</v>
      </c>
      <c r="K37" s="857">
        <v>44896</v>
      </c>
      <c r="L37" s="857">
        <v>44927</v>
      </c>
      <c r="M37" s="857">
        <v>44958</v>
      </c>
      <c r="N37" s="857">
        <v>44986</v>
      </c>
      <c r="O37" s="858" t="s">
        <v>147</v>
      </c>
      <c r="P37" s="858" t="s">
        <v>813</v>
      </c>
    </row>
    <row r="38" spans="1:16">
      <c r="A38" s="859" t="s">
        <v>23</v>
      </c>
      <c r="B38" s="860"/>
      <c r="C38" s="861"/>
      <c r="D38" s="861"/>
      <c r="E38" s="861"/>
      <c r="F38" s="861"/>
      <c r="G38" s="861"/>
      <c r="H38" s="861"/>
      <c r="I38" s="861"/>
      <c r="J38" s="861"/>
      <c r="K38" s="861"/>
      <c r="L38" s="861"/>
      <c r="M38" s="861"/>
      <c r="N38" s="862"/>
      <c r="O38" s="863"/>
      <c r="P38" s="863"/>
    </row>
    <row r="39" spans="1:16">
      <c r="A39" s="23"/>
      <c r="B39" s="23"/>
      <c r="C39" s="36"/>
      <c r="D39" s="36"/>
      <c r="E39" s="36"/>
      <c r="F39" s="36"/>
      <c r="G39" s="36"/>
      <c r="H39" s="36"/>
      <c r="I39" s="36"/>
      <c r="J39" s="36"/>
      <c r="K39" s="36"/>
      <c r="L39" s="36"/>
      <c r="M39" s="36"/>
      <c r="N39" s="36"/>
      <c r="O39" s="36"/>
      <c r="P39" s="36"/>
    </row>
    <row r="40" spans="1:16">
      <c r="A40" s="29">
        <v>1</v>
      </c>
      <c r="B40" s="23" t="s">
        <v>814</v>
      </c>
      <c r="C40" s="36">
        <f>O32</f>
        <v>12534.696249665427</v>
      </c>
      <c r="D40" s="36">
        <f t="shared" ref="D40:N40" si="4">C49</f>
        <v>12429.696249665427</v>
      </c>
      <c r="E40" s="36">
        <f t="shared" si="4"/>
        <v>11441.696249665427</v>
      </c>
      <c r="F40" s="36">
        <f t="shared" si="4"/>
        <v>9751.6962496654269</v>
      </c>
      <c r="G40" s="36">
        <f t="shared" si="4"/>
        <v>9496.6962496654269</v>
      </c>
      <c r="H40" s="36">
        <f t="shared" si="4"/>
        <v>9831.6962496654269</v>
      </c>
      <c r="I40" s="36">
        <f t="shared" si="4"/>
        <v>9936.6962496654269</v>
      </c>
      <c r="J40" s="36">
        <f t="shared" si="4"/>
        <v>9851.6962496654269</v>
      </c>
      <c r="K40" s="36">
        <f t="shared" si="4"/>
        <v>10056.696249665427</v>
      </c>
      <c r="L40" s="36">
        <f t="shared" si="4"/>
        <v>10256.696249665427</v>
      </c>
      <c r="M40" s="36">
        <f t="shared" si="4"/>
        <v>10361.696249665427</v>
      </c>
      <c r="N40" s="36">
        <f t="shared" si="4"/>
        <v>10461.696249665427</v>
      </c>
      <c r="O40" s="36">
        <f>C40</f>
        <v>12534.696249665427</v>
      </c>
      <c r="P40" s="36"/>
    </row>
    <row r="41" spans="1:16">
      <c r="A41" s="29"/>
      <c r="B41" s="23"/>
      <c r="C41" s="36"/>
      <c r="D41" s="36"/>
      <c r="E41" s="36"/>
      <c r="F41" s="36"/>
      <c r="G41" s="36"/>
      <c r="H41" s="36"/>
      <c r="I41" s="36"/>
      <c r="J41" s="36"/>
      <c r="K41" s="36"/>
      <c r="L41" s="36"/>
      <c r="M41" s="36"/>
      <c r="N41" s="36"/>
      <c r="O41" s="36"/>
      <c r="P41" s="36"/>
    </row>
    <row r="42" spans="1:16">
      <c r="A42" s="29">
        <v>2</v>
      </c>
      <c r="B42" s="23" t="s">
        <v>815</v>
      </c>
      <c r="C42" s="36">
        <v>3215</v>
      </c>
      <c r="D42" s="36">
        <v>2527</v>
      </c>
      <c r="E42" s="36">
        <v>2025</v>
      </c>
      <c r="F42" s="36">
        <v>2715</v>
      </c>
      <c r="G42" s="36">
        <v>3220</v>
      </c>
      <c r="H42" s="36">
        <v>2820</v>
      </c>
      <c r="I42" s="36">
        <v>3510</v>
      </c>
      <c r="J42" s="36">
        <v>4125</v>
      </c>
      <c r="K42" s="36">
        <v>4415</v>
      </c>
      <c r="L42" s="36">
        <v>4220</v>
      </c>
      <c r="M42" s="36">
        <v>3910</v>
      </c>
      <c r="N42" s="36">
        <v>4010</v>
      </c>
      <c r="O42" s="36">
        <f>SUM(C42:N42)</f>
        <v>40712</v>
      </c>
      <c r="P42" s="36"/>
    </row>
    <row r="43" spans="1:16">
      <c r="A43" s="29"/>
      <c r="B43" s="23"/>
      <c r="C43" s="36"/>
      <c r="D43" s="36"/>
      <c r="E43" s="36"/>
      <c r="F43" s="36"/>
      <c r="G43" s="36"/>
      <c r="H43" s="36"/>
      <c r="I43" s="36"/>
      <c r="J43" s="36"/>
      <c r="K43" s="36"/>
      <c r="L43" s="36"/>
      <c r="M43" s="36"/>
      <c r="N43" s="36"/>
      <c r="O43" s="36"/>
      <c r="P43" s="36"/>
    </row>
    <row r="44" spans="1:16">
      <c r="A44" s="29">
        <v>3</v>
      </c>
      <c r="B44" s="23" t="s">
        <v>816</v>
      </c>
      <c r="C44" s="36">
        <v>3320</v>
      </c>
      <c r="D44" s="36">
        <v>3515</v>
      </c>
      <c r="E44" s="36">
        <v>3715</v>
      </c>
      <c r="F44" s="36">
        <v>2970</v>
      </c>
      <c r="G44" s="36">
        <v>2885</v>
      </c>
      <c r="H44" s="36">
        <v>2715</v>
      </c>
      <c r="I44" s="36">
        <v>3595</v>
      </c>
      <c r="J44" s="36">
        <v>3920</v>
      </c>
      <c r="K44" s="36">
        <v>4215</v>
      </c>
      <c r="L44" s="36">
        <v>4115</v>
      </c>
      <c r="M44" s="36">
        <v>3810</v>
      </c>
      <c r="N44" s="36">
        <v>4215</v>
      </c>
      <c r="O44" s="36">
        <f>SUM(C44:N44)</f>
        <v>42990</v>
      </c>
      <c r="P44" s="36"/>
    </row>
    <row r="45" spans="1:16">
      <c r="A45" s="29"/>
      <c r="B45" s="23"/>
      <c r="C45" s="36"/>
      <c r="D45" s="36"/>
      <c r="E45" s="36"/>
      <c r="F45" s="36"/>
      <c r="G45" s="36"/>
      <c r="H45" s="36"/>
      <c r="I45" s="36"/>
      <c r="J45" s="36"/>
      <c r="K45" s="36"/>
      <c r="L45" s="36"/>
      <c r="M45" s="36"/>
      <c r="N45" s="36"/>
      <c r="O45" s="36"/>
      <c r="P45" s="36"/>
    </row>
    <row r="46" spans="1:16">
      <c r="A46" s="29">
        <v>4</v>
      </c>
      <c r="B46" s="23" t="s">
        <v>817</v>
      </c>
      <c r="C46" s="36"/>
      <c r="D46" s="36"/>
      <c r="E46" s="36"/>
      <c r="F46" s="36"/>
      <c r="G46" s="36"/>
      <c r="H46" s="36"/>
      <c r="I46" s="36"/>
      <c r="J46" s="36"/>
      <c r="K46" s="36"/>
      <c r="L46" s="36"/>
      <c r="M46" s="36"/>
      <c r="N46" s="36"/>
      <c r="O46" s="36"/>
      <c r="P46" s="36"/>
    </row>
    <row r="47" spans="1:16">
      <c r="A47" s="29"/>
      <c r="B47" s="23" t="s">
        <v>818</v>
      </c>
      <c r="C47" s="36"/>
      <c r="D47" s="36"/>
      <c r="E47" s="36"/>
      <c r="F47" s="36"/>
      <c r="G47" s="36"/>
      <c r="H47" s="36"/>
      <c r="I47" s="36"/>
      <c r="J47" s="36"/>
      <c r="K47" s="36"/>
      <c r="L47" s="36"/>
      <c r="M47" s="36"/>
      <c r="N47" s="36"/>
      <c r="O47" s="36"/>
      <c r="P47" s="36"/>
    </row>
    <row r="48" spans="1:16">
      <c r="A48" s="29"/>
      <c r="B48" s="23"/>
      <c r="C48" s="36"/>
      <c r="D48" s="36"/>
      <c r="E48" s="36"/>
      <c r="F48" s="36"/>
      <c r="G48" s="36"/>
      <c r="H48" s="36"/>
      <c r="I48" s="36"/>
      <c r="J48" s="36"/>
      <c r="K48" s="36"/>
      <c r="L48" s="36"/>
      <c r="M48" s="36"/>
      <c r="N48" s="36"/>
      <c r="O48" s="36"/>
      <c r="P48" s="36"/>
    </row>
    <row r="49" spans="1:16">
      <c r="A49" s="29">
        <v>5</v>
      </c>
      <c r="B49" s="23" t="s">
        <v>819</v>
      </c>
      <c r="C49" s="36">
        <f t="shared" ref="C49:O49" si="5">C40+C42-C44-C46</f>
        <v>12429.696249665427</v>
      </c>
      <c r="D49" s="36">
        <f t="shared" si="5"/>
        <v>11441.696249665427</v>
      </c>
      <c r="E49" s="36">
        <f t="shared" si="5"/>
        <v>9751.6962496654269</v>
      </c>
      <c r="F49" s="36">
        <f t="shared" si="5"/>
        <v>9496.6962496654269</v>
      </c>
      <c r="G49" s="36">
        <f t="shared" si="5"/>
        <v>9831.6962496654269</v>
      </c>
      <c r="H49" s="36">
        <f t="shared" si="5"/>
        <v>9936.6962496654269</v>
      </c>
      <c r="I49" s="36">
        <f t="shared" si="5"/>
        <v>9851.6962496654269</v>
      </c>
      <c r="J49" s="36">
        <f t="shared" si="5"/>
        <v>10056.696249665427</v>
      </c>
      <c r="K49" s="36">
        <f t="shared" si="5"/>
        <v>10256.696249665427</v>
      </c>
      <c r="L49" s="36">
        <f t="shared" si="5"/>
        <v>10361.696249665427</v>
      </c>
      <c r="M49" s="36">
        <f t="shared" si="5"/>
        <v>10461.696249665427</v>
      </c>
      <c r="N49" s="36">
        <f t="shared" si="5"/>
        <v>10256.696249665427</v>
      </c>
      <c r="O49" s="37">
        <f t="shared" si="5"/>
        <v>10256.696249665431</v>
      </c>
      <c r="P49" s="37">
        <f>SUM(C49:N49)/12</f>
        <v>10344.446249665429</v>
      </c>
    </row>
    <row r="50" spans="1:16">
      <c r="A50" s="23"/>
      <c r="B50" s="23" t="s">
        <v>820</v>
      </c>
      <c r="C50" s="23"/>
      <c r="D50" s="23"/>
      <c r="E50" s="23"/>
      <c r="F50" s="23"/>
      <c r="G50" s="23"/>
      <c r="H50" s="23"/>
      <c r="I50" s="23"/>
      <c r="J50" s="23"/>
      <c r="K50" s="23"/>
      <c r="L50" s="23"/>
      <c r="M50" s="23"/>
      <c r="N50" s="23"/>
      <c r="O50" s="23"/>
      <c r="P50" s="23"/>
    </row>
    <row r="51" spans="1:16">
      <c r="C51" s="7"/>
      <c r="D51" s="7"/>
      <c r="E51" s="7"/>
      <c r="F51" s="7"/>
      <c r="G51" s="7"/>
      <c r="H51" s="7"/>
      <c r="I51" s="7"/>
      <c r="J51" s="7"/>
      <c r="K51" s="7"/>
      <c r="L51" s="7"/>
      <c r="M51" s="7"/>
      <c r="N51" s="7"/>
    </row>
    <row r="52" spans="1:16">
      <c r="B52" t="s">
        <v>821</v>
      </c>
    </row>
  </sheetData>
  <phoneticPr fontId="0" type="noConversion"/>
  <printOptions horizontalCentered="1" gridLines="1"/>
  <pageMargins left="0.23622047244094491" right="0" top="0.23622047244094491" bottom="0.39370078740157483" header="0.51181102362204722" footer="0.19685039370078741"/>
  <pageSetup paperSize="9" scale="83" orientation="landscape" r:id="rId1"/>
  <headerFooter alignWithMargins="0">
    <oddFooter>&amp;R
&amp;"Arial,Bold"&amp;12OERC FORM-&amp;A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41"/>
  <dimension ref="A1:N49"/>
  <sheetViews>
    <sheetView view="pageBreakPreview" topLeftCell="A10" zoomScale="75" zoomScaleNormal="75" workbookViewId="0">
      <selection activeCell="I47" sqref="I47"/>
    </sheetView>
  </sheetViews>
  <sheetFormatPr defaultRowHeight="12.75"/>
  <cols>
    <col min="1" max="1" width="6.5703125" customWidth="1"/>
    <col min="2" max="2" width="33" customWidth="1"/>
    <col min="3" max="3" width="16" customWidth="1"/>
    <col min="4" max="4" width="12.5703125" customWidth="1"/>
    <col min="5" max="5" width="13" customWidth="1"/>
    <col min="6" max="6" width="14.140625" customWidth="1"/>
    <col min="7" max="7" width="12" customWidth="1"/>
    <col min="17" max="17" width="0" hidden="1" customWidth="1"/>
  </cols>
  <sheetData>
    <row r="1" spans="1:7">
      <c r="A1" s="20" t="s">
        <v>106</v>
      </c>
      <c r="E1" s="3" t="s">
        <v>0</v>
      </c>
      <c r="F1" s="2" t="s">
        <v>824</v>
      </c>
    </row>
    <row r="2" spans="1:7">
      <c r="F2" s="2"/>
    </row>
    <row r="3" spans="1:7" ht="15.75">
      <c r="A3" s="1848" t="s">
        <v>825</v>
      </c>
      <c r="B3" s="1848"/>
      <c r="C3" s="1848"/>
      <c r="D3" s="1848"/>
      <c r="E3" s="1848"/>
      <c r="F3" s="1848"/>
      <c r="G3" s="1848"/>
    </row>
    <row r="4" spans="1:7">
      <c r="F4" s="2" t="s">
        <v>826</v>
      </c>
      <c r="G4" s="2"/>
    </row>
    <row r="5" spans="1:7" ht="15.75">
      <c r="A5" s="1848" t="s">
        <v>827</v>
      </c>
      <c r="B5" s="1848"/>
      <c r="C5" s="1848"/>
      <c r="D5" s="1848"/>
      <c r="E5" s="1848"/>
      <c r="F5" s="1848"/>
      <c r="G5" s="1848"/>
    </row>
    <row r="6" spans="1:7" ht="41.25" customHeight="1">
      <c r="A6" s="23"/>
      <c r="B6" s="28" t="s">
        <v>828</v>
      </c>
      <c r="C6" s="33" t="s">
        <v>829</v>
      </c>
      <c r="D6" s="33" t="s">
        <v>830</v>
      </c>
      <c r="E6" s="33" t="s">
        <v>831</v>
      </c>
      <c r="F6" s="33" t="s">
        <v>832</v>
      </c>
      <c r="G6" s="33" t="s">
        <v>833</v>
      </c>
    </row>
    <row r="7" spans="1:7">
      <c r="A7" s="23"/>
      <c r="B7" s="28">
        <v>1</v>
      </c>
      <c r="C7" s="28">
        <v>2</v>
      </c>
      <c r="D7" s="28">
        <v>3</v>
      </c>
      <c r="E7" s="28">
        <v>4</v>
      </c>
      <c r="F7" s="28">
        <v>5</v>
      </c>
      <c r="G7" s="28">
        <v>6</v>
      </c>
    </row>
    <row r="8" spans="1:7">
      <c r="A8" s="23"/>
      <c r="B8" s="28" t="s">
        <v>834</v>
      </c>
      <c r="C8" s="23"/>
      <c r="D8" s="23"/>
      <c r="E8" s="23"/>
      <c r="F8" s="23"/>
      <c r="G8" s="23"/>
    </row>
    <row r="9" spans="1:7">
      <c r="A9" s="23"/>
      <c r="B9" s="102" t="s">
        <v>835</v>
      </c>
      <c r="C9" s="36">
        <f>1000</f>
        <v>1000</v>
      </c>
      <c r="D9" s="36"/>
      <c r="E9" s="36"/>
      <c r="F9" s="36">
        <f>C9+D9-E9</f>
        <v>1000</v>
      </c>
      <c r="G9" s="36"/>
    </row>
    <row r="10" spans="1:7">
      <c r="A10" s="23"/>
      <c r="B10" s="102" t="s">
        <v>836</v>
      </c>
      <c r="C10" s="78">
        <f>1000000000</f>
        <v>1000000000</v>
      </c>
      <c r="D10" s="36"/>
      <c r="E10" s="36"/>
      <c r="F10" s="78">
        <f>C10+D10-E10</f>
        <v>1000000000</v>
      </c>
      <c r="G10" s="36"/>
    </row>
    <row r="11" spans="1:7">
      <c r="A11" s="23"/>
      <c r="B11" s="102" t="s">
        <v>837</v>
      </c>
      <c r="C11" s="36"/>
      <c r="D11" s="36"/>
      <c r="E11" s="36"/>
      <c r="F11" s="36"/>
      <c r="G11" s="36"/>
    </row>
    <row r="12" spans="1:7">
      <c r="A12" s="23"/>
      <c r="B12" s="741" t="s">
        <v>838</v>
      </c>
      <c r="C12" s="36"/>
      <c r="D12" s="36"/>
      <c r="E12" s="36"/>
      <c r="F12" s="36"/>
      <c r="G12" s="36"/>
    </row>
    <row r="13" spans="1:7">
      <c r="A13" s="23"/>
      <c r="B13" s="102" t="s">
        <v>839</v>
      </c>
      <c r="C13" s="36"/>
      <c r="D13" s="36"/>
      <c r="E13" s="36"/>
      <c r="F13" s="36"/>
      <c r="G13" s="36"/>
    </row>
    <row r="14" spans="1:7">
      <c r="A14" s="23"/>
      <c r="B14" s="102" t="s">
        <v>837</v>
      </c>
      <c r="C14" s="36"/>
      <c r="D14" s="36"/>
      <c r="E14" s="36"/>
      <c r="F14" s="36"/>
      <c r="G14" s="36"/>
    </row>
    <row r="15" spans="1:7">
      <c r="A15" s="23"/>
      <c r="B15" s="741" t="s">
        <v>840</v>
      </c>
      <c r="C15" s="36">
        <v>359.93464599999999</v>
      </c>
      <c r="D15" s="36">
        <f ca="1">('F-21'!D10/100-C15)</f>
        <v>155.6023842618759</v>
      </c>
      <c r="E15" s="36"/>
      <c r="F15" s="36">
        <f ca="1">C15+D15-E15</f>
        <v>515.53703026187588</v>
      </c>
      <c r="G15" s="36"/>
    </row>
    <row r="16" spans="1:7">
      <c r="A16" s="23"/>
      <c r="B16" s="102" t="s">
        <v>841</v>
      </c>
      <c r="C16" s="78">
        <f>C15*10^6</f>
        <v>359934646</v>
      </c>
      <c r="D16" s="78">
        <f ca="1">D15*10^6</f>
        <v>155602384.2618759</v>
      </c>
      <c r="E16" s="36"/>
      <c r="F16" s="78">
        <f ca="1">C16+D16-E16</f>
        <v>515537030.26187587</v>
      </c>
      <c r="G16" s="36"/>
    </row>
    <row r="17" spans="1:14">
      <c r="A17" s="23"/>
      <c r="B17" s="102" t="s">
        <v>837</v>
      </c>
      <c r="C17" s="36"/>
      <c r="D17" s="36"/>
      <c r="E17" s="36"/>
      <c r="F17" s="36"/>
      <c r="G17" s="36"/>
    </row>
    <row r="18" spans="1:14">
      <c r="A18" s="23"/>
      <c r="B18" s="102" t="s">
        <v>842</v>
      </c>
      <c r="C18" s="36"/>
      <c r="D18" s="36"/>
      <c r="E18" s="36"/>
      <c r="F18" s="36"/>
      <c r="G18" s="36"/>
    </row>
    <row r="19" spans="1:14">
      <c r="A19" s="23"/>
      <c r="B19" s="102" t="s">
        <v>839</v>
      </c>
      <c r="C19" s="36"/>
      <c r="D19" s="36"/>
      <c r="E19" s="36"/>
      <c r="F19" s="36"/>
      <c r="G19" s="36"/>
    </row>
    <row r="20" spans="1:14">
      <c r="A20" s="23"/>
      <c r="B20" s="102" t="s">
        <v>837</v>
      </c>
      <c r="C20" s="36"/>
      <c r="D20" s="36"/>
      <c r="E20" s="36"/>
      <c r="F20" s="36"/>
      <c r="G20" s="36"/>
    </row>
    <row r="21" spans="1:14">
      <c r="A21" s="23"/>
      <c r="B21" s="102" t="s">
        <v>843</v>
      </c>
      <c r="C21" s="36"/>
      <c r="D21" s="36"/>
      <c r="E21" s="36"/>
      <c r="F21" s="36"/>
      <c r="G21" s="36"/>
    </row>
    <row r="22" spans="1:14">
      <c r="A22" s="23"/>
      <c r="B22" s="741" t="s">
        <v>844</v>
      </c>
      <c r="C22" s="36">
        <f>C15</f>
        <v>359.93464599999999</v>
      </c>
      <c r="D22" s="36">
        <f ca="1">('F-21'!D10/100-C22)</f>
        <v>155.6023842618759</v>
      </c>
      <c r="E22" s="36"/>
      <c r="F22" s="36">
        <f ca="1">C22+D22-E22</f>
        <v>515.53703026187588</v>
      </c>
      <c r="G22" s="36"/>
      <c r="N22" s="506"/>
    </row>
    <row r="23" spans="1:14">
      <c r="A23" s="23"/>
      <c r="B23" s="102" t="s">
        <v>839</v>
      </c>
      <c r="C23" s="78">
        <f>C16</f>
        <v>359934646</v>
      </c>
      <c r="D23" s="78">
        <f ca="1">D16</f>
        <v>155602384.2618759</v>
      </c>
      <c r="E23" s="36"/>
      <c r="F23" s="78">
        <f ca="1">C23+D23-E23</f>
        <v>515537030.26187587</v>
      </c>
      <c r="G23" s="36"/>
      <c r="N23" s="506"/>
    </row>
    <row r="24" spans="1:14">
      <c r="A24" s="23"/>
      <c r="B24" s="102" t="s">
        <v>837</v>
      </c>
      <c r="C24" s="36"/>
      <c r="D24" s="36"/>
      <c r="E24" s="36"/>
      <c r="F24" s="36"/>
      <c r="G24" s="36"/>
      <c r="N24" s="506"/>
    </row>
    <row r="25" spans="1:14">
      <c r="A25" s="23"/>
      <c r="B25" s="28" t="s">
        <v>845</v>
      </c>
      <c r="C25" s="37">
        <f>C15</f>
        <v>359.93464599999999</v>
      </c>
      <c r="D25" s="37">
        <f ca="1">D15</f>
        <v>155.6023842618759</v>
      </c>
      <c r="E25" s="37"/>
      <c r="F25" s="37">
        <f ca="1">C25+D25-E25</f>
        <v>515.53703026187588</v>
      </c>
      <c r="G25" s="36"/>
    </row>
    <row r="26" spans="1:14">
      <c r="C26" s="7"/>
      <c r="D26" s="7"/>
      <c r="E26" s="7"/>
      <c r="F26" s="7"/>
      <c r="G26" s="7"/>
    </row>
    <row r="27" spans="1:14" ht="15.75">
      <c r="A27" s="1848" t="s">
        <v>846</v>
      </c>
      <c r="B27" s="1848"/>
      <c r="C27" s="1848"/>
      <c r="D27" s="1848"/>
      <c r="E27" s="1848"/>
      <c r="F27" s="1848"/>
      <c r="G27" s="1848"/>
    </row>
    <row r="28" spans="1:14">
      <c r="G28" s="2"/>
    </row>
    <row r="30" spans="1:14" ht="38.25">
      <c r="A30" s="23"/>
      <c r="B30" s="28" t="s">
        <v>828</v>
      </c>
      <c r="C30" s="33" t="s">
        <v>829</v>
      </c>
      <c r="D30" s="33" t="s">
        <v>830</v>
      </c>
      <c r="E30" s="33" t="s">
        <v>831</v>
      </c>
      <c r="F30" s="33" t="s">
        <v>832</v>
      </c>
      <c r="G30" s="33" t="s">
        <v>833</v>
      </c>
    </row>
    <row r="31" spans="1:14">
      <c r="A31" s="23"/>
      <c r="B31" s="28">
        <v>1</v>
      </c>
      <c r="C31" s="28">
        <v>2</v>
      </c>
      <c r="D31" s="28">
        <v>3</v>
      </c>
      <c r="E31" s="28">
        <v>4</v>
      </c>
      <c r="F31" s="28">
        <v>5</v>
      </c>
      <c r="G31" s="28">
        <v>6</v>
      </c>
    </row>
    <row r="32" spans="1:14">
      <c r="A32" s="23"/>
      <c r="B32" s="28" t="s">
        <v>834</v>
      </c>
      <c r="C32" s="23"/>
      <c r="D32" s="23"/>
      <c r="E32" s="23"/>
      <c r="F32" s="23"/>
      <c r="G32" s="23"/>
    </row>
    <row r="33" spans="1:7">
      <c r="A33" s="23"/>
      <c r="B33" s="102" t="s">
        <v>835</v>
      </c>
      <c r="C33" s="36">
        <f>1000</f>
        <v>1000</v>
      </c>
      <c r="D33" s="23"/>
      <c r="E33" s="23"/>
      <c r="F33" s="36">
        <f>C33+D33-E33</f>
        <v>1000</v>
      </c>
      <c r="G33" s="23"/>
    </row>
    <row r="34" spans="1:7">
      <c r="A34" s="23"/>
      <c r="B34" s="102" t="s">
        <v>836</v>
      </c>
      <c r="C34" s="78">
        <f>1000000000</f>
        <v>1000000000</v>
      </c>
      <c r="D34" s="23"/>
      <c r="E34" s="23"/>
      <c r="F34" s="23">
        <f>C34+D34-E34</f>
        <v>1000000000</v>
      </c>
      <c r="G34" s="23"/>
    </row>
    <row r="35" spans="1:7">
      <c r="A35" s="23"/>
      <c r="B35" s="102" t="s">
        <v>837</v>
      </c>
      <c r="C35" s="23"/>
      <c r="D35" s="23"/>
      <c r="E35" s="23"/>
      <c r="F35" s="23"/>
      <c r="G35" s="23"/>
    </row>
    <row r="36" spans="1:7">
      <c r="A36" s="23"/>
      <c r="B36" s="102" t="s">
        <v>838</v>
      </c>
      <c r="C36" s="23"/>
      <c r="D36" s="23"/>
      <c r="E36" s="23"/>
      <c r="F36" s="23"/>
      <c r="G36" s="23"/>
    </row>
    <row r="37" spans="1:7">
      <c r="A37" s="23"/>
      <c r="B37" s="102" t="s">
        <v>839</v>
      </c>
      <c r="C37" s="23"/>
      <c r="D37" s="23"/>
      <c r="E37" s="23"/>
      <c r="F37" s="23"/>
      <c r="G37" s="23"/>
    </row>
    <row r="38" spans="1:7">
      <c r="A38" s="23"/>
      <c r="B38" s="102" t="s">
        <v>837</v>
      </c>
      <c r="C38" s="23"/>
      <c r="D38" s="23"/>
      <c r="E38" s="23"/>
      <c r="F38" s="23"/>
      <c r="G38" s="23"/>
    </row>
    <row r="39" spans="1:7">
      <c r="A39" s="23"/>
      <c r="B39" s="102" t="s">
        <v>840</v>
      </c>
      <c r="C39" s="36">
        <f ca="1">F15</f>
        <v>515.53703026187588</v>
      </c>
      <c r="D39" s="36">
        <f ca="1">('F-21'!E10/100-C39)</f>
        <v>168.48103124806119</v>
      </c>
      <c r="E39" s="23"/>
      <c r="F39" s="36">
        <f ca="1">C39+D39-E39</f>
        <v>684.01806150993707</v>
      </c>
      <c r="G39" s="23"/>
    </row>
    <row r="40" spans="1:7">
      <c r="A40" s="23"/>
      <c r="B40" s="102" t="s">
        <v>841</v>
      </c>
      <c r="C40" s="78">
        <f ca="1">F16</f>
        <v>515537030.26187587</v>
      </c>
      <c r="D40" s="78">
        <f ca="1">D39*10^6</f>
        <v>168481031.24806118</v>
      </c>
      <c r="E40" s="23"/>
      <c r="F40" s="78">
        <f ca="1">C40+D40-E40</f>
        <v>684018061.50993705</v>
      </c>
      <c r="G40" s="23"/>
    </row>
    <row r="41" spans="1:7">
      <c r="A41" s="23"/>
      <c r="B41" s="102" t="s">
        <v>837</v>
      </c>
      <c r="C41" s="36"/>
      <c r="D41" s="23"/>
      <c r="E41" s="23"/>
      <c r="F41" s="23"/>
      <c r="G41" s="23"/>
    </row>
    <row r="42" spans="1:7">
      <c r="A42" s="23"/>
      <c r="B42" s="102" t="s">
        <v>842</v>
      </c>
      <c r="C42" s="36"/>
      <c r="D42" s="23"/>
      <c r="E42" s="23"/>
      <c r="F42" s="23"/>
      <c r="G42" s="23"/>
    </row>
    <row r="43" spans="1:7">
      <c r="A43" s="23"/>
      <c r="B43" s="102" t="s">
        <v>839</v>
      </c>
      <c r="C43" s="36"/>
      <c r="D43" s="23"/>
      <c r="E43" s="23"/>
      <c r="F43" s="23"/>
      <c r="G43" s="23"/>
    </row>
    <row r="44" spans="1:7">
      <c r="A44" s="23"/>
      <c r="B44" s="102" t="s">
        <v>837</v>
      </c>
      <c r="C44" s="36"/>
      <c r="D44" s="23"/>
      <c r="E44" s="23"/>
      <c r="F44" s="23"/>
      <c r="G44" s="23"/>
    </row>
    <row r="45" spans="1:7">
      <c r="A45" s="23"/>
      <c r="B45" s="102" t="s">
        <v>843</v>
      </c>
      <c r="C45" s="36"/>
      <c r="D45" s="23"/>
      <c r="E45" s="23"/>
      <c r="F45" s="23"/>
      <c r="G45" s="23"/>
    </row>
    <row r="46" spans="1:7">
      <c r="A46" s="23"/>
      <c r="B46" s="102" t="s">
        <v>844</v>
      </c>
      <c r="C46" s="36">
        <f ca="1">F22</f>
        <v>515.53703026187588</v>
      </c>
      <c r="D46" s="36">
        <f ca="1">('F-21'!E10/100-C46)</f>
        <v>168.48103124806119</v>
      </c>
      <c r="E46" s="23"/>
      <c r="F46" s="36">
        <f ca="1">C46+D46-E46</f>
        <v>684.01806150993707</v>
      </c>
      <c r="G46" s="23"/>
    </row>
    <row r="47" spans="1:7">
      <c r="A47" s="23"/>
      <c r="B47" s="102" t="s">
        <v>839</v>
      </c>
      <c r="C47" s="78">
        <f ca="1">F23</f>
        <v>515537030.26187587</v>
      </c>
      <c r="D47" s="78">
        <f ca="1">D46*10^6</f>
        <v>168481031.24806118</v>
      </c>
      <c r="E47" s="23"/>
      <c r="F47" s="78">
        <f ca="1">C47+D47-E47</f>
        <v>684018061.50993705</v>
      </c>
      <c r="G47" s="23"/>
    </row>
    <row r="48" spans="1:7">
      <c r="A48" s="23"/>
      <c r="B48" s="102" t="s">
        <v>837</v>
      </c>
      <c r="C48" s="23"/>
      <c r="D48" s="23"/>
      <c r="E48" s="23"/>
      <c r="F48" s="23"/>
      <c r="G48" s="23"/>
    </row>
    <row r="49" spans="1:7">
      <c r="A49" s="23"/>
      <c r="B49" s="28" t="s">
        <v>845</v>
      </c>
      <c r="C49" s="37">
        <f ca="1">C39</f>
        <v>515.53703026187588</v>
      </c>
      <c r="D49" s="37">
        <f ca="1">D39</f>
        <v>168.48103124806119</v>
      </c>
      <c r="E49" s="28"/>
      <c r="F49" s="37">
        <f ca="1">C49+D49-E49</f>
        <v>684.01806150993707</v>
      </c>
      <c r="G49" s="23"/>
    </row>
  </sheetData>
  <mergeCells count="3">
    <mergeCell ref="A3:G3"/>
    <mergeCell ref="A5:G5"/>
    <mergeCell ref="A27:G27"/>
  </mergeCells>
  <phoneticPr fontId="0" type="noConversion"/>
  <printOptions horizontalCentered="1" gridLines="1"/>
  <pageMargins left="0.51181102362204722" right="0.23622047244094491" top="1.4960629921259843" bottom="0.98425196850393704" header="0.51181102362204722" footer="0.51181102362204722"/>
  <pageSetup paperSize="9" scale="90" orientation="portrait" r:id="rId1"/>
  <headerFooter alignWithMargins="0">
    <oddFooter xml:space="preserve">&amp;R&amp;"Arial,Bold"&amp;12OERC FORM-&amp;A&amp;"Arial,Regular"&amp;10
</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2"/>
  <dimension ref="A1:AS142"/>
  <sheetViews>
    <sheetView view="pageBreakPreview" zoomScale="110" zoomScaleSheetLayoutView="110" workbookViewId="0">
      <pane xSplit="2" ySplit="6" topLeftCell="E26" activePane="bottomRight" state="frozen"/>
      <selection activeCell="B10" sqref="A10:XFD10"/>
      <selection pane="topRight" activeCell="B10" sqref="A10:XFD10"/>
      <selection pane="bottomLeft" activeCell="B10" sqref="A10:XFD10"/>
      <selection pane="bottomRight" activeCell="I16" sqref="I16"/>
    </sheetView>
  </sheetViews>
  <sheetFormatPr defaultColWidth="11.7109375" defaultRowHeight="12.75"/>
  <cols>
    <col min="1" max="1" width="8.42578125" style="703" customWidth="1"/>
    <col min="2" max="2" width="32.5703125" style="66" customWidth="1"/>
    <col min="3" max="4" width="0" hidden="1" customWidth="1"/>
    <col min="6" max="6" width="14.85546875" hidden="1" customWidth="1"/>
    <col min="7" max="7" width="13.5703125" hidden="1" customWidth="1"/>
    <col min="8" max="8" width="17.7109375" customWidth="1"/>
    <col min="10" max="18" width="0" hidden="1" customWidth="1"/>
    <col min="20" max="21" width="0" hidden="1" customWidth="1"/>
    <col min="22" max="22" width="18.140625" customWidth="1"/>
    <col min="24" max="25" width="0" hidden="1" customWidth="1"/>
    <col min="27" max="28" width="0" hidden="1" customWidth="1"/>
    <col min="29" max="29" width="18" customWidth="1"/>
  </cols>
  <sheetData>
    <row r="1" spans="1:42">
      <c r="B1" s="781" t="s">
        <v>2</v>
      </c>
      <c r="F1" s="3" t="s">
        <v>0</v>
      </c>
      <c r="G1" s="2" t="s">
        <v>847</v>
      </c>
      <c r="H1" s="2"/>
      <c r="I1" s="2"/>
      <c r="J1" s="2"/>
      <c r="K1" s="2"/>
      <c r="L1" s="2"/>
      <c r="M1" s="2"/>
      <c r="N1" s="2"/>
      <c r="O1" s="2"/>
      <c r="P1" s="2"/>
      <c r="Q1" s="2"/>
      <c r="R1" s="2"/>
      <c r="S1" s="2"/>
      <c r="T1" s="2"/>
      <c r="U1" s="2"/>
      <c r="V1" s="2"/>
    </row>
    <row r="2" spans="1:42">
      <c r="X2" s="1508"/>
    </row>
    <row r="3" spans="1:42" ht="18.75" thickBot="1">
      <c r="B3" s="1855" t="s">
        <v>848</v>
      </c>
      <c r="C3" s="1855"/>
      <c r="D3" s="1855"/>
      <c r="E3" s="1855"/>
      <c r="F3" s="1855"/>
      <c r="G3" s="1855"/>
      <c r="H3" s="1855"/>
      <c r="I3" s="1855"/>
      <c r="J3" s="1855"/>
      <c r="K3" s="1855"/>
      <c r="L3" s="1855"/>
      <c r="M3" s="1855"/>
      <c r="N3" s="1855"/>
      <c r="O3" s="1855"/>
      <c r="P3" s="1855"/>
      <c r="Q3" s="1855"/>
      <c r="R3" s="1855"/>
      <c r="S3" s="1855"/>
      <c r="T3" s="1855"/>
      <c r="U3" s="1855"/>
      <c r="V3" s="1855"/>
      <c r="W3" s="1855"/>
      <c r="X3" s="1855"/>
      <c r="Y3" s="1855"/>
      <c r="Z3" s="1855"/>
      <c r="AA3" s="1855"/>
      <c r="AB3" s="2" t="s">
        <v>526</v>
      </c>
      <c r="AC3" s="2"/>
      <c r="AF3" s="6" t="s">
        <v>849</v>
      </c>
      <c r="AN3" s="302" t="s">
        <v>2081</v>
      </c>
    </row>
    <row r="4" spans="1:42" ht="13.5" customHeight="1" thickBot="1">
      <c r="A4" s="1849" t="s">
        <v>853</v>
      </c>
      <c r="B4" s="1852" t="s">
        <v>854</v>
      </c>
      <c r="C4" s="1864" t="s">
        <v>850</v>
      </c>
      <c r="D4" s="1865"/>
      <c r="E4" s="1865"/>
      <c r="F4" s="1865"/>
      <c r="G4" s="1865"/>
      <c r="H4" s="1865"/>
      <c r="I4" s="1866"/>
      <c r="J4" s="1864" t="s">
        <v>2122</v>
      </c>
      <c r="K4" s="1865"/>
      <c r="L4" s="1865"/>
      <c r="M4" s="1865"/>
      <c r="N4" s="1865"/>
      <c r="O4" s="1865"/>
      <c r="P4" s="1865"/>
      <c r="Q4" s="1867" t="s">
        <v>851</v>
      </c>
      <c r="R4" s="1867"/>
      <c r="S4" s="1867"/>
      <c r="T4" s="1867"/>
      <c r="U4" s="1867"/>
      <c r="V4" s="1867"/>
      <c r="W4" s="1868"/>
      <c r="X4" s="1869" t="s">
        <v>1959</v>
      </c>
      <c r="Y4" s="1867"/>
      <c r="Z4" s="1867"/>
      <c r="AA4" s="1867"/>
      <c r="AB4" s="1867"/>
      <c r="AC4" s="1867"/>
      <c r="AD4" s="1868"/>
      <c r="AF4" s="16"/>
      <c r="AG4" s="16" t="s">
        <v>852</v>
      </c>
      <c r="AH4" s="1509"/>
      <c r="AI4" s="1510" t="s">
        <v>850</v>
      </c>
      <c r="AJ4" s="1511" t="s">
        <v>851</v>
      </c>
      <c r="AK4" s="1511" t="s">
        <v>1959</v>
      </c>
      <c r="AN4" s="1512" t="s">
        <v>2080</v>
      </c>
      <c r="AO4" s="1513" t="s">
        <v>2079</v>
      </c>
    </row>
    <row r="5" spans="1:42" ht="13.5" thickTop="1">
      <c r="A5" s="1850"/>
      <c r="B5" s="1853"/>
      <c r="C5" s="1862" t="s">
        <v>2142</v>
      </c>
      <c r="D5" s="1863"/>
      <c r="E5" s="1863"/>
      <c r="F5" s="1863" t="s">
        <v>857</v>
      </c>
      <c r="G5" s="1863"/>
      <c r="H5" s="1863"/>
      <c r="I5" s="1870" t="s">
        <v>1612</v>
      </c>
      <c r="J5" s="1862" t="s">
        <v>2142</v>
      </c>
      <c r="K5" s="1863"/>
      <c r="L5" s="1863"/>
      <c r="M5" s="1863" t="s">
        <v>857</v>
      </c>
      <c r="N5" s="1863"/>
      <c r="O5" s="1863"/>
      <c r="P5" s="1872" t="s">
        <v>2231</v>
      </c>
      <c r="Q5" s="1863" t="s">
        <v>2142</v>
      </c>
      <c r="R5" s="1863"/>
      <c r="S5" s="1863"/>
      <c r="T5" s="1863" t="s">
        <v>857</v>
      </c>
      <c r="U5" s="1863"/>
      <c r="V5" s="1863"/>
      <c r="W5" s="1874" t="s">
        <v>2232</v>
      </c>
      <c r="X5" s="1862" t="s">
        <v>2143</v>
      </c>
      <c r="Y5" s="1863"/>
      <c r="Z5" s="1863"/>
      <c r="AA5" s="1863" t="s">
        <v>857</v>
      </c>
      <c r="AB5" s="1863"/>
      <c r="AC5" s="1863"/>
      <c r="AD5" s="1874" t="s">
        <v>2233</v>
      </c>
      <c r="AF5" s="506" t="s">
        <v>863</v>
      </c>
      <c r="AG5">
        <v>31</v>
      </c>
      <c r="AI5" s="9">
        <f>(AG5*3+AG6*6+AG7*3)/12</f>
        <v>34.25</v>
      </c>
      <c r="AJ5" s="9">
        <f>(AG6*3+AG7*6+AG8*3)/12</f>
        <v>38</v>
      </c>
      <c r="AK5" s="9">
        <f>(AG8*3+AG9*6+AG10*3)/12</f>
        <v>45</v>
      </c>
      <c r="AN5" s="945" t="s">
        <v>1702</v>
      </c>
      <c r="AO5" s="696">
        <v>508</v>
      </c>
    </row>
    <row r="6" spans="1:42" ht="26.25" thickBot="1">
      <c r="A6" s="1851"/>
      <c r="B6" s="1854"/>
      <c r="C6" s="1514" t="s">
        <v>858</v>
      </c>
      <c r="D6" s="1515" t="s">
        <v>859</v>
      </c>
      <c r="E6" s="1515" t="s">
        <v>860</v>
      </c>
      <c r="F6" s="1515" t="s">
        <v>858</v>
      </c>
      <c r="G6" s="1515" t="s">
        <v>859</v>
      </c>
      <c r="H6" s="1515" t="s">
        <v>861</v>
      </c>
      <c r="I6" s="1871"/>
      <c r="J6" s="1514" t="s">
        <v>858</v>
      </c>
      <c r="K6" s="1515" t="s">
        <v>859</v>
      </c>
      <c r="L6" s="1515" t="s">
        <v>860</v>
      </c>
      <c r="M6" s="1515" t="s">
        <v>858</v>
      </c>
      <c r="N6" s="1515" t="s">
        <v>859</v>
      </c>
      <c r="O6" s="1515" t="s">
        <v>861</v>
      </c>
      <c r="P6" s="1873"/>
      <c r="Q6" s="1516" t="s">
        <v>858</v>
      </c>
      <c r="R6" s="1516" t="s">
        <v>859</v>
      </c>
      <c r="S6" s="1516" t="s">
        <v>860</v>
      </c>
      <c r="T6" s="1516" t="s">
        <v>858</v>
      </c>
      <c r="U6" s="1516" t="s">
        <v>859</v>
      </c>
      <c r="V6" s="1516" t="s">
        <v>861</v>
      </c>
      <c r="W6" s="1875"/>
      <c r="X6" s="1517" t="s">
        <v>858</v>
      </c>
      <c r="Y6" s="1516" t="s">
        <v>859</v>
      </c>
      <c r="Z6" s="1516" t="s">
        <v>860</v>
      </c>
      <c r="AA6" s="1516" t="s">
        <v>858</v>
      </c>
      <c r="AB6" s="1516" t="s">
        <v>859</v>
      </c>
      <c r="AC6" s="1516" t="s">
        <v>861</v>
      </c>
      <c r="AD6" s="1875"/>
      <c r="AF6" s="506" t="s">
        <v>865</v>
      </c>
      <c r="AG6">
        <v>34</v>
      </c>
      <c r="AN6" s="945" t="s">
        <v>1703</v>
      </c>
      <c r="AO6" s="696">
        <v>645</v>
      </c>
    </row>
    <row r="7" spans="1:42">
      <c r="A7" s="1518">
        <v>1</v>
      </c>
      <c r="B7" s="1519" t="s">
        <v>862</v>
      </c>
      <c r="C7" s="1860">
        <f>E7</f>
        <v>1155.2143725000001</v>
      </c>
      <c r="D7" s="1858">
        <f>E7-C7</f>
        <v>0</v>
      </c>
      <c r="E7" s="1858">
        <f>115521437.25/100000</f>
        <v>1155.2143725000001</v>
      </c>
      <c r="F7" s="1858">
        <f>H7/$H$38*$F$38</f>
        <v>2245.7860208691604</v>
      </c>
      <c r="G7" s="1858">
        <f>H7-F7</f>
        <v>8555.5990460308403</v>
      </c>
      <c r="H7" s="1858">
        <f>(1285538506.69)/100000-3754+1700</f>
        <v>10801.3850669</v>
      </c>
      <c r="I7" s="1876">
        <f>E7+H7</f>
        <v>11956.599439400001</v>
      </c>
      <c r="J7" s="1882">
        <f>1121.95+105.18+270.55</f>
        <v>1497.68</v>
      </c>
      <c r="K7" s="1878"/>
      <c r="L7" s="1878">
        <f>122713500/100000</f>
        <v>1227.135</v>
      </c>
      <c r="M7" s="1878">
        <f>+O7/100*18</f>
        <v>986.58</v>
      </c>
      <c r="N7" s="1878">
        <f>+O7-M7</f>
        <v>4494.42</v>
      </c>
      <c r="O7" s="1878">
        <f>(795100000)/100000-2470</f>
        <v>5481</v>
      </c>
      <c r="P7" s="1878">
        <f>+L7+O7</f>
        <v>6708.1350000000002</v>
      </c>
      <c r="Q7" s="1858">
        <f>J7*2+U85/10^5</f>
        <v>3305.3941666666669</v>
      </c>
      <c r="R7" s="1858">
        <f>K7*2+0</f>
        <v>0</v>
      </c>
      <c r="S7" s="1858">
        <f>Q7+R7</f>
        <v>3305.3941666666669</v>
      </c>
      <c r="T7" s="1858">
        <f>V7/$V$38*$T$38</f>
        <v>2901.6284299858562</v>
      </c>
      <c r="U7" s="1858">
        <f>V7-T7</f>
        <v>10192.741570014145</v>
      </c>
      <c r="V7" s="1858">
        <f>(P7*2)-U76/100000</f>
        <v>13094.37</v>
      </c>
      <c r="W7" s="1856">
        <f>V7+S7</f>
        <v>16399.764166666668</v>
      </c>
      <c r="X7" s="1860">
        <f>S7*1.08+AB84/10^5</f>
        <v>7453.0132000000012</v>
      </c>
      <c r="Y7" s="1858"/>
      <c r="Z7" s="1858">
        <f>X7+Y7</f>
        <v>7453.0132000000012</v>
      </c>
      <c r="AA7" s="1858">
        <f>AC7/$AC$38*$AA$38</f>
        <v>3073.5300752982112</v>
      </c>
      <c r="AB7" s="1858">
        <f>AC7-AA7</f>
        <v>10225.271024701791</v>
      </c>
      <c r="AC7" s="1858">
        <f>V7*1.03-AB76/100000</f>
        <v>13298.801100000002</v>
      </c>
      <c r="AD7" s="1856">
        <f>AC7+Z7</f>
        <v>20751.814300000005</v>
      </c>
      <c r="AE7" s="7"/>
      <c r="AF7" s="506" t="s">
        <v>867</v>
      </c>
      <c r="AG7">
        <v>38</v>
      </c>
    </row>
    <row r="8" spans="1:42">
      <c r="A8" s="1361">
        <v>2</v>
      </c>
      <c r="B8" s="1520" t="s">
        <v>864</v>
      </c>
      <c r="C8" s="1861"/>
      <c r="D8" s="1859"/>
      <c r="E8" s="1859"/>
      <c r="F8" s="1859"/>
      <c r="G8" s="1859"/>
      <c r="H8" s="1859"/>
      <c r="I8" s="1877"/>
      <c r="J8" s="1883"/>
      <c r="K8" s="1879"/>
      <c r="L8" s="1879"/>
      <c r="M8" s="1879"/>
      <c r="N8" s="1879"/>
      <c r="O8" s="1879"/>
      <c r="P8" s="1879"/>
      <c r="Q8" s="1859"/>
      <c r="R8" s="1859"/>
      <c r="S8" s="1859"/>
      <c r="T8" s="1859"/>
      <c r="U8" s="1859"/>
      <c r="V8" s="1859"/>
      <c r="W8" s="1857"/>
      <c r="X8" s="1861"/>
      <c r="Y8" s="1859"/>
      <c r="Z8" s="1859"/>
      <c r="AA8" s="1859"/>
      <c r="AB8" s="1859"/>
      <c r="AC8" s="1859"/>
      <c r="AD8" s="1857"/>
      <c r="AE8" s="7"/>
      <c r="AF8" s="506" t="s">
        <v>869</v>
      </c>
      <c r="AG8">
        <v>42</v>
      </c>
    </row>
    <row r="9" spans="1:42">
      <c r="A9" s="1361">
        <v>3</v>
      </c>
      <c r="B9" s="1520" t="s">
        <v>866</v>
      </c>
      <c r="C9" s="1521"/>
      <c r="D9" s="1049"/>
      <c r="E9" s="1049"/>
      <c r="F9" s="1049">
        <f>H9/$H$38*$F$38</f>
        <v>486.85030021809479</v>
      </c>
      <c r="G9" s="1049">
        <f>H9-F9</f>
        <v>1854.7163110819049</v>
      </c>
      <c r="H9" s="1049">
        <f>-141243338.87/100000+3754</f>
        <v>2341.5666112999997</v>
      </c>
      <c r="I9" s="1522">
        <f>E9+H9</f>
        <v>2341.5666112999997</v>
      </c>
      <c r="J9" s="1523"/>
      <c r="K9" s="1292"/>
      <c r="L9" s="1292"/>
      <c r="M9" s="1292">
        <f>+O9/100*18</f>
        <v>314.09999999999997</v>
      </c>
      <c r="N9" s="1292">
        <f>+O9-M9</f>
        <v>1430.9</v>
      </c>
      <c r="O9" s="1292">
        <f>-(72500000/100000)+2470</f>
        <v>1745</v>
      </c>
      <c r="P9" s="1292">
        <f>+L9+O9</f>
        <v>1745</v>
      </c>
      <c r="Q9" s="1049"/>
      <c r="R9" s="1049"/>
      <c r="S9" s="1049">
        <f>Q9+R9</f>
        <v>0</v>
      </c>
      <c r="T9" s="1049">
        <f>V9/$V$38*$T$38</f>
        <v>1102.618803394625</v>
      </c>
      <c r="U9" s="1049">
        <f>V9-T9</f>
        <v>3873.2417966053749</v>
      </c>
      <c r="V9" s="1049">
        <f>V7*AJ5%</f>
        <v>4975.8606</v>
      </c>
      <c r="W9" s="1524">
        <f>V9+S9</f>
        <v>4975.8606</v>
      </c>
      <c r="X9" s="1521"/>
      <c r="Y9" s="1049"/>
      <c r="Z9" s="1049">
        <f t="shared" ref="Z9:Z31" si="0">X9+Y9</f>
        <v>0</v>
      </c>
      <c r="AA9" s="1049">
        <f>AC9/$AC$38*$AA$38</f>
        <v>1383.0885338841952</v>
      </c>
      <c r="AB9" s="1049">
        <f>AC9-AA9</f>
        <v>4601.3719611158058</v>
      </c>
      <c r="AC9" s="1049">
        <f>AC7*AK5%</f>
        <v>5984.4604950000012</v>
      </c>
      <c r="AD9" s="1524">
        <f>AC9+Z9</f>
        <v>5984.4604950000012</v>
      </c>
      <c r="AE9" s="7"/>
      <c r="AF9" s="506" t="s">
        <v>871</v>
      </c>
      <c r="AG9">
        <f>AG8+3</f>
        <v>45</v>
      </c>
    </row>
    <row r="10" spans="1:42">
      <c r="A10" s="1361">
        <v>4</v>
      </c>
      <c r="B10" s="1525" t="s">
        <v>868</v>
      </c>
      <c r="C10" s="1521">
        <f>E10</f>
        <v>423.27987150000001</v>
      </c>
      <c r="D10" s="1049">
        <f>E10-C10</f>
        <v>0</v>
      </c>
      <c r="E10" s="1049">
        <f>42327987.15/100000</f>
        <v>423.27987150000001</v>
      </c>
      <c r="F10" s="1049">
        <f t="shared" ref="F10:F11" si="1">H10/$H$38*$F$38</f>
        <v>319.09536861452813</v>
      </c>
      <c r="G10" s="1049">
        <f t="shared" ref="G10:G11" si="2">H10-F10</f>
        <v>1215.6331929854723</v>
      </c>
      <c r="H10" s="1049">
        <f>323472856.16/100000-1700</f>
        <v>1534.7285616000004</v>
      </c>
      <c r="I10" s="1522">
        <f>E10+H10</f>
        <v>1958.0084331000003</v>
      </c>
      <c r="J10" s="1523">
        <f>C10/E10*L10</f>
        <v>128.239</v>
      </c>
      <c r="K10" s="1292">
        <f>L10-J10</f>
        <v>0</v>
      </c>
      <c r="L10" s="1292">
        <f>12823900/100000</f>
        <v>128.239</v>
      </c>
      <c r="M10" s="1292">
        <f>+O10/100*18</f>
        <v>195.12</v>
      </c>
      <c r="N10" s="1292">
        <f>+O10-M10</f>
        <v>888.88</v>
      </c>
      <c r="O10" s="1292">
        <f>108400000/100000</f>
        <v>1084</v>
      </c>
      <c r="P10" s="1292">
        <f>+L10+O10</f>
        <v>1212.239</v>
      </c>
      <c r="Q10" s="1049">
        <f>L10*2+0</f>
        <v>256.47800000000001</v>
      </c>
      <c r="R10" s="1049"/>
      <c r="S10" s="1049">
        <f>Q10+R10</f>
        <v>256.47800000000001</v>
      </c>
      <c r="T10" s="1049">
        <f>V10/$V$38*$T$38</f>
        <v>522.29311739745413</v>
      </c>
      <c r="U10" s="1049">
        <f>V10-T10</f>
        <v>1834.6934826025461</v>
      </c>
      <c r="V10" s="1049">
        <f>V7*0.18</f>
        <v>2356.9866000000002</v>
      </c>
      <c r="W10" s="1524">
        <f>V10+S10</f>
        <v>2613.4646000000002</v>
      </c>
      <c r="X10" s="1521">
        <f>Q10*1.08</f>
        <v>276.99624</v>
      </c>
      <c r="Y10" s="1049"/>
      <c r="Z10" s="1049">
        <f t="shared" si="0"/>
        <v>276.99624</v>
      </c>
      <c r="AA10" s="1049">
        <f>AC10/$AC$38*$AA$38</f>
        <v>553.23541355367797</v>
      </c>
      <c r="AB10" s="1049">
        <f>AC10-AA10</f>
        <v>1840.5487844463223</v>
      </c>
      <c r="AC10" s="1049">
        <f>AC7*0.18</f>
        <v>2393.7841980000003</v>
      </c>
      <c r="AD10" s="1524">
        <f t="shared" ref="AD10:AD13" si="3">AC10+Z10</f>
        <v>2670.7804380000002</v>
      </c>
      <c r="AE10" s="7"/>
      <c r="AF10" s="506" t="s">
        <v>2123</v>
      </c>
      <c r="AG10">
        <f>AG9+3</f>
        <v>48</v>
      </c>
      <c r="AJ10" s="212"/>
    </row>
    <row r="11" spans="1:42">
      <c r="A11" s="1361">
        <v>5</v>
      </c>
      <c r="B11" s="1525" t="s">
        <v>870</v>
      </c>
      <c r="C11" s="1521">
        <f>E11</f>
        <v>2216.7460687000003</v>
      </c>
      <c r="D11" s="1049">
        <f>E11-C11</f>
        <v>0</v>
      </c>
      <c r="E11" s="1049">
        <f>(88011767+133662839.87)/100000</f>
        <v>2216.7460687000003</v>
      </c>
      <c r="F11" s="1049">
        <f t="shared" si="1"/>
        <v>10.211404843845152</v>
      </c>
      <c r="G11" s="1049">
        <f t="shared" si="2"/>
        <v>38.901607156154853</v>
      </c>
      <c r="H11" s="1049">
        <f>4911301.2/100000</f>
        <v>49.113012000000005</v>
      </c>
      <c r="I11" s="1522">
        <f>E11+H11</f>
        <v>2265.8590807</v>
      </c>
      <c r="J11" s="1523">
        <f>C11/E11*L11</f>
        <v>2018.8115</v>
      </c>
      <c r="K11" s="1292">
        <f>L11-J11</f>
        <v>0</v>
      </c>
      <c r="L11" s="1292">
        <f>201881150/100000</f>
        <v>2018.8115</v>
      </c>
      <c r="M11" s="1292">
        <f>+O11/100*18</f>
        <v>16.457400000000003</v>
      </c>
      <c r="N11" s="1292">
        <f>+O11-M11</f>
        <v>74.9726</v>
      </c>
      <c r="O11" s="1292">
        <f>9143000/100000</f>
        <v>91.43</v>
      </c>
      <c r="P11" s="1292">
        <f>+L11+O11</f>
        <v>2110.2415000000001</v>
      </c>
      <c r="Q11" s="1049">
        <f>(L11-971)*2+971+0</f>
        <v>3066.623</v>
      </c>
      <c r="R11" s="1049"/>
      <c r="S11" s="1049">
        <f>Q11+R11</f>
        <v>3066.623</v>
      </c>
      <c r="T11" s="1049">
        <f>V11/$V$38*$T$38</f>
        <v>46.534653465346537</v>
      </c>
      <c r="U11" s="1049">
        <f>V11-T11</f>
        <v>163.46534653465346</v>
      </c>
      <c r="V11" s="1049">
        <v>210</v>
      </c>
      <c r="W11" s="1524">
        <f>V11+S11</f>
        <v>3276.623</v>
      </c>
      <c r="X11" s="1521">
        <f>Q11*1.08</f>
        <v>3311.9528400000004</v>
      </c>
      <c r="Y11" s="1049"/>
      <c r="Z11" s="1049">
        <f t="shared" si="0"/>
        <v>3311.9528400000004</v>
      </c>
      <c r="AA11" s="1049">
        <f>AC11/$AC$38*$AA$38</f>
        <v>49.291513514023528</v>
      </c>
      <c r="AB11" s="1049">
        <f>AC11-AA11</f>
        <v>163.98703528213849</v>
      </c>
      <c r="AC11" s="1049">
        <f>(V11/V7)*AC7</f>
        <v>213.27854879616203</v>
      </c>
      <c r="AD11" s="1524">
        <f t="shared" si="3"/>
        <v>3525.2313887961623</v>
      </c>
      <c r="AE11" s="7"/>
      <c r="AF11" s="506" t="s">
        <v>2124</v>
      </c>
      <c r="AG11">
        <f>AG10+3</f>
        <v>51</v>
      </c>
      <c r="AH11" s="223"/>
    </row>
    <row r="12" spans="1:42" ht="25.5">
      <c r="A12" s="1361">
        <v>6</v>
      </c>
      <c r="B12" s="1526" t="s">
        <v>872</v>
      </c>
      <c r="C12" s="1521"/>
      <c r="D12" s="1049"/>
      <c r="E12" s="1049">
        <f>C12+D12</f>
        <v>0</v>
      </c>
      <c r="F12" s="1049">
        <f>H12</f>
        <v>1313</v>
      </c>
      <c r="G12" s="1049"/>
      <c r="H12" s="1096">
        <v>1313</v>
      </c>
      <c r="I12" s="1522">
        <f>E12+H12</f>
        <v>1313</v>
      </c>
      <c r="J12" s="1523"/>
      <c r="K12" s="1292"/>
      <c r="L12" s="1292">
        <f>J12+K12</f>
        <v>0</v>
      </c>
      <c r="M12" s="1292"/>
      <c r="N12" s="1292"/>
      <c r="O12" s="1317">
        <v>1980</v>
      </c>
      <c r="P12" s="1292">
        <f>O12+L12</f>
        <v>1980</v>
      </c>
      <c r="Q12" s="1049"/>
      <c r="R12" s="1049"/>
      <c r="S12" s="1049">
        <f>Q12+R12</f>
        <v>0</v>
      </c>
      <c r="T12" s="1049">
        <f>V12/$V$38*$T$38</f>
        <v>438.75530410183876</v>
      </c>
      <c r="U12" s="1049">
        <f>V12-T12</f>
        <v>1541.2446958981614</v>
      </c>
      <c r="V12" s="1096">
        <v>1980</v>
      </c>
      <c r="W12" s="1524">
        <f>V12+S12</f>
        <v>1980</v>
      </c>
      <c r="X12" s="1521"/>
      <c r="Y12" s="1049"/>
      <c r="Z12" s="1049">
        <f t="shared" si="0"/>
        <v>0</v>
      </c>
      <c r="AA12" s="1049">
        <f>AC12/$AC$38*$AA$38</f>
        <v>0</v>
      </c>
      <c r="AB12" s="1049">
        <f>AC12-AA12</f>
        <v>0</v>
      </c>
      <c r="AC12" s="1096"/>
      <c r="AD12" s="1524">
        <f t="shared" si="3"/>
        <v>0</v>
      </c>
      <c r="AE12" s="7"/>
      <c r="AF12" s="506"/>
      <c r="AG12" s="223"/>
      <c r="AH12" s="223"/>
    </row>
    <row r="13" spans="1:42" ht="15.75">
      <c r="A13" s="1361">
        <v>7</v>
      </c>
      <c r="B13" s="1525" t="s">
        <v>873</v>
      </c>
      <c r="C13" s="1521"/>
      <c r="D13" s="1049"/>
      <c r="E13" s="1049">
        <f>C13+D13</f>
        <v>0</v>
      </c>
      <c r="F13" s="1049">
        <f>I13*100%</f>
        <v>0</v>
      </c>
      <c r="G13" s="1049"/>
      <c r="H13" s="1049"/>
      <c r="I13" s="1522">
        <f t="shared" ref="I13" si="4">E13+H13</f>
        <v>0</v>
      </c>
      <c r="J13" s="1523"/>
      <c r="K13" s="1292"/>
      <c r="L13" s="1292">
        <f>J13+K13</f>
        <v>0</v>
      </c>
      <c r="M13" s="1292"/>
      <c r="N13" s="1292"/>
      <c r="O13" s="1292"/>
      <c r="P13" s="1292">
        <f>O13+L13</f>
        <v>0</v>
      </c>
      <c r="Q13" s="1049"/>
      <c r="R13" s="1049"/>
      <c r="S13" s="1049"/>
      <c r="T13" s="1049"/>
      <c r="U13" s="1049"/>
      <c r="V13" s="1049"/>
      <c r="W13" s="1524"/>
      <c r="X13" s="1521"/>
      <c r="Y13" s="1049"/>
      <c r="Z13" s="1049">
        <f t="shared" si="0"/>
        <v>0</v>
      </c>
      <c r="AA13" s="1049"/>
      <c r="AB13" s="1049">
        <f>AC13-AA13</f>
        <v>35</v>
      </c>
      <c r="AC13" s="1049">
        <v>35</v>
      </c>
      <c r="AD13" s="1524">
        <f t="shared" si="3"/>
        <v>35</v>
      </c>
      <c r="AE13" s="7"/>
      <c r="AF13" s="302"/>
      <c r="AN13" s="1527"/>
    </row>
    <row r="14" spans="1:42" ht="15.75">
      <c r="A14" s="1361">
        <v>8</v>
      </c>
      <c r="B14" s="1528" t="s">
        <v>874</v>
      </c>
      <c r="C14" s="1529">
        <f>SUM(C7:C13)</f>
        <v>3795.2403127000002</v>
      </c>
      <c r="D14" s="1096">
        <f>SUM(D7:D13)</f>
        <v>0</v>
      </c>
      <c r="E14" s="1096">
        <f>SUM(E7:E13)</f>
        <v>3795.2403127000002</v>
      </c>
      <c r="F14" s="1096">
        <f>SUM(F7:F13)</f>
        <v>4374.9430945456279</v>
      </c>
      <c r="G14" s="1096">
        <f>SUM(G7:G13)</f>
        <v>11664.850157254374</v>
      </c>
      <c r="H14" s="1096">
        <f t="shared" ref="H14:AD14" si="5">SUM(H7:H13)</f>
        <v>16039.7932518</v>
      </c>
      <c r="I14" s="1522">
        <f>SUM(I7:I13)</f>
        <v>19835.033564500001</v>
      </c>
      <c r="J14" s="1530">
        <f t="shared" ref="J14:P14" si="6">SUM(J7:J13)</f>
        <v>3644.7305000000001</v>
      </c>
      <c r="K14" s="1530">
        <f t="shared" si="6"/>
        <v>0</v>
      </c>
      <c r="L14" s="1530">
        <f t="shared" si="6"/>
        <v>3374.1855</v>
      </c>
      <c r="M14" s="1530">
        <f t="shared" si="6"/>
        <v>1512.2574000000002</v>
      </c>
      <c r="N14" s="1530">
        <f t="shared" si="6"/>
        <v>6889.1725999999999</v>
      </c>
      <c r="O14" s="1531">
        <f t="shared" si="6"/>
        <v>10381.43</v>
      </c>
      <c r="P14" s="1317">
        <f t="shared" si="6"/>
        <v>13755.6155</v>
      </c>
      <c r="Q14" s="1096">
        <f t="shared" si="5"/>
        <v>6628.4951666666675</v>
      </c>
      <c r="R14" s="1096">
        <f t="shared" si="5"/>
        <v>0</v>
      </c>
      <c r="S14" s="1096">
        <f t="shared" si="5"/>
        <v>6628.4951666666675</v>
      </c>
      <c r="T14" s="1096">
        <f t="shared" si="5"/>
        <v>5011.830308345121</v>
      </c>
      <c r="U14" s="1096">
        <f t="shared" si="5"/>
        <v>17605.386891654878</v>
      </c>
      <c r="V14" s="1096">
        <f t="shared" ref="V14" si="7">SUM(V7:V13)</f>
        <v>22617.217200000003</v>
      </c>
      <c r="W14" s="1522">
        <f t="shared" si="5"/>
        <v>29245.712366666667</v>
      </c>
      <c r="X14" s="1529">
        <f t="shared" si="5"/>
        <v>11041.962280000002</v>
      </c>
      <c r="Y14" s="1096">
        <f t="shared" si="5"/>
        <v>0</v>
      </c>
      <c r="Z14" s="1096">
        <f t="shared" si="5"/>
        <v>11041.962280000002</v>
      </c>
      <c r="AA14" s="1096">
        <f t="shared" si="5"/>
        <v>5059.1455362501083</v>
      </c>
      <c r="AB14" s="1096">
        <f t="shared" si="5"/>
        <v>16866.178805546057</v>
      </c>
      <c r="AC14" s="1096">
        <f t="shared" ref="AC14" si="8">SUM(AC7:AC13)</f>
        <v>21925.324341796168</v>
      </c>
      <c r="AD14" s="1522">
        <f t="shared" si="5"/>
        <v>32967.286621796171</v>
      </c>
      <c r="AE14" s="7"/>
      <c r="AJ14" s="1532"/>
      <c r="AK14" s="1532"/>
      <c r="AL14" s="1532"/>
      <c r="AN14" s="1532"/>
      <c r="AO14" s="1532"/>
      <c r="AP14" s="1532"/>
    </row>
    <row r="15" spans="1:42">
      <c r="A15" s="1361"/>
      <c r="B15" s="1526" t="s">
        <v>875</v>
      </c>
      <c r="C15" s="1521"/>
      <c r="D15" s="1049"/>
      <c r="E15" s="1049"/>
      <c r="F15" s="1049"/>
      <c r="G15" s="1049"/>
      <c r="H15" s="1049"/>
      <c r="I15" s="1522"/>
      <c r="J15" s="1523"/>
      <c r="K15" s="1292"/>
      <c r="L15" s="1292"/>
      <c r="M15" s="1292"/>
      <c r="N15" s="1292"/>
      <c r="O15" s="1292"/>
      <c r="P15" s="1292"/>
      <c r="Q15" s="1049"/>
      <c r="R15" s="1049"/>
      <c r="S15" s="1049"/>
      <c r="T15" s="1049"/>
      <c r="U15" s="1049"/>
      <c r="V15" s="1049"/>
      <c r="W15" s="1524"/>
      <c r="X15" s="1521"/>
      <c r="Y15" s="1049"/>
      <c r="Z15" s="1049"/>
      <c r="AA15" s="1049"/>
      <c r="AB15" s="1049"/>
      <c r="AC15" s="1049"/>
      <c r="AD15" s="1524"/>
      <c r="AE15" s="7"/>
      <c r="AF15" s="506"/>
    </row>
    <row r="16" spans="1:42">
      <c r="A16" s="1361">
        <v>9</v>
      </c>
      <c r="B16" s="1520" t="s">
        <v>876</v>
      </c>
      <c r="C16" s="1521"/>
      <c r="D16" s="1049"/>
      <c r="E16" s="1049">
        <f>C16+D16</f>
        <v>0</v>
      </c>
      <c r="F16" s="1049"/>
      <c r="G16" s="1049">
        <f>(38125042+329600000)/100000</f>
        <v>3677.2504199999998</v>
      </c>
      <c r="H16" s="1049">
        <f>G16+F16</f>
        <v>3677.2504199999998</v>
      </c>
      <c r="I16" s="1522">
        <f>E16+H16</f>
        <v>3677.2504199999998</v>
      </c>
      <c r="J16" s="1523"/>
      <c r="K16" s="1292"/>
      <c r="L16" s="1292"/>
      <c r="M16" s="1292"/>
      <c r="N16" s="1292">
        <f>O16</f>
        <v>1407.1123700000001</v>
      </c>
      <c r="O16" s="1292">
        <f>(86600000+54111237)/100000</f>
        <v>1407.1123700000001</v>
      </c>
      <c r="P16" s="1292">
        <f>+L16+O16</f>
        <v>1407.1123700000001</v>
      </c>
      <c r="Q16" s="1049"/>
      <c r="R16" s="1049"/>
      <c r="S16" s="1049"/>
      <c r="T16" s="1049"/>
      <c r="U16" s="1049">
        <f>I16*1.03</f>
        <v>3787.5679325999999</v>
      </c>
      <c r="V16" s="1049">
        <f>U16</f>
        <v>3787.5679325999999</v>
      </c>
      <c r="W16" s="1524">
        <f>V16+S16</f>
        <v>3787.5679325999999</v>
      </c>
      <c r="X16" s="1521"/>
      <c r="Y16" s="1049"/>
      <c r="Z16" s="1049"/>
      <c r="AA16" s="1049">
        <f>AC16/$AC$38*$AA$38</f>
        <v>901.61812192781815</v>
      </c>
      <c r="AB16" s="1049">
        <f>AC16-AA16</f>
        <v>2999.576848650182</v>
      </c>
      <c r="AC16" s="1049">
        <f>V16*1.03</f>
        <v>3901.1949705780003</v>
      </c>
      <c r="AD16" s="1524">
        <f t="shared" ref="AD16" si="9">AC16+Z16</f>
        <v>3901.1949705780003</v>
      </c>
      <c r="AE16" s="7"/>
      <c r="AF16" s="561"/>
      <c r="AG16" s="7"/>
      <c r="AH16" s="7"/>
      <c r="AI16" s="7"/>
      <c r="AJ16" s="7"/>
      <c r="AK16" s="7"/>
      <c r="AL16" s="7"/>
      <c r="AM16" s="7"/>
    </row>
    <row r="17" spans="1:42" ht="38.25">
      <c r="A17" s="1361">
        <v>10</v>
      </c>
      <c r="B17" s="1520" t="s">
        <v>877</v>
      </c>
      <c r="C17" s="1521"/>
      <c r="D17" s="1049"/>
      <c r="E17" s="1049"/>
      <c r="F17" s="1049"/>
      <c r="G17" s="1049">
        <v>0</v>
      </c>
      <c r="H17" s="1049">
        <f>G17+F17</f>
        <v>0</v>
      </c>
      <c r="I17" s="1522">
        <f>E17+H17</f>
        <v>0</v>
      </c>
      <c r="J17" s="1523"/>
      <c r="K17" s="1292"/>
      <c r="L17" s="1292"/>
      <c r="M17" s="1292"/>
      <c r="N17" s="1292"/>
      <c r="O17" s="1292"/>
      <c r="P17" s="1292"/>
      <c r="Q17" s="1049"/>
      <c r="R17" s="1049"/>
      <c r="S17" s="1049"/>
      <c r="T17" s="1049"/>
      <c r="U17" s="1049"/>
      <c r="V17" s="1049"/>
      <c r="W17" s="1524"/>
      <c r="X17" s="1521"/>
      <c r="Y17" s="1049"/>
      <c r="Z17" s="1049"/>
      <c r="AA17" s="1049"/>
      <c r="AB17" s="1049"/>
      <c r="AC17" s="1049"/>
      <c r="AD17" s="1524"/>
      <c r="AE17" s="7"/>
      <c r="AF17" s="561"/>
      <c r="AG17" s="7"/>
      <c r="AH17" s="7"/>
      <c r="AI17" s="7"/>
      <c r="AJ17" s="7"/>
      <c r="AK17" s="7"/>
      <c r="AL17" s="7"/>
      <c r="AM17" s="7"/>
    </row>
    <row r="18" spans="1:42">
      <c r="A18" s="1361">
        <v>11</v>
      </c>
      <c r="B18" s="1520" t="s">
        <v>878</v>
      </c>
      <c r="C18" s="1521"/>
      <c r="D18" s="1049">
        <f>E18</f>
        <v>13.333136399999999</v>
      </c>
      <c r="E18" s="1049">
        <f>1333313.64/100000</f>
        <v>13.333136399999999</v>
      </c>
      <c r="F18" s="1049"/>
      <c r="G18" s="1049">
        <f>H18</f>
        <v>13.64019</v>
      </c>
      <c r="H18" s="1049">
        <f>1364019/100000</f>
        <v>13.64019</v>
      </c>
      <c r="I18" s="1522">
        <f t="shared" ref="I18" si="10">E18+H18</f>
        <v>26.973326399999998</v>
      </c>
      <c r="J18" s="1523"/>
      <c r="K18" s="1292"/>
      <c r="L18" s="1292"/>
      <c r="M18" s="1292"/>
      <c r="N18" s="1292"/>
      <c r="O18" s="1292"/>
      <c r="P18" s="1292"/>
      <c r="Q18" s="1049"/>
      <c r="R18" s="1049"/>
      <c r="S18" s="1049"/>
      <c r="T18" s="1049"/>
      <c r="U18" s="1049"/>
      <c r="V18" s="1049"/>
      <c r="W18" s="1524"/>
      <c r="X18" s="1521"/>
      <c r="Y18" s="1049"/>
      <c r="Z18" s="1049"/>
      <c r="AA18" s="1049"/>
      <c r="AB18" s="1049"/>
      <c r="AC18" s="1049"/>
      <c r="AD18" s="1524"/>
      <c r="AE18" s="7"/>
      <c r="AF18" s="302"/>
      <c r="AG18" s="12"/>
      <c r="AH18" s="12"/>
      <c r="AI18" s="12"/>
      <c r="AJ18" s="12"/>
      <c r="AK18" s="12"/>
      <c r="AL18" s="12"/>
      <c r="AM18" s="7"/>
    </row>
    <row r="19" spans="1:42" ht="25.5">
      <c r="A19" s="1361">
        <v>12</v>
      </c>
      <c r="B19" s="1618" t="s">
        <v>879</v>
      </c>
      <c r="C19" s="1529">
        <f t="shared" ref="C19:AD19" si="11">SUM(C15:C18)</f>
        <v>0</v>
      </c>
      <c r="D19" s="1096">
        <f t="shared" si="11"/>
        <v>13.333136399999999</v>
      </c>
      <c r="E19" s="1096">
        <f t="shared" si="11"/>
        <v>13.333136399999999</v>
      </c>
      <c r="F19" s="1096">
        <f t="shared" si="11"/>
        <v>0</v>
      </c>
      <c r="G19" s="1096">
        <f t="shared" si="11"/>
        <v>3690.8906099999999</v>
      </c>
      <c r="H19" s="1096">
        <f t="shared" si="11"/>
        <v>3690.8906099999999</v>
      </c>
      <c r="I19" s="1522">
        <f>SUM(I15:I18)</f>
        <v>3704.2237464</v>
      </c>
      <c r="J19" s="1530">
        <v>405.31914893617022</v>
      </c>
      <c r="K19" s="1317">
        <v>35.554311310190371</v>
      </c>
      <c r="L19" s="1317">
        <v>440.87346024636059</v>
      </c>
      <c r="M19" s="1317">
        <v>131.40873460246362</v>
      </c>
      <c r="N19" s="1317">
        <v>1850.8301751511758</v>
      </c>
      <c r="O19" s="1317">
        <v>1982.2389097536395</v>
      </c>
      <c r="P19" s="1522">
        <f>SUM(P15:P18)</f>
        <v>1407.1123700000001</v>
      </c>
      <c r="Q19" s="1096">
        <f t="shared" si="11"/>
        <v>0</v>
      </c>
      <c r="R19" s="1096">
        <f t="shared" si="11"/>
        <v>0</v>
      </c>
      <c r="S19" s="1096">
        <f t="shared" si="11"/>
        <v>0</v>
      </c>
      <c r="T19" s="1096">
        <f t="shared" si="11"/>
        <v>0</v>
      </c>
      <c r="U19" s="1096">
        <f t="shared" si="11"/>
        <v>3787.5679325999999</v>
      </c>
      <c r="V19" s="1096">
        <f t="shared" ref="V19" si="12">SUM(V15:V18)</f>
        <v>3787.5679325999999</v>
      </c>
      <c r="W19" s="1522">
        <f t="shared" si="11"/>
        <v>3787.5679325999999</v>
      </c>
      <c r="X19" s="1529">
        <f t="shared" si="11"/>
        <v>0</v>
      </c>
      <c r="Y19" s="1096">
        <f t="shared" si="11"/>
        <v>0</v>
      </c>
      <c r="Z19" s="1096">
        <f t="shared" si="11"/>
        <v>0</v>
      </c>
      <c r="AA19" s="1096">
        <f t="shared" si="11"/>
        <v>901.61812192781815</v>
      </c>
      <c r="AB19" s="1096">
        <f t="shared" si="11"/>
        <v>2999.576848650182</v>
      </c>
      <c r="AC19" s="1096">
        <f t="shared" ref="AC19" si="13">SUM(AC15:AC18)</f>
        <v>3901.1949705780003</v>
      </c>
      <c r="AD19" s="1522">
        <f t="shared" si="11"/>
        <v>3901.1949705780003</v>
      </c>
      <c r="AE19" s="7"/>
      <c r="AF19" s="506"/>
      <c r="AJ19" s="7"/>
      <c r="AL19" s="7"/>
    </row>
    <row r="20" spans="1:42">
      <c r="A20" s="1361"/>
      <c r="B20" s="1526" t="s">
        <v>880</v>
      </c>
      <c r="C20" s="1521"/>
      <c r="D20" s="1049"/>
      <c r="E20" s="1049"/>
      <c r="F20" s="1049"/>
      <c r="G20" s="1049"/>
      <c r="H20" s="1049"/>
      <c r="I20" s="1522"/>
      <c r="J20" s="1523"/>
      <c r="K20" s="1292"/>
      <c r="L20" s="1292"/>
      <c r="M20" s="1292"/>
      <c r="N20" s="1292"/>
      <c r="O20" s="1292"/>
      <c r="P20" s="1292"/>
      <c r="Q20" s="1533"/>
      <c r="R20" s="1049"/>
      <c r="S20" s="1049"/>
      <c r="T20" s="1049"/>
      <c r="U20" s="1049"/>
      <c r="V20" s="1049"/>
      <c r="W20" s="1524"/>
      <c r="X20" s="1521"/>
      <c r="Y20" s="1049"/>
      <c r="Z20" s="1049">
        <f t="shared" si="0"/>
        <v>0</v>
      </c>
      <c r="AA20" s="1049"/>
      <c r="AB20" s="1049"/>
      <c r="AC20" s="1049"/>
      <c r="AD20" s="1524"/>
      <c r="AE20" s="7"/>
      <c r="AF20" s="561"/>
      <c r="AL20" s="7"/>
    </row>
    <row r="21" spans="1:42">
      <c r="A21" s="1361">
        <v>13</v>
      </c>
      <c r="B21" s="1525" t="s">
        <v>881</v>
      </c>
      <c r="C21" s="1521">
        <f>E21/$E$38*$C$38</f>
        <v>168.36073458322579</v>
      </c>
      <c r="D21" s="1049">
        <f>E21-C21</f>
        <v>7.9630077167742002</v>
      </c>
      <c r="E21" s="1049">
        <f>17632374.23/100000</f>
        <v>176.32374229999999</v>
      </c>
      <c r="F21" s="1049">
        <f>H21/$H$38*$F$38</f>
        <v>179.25895465115264</v>
      </c>
      <c r="G21" s="1049">
        <f>H21-F21</f>
        <v>682.90911384884726</v>
      </c>
      <c r="H21" s="1049">
        <f>86216806.85/100000</f>
        <v>862.16806849999989</v>
      </c>
      <c r="I21" s="1522">
        <f>E21+H21</f>
        <v>1038.4918107999999</v>
      </c>
      <c r="J21" s="1523">
        <f>C21/E21*L21</f>
        <v>17.747844903225808</v>
      </c>
      <c r="K21" s="1292">
        <f>L21-J21</f>
        <v>0.83942509677419253</v>
      </c>
      <c r="L21" s="1292">
        <v>18.58727</v>
      </c>
      <c r="M21" s="1292">
        <f t="shared" ref="M21:M26" si="14">+O21/100*18</f>
        <v>41.534820000000003</v>
      </c>
      <c r="N21" s="1292">
        <f t="shared" ref="N21:N26" si="15">+O21-M21</f>
        <v>189.21418</v>
      </c>
      <c r="O21" s="1292">
        <v>230.749</v>
      </c>
      <c r="P21" s="1292">
        <f>O21+L21</f>
        <v>249.33626999999998</v>
      </c>
      <c r="Q21" s="1049">
        <f>S21/$S$38*$Q$38</f>
        <v>152.64010189456809</v>
      </c>
      <c r="R21" s="1049">
        <f>S21-Q21</f>
        <v>37.789539789431927</v>
      </c>
      <c r="S21" s="1049">
        <f>E21*1.08</f>
        <v>190.42964168400002</v>
      </c>
      <c r="T21" s="1049">
        <f t="shared" ref="T21:T28" si="16">V21/$V$38*$T$38</f>
        <v>145.08142149929279</v>
      </c>
      <c r="U21" s="1049">
        <f t="shared" ref="U21:U28" si="17">V21-T21</f>
        <v>509.63707850070728</v>
      </c>
      <c r="V21" s="1049">
        <f>(V7*0.05)</f>
        <v>654.71850000000006</v>
      </c>
      <c r="W21" s="1524">
        <f>V21+S21</f>
        <v>845.14814168400005</v>
      </c>
      <c r="X21" s="1521">
        <f>Z21/$Z$38*$X$38</f>
        <v>173.48528989334207</v>
      </c>
      <c r="Y21" s="1049">
        <f>Z21-X21</f>
        <v>32.178723125377957</v>
      </c>
      <c r="Z21" s="1049">
        <f>S21*1.08</f>
        <v>205.66401301872003</v>
      </c>
      <c r="AA21" s="1049">
        <f>AC21/$AC$38*$AA$38</f>
        <v>199.89916778081513</v>
      </c>
      <c r="AB21" s="1049">
        <f t="shared" ref="AB21:AB28" si="18">AC21-AA21</f>
        <v>665.04088721918504</v>
      </c>
      <c r="AC21" s="1049">
        <f>(AC7*0.05)+200</f>
        <v>864.94005500000014</v>
      </c>
      <c r="AD21" s="1524">
        <f t="shared" ref="AD21:AD22" si="19">AC21+Z21</f>
        <v>1070.6040680187202</v>
      </c>
      <c r="AE21" s="7"/>
      <c r="AF21" s="561"/>
      <c r="AJ21" s="7"/>
      <c r="AL21" s="7"/>
    </row>
    <row r="22" spans="1:42">
      <c r="A22" s="1361">
        <v>14</v>
      </c>
      <c r="B22" s="1525" t="s">
        <v>882</v>
      </c>
      <c r="C22" s="1521">
        <f t="shared" ref="C22:C25" si="20">E22/$E$38*$C$38</f>
        <v>2.7045901935483871</v>
      </c>
      <c r="D22" s="1049">
        <f t="shared" ref="D22:D28" si="21">E22-C22</f>
        <v>0.12791980645161294</v>
      </c>
      <c r="E22" s="1049">
        <f>283251/100000</f>
        <v>2.8325100000000001</v>
      </c>
      <c r="F22" s="1049">
        <f t="shared" ref="F22:F28" si="22">H22/$H$38*$F$38</f>
        <v>1.0796306144410612</v>
      </c>
      <c r="G22" s="1049">
        <f t="shared" ref="G22:G28" si="23">H22-F22</f>
        <v>4.112986085558938</v>
      </c>
      <c r="H22" s="1049">
        <f>519261.67/100000</f>
        <v>5.1926166999999994</v>
      </c>
      <c r="I22" s="1522">
        <f t="shared" ref="I22:I28" si="24">E22+H22</f>
        <v>8.0251266999999995</v>
      </c>
      <c r="J22" s="1523">
        <f t="shared" ref="J22:J25" si="25">C22/E22*L22</f>
        <v>2.1827135483870967</v>
      </c>
      <c r="K22" s="1292">
        <f t="shared" ref="K22:K28" si="26">L22-J22</f>
        <v>0.1032364516129034</v>
      </c>
      <c r="L22" s="1292">
        <v>2.2859500000000001</v>
      </c>
      <c r="M22" s="1292">
        <f>+O22/100*18</f>
        <v>1.0393344</v>
      </c>
      <c r="N22" s="1292">
        <f t="shared" si="15"/>
        <v>4.7347456000000001</v>
      </c>
      <c r="O22" s="1292">
        <v>5.7740799999999997</v>
      </c>
      <c r="P22" s="1292">
        <f>O22+L22</f>
        <v>8.0600299999999994</v>
      </c>
      <c r="Q22" s="1049">
        <f>S22/$S$38*$Q$38</f>
        <v>3.6646357976653698</v>
      </c>
      <c r="R22" s="1049">
        <f t="shared" ref="R22:R28" si="27">S22-Q22</f>
        <v>0.90726420233463045</v>
      </c>
      <c r="S22" s="1049">
        <f>L22*2</f>
        <v>4.5719000000000003</v>
      </c>
      <c r="T22" s="1049">
        <f t="shared" si="16"/>
        <v>4.4318717586044318</v>
      </c>
      <c r="U22" s="1049">
        <f t="shared" si="17"/>
        <v>15.568128241395568</v>
      </c>
      <c r="V22" s="1049">
        <f>20</f>
        <v>20</v>
      </c>
      <c r="W22" s="1524">
        <f>V22+S22</f>
        <v>24.571899999999999</v>
      </c>
      <c r="X22" s="1521">
        <f t="shared" ref="X22" si="28">Z22/$Z$38*$X$38</f>
        <v>5.9047619047619042</v>
      </c>
      <c r="Y22" s="1049">
        <f t="shared" ref="Y22:Y28" si="29">Z22-X22</f>
        <v>1.0952380952380958</v>
      </c>
      <c r="Z22" s="1049">
        <v>7</v>
      </c>
      <c r="AA22" s="1049">
        <f>AC22/$AC$38*$AA$38</f>
        <v>8.0889662027833005</v>
      </c>
      <c r="AB22" s="1049">
        <f t="shared" si="18"/>
        <v>26.9110337972167</v>
      </c>
      <c r="AC22" s="1049">
        <v>35</v>
      </c>
      <c r="AD22" s="1524">
        <f t="shared" si="19"/>
        <v>42</v>
      </c>
      <c r="AE22" s="7"/>
      <c r="AF22" s="506"/>
      <c r="AG22" s="12"/>
      <c r="AI22" s="12"/>
      <c r="AJ22" s="12"/>
      <c r="AK22" s="12"/>
      <c r="AL22" s="12"/>
    </row>
    <row r="23" spans="1:42">
      <c r="A23" s="1361">
        <v>15</v>
      </c>
      <c r="B23" s="1525" t="s">
        <v>883</v>
      </c>
      <c r="C23" s="1521"/>
      <c r="D23" s="1049"/>
      <c r="E23" s="1049"/>
      <c r="F23" s="1049"/>
      <c r="G23" s="1049"/>
      <c r="H23" s="1049"/>
      <c r="I23" s="1522">
        <f t="shared" si="24"/>
        <v>0</v>
      </c>
      <c r="J23" s="1523"/>
      <c r="K23" s="1292"/>
      <c r="L23" s="1292"/>
      <c r="M23" s="1292">
        <f t="shared" si="14"/>
        <v>0</v>
      </c>
      <c r="N23" s="1292">
        <f t="shared" si="15"/>
        <v>0</v>
      </c>
      <c r="O23" s="1292"/>
      <c r="P23" s="1292"/>
      <c r="Q23" s="1049"/>
      <c r="R23" s="1049"/>
      <c r="S23" s="1049">
        <f t="shared" ref="S23:S31" si="30">Q23+R23</f>
        <v>0</v>
      </c>
      <c r="T23" s="1049"/>
      <c r="U23" s="1049"/>
      <c r="V23" s="1049"/>
      <c r="W23" s="1524"/>
      <c r="X23" s="1521"/>
      <c r="Y23" s="1049"/>
      <c r="Z23" s="1049">
        <f t="shared" si="0"/>
        <v>0</v>
      </c>
      <c r="AA23" s="1049">
        <f>AC23/$AC$38*$AA$38</f>
        <v>0</v>
      </c>
      <c r="AB23" s="1049">
        <f t="shared" si="18"/>
        <v>0</v>
      </c>
      <c r="AC23" s="1049"/>
      <c r="AD23" s="1524"/>
      <c r="AE23" s="7"/>
      <c r="AF23" s="506"/>
      <c r="AJ23" s="9"/>
      <c r="AL23" s="12"/>
      <c r="AP23" s="12"/>
    </row>
    <row r="24" spans="1:42">
      <c r="A24" s="1361">
        <v>16</v>
      </c>
      <c r="B24" s="1520" t="s">
        <v>884</v>
      </c>
      <c r="C24" s="1521">
        <f t="shared" si="20"/>
        <v>19.125132903225808</v>
      </c>
      <c r="D24" s="1049">
        <f t="shared" si="21"/>
        <v>0.90456709677419056</v>
      </c>
      <c r="E24" s="1049">
        <f>2002970/100000</f>
        <v>20.029699999999998</v>
      </c>
      <c r="F24" s="1049"/>
      <c r="G24" s="1049"/>
      <c r="H24" s="1049"/>
      <c r="I24" s="1522">
        <f t="shared" si="24"/>
        <v>20.029699999999998</v>
      </c>
      <c r="J24" s="1523">
        <f t="shared" si="25"/>
        <v>21.826180645161291</v>
      </c>
      <c r="K24" s="1292">
        <f t="shared" si="26"/>
        <v>1.0323193548387088</v>
      </c>
      <c r="L24" s="1292">
        <v>22.858499999999999</v>
      </c>
      <c r="M24" s="1292">
        <f t="shared" si="14"/>
        <v>0</v>
      </c>
      <c r="N24" s="1292">
        <f t="shared" si="15"/>
        <v>0</v>
      </c>
      <c r="O24" s="1292"/>
      <c r="P24" s="1292">
        <f>O24+L24</f>
        <v>22.858499999999999</v>
      </c>
      <c r="Q24" s="1049">
        <f t="shared" ref="Q24:Q28" si="31">S24/$S$38*$Q$38</f>
        <v>36.644754863813233</v>
      </c>
      <c r="R24" s="1049">
        <f t="shared" si="27"/>
        <v>9.0722451361867655</v>
      </c>
      <c r="S24" s="1049">
        <f>L24*2+0</f>
        <v>45.716999999999999</v>
      </c>
      <c r="T24" s="1049"/>
      <c r="U24" s="1049"/>
      <c r="V24" s="1049">
        <v>0</v>
      </c>
      <c r="W24" s="1524">
        <f>V24+S24</f>
        <v>45.716999999999999</v>
      </c>
      <c r="X24" s="1521">
        <f t="shared" ref="X24:X26" si="32">Z24/$Z$38*$X$38</f>
        <v>54.829931972789112</v>
      </c>
      <c r="Y24" s="1049">
        <f t="shared" si="29"/>
        <v>10.170068027210888</v>
      </c>
      <c r="Z24" s="1049">
        <v>65</v>
      </c>
      <c r="AA24" s="1049"/>
      <c r="AB24" s="1049"/>
      <c r="AC24" s="1049"/>
      <c r="AD24" s="1524">
        <f t="shared" ref="AD24:AD28" si="33">AC24+Z24</f>
        <v>65</v>
      </c>
      <c r="AE24" s="7"/>
      <c r="AF24" s="506"/>
      <c r="AG24" s="162"/>
      <c r="AH24" s="2"/>
      <c r="AI24" s="162"/>
      <c r="AJ24" s="162"/>
      <c r="AK24" s="162"/>
      <c r="AL24" s="162"/>
    </row>
    <row r="25" spans="1:42">
      <c r="A25" s="1361">
        <v>17</v>
      </c>
      <c r="B25" s="1525" t="s">
        <v>885</v>
      </c>
      <c r="C25" s="1521">
        <f t="shared" si="20"/>
        <v>22.992554322580645</v>
      </c>
      <c r="D25" s="1049">
        <f t="shared" si="21"/>
        <v>1.0874856774193553</v>
      </c>
      <c r="E25" s="1049">
        <f>2408004/100000</f>
        <v>24.08004</v>
      </c>
      <c r="F25" s="1049"/>
      <c r="G25" s="1049"/>
      <c r="H25" s="1049"/>
      <c r="I25" s="1522">
        <f t="shared" si="24"/>
        <v>24.08004</v>
      </c>
      <c r="J25" s="1523">
        <f t="shared" si="25"/>
        <v>6.8008387096774188</v>
      </c>
      <c r="K25" s="1292">
        <f t="shared" si="26"/>
        <v>0.32166129032258084</v>
      </c>
      <c r="L25" s="1292">
        <v>7.1224999999999996</v>
      </c>
      <c r="M25" s="1292">
        <f t="shared" si="14"/>
        <v>0</v>
      </c>
      <c r="N25" s="1292">
        <f t="shared" si="15"/>
        <v>0</v>
      </c>
      <c r="O25" s="1292"/>
      <c r="P25" s="1292">
        <f>O25+L25</f>
        <v>7.1224999999999996</v>
      </c>
      <c r="Q25" s="1049">
        <f t="shared" si="31"/>
        <v>11.418171206225681</v>
      </c>
      <c r="R25" s="1049">
        <f t="shared" si="27"/>
        <v>2.8268287937743182</v>
      </c>
      <c r="S25" s="1049">
        <f>L25*2+0</f>
        <v>14.244999999999999</v>
      </c>
      <c r="T25" s="1049">
        <f t="shared" si="16"/>
        <v>4.4318717586044318</v>
      </c>
      <c r="U25" s="1049">
        <f t="shared" si="17"/>
        <v>15.568128241395568</v>
      </c>
      <c r="V25" s="1049">
        <v>20</v>
      </c>
      <c r="W25" s="1524">
        <f>V25+S25</f>
        <v>34.244999999999997</v>
      </c>
      <c r="X25" s="1521">
        <f t="shared" si="32"/>
        <v>12.977485714285715</v>
      </c>
      <c r="Y25" s="1049">
        <f t="shared" si="29"/>
        <v>2.407114285714286</v>
      </c>
      <c r="Z25" s="1049">
        <f>S25*1.08</f>
        <v>15.384600000000001</v>
      </c>
      <c r="AA25" s="1049">
        <f>AC25/$AC$38*$AA$38</f>
        <v>8.0889662027833005</v>
      </c>
      <c r="AB25" s="1049">
        <f t="shared" si="18"/>
        <v>26.9110337972167</v>
      </c>
      <c r="AC25" s="1049">
        <v>35</v>
      </c>
      <c r="AD25" s="1524">
        <f t="shared" si="33"/>
        <v>50.384599999999999</v>
      </c>
      <c r="AE25" s="7"/>
      <c r="AF25" s="302"/>
    </row>
    <row r="26" spans="1:42" ht="25.5">
      <c r="A26" s="1361">
        <v>18</v>
      </c>
      <c r="B26" s="1525" t="s">
        <v>886</v>
      </c>
      <c r="C26" s="1521">
        <f>E26/$E$38*$C$38</f>
        <v>3.8312712258064519</v>
      </c>
      <c r="D26" s="1049">
        <f>E26-C26</f>
        <v>0.18120877419354819</v>
      </c>
      <c r="E26" s="1049">
        <f>401248/100000</f>
        <v>4.01248</v>
      </c>
      <c r="F26" s="1049"/>
      <c r="G26" s="1049"/>
      <c r="H26" s="1049">
        <v>0</v>
      </c>
      <c r="I26" s="1522">
        <f t="shared" si="24"/>
        <v>4.01248</v>
      </c>
      <c r="J26" s="1534">
        <f t="shared" ref="J26" si="34">C26/E26*L26</f>
        <v>4.7741935483870965E-3</v>
      </c>
      <c r="K26" s="1535">
        <f t="shared" si="26"/>
        <v>2.2580645161290359E-4</v>
      </c>
      <c r="L26" s="1049">
        <v>5.0000000000000001E-3</v>
      </c>
      <c r="M26" s="1049">
        <f t="shared" si="14"/>
        <v>0</v>
      </c>
      <c r="N26" s="1049">
        <f t="shared" si="15"/>
        <v>0</v>
      </c>
      <c r="O26" s="1049">
        <v>0</v>
      </c>
      <c r="P26" s="1049">
        <f>O26+L26</f>
        <v>5.0000000000000001E-3</v>
      </c>
      <c r="Q26" s="1049"/>
      <c r="R26" s="1049"/>
      <c r="S26" s="1049">
        <f t="shared" si="30"/>
        <v>0</v>
      </c>
      <c r="T26" s="1049"/>
      <c r="U26" s="1049"/>
      <c r="V26" s="1049">
        <v>0</v>
      </c>
      <c r="W26" s="1524">
        <f>V26+S26</f>
        <v>0</v>
      </c>
      <c r="X26" s="1521">
        <f t="shared" si="32"/>
        <v>3.3741496598639453</v>
      </c>
      <c r="Y26" s="1049">
        <f t="shared" si="29"/>
        <v>0.62585034013605467</v>
      </c>
      <c r="Z26" s="1049">
        <v>4</v>
      </c>
      <c r="AA26" s="1049">
        <v>0</v>
      </c>
      <c r="AB26" s="1049">
        <f t="shared" si="18"/>
        <v>6</v>
      </c>
      <c r="AC26" s="1049">
        <v>6</v>
      </c>
      <c r="AD26" s="1524">
        <f t="shared" si="33"/>
        <v>10</v>
      </c>
      <c r="AE26" s="7"/>
      <c r="AF26" s="506"/>
      <c r="AJ26" s="7"/>
      <c r="AK26" s="7"/>
      <c r="AL26" s="7"/>
    </row>
    <row r="27" spans="1:42">
      <c r="A27" s="1361">
        <v>19</v>
      </c>
      <c r="B27" s="1525" t="s">
        <v>888</v>
      </c>
      <c r="C27" s="1521"/>
      <c r="D27" s="1049"/>
      <c r="E27" s="1049"/>
      <c r="F27" s="1049"/>
      <c r="G27" s="1049"/>
      <c r="H27" s="1049"/>
      <c r="I27" s="1522">
        <f t="shared" si="24"/>
        <v>0</v>
      </c>
      <c r="J27" s="1534"/>
      <c r="K27" s="1535"/>
      <c r="L27" s="1049"/>
      <c r="M27" s="1049"/>
      <c r="N27" s="1049"/>
      <c r="O27" s="1049"/>
      <c r="P27" s="1049"/>
      <c r="Q27" s="1049"/>
      <c r="R27" s="1049"/>
      <c r="S27" s="1049">
        <f t="shared" si="30"/>
        <v>0</v>
      </c>
      <c r="T27" s="1049"/>
      <c r="U27" s="1049"/>
      <c r="V27" s="1049"/>
      <c r="W27" s="1524"/>
      <c r="X27" s="1521"/>
      <c r="Y27" s="1049"/>
      <c r="Z27" s="1049"/>
      <c r="AA27" s="1049">
        <f>AC27/$AC$38*$AA$38</f>
        <v>150.22365805168988</v>
      </c>
      <c r="AB27" s="1049">
        <f t="shared" si="18"/>
        <v>499.77634194831012</v>
      </c>
      <c r="AC27" s="1049">
        <v>650</v>
      </c>
      <c r="AD27" s="1524">
        <f t="shared" si="33"/>
        <v>650</v>
      </c>
      <c r="AE27" s="7"/>
      <c r="AF27" s="506"/>
      <c r="AJ27" s="7"/>
      <c r="AK27" s="7"/>
      <c r="AL27" s="12"/>
      <c r="AN27" s="7"/>
      <c r="AO27" s="9"/>
      <c r="AP27" s="9"/>
    </row>
    <row r="28" spans="1:42">
      <c r="A28" s="1361">
        <v>20</v>
      </c>
      <c r="B28" s="1525" t="s">
        <v>889</v>
      </c>
      <c r="C28" s="1521">
        <f t="shared" ref="C28" si="35">E28/$E$38*$C$38</f>
        <v>561.69387548084217</v>
      </c>
      <c r="D28" s="1049">
        <f t="shared" si="21"/>
        <v>26.566602218688445</v>
      </c>
      <c r="E28" s="1049">
        <v>588.26047769953061</v>
      </c>
      <c r="F28" s="1049">
        <f t="shared" si="22"/>
        <v>33.78553324037609</v>
      </c>
      <c r="G28" s="1049">
        <f t="shared" si="23"/>
        <v>128.71015906009387</v>
      </c>
      <c r="H28" s="1049">
        <f>1475.49569230047-1313</f>
        <v>162.49569230046995</v>
      </c>
      <c r="I28" s="1522">
        <f t="shared" si="24"/>
        <v>750.75617000000057</v>
      </c>
      <c r="J28" s="1523">
        <f t="shared" ref="J28" si="36">C28/E28*L28</f>
        <v>314.15825755879064</v>
      </c>
      <c r="K28" s="1292">
        <f t="shared" si="26"/>
        <v>14.85883650615898</v>
      </c>
      <c r="L28" s="1049">
        <v>329.01709406494962</v>
      </c>
      <c r="M28" s="1049"/>
      <c r="N28" s="1049"/>
      <c r="O28" s="1049">
        <f>429.20810593505+185.44</f>
        <v>614.64810593505001</v>
      </c>
      <c r="P28" s="1049">
        <f>O28+L28</f>
        <v>943.66519999999969</v>
      </c>
      <c r="Q28" s="1049">
        <f t="shared" si="31"/>
        <v>527.4515282286352</v>
      </c>
      <c r="R28" s="1049">
        <f t="shared" si="27"/>
        <v>130.58265990126404</v>
      </c>
      <c r="S28" s="1049">
        <f>L28*2+0</f>
        <v>658.03418812989923</v>
      </c>
      <c r="T28" s="1049">
        <f t="shared" si="16"/>
        <v>166.19519094766619</v>
      </c>
      <c r="U28" s="1049">
        <f t="shared" si="17"/>
        <v>583.80480905233378</v>
      </c>
      <c r="V28" s="1049">
        <f>750</f>
        <v>750</v>
      </c>
      <c r="W28" s="1524">
        <f>V28+S28</f>
        <v>1408.0341881298991</v>
      </c>
      <c r="X28" s="1521">
        <f t="shared" ref="X28" si="37">Z28/$Z$38*$X$38</f>
        <v>555.07645801433682</v>
      </c>
      <c r="Y28" s="1049">
        <f t="shared" si="29"/>
        <v>102.95773011556241</v>
      </c>
      <c r="Z28" s="1049">
        <f>S28</f>
        <v>658.03418812989923</v>
      </c>
      <c r="AA28" s="1049">
        <f>AC28/$AC$38*$AA$38</f>
        <v>178.53503976143142</v>
      </c>
      <c r="AB28" s="1049">
        <f t="shared" si="18"/>
        <v>593.96496023856855</v>
      </c>
      <c r="AC28" s="1049">
        <f>V28*1.03</f>
        <v>772.5</v>
      </c>
      <c r="AD28" s="1524">
        <f t="shared" si="33"/>
        <v>1430.5341881298991</v>
      </c>
      <c r="AE28" s="7"/>
      <c r="AF28" s="506"/>
      <c r="AI28" s="1536"/>
      <c r="AJ28" s="7"/>
      <c r="AK28" s="7"/>
      <c r="AL28" s="7"/>
    </row>
    <row r="29" spans="1:42">
      <c r="A29" s="1361">
        <v>21</v>
      </c>
      <c r="B29" s="1528" t="s">
        <v>890</v>
      </c>
      <c r="C29" s="1529">
        <f t="shared" ref="C29:W29" si="38">SUM(C21:C28)</f>
        <v>778.70815870922934</v>
      </c>
      <c r="D29" s="1096">
        <f t="shared" si="38"/>
        <v>36.830791290301349</v>
      </c>
      <c r="E29" s="1096">
        <f>SUM(E21:E28)</f>
        <v>815.53894999953059</v>
      </c>
      <c r="F29" s="1096">
        <f t="shared" si="38"/>
        <v>214.12411850596979</v>
      </c>
      <c r="G29" s="1096">
        <f t="shared" si="38"/>
        <v>815.73225899450017</v>
      </c>
      <c r="H29" s="1096">
        <f t="shared" si="38"/>
        <v>1029.85637750047</v>
      </c>
      <c r="I29" s="1522">
        <f>SUM(I21:I28)</f>
        <v>1845.3953275000008</v>
      </c>
      <c r="J29" s="1530">
        <v>349.45344297622029</v>
      </c>
      <c r="K29" s="1317">
        <v>30.42287108872933</v>
      </c>
      <c r="L29" s="1096">
        <v>379.87631406494961</v>
      </c>
      <c r="M29" s="1096">
        <v>174.0211893406495</v>
      </c>
      <c r="N29" s="1096">
        <v>677.14729659440081</v>
      </c>
      <c r="O29" s="1096">
        <v>851.1684859350504</v>
      </c>
      <c r="P29" s="1522">
        <f>SUM(P21:P28)</f>
        <v>1231.0474999999997</v>
      </c>
      <c r="Q29" s="1096">
        <f t="shared" si="38"/>
        <v>731.8191919909076</v>
      </c>
      <c r="R29" s="1096">
        <f t="shared" si="38"/>
        <v>181.17853782299167</v>
      </c>
      <c r="S29" s="1096">
        <f t="shared" si="38"/>
        <v>912.99772981389924</v>
      </c>
      <c r="T29" s="1096">
        <f t="shared" si="38"/>
        <v>320.14035596416784</v>
      </c>
      <c r="U29" s="1096">
        <f t="shared" si="38"/>
        <v>1124.5781440358323</v>
      </c>
      <c r="V29" s="1096">
        <f t="shared" ref="V29" si="39">SUM(V21:V28)</f>
        <v>1444.7184999999999</v>
      </c>
      <c r="W29" s="1522">
        <f t="shared" si="38"/>
        <v>2357.7162298138992</v>
      </c>
      <c r="X29" s="1529">
        <f>SUM(X21:X28)</f>
        <v>805.64807715937957</v>
      </c>
      <c r="Y29" s="1096">
        <f>SUM(Y21:Y28)</f>
        <v>149.4347239892397</v>
      </c>
      <c r="Z29" s="1096">
        <f>SUM(Z20:Z28)</f>
        <v>955.08280114861918</v>
      </c>
      <c r="AA29" s="1096">
        <f>SUM(AA21:AA28)</f>
        <v>544.83579799950303</v>
      </c>
      <c r="AB29" s="1096">
        <f>SUM(AB21:AB28)</f>
        <v>1818.604257000497</v>
      </c>
      <c r="AC29" s="1096">
        <f>SUM(AC21:AC28)</f>
        <v>2363.440055</v>
      </c>
      <c r="AD29" s="1522">
        <f>SUM(AD21:AD28)</f>
        <v>3318.5228561486192</v>
      </c>
      <c r="AE29" s="7"/>
      <c r="AF29" s="506"/>
      <c r="AJ29" s="7"/>
      <c r="AK29" s="7"/>
      <c r="AL29" s="7"/>
    </row>
    <row r="30" spans="1:42">
      <c r="A30" s="1361">
        <v>22</v>
      </c>
      <c r="B30" s="1525" t="s">
        <v>891</v>
      </c>
      <c r="C30" s="1521">
        <f>E30/$E$38*$C$38</f>
        <v>62.66430020986131</v>
      </c>
      <c r="D30" s="1049">
        <f>E30-C30</f>
        <v>2.9638520369529004</v>
      </c>
      <c r="E30" s="1049">
        <v>65.62815224681421</v>
      </c>
      <c r="F30" s="1049">
        <f>H30/$H$38*$F$38</f>
        <v>34.225308928239578</v>
      </c>
      <c r="G30" s="1049">
        <f>H30-F30</f>
        <v>130.3855388249462</v>
      </c>
      <c r="H30" s="1049">
        <v>164.61084775318577</v>
      </c>
      <c r="I30" s="1522">
        <f>E30+H30</f>
        <v>230.23899999999998</v>
      </c>
      <c r="J30" s="1523">
        <f>C30/E30*L30</f>
        <v>38.193548387096776</v>
      </c>
      <c r="K30" s="1292">
        <f>L30-J30</f>
        <v>1.8064516129032242</v>
      </c>
      <c r="L30" s="1049">
        <v>40</v>
      </c>
      <c r="M30" s="1049"/>
      <c r="N30" s="1049"/>
      <c r="O30" s="1049">
        <v>718.23</v>
      </c>
      <c r="P30" s="1049">
        <f>O30+L30</f>
        <v>758.23</v>
      </c>
      <c r="Q30" s="1049">
        <f>S30/$S$38*$Q$38</f>
        <v>48.093385214007782</v>
      </c>
      <c r="R30" s="1049">
        <f>S30-Q30</f>
        <v>11.906614785992218</v>
      </c>
      <c r="S30" s="1049">
        <f>L30*1.5</f>
        <v>60</v>
      </c>
      <c r="T30" s="1049">
        <f>V30/$V$38*$T$38</f>
        <v>336.8222536539368</v>
      </c>
      <c r="U30" s="1049">
        <f>V30-T30</f>
        <v>1183.1777463460633</v>
      </c>
      <c r="V30" s="1049">
        <v>1520</v>
      </c>
      <c r="W30" s="1524">
        <f>V30+S30</f>
        <v>1580</v>
      </c>
      <c r="X30" s="1521">
        <f>Z30/$Z$38*$X$38</f>
        <v>54.661224489795927</v>
      </c>
      <c r="Y30" s="1049">
        <f>Z30-X30</f>
        <v>10.138775510204084</v>
      </c>
      <c r="Z30" s="1049">
        <f>S30*1.08</f>
        <v>64.800000000000011</v>
      </c>
      <c r="AA30" s="1049">
        <f>AC30/$AC$38*$AA$38</f>
        <v>368.8568588469185</v>
      </c>
      <c r="AB30" s="1049">
        <f>AC30-AA30</f>
        <v>1227.1431411530816</v>
      </c>
      <c r="AC30" s="1049">
        <f>V30*1.05</f>
        <v>1596</v>
      </c>
      <c r="AD30" s="1524">
        <f t="shared" ref="AD30:AD32" si="40">AC30+Z30</f>
        <v>1660.8</v>
      </c>
      <c r="AE30" s="7"/>
      <c r="AL30" s="12"/>
      <c r="AP30" s="12"/>
    </row>
    <row r="31" spans="1:42">
      <c r="A31" s="1361">
        <v>23</v>
      </c>
      <c r="B31" s="1525" t="s">
        <v>892</v>
      </c>
      <c r="C31" s="1521"/>
      <c r="D31" s="1049"/>
      <c r="E31" s="1049"/>
      <c r="F31" s="1049">
        <f t="shared" ref="F31:F32" si="41">H31/$H$38*$F$38</f>
        <v>3490.9191605132669</v>
      </c>
      <c r="G31" s="1049">
        <f t="shared" ref="G31:G32" si="42">H31-F31</f>
        <v>13299.087429486734</v>
      </c>
      <c r="H31" s="1049">
        <f>1679000659/100000</f>
        <v>16790.006590000001</v>
      </c>
      <c r="I31" s="1522">
        <f t="shared" ref="I31:I32" si="43">E31+H31</f>
        <v>16790.006590000001</v>
      </c>
      <c r="J31" s="1523"/>
      <c r="K31" s="1292"/>
      <c r="L31" s="1049"/>
      <c r="M31" s="1049">
        <f t="shared" ref="M31:M32" si="44">+O31/100*18</f>
        <v>1309.398696</v>
      </c>
      <c r="N31" s="1049">
        <f t="shared" ref="N31:N32" si="45">+O31-M31</f>
        <v>5965.0385040000001</v>
      </c>
      <c r="O31" s="1049">
        <f>(847511400-67680)/100000-1200</f>
        <v>7274.4372000000003</v>
      </c>
      <c r="P31" s="1049">
        <f>O31+L31</f>
        <v>7274.4372000000003</v>
      </c>
      <c r="Q31" s="1049"/>
      <c r="R31" s="1049"/>
      <c r="S31" s="1049">
        <f t="shared" si="30"/>
        <v>0</v>
      </c>
      <c r="T31" s="1049">
        <f>V31/$V$38*$T$38</f>
        <v>3832.1745356996703</v>
      </c>
      <c r="U31" s="1049">
        <f>V31-T31</f>
        <v>13461.53225200033</v>
      </c>
      <c r="V31" s="1049">
        <f>I31*1.03</f>
        <v>17293.706787700001</v>
      </c>
      <c r="W31" s="1524">
        <f>V31+S31</f>
        <v>17293.706787700001</v>
      </c>
      <c r="X31" s="1521"/>
      <c r="Y31" s="1049"/>
      <c r="Z31" s="1049">
        <f t="shared" si="0"/>
        <v>0</v>
      </c>
      <c r="AA31" s="1049">
        <f>AC31/$AC$38*$AA$38</f>
        <v>4116.7101719527409</v>
      </c>
      <c r="AB31" s="1049">
        <f>AC31-AA31</f>
        <v>13695.80781937826</v>
      </c>
      <c r="AC31" s="1537">
        <f>W31*1.03</f>
        <v>17812.517991331002</v>
      </c>
      <c r="AD31" s="1524">
        <f t="shared" si="40"/>
        <v>17812.517991331002</v>
      </c>
      <c r="AE31" s="312"/>
      <c r="AF31" s="302"/>
      <c r="AL31" s="7"/>
    </row>
    <row r="32" spans="1:42" ht="38.25">
      <c r="A32" s="1361">
        <v>24</v>
      </c>
      <c r="B32" s="1520" t="s">
        <v>893</v>
      </c>
      <c r="C32" s="1521">
        <f t="shared" ref="C32" si="46">E32/$E$38*$C$38</f>
        <v>500.87668511483866</v>
      </c>
      <c r="D32" s="1049">
        <f t="shared" ref="D32" si="47">E32-C32</f>
        <v>23.690113485161305</v>
      </c>
      <c r="E32" s="1049">
        <f>523.9702886+0.59651</f>
        <v>524.56679859999997</v>
      </c>
      <c r="F32" s="1049">
        <f t="shared" si="41"/>
        <v>1248.0395367665942</v>
      </c>
      <c r="G32" s="1049">
        <f t="shared" si="42"/>
        <v>4754.5606620334056</v>
      </c>
      <c r="H32" s="1049">
        <f>600260019.88/100000</f>
        <v>6002.6001987999998</v>
      </c>
      <c r="I32" s="1522">
        <f t="shared" si="43"/>
        <v>6527.1669973999997</v>
      </c>
      <c r="J32" s="1523">
        <f t="shared" ref="J32" si="48">C32/E32*L32</f>
        <v>104.44828825806451</v>
      </c>
      <c r="K32" s="1292">
        <f t="shared" ref="K32" si="49">L32-J32</f>
        <v>4.940121741935485</v>
      </c>
      <c r="L32" s="1049">
        <f>(9221361+1649800+67680)/100000</f>
        <v>109.38840999999999</v>
      </c>
      <c r="M32" s="1049">
        <f t="shared" si="44"/>
        <v>414.76255020000002</v>
      </c>
      <c r="N32" s="1049">
        <f t="shared" si="45"/>
        <v>1889.4738398</v>
      </c>
      <c r="O32" s="1049">
        <f>(317685000-9261361)/100000-780</f>
        <v>2304.23639</v>
      </c>
      <c r="P32" s="1049">
        <f>O32+L32</f>
        <v>2413.6248000000001</v>
      </c>
      <c r="Q32" s="1049">
        <f t="shared" ref="Q32" si="50">S32/$S$38*$Q$38</f>
        <v>131.52147350194551</v>
      </c>
      <c r="R32" s="1049">
        <f>S32-Q32</f>
        <v>32.561141498054468</v>
      </c>
      <c r="S32" s="1049">
        <f>L32*1.5</f>
        <v>164.08261499999998</v>
      </c>
      <c r="T32" s="1049">
        <f>V32/$V$38*$T$38</f>
        <v>872.90952536539373</v>
      </c>
      <c r="U32" s="1049">
        <f>V32-T32</f>
        <v>3066.3268646346064</v>
      </c>
      <c r="V32" s="1049">
        <f>O32+((V40*1500000)/100000)</f>
        <v>3939.23639</v>
      </c>
      <c r="W32" s="1524">
        <f>V32+S32</f>
        <v>4103.3190050000003</v>
      </c>
      <c r="X32" s="1521">
        <f t="shared" ref="X32" si="51">Z32/$Z$38*$X$38</f>
        <v>149.48261088979589</v>
      </c>
      <c r="Y32" s="1049">
        <f t="shared" ref="Y32" si="52">Z32-X32</f>
        <v>27.726613310204101</v>
      </c>
      <c r="Z32" s="1049">
        <f>S32*1.08</f>
        <v>177.20922419999999</v>
      </c>
      <c r="AA32" s="1049">
        <f>AC32/$AC$38*$AA$38</f>
        <v>976.78162894868296</v>
      </c>
      <c r="AB32" s="1049">
        <f>AC32-AA32</f>
        <v>3249.6369462013181</v>
      </c>
      <c r="AC32" s="1537">
        <f>W32*1.03</f>
        <v>4226.4185751500008</v>
      </c>
      <c r="AD32" s="1524">
        <f t="shared" si="40"/>
        <v>4403.6277993500007</v>
      </c>
      <c r="AE32" s="312"/>
      <c r="AF32" s="506"/>
      <c r="AI32" s="2"/>
      <c r="AJ32" s="7"/>
      <c r="AK32" s="7"/>
      <c r="AL32" s="7"/>
      <c r="AM32" s="2"/>
    </row>
    <row r="33" spans="1:45">
      <c r="A33" s="1361">
        <v>25</v>
      </c>
      <c r="B33" s="1526" t="s">
        <v>894</v>
      </c>
      <c r="C33" s="1529">
        <f t="shared" ref="C33:H33" si="53">C14+C19+C29+C30+C31+C32</f>
        <v>5137.4894567339297</v>
      </c>
      <c r="D33" s="1096">
        <f t="shared" si="53"/>
        <v>76.817893212415555</v>
      </c>
      <c r="E33" s="1096">
        <f t="shared" si="53"/>
        <v>5214.3073499463453</v>
      </c>
      <c r="F33" s="1096">
        <f t="shared" si="53"/>
        <v>9362.2512192596987</v>
      </c>
      <c r="G33" s="1096">
        <f t="shared" si="53"/>
        <v>34355.506656593963</v>
      </c>
      <c r="H33" s="1096">
        <f t="shared" si="53"/>
        <v>43717.757875853655</v>
      </c>
      <c r="I33" s="1522">
        <f>I14+I32+I30+I29+I19+I31</f>
        <v>48932.065225800005</v>
      </c>
      <c r="J33" s="1529">
        <v>4129.5889754198852</v>
      </c>
      <c r="K33" s="1096">
        <v>360.32000144461625</v>
      </c>
      <c r="L33" s="1096">
        <v>4489.9089768645026</v>
      </c>
      <c r="M33" s="1096">
        <v>3953.5649605686449</v>
      </c>
      <c r="N33" s="1096">
        <v>19082.045032566853</v>
      </c>
      <c r="O33" s="1096">
        <v>23035.609993135498</v>
      </c>
      <c r="P33" s="1522">
        <f>P14+P32+P30+P29+P19+P31</f>
        <v>26840.067370000001</v>
      </c>
      <c r="Q33" s="1096">
        <f>Q14+Q19+Q29+Q30+Q31+Q32</f>
        <v>7539.9292173735284</v>
      </c>
      <c r="R33" s="1096">
        <f>R14+R19+R29+R30+R31+R32</f>
        <v>225.64629410703836</v>
      </c>
      <c r="S33" s="1096">
        <f>S14+S19+S29+S30+S31+S32</f>
        <v>7765.575511480567</v>
      </c>
      <c r="T33" s="1096">
        <f>T14+T19+T29+T30+T31+T32</f>
        <v>10373.876979028289</v>
      </c>
      <c r="U33" s="1096">
        <f>U14+U19+U29+U30+U31+U32</f>
        <v>40228.569831271707</v>
      </c>
      <c r="V33" s="1096">
        <f>V14+V32+V30+V29+V19+V31</f>
        <v>50602.446810300004</v>
      </c>
      <c r="W33" s="1522">
        <f>W14+W32+W30+W29+W19+W31</f>
        <v>58368.022321780569</v>
      </c>
      <c r="X33" s="1529">
        <f>X14+X19+X29+X30+X31+X32</f>
        <v>12051.754192538972</v>
      </c>
      <c r="Y33" s="1096">
        <f>Y14+Y19+Y29+Y30+Y31+Y32</f>
        <v>187.30011280964789</v>
      </c>
      <c r="Z33" s="1096">
        <f>Z14+Z19+Z29+Z30+Z31+Z32</f>
        <v>12239.05430534862</v>
      </c>
      <c r="AA33" s="1096">
        <f>AA14+AA19+AA29+AA30+AA31+AA32</f>
        <v>11967.948115925774</v>
      </c>
      <c r="AB33" s="1096">
        <f>AB14+AB19+AB29+AB30+AB31+AB32</f>
        <v>39856.947817929402</v>
      </c>
      <c r="AC33" s="1096">
        <f>AC14+AC32+AC30+AC29+AC19+AC31</f>
        <v>51824.895933855165</v>
      </c>
      <c r="AD33" s="1522">
        <f>AD14+AD32+AD30+AD29+AD19+AD31</f>
        <v>64063.950239203798</v>
      </c>
      <c r="AE33" s="12"/>
      <c r="AF33" s="506"/>
      <c r="AJ33" s="7"/>
      <c r="AK33" s="7"/>
      <c r="AL33" s="7"/>
      <c r="AM33" s="7"/>
      <c r="AN33" s="7"/>
      <c r="AP33" s="9"/>
    </row>
    <row r="34" spans="1:45">
      <c r="A34" s="1361">
        <v>26</v>
      </c>
      <c r="B34" s="1526" t="s">
        <v>895</v>
      </c>
      <c r="C34" s="1529">
        <f>E34/$E$38*$C$38</f>
        <v>153.4305475000541</v>
      </c>
      <c r="D34" s="1096">
        <f>E34-C34</f>
        <v>7.2568502195971405</v>
      </c>
      <c r="E34" s="1096">
        <v>160.68739771965124</v>
      </c>
      <c r="F34" s="1096">
        <f>H34/$H$38*$F$38</f>
        <v>83.799035010877205</v>
      </c>
      <c r="G34" s="1096">
        <f>H34-F34</f>
        <v>319.24276726947153</v>
      </c>
      <c r="H34" s="1096">
        <v>403.04180228034875</v>
      </c>
      <c r="I34" s="1522">
        <v>563.72919999999999</v>
      </c>
      <c r="J34" s="1529">
        <v>64.849867021276594</v>
      </c>
      <c r="K34" s="1096">
        <v>5.6885848264277712</v>
      </c>
      <c r="L34" s="1096">
        <f>K34+J34</f>
        <v>70.538451847704366</v>
      </c>
      <c r="M34" s="1096">
        <v>21.025009518477042</v>
      </c>
      <c r="N34" s="1096">
        <v>70.993538633818574</v>
      </c>
      <c r="O34" s="1096">
        <f>N34+M34</f>
        <v>92.018548152295608</v>
      </c>
      <c r="P34" s="1049">
        <f>O34+L34</f>
        <v>162.55699999999996</v>
      </c>
      <c r="Q34" s="1096">
        <f>$W$34/$W$33*Q33</f>
        <v>245.03177624257398</v>
      </c>
      <c r="R34" s="1096">
        <f>$W$34/$W$33*R33</f>
        <v>7.3330280236850625</v>
      </c>
      <c r="S34" s="1096">
        <f>$W$34/$W$33*S33</f>
        <v>252.36480426625906</v>
      </c>
      <c r="T34" s="1096">
        <f>$W$34/$W$33*T33</f>
        <v>337.12909357771258</v>
      </c>
      <c r="U34" s="1096">
        <f>V34-T34</f>
        <v>1307.3435621572894</v>
      </c>
      <c r="V34" s="1096">
        <f>$W$34/$W$33*V33</f>
        <v>1644.472655735002</v>
      </c>
      <c r="W34" s="1522">
        <f>CWIP!Q40</f>
        <v>1896.8374600012612</v>
      </c>
      <c r="X34" s="1529">
        <f>$AD$34/$AD$33*X33</f>
        <v>482.82055944787305</v>
      </c>
      <c r="Y34" s="1096">
        <f>$AD$34/$AD$33*Y33</f>
        <v>7.5036665871752506</v>
      </c>
      <c r="Z34" s="1096">
        <f>$AD$34/$AD$33*Z33</f>
        <v>490.3242260350483</v>
      </c>
      <c r="AA34" s="1096">
        <f>$AD$34/$AD$33*AA33</f>
        <v>479.46309827258909</v>
      </c>
      <c r="AB34" s="1096">
        <f>AC34-AA34</f>
        <v>1596.7595700923619</v>
      </c>
      <c r="AC34" s="1096">
        <f>$AD$34/$AD$33*AC33</f>
        <v>2076.222668364951</v>
      </c>
      <c r="AD34" s="1522">
        <f>CWIP!AB40</f>
        <v>2566.5468943999999</v>
      </c>
      <c r="AE34" s="12"/>
      <c r="AF34" s="506"/>
      <c r="AJ34" s="7"/>
      <c r="AK34" s="7"/>
      <c r="AL34" s="7"/>
      <c r="AM34" s="7"/>
    </row>
    <row r="35" spans="1:45" ht="13.5" thickBot="1">
      <c r="A35" s="1538">
        <v>27</v>
      </c>
      <c r="B35" s="1539" t="s">
        <v>2234</v>
      </c>
      <c r="C35" s="1540">
        <f t="shared" ref="C35:H35" si="54">C33-C34</f>
        <v>4984.058909233876</v>
      </c>
      <c r="D35" s="1541">
        <f t="shared" si="54"/>
        <v>69.561042992818415</v>
      </c>
      <c r="E35" s="1541">
        <f t="shared" si="54"/>
        <v>5053.6199522266943</v>
      </c>
      <c r="F35" s="1541">
        <f t="shared" si="54"/>
        <v>9278.4521842488211</v>
      </c>
      <c r="G35" s="1541">
        <f t="shared" si="54"/>
        <v>34036.263889324495</v>
      </c>
      <c r="H35" s="1541">
        <f t="shared" si="54"/>
        <v>43314.716073573305</v>
      </c>
      <c r="I35" s="1542">
        <f>(I33-I34)</f>
        <v>48368.336025800003</v>
      </c>
      <c r="J35" s="1540">
        <v>4064.7391083986086</v>
      </c>
      <c r="K35" s="1541">
        <v>354.6314166181885</v>
      </c>
      <c r="L35" s="1541">
        <v>4419.3705250167986</v>
      </c>
      <c r="M35" s="1541">
        <v>3932.5399510501679</v>
      </c>
      <c r="N35" s="1541">
        <v>19011.051493933035</v>
      </c>
      <c r="O35" s="1541">
        <v>22943.591444983202</v>
      </c>
      <c r="P35" s="1542">
        <f>(P33-P34)</f>
        <v>26677.51037</v>
      </c>
      <c r="Q35" s="1541">
        <f t="shared" ref="Q35:AD35" si="55">Q33-Q34</f>
        <v>7294.8974411309546</v>
      </c>
      <c r="R35" s="1541">
        <f t="shared" si="55"/>
        <v>218.31326608335328</v>
      </c>
      <c r="S35" s="1541">
        <f t="shared" si="55"/>
        <v>7513.2107072143081</v>
      </c>
      <c r="T35" s="1541">
        <f t="shared" si="55"/>
        <v>10036.747885450577</v>
      </c>
      <c r="U35" s="1541">
        <f t="shared" si="55"/>
        <v>38921.226269114421</v>
      </c>
      <c r="V35" s="1541">
        <f>V33-V34</f>
        <v>48957.974154565003</v>
      </c>
      <c r="W35" s="1542">
        <f>W33-W34</f>
        <v>56471.184861779308</v>
      </c>
      <c r="X35" s="1540">
        <f t="shared" si="55"/>
        <v>11568.933633091099</v>
      </c>
      <c r="Y35" s="1541">
        <f t="shared" si="55"/>
        <v>179.79644622247264</v>
      </c>
      <c r="Z35" s="1541">
        <f t="shared" ref="Z35" si="56">Z33-Z34</f>
        <v>11748.730079313571</v>
      </c>
      <c r="AA35" s="1541">
        <f t="shared" si="55"/>
        <v>11488.485017653185</v>
      </c>
      <c r="AB35" s="1541">
        <f t="shared" si="55"/>
        <v>38260.188247837039</v>
      </c>
      <c r="AC35" s="1541">
        <f t="shared" ref="AC35" si="57">AC33-AC34</f>
        <v>49748.673265490215</v>
      </c>
      <c r="AD35" s="1542">
        <f t="shared" si="55"/>
        <v>61497.403344803795</v>
      </c>
      <c r="AE35" s="12"/>
      <c r="AF35" s="506"/>
      <c r="AJ35" s="7"/>
      <c r="AK35" s="7"/>
      <c r="AL35" s="7"/>
      <c r="AM35" s="7"/>
    </row>
    <row r="36" spans="1:45" ht="5.25" customHeight="1" thickBot="1">
      <c r="B36" s="780"/>
      <c r="C36" s="97"/>
      <c r="D36" s="12"/>
      <c r="E36" s="12"/>
      <c r="F36" s="12"/>
      <c r="G36" s="12"/>
      <c r="H36" s="12"/>
      <c r="I36" s="95"/>
      <c r="J36" s="12"/>
      <c r="K36" s="12"/>
      <c r="L36" s="12"/>
      <c r="M36" s="12"/>
      <c r="N36" s="12"/>
      <c r="O36" s="12"/>
      <c r="P36" s="12"/>
      <c r="Q36" s="12"/>
      <c r="R36" s="12"/>
      <c r="S36" s="12"/>
      <c r="T36" s="12"/>
      <c r="U36" s="12"/>
      <c r="V36" s="12"/>
      <c r="W36" s="1543"/>
      <c r="X36" s="12"/>
      <c r="Y36" s="12"/>
      <c r="Z36" s="12"/>
      <c r="AA36" s="12"/>
      <c r="AB36" s="12"/>
      <c r="AC36" s="12"/>
      <c r="AD36" s="1543"/>
      <c r="AF36" s="12"/>
      <c r="AK36" s="7"/>
      <c r="AL36" s="12"/>
      <c r="AM36" s="12"/>
      <c r="AN36" s="12"/>
      <c r="AP36" s="12"/>
    </row>
    <row r="37" spans="1:45">
      <c r="A37" s="1544"/>
      <c r="B37" s="1545" t="s">
        <v>896</v>
      </c>
      <c r="C37" s="1546"/>
      <c r="D37" s="1547"/>
      <c r="E37" s="1547"/>
      <c r="F37" s="1547"/>
      <c r="G37" s="1547"/>
      <c r="H37" s="1547"/>
      <c r="I37" s="1548"/>
      <c r="J37" s="1549"/>
      <c r="K37" s="1550"/>
      <c r="L37" s="1550"/>
      <c r="M37" s="1550"/>
      <c r="N37" s="1550"/>
      <c r="O37" s="1550"/>
      <c r="P37" s="1550"/>
      <c r="Q37" s="1547"/>
      <c r="R37" s="1547"/>
      <c r="S37" s="1547"/>
      <c r="T37" s="1547"/>
      <c r="U37" s="1547"/>
      <c r="V37" s="1547"/>
      <c r="W37" s="1551"/>
      <c r="X37" s="1546"/>
      <c r="Y37" s="1547"/>
      <c r="Z37" s="1547"/>
      <c r="AA37" s="1547"/>
      <c r="AB37" s="1547"/>
      <c r="AC37" s="1547"/>
      <c r="AD37" s="1552"/>
      <c r="AF37" s="2"/>
      <c r="AJ37" s="12"/>
      <c r="AK37" s="12"/>
      <c r="AL37" s="12"/>
      <c r="AP37" s="12"/>
    </row>
    <row r="38" spans="1:45">
      <c r="A38" s="1553">
        <v>1</v>
      </c>
      <c r="B38" s="1554" t="s">
        <v>897</v>
      </c>
      <c r="C38" s="1555">
        <v>148</v>
      </c>
      <c r="D38" s="1306">
        <v>7</v>
      </c>
      <c r="E38" s="1306">
        <f>C38+D38</f>
        <v>155</v>
      </c>
      <c r="F38" s="1306">
        <v>478</v>
      </c>
      <c r="G38" s="1306">
        <v>1821</v>
      </c>
      <c r="H38" s="1306">
        <f>F38+G38</f>
        <v>2299</v>
      </c>
      <c r="I38" s="1556">
        <f>E38+H38</f>
        <v>2454</v>
      </c>
      <c r="J38" s="1557"/>
      <c r="K38" s="1067"/>
      <c r="L38" s="1067"/>
      <c r="M38" s="1067"/>
      <c r="N38" s="1067"/>
      <c r="O38" s="1067"/>
      <c r="P38" s="1067"/>
      <c r="Q38" s="1067">
        <f>C41</f>
        <v>412</v>
      </c>
      <c r="R38" s="1067">
        <f>D41</f>
        <v>102</v>
      </c>
      <c r="S38" s="1067">
        <f>Q38+R38</f>
        <v>514</v>
      </c>
      <c r="T38" s="1306">
        <f>F41</f>
        <v>470</v>
      </c>
      <c r="U38" s="1306">
        <f>G41</f>
        <v>1651</v>
      </c>
      <c r="V38" s="1306">
        <f>T38+U38</f>
        <v>2121</v>
      </c>
      <c r="W38" s="1556">
        <f>S38+V38</f>
        <v>2635</v>
      </c>
      <c r="X38" s="1557">
        <f>Q41</f>
        <v>992</v>
      </c>
      <c r="Y38" s="1067">
        <f>R41</f>
        <v>184</v>
      </c>
      <c r="Z38" s="1306">
        <f>Y38+X38</f>
        <v>1176</v>
      </c>
      <c r="AA38" s="1067">
        <f>T41</f>
        <v>465</v>
      </c>
      <c r="AB38" s="1067">
        <f>U41</f>
        <v>1547</v>
      </c>
      <c r="AC38" s="1306">
        <f>AB38+AA38</f>
        <v>2012</v>
      </c>
      <c r="AD38" s="1558">
        <f>AC38+Z38</f>
        <v>3188</v>
      </c>
      <c r="AI38" s="70"/>
      <c r="AJ38" s="1881"/>
      <c r="AK38" s="1881"/>
      <c r="AL38" s="1881"/>
      <c r="AM38" s="1559"/>
      <c r="AN38" s="1559"/>
      <c r="AO38" s="1559"/>
      <c r="AP38" s="1559"/>
      <c r="AQ38" s="1559"/>
      <c r="AR38" s="1559"/>
      <c r="AS38" s="1559"/>
    </row>
    <row r="39" spans="1:45">
      <c r="A39" s="1553">
        <v>2</v>
      </c>
      <c r="B39" s="1554" t="s">
        <v>898</v>
      </c>
      <c r="C39" s="1555">
        <v>291</v>
      </c>
      <c r="D39" s="1306">
        <v>98</v>
      </c>
      <c r="E39" s="1306">
        <f t="shared" ref="E39:E40" si="58">C39+D39</f>
        <v>389</v>
      </c>
      <c r="F39" s="1306">
        <v>0</v>
      </c>
      <c r="G39" s="1306">
        <v>0</v>
      </c>
      <c r="H39" s="1306">
        <f t="shared" ref="H39:H40" si="59">F39+G39</f>
        <v>0</v>
      </c>
      <c r="I39" s="1556">
        <f>E39+H39</f>
        <v>389</v>
      </c>
      <c r="J39" s="1557"/>
      <c r="K39" s="1067"/>
      <c r="L39" s="1067"/>
      <c r="M39" s="1067"/>
      <c r="N39" s="1067"/>
      <c r="O39" s="1067"/>
      <c r="P39" s="1067"/>
      <c r="Q39" s="1067">
        <f>461+145</f>
        <v>606</v>
      </c>
      <c r="R39" s="1067">
        <f>62+25</f>
        <v>87</v>
      </c>
      <c r="S39" s="1067">
        <f t="shared" ref="S39:S40" si="60">Q39+R39</f>
        <v>693</v>
      </c>
      <c r="T39" s="1306">
        <v>0</v>
      </c>
      <c r="U39" s="1306">
        <v>0</v>
      </c>
      <c r="V39" s="1306">
        <f t="shared" ref="V39:V40" si="61">T39+U39</f>
        <v>0</v>
      </c>
      <c r="W39" s="1556">
        <f t="shared" ref="W39:W40" si="62">S39+V39</f>
        <v>693</v>
      </c>
      <c r="X39" s="1555">
        <v>647</v>
      </c>
      <c r="Y39" s="1306">
        <v>114</v>
      </c>
      <c r="Z39" s="1306">
        <f>Y39+X39</f>
        <v>761</v>
      </c>
      <c r="AA39" s="1306">
        <v>0</v>
      </c>
      <c r="AB39" s="1306">
        <v>0</v>
      </c>
      <c r="AC39" s="1306">
        <f>AB39+AA39</f>
        <v>0</v>
      </c>
      <c r="AD39" s="1558">
        <f>Z39+AC39</f>
        <v>761</v>
      </c>
      <c r="AI39" s="70"/>
      <c r="AJ39" s="1559"/>
      <c r="AK39" s="1559"/>
      <c r="AL39" s="1559"/>
      <c r="AM39" s="1559"/>
      <c r="AN39" s="1559"/>
      <c r="AO39" s="1559"/>
      <c r="AP39" s="1559"/>
      <c r="AQ39" s="1559"/>
      <c r="AR39" s="1559"/>
      <c r="AS39" s="1559"/>
    </row>
    <row r="40" spans="1:45">
      <c r="A40" s="1553">
        <v>3</v>
      </c>
      <c r="B40" s="1554" t="s">
        <v>899</v>
      </c>
      <c r="C40" s="1555">
        <v>27</v>
      </c>
      <c r="D40" s="1306">
        <v>3</v>
      </c>
      <c r="E40" s="1306">
        <f t="shared" si="58"/>
        <v>30</v>
      </c>
      <c r="F40" s="1306">
        <v>8</v>
      </c>
      <c r="G40" s="1306">
        <v>170</v>
      </c>
      <c r="H40" s="1306">
        <f t="shared" si="59"/>
        <v>178</v>
      </c>
      <c r="I40" s="1556">
        <f t="shared" ref="I40" si="63">E40+H40</f>
        <v>208</v>
      </c>
      <c r="J40" s="1557"/>
      <c r="K40" s="1067"/>
      <c r="L40" s="1067"/>
      <c r="M40" s="1067"/>
      <c r="N40" s="1067"/>
      <c r="O40" s="1067"/>
      <c r="P40" s="1067"/>
      <c r="Q40" s="1067">
        <v>26</v>
      </c>
      <c r="R40" s="1067">
        <v>5</v>
      </c>
      <c r="S40" s="1067">
        <f t="shared" si="60"/>
        <v>31</v>
      </c>
      <c r="T40" s="1306">
        <v>5</v>
      </c>
      <c r="U40" s="1306">
        <v>104</v>
      </c>
      <c r="V40" s="1306">
        <f t="shared" si="61"/>
        <v>109</v>
      </c>
      <c r="W40" s="1556">
        <f t="shared" si="62"/>
        <v>140</v>
      </c>
      <c r="X40" s="1555">
        <v>0</v>
      </c>
      <c r="Y40" s="1306">
        <v>0</v>
      </c>
      <c r="Z40" s="1306">
        <f>Y40+X40</f>
        <v>0</v>
      </c>
      <c r="AA40" s="1306">
        <v>4</v>
      </c>
      <c r="AB40" s="1306">
        <v>84</v>
      </c>
      <c r="AC40" s="1306">
        <f>AB40+AA40</f>
        <v>88</v>
      </c>
      <c r="AD40" s="1558">
        <f>Z40+AC40</f>
        <v>88</v>
      </c>
      <c r="AI40" s="70"/>
      <c r="AJ40" s="1559"/>
      <c r="AK40" s="1559"/>
      <c r="AL40" s="1559"/>
      <c r="AM40" s="1559"/>
      <c r="AN40" s="1559"/>
      <c r="AO40" s="1559"/>
      <c r="AP40" s="1559"/>
      <c r="AQ40" s="1559"/>
      <c r="AR40" s="1559"/>
      <c r="AS40" s="1559"/>
    </row>
    <row r="41" spans="1:45" s="2" customFormat="1">
      <c r="A41" s="1560"/>
      <c r="B41" s="1561" t="s">
        <v>2087</v>
      </c>
      <c r="C41" s="1562">
        <f>C38+C39-C40</f>
        <v>412</v>
      </c>
      <c r="D41" s="945">
        <f t="shared" ref="D41:E41" si="64">D38+D39-D40</f>
        <v>102</v>
      </c>
      <c r="E41" s="945">
        <f t="shared" si="64"/>
        <v>514</v>
      </c>
      <c r="F41" s="945">
        <f>F38+F39-F40</f>
        <v>470</v>
      </c>
      <c r="G41" s="945">
        <f t="shared" ref="G41:H41" si="65">G38+G39-G40</f>
        <v>1651</v>
      </c>
      <c r="H41" s="945">
        <f t="shared" si="65"/>
        <v>2121</v>
      </c>
      <c r="I41" s="1563">
        <f>I38+I39-I40</f>
        <v>2635</v>
      </c>
      <c r="J41" s="1564"/>
      <c r="K41" s="1565"/>
      <c r="L41" s="1565"/>
      <c r="M41" s="1565"/>
      <c r="N41" s="1565"/>
      <c r="O41" s="1565"/>
      <c r="P41" s="1565"/>
      <c r="Q41" s="1565">
        <f>Q38+Q39-Q40</f>
        <v>992</v>
      </c>
      <c r="R41" s="1565">
        <f t="shared" ref="R41:S41" si="66">R38+R39-R40</f>
        <v>184</v>
      </c>
      <c r="S41" s="1565">
        <f t="shared" si="66"/>
        <v>1176</v>
      </c>
      <c r="T41" s="1565">
        <f t="shared" ref="T41" si="67">T38+T39-T40</f>
        <v>465</v>
      </c>
      <c r="U41" s="1565">
        <f t="shared" ref="U41:W41" si="68">U38+U39-U40</f>
        <v>1547</v>
      </c>
      <c r="V41" s="1565">
        <f t="shared" si="68"/>
        <v>2012</v>
      </c>
      <c r="W41" s="1563">
        <f t="shared" si="68"/>
        <v>3188</v>
      </c>
      <c r="X41" s="1562">
        <f>X38+X39-X40</f>
        <v>1639</v>
      </c>
      <c r="Y41" s="945">
        <f t="shared" ref="Y41:AD41" si="69">Y38+Y39-Y40</f>
        <v>298</v>
      </c>
      <c r="Z41" s="945">
        <f t="shared" si="69"/>
        <v>1937</v>
      </c>
      <c r="AA41" s="945">
        <f t="shared" si="69"/>
        <v>461</v>
      </c>
      <c r="AB41" s="945">
        <f t="shared" si="69"/>
        <v>1463</v>
      </c>
      <c r="AC41" s="945">
        <f t="shared" si="69"/>
        <v>1924</v>
      </c>
      <c r="AD41" s="1566">
        <f t="shared" si="69"/>
        <v>3861</v>
      </c>
      <c r="AI41" s="70"/>
      <c r="AJ41" s="1559"/>
      <c r="AK41" s="1559"/>
      <c r="AL41" s="1559"/>
      <c r="AM41" s="1559"/>
      <c r="AN41" s="1559"/>
      <c r="AO41" s="1559"/>
      <c r="AP41" s="1559"/>
      <c r="AQ41" s="1559"/>
      <c r="AR41" s="1559"/>
      <c r="AS41" s="1559"/>
    </row>
    <row r="42" spans="1:45" ht="12.75" customHeight="1">
      <c r="A42" s="1553">
        <v>4</v>
      </c>
      <c r="B42" s="1554" t="s">
        <v>900</v>
      </c>
      <c r="C42" s="98"/>
      <c r="D42" s="23"/>
      <c r="E42" s="23"/>
      <c r="F42" s="23"/>
      <c r="G42" s="23"/>
      <c r="H42" s="23"/>
      <c r="I42" s="1459"/>
      <c r="J42" s="98"/>
      <c r="K42" s="23"/>
      <c r="L42" s="23"/>
      <c r="M42" s="23"/>
      <c r="N42" s="23"/>
      <c r="O42" s="23"/>
      <c r="P42" s="23"/>
      <c r="Q42" s="23"/>
      <c r="R42" s="23"/>
      <c r="S42" s="23"/>
      <c r="T42" s="23"/>
      <c r="U42" s="23"/>
      <c r="V42" s="23"/>
      <c r="W42" s="393"/>
      <c r="X42" s="98"/>
      <c r="Y42" s="23"/>
      <c r="Z42" s="23"/>
      <c r="AA42" s="23"/>
      <c r="AB42" s="23"/>
      <c r="AC42" s="23"/>
      <c r="AD42" s="393"/>
      <c r="AI42" s="70"/>
      <c r="AJ42" s="1559"/>
      <c r="AK42" s="1559"/>
      <c r="AL42" s="1559"/>
      <c r="AM42" s="1559"/>
      <c r="AN42" s="1559"/>
      <c r="AO42" s="1559"/>
      <c r="AP42" s="1559"/>
      <c r="AQ42" s="1559"/>
      <c r="AR42" s="1559"/>
      <c r="AS42" s="1559"/>
    </row>
    <row r="43" spans="1:45">
      <c r="A43" s="1553">
        <v>5</v>
      </c>
      <c r="B43" s="1554" t="s">
        <v>901</v>
      </c>
      <c r="C43" s="98"/>
      <c r="D43" s="23"/>
      <c r="E43" s="23"/>
      <c r="F43" s="23"/>
      <c r="G43" s="1567"/>
      <c r="H43" s="1567"/>
      <c r="I43" s="434"/>
      <c r="J43" s="1454"/>
      <c r="K43" s="36"/>
      <c r="L43" s="36"/>
      <c r="M43" s="36"/>
      <c r="N43" s="36"/>
      <c r="O43" s="36"/>
      <c r="P43" s="36"/>
      <c r="Q43" s="23"/>
      <c r="R43" s="23"/>
      <c r="S43" s="23"/>
      <c r="T43" s="23"/>
      <c r="U43" s="23"/>
      <c r="V43" s="23"/>
      <c r="W43" s="434"/>
      <c r="X43" s="98"/>
      <c r="Y43" s="23"/>
      <c r="Z43" s="23"/>
      <c r="AA43" s="23"/>
      <c r="AB43" s="23"/>
      <c r="AC43" s="23"/>
      <c r="AD43" s="1568"/>
      <c r="AI43" s="70"/>
      <c r="AJ43" s="1569"/>
      <c r="AK43" s="1569"/>
      <c r="AL43" s="1569"/>
      <c r="AM43" s="1570"/>
      <c r="AN43" s="1570"/>
      <c r="AO43" s="1570"/>
      <c r="AP43" s="1570"/>
      <c r="AQ43" s="1570"/>
      <c r="AR43" s="1570"/>
      <c r="AS43" s="1570"/>
    </row>
    <row r="44" spans="1:45">
      <c r="A44" s="1553">
        <v>6</v>
      </c>
      <c r="B44" s="1554" t="s">
        <v>902</v>
      </c>
      <c r="C44" s="98"/>
      <c r="D44" s="23"/>
      <c r="E44" s="23"/>
      <c r="F44" s="23"/>
      <c r="G44" s="1567"/>
      <c r="H44" s="1567"/>
      <c r="I44" s="1571"/>
      <c r="J44" s="1572"/>
      <c r="K44" s="1567"/>
      <c r="L44" s="1567"/>
      <c r="M44" s="1567"/>
      <c r="N44" s="1567"/>
      <c r="O44" s="1567"/>
      <c r="P44" s="1567"/>
      <c r="Q44" s="23"/>
      <c r="R44" s="23"/>
      <c r="S44" s="23"/>
      <c r="T44" s="23"/>
      <c r="U44" s="23"/>
      <c r="V44" s="23"/>
      <c r="W44" s="434"/>
      <c r="X44" s="98"/>
      <c r="Y44" s="23"/>
      <c r="Z44" s="23"/>
      <c r="AA44" s="23"/>
      <c r="AB44" s="23"/>
      <c r="AC44" s="23"/>
      <c r="AD44" s="1568"/>
      <c r="AI44" s="70"/>
      <c r="AJ44" s="1569"/>
      <c r="AK44" s="1569"/>
      <c r="AL44" s="1569"/>
      <c r="AM44" s="1570"/>
      <c r="AN44" s="1570"/>
      <c r="AO44" s="1570"/>
      <c r="AP44" s="1570"/>
      <c r="AQ44" s="1570"/>
      <c r="AR44" s="1570"/>
      <c r="AS44" s="1570"/>
    </row>
    <row r="45" spans="1:45">
      <c r="A45" s="1553">
        <v>7</v>
      </c>
      <c r="B45" s="1554" t="s">
        <v>903</v>
      </c>
      <c r="C45" s="1573"/>
      <c r="D45" s="1574"/>
      <c r="E45" s="1574"/>
      <c r="F45" s="1574"/>
      <c r="G45" s="1574"/>
      <c r="H45" s="1574"/>
      <c r="I45" s="434"/>
      <c r="J45" s="1454"/>
      <c r="K45" s="36"/>
      <c r="L45" s="36"/>
      <c r="M45" s="36"/>
      <c r="N45" s="36"/>
      <c r="O45" s="36"/>
      <c r="P45" s="36"/>
      <c r="Q45" s="23"/>
      <c r="R45" s="23"/>
      <c r="S45" s="23"/>
      <c r="T45" s="23"/>
      <c r="U45" s="23"/>
      <c r="V45" s="23"/>
      <c r="W45" s="393"/>
      <c r="X45" s="98"/>
      <c r="Y45" s="23"/>
      <c r="Z45" s="23"/>
      <c r="AA45" s="23"/>
      <c r="AB45" s="23"/>
      <c r="AC45" s="23"/>
      <c r="AD45" s="434"/>
      <c r="AI45" s="1575"/>
      <c r="AJ45" s="1575"/>
      <c r="AK45" s="1575"/>
      <c r="AL45" s="1576"/>
      <c r="AM45" s="1575"/>
      <c r="AN45" s="1576"/>
      <c r="AO45" s="1575"/>
      <c r="AP45" s="1576"/>
      <c r="AQ45" s="1575"/>
      <c r="AR45" s="1576"/>
      <c r="AS45" s="1575"/>
    </row>
    <row r="46" spans="1:45" ht="13.5" thickBot="1">
      <c r="A46" s="1577">
        <v>8</v>
      </c>
      <c r="B46" s="1578" t="s">
        <v>904</v>
      </c>
      <c r="C46" s="1579"/>
      <c r="D46" s="435"/>
      <c r="E46" s="435"/>
      <c r="F46" s="435"/>
      <c r="G46" s="435"/>
      <c r="H46" s="435"/>
      <c r="I46" s="884"/>
      <c r="J46" s="1098"/>
      <c r="K46" s="1097"/>
      <c r="L46" s="1097"/>
      <c r="M46" s="1097"/>
      <c r="N46" s="1097"/>
      <c r="O46" s="1097"/>
      <c r="P46" s="1097"/>
      <c r="Q46" s="435"/>
      <c r="R46" s="435"/>
      <c r="S46" s="435"/>
      <c r="T46" s="435"/>
      <c r="U46" s="435"/>
      <c r="V46" s="435"/>
      <c r="W46" s="740"/>
      <c r="X46" s="1579"/>
      <c r="Y46" s="435"/>
      <c r="Z46" s="435"/>
      <c r="AA46" s="435"/>
      <c r="AB46" s="435"/>
      <c r="AC46" s="435"/>
      <c r="AD46" s="740"/>
      <c r="AI46" s="1383"/>
      <c r="AJ46" s="1580"/>
      <c r="AK46" s="1580"/>
      <c r="AL46" s="1581"/>
      <c r="AM46" s="394"/>
      <c r="AN46" s="394"/>
      <c r="AO46" s="394"/>
      <c r="AP46" s="1575"/>
      <c r="AQ46" s="1383"/>
      <c r="AR46" s="1383"/>
      <c r="AS46" s="394"/>
    </row>
    <row r="47" spans="1:45" ht="13.5" thickBot="1">
      <c r="B47" s="1582"/>
      <c r="G47" s="1583"/>
      <c r="H47" s="1583"/>
      <c r="AI47" s="1383"/>
      <c r="AJ47" s="1580"/>
      <c r="AK47" s="1580"/>
      <c r="AL47" s="1581"/>
      <c r="AM47" s="394"/>
      <c r="AN47" s="394"/>
      <c r="AO47" s="394"/>
      <c r="AP47" s="1383"/>
      <c r="AQ47" s="1383"/>
      <c r="AR47" s="1383"/>
      <c r="AS47" s="394"/>
    </row>
    <row r="48" spans="1:45" ht="38.25">
      <c r="D48" s="1880" t="s">
        <v>905</v>
      </c>
      <c r="E48" s="1880"/>
      <c r="F48" s="1880"/>
      <c r="G48" s="1880"/>
      <c r="H48" s="1880"/>
      <c r="I48" s="1880"/>
      <c r="J48" s="30"/>
      <c r="K48" s="30"/>
      <c r="L48" s="30"/>
      <c r="M48" s="30"/>
      <c r="N48" s="30"/>
      <c r="O48" s="30"/>
      <c r="P48" s="30"/>
      <c r="R48" s="1880" t="s">
        <v>906</v>
      </c>
      <c r="S48" s="1880"/>
      <c r="T48" s="1880"/>
      <c r="U48" s="1880"/>
      <c r="V48" s="1880"/>
      <c r="W48" s="1880"/>
      <c r="X48" s="1880" t="s">
        <v>2144</v>
      </c>
      <c r="Y48" s="1880"/>
      <c r="Z48" s="1880"/>
      <c r="AA48" s="1880"/>
      <c r="AB48" s="1880"/>
      <c r="AC48" s="30"/>
      <c r="AH48" s="1584" t="s">
        <v>404</v>
      </c>
      <c r="AI48" s="1585" t="s">
        <v>907</v>
      </c>
      <c r="AJ48" s="1551" t="s">
        <v>908</v>
      </c>
      <c r="AK48" s="1586"/>
      <c r="AL48" s="1587"/>
      <c r="AM48" s="1587"/>
      <c r="AN48" s="1587"/>
      <c r="AO48" s="1587"/>
      <c r="AP48" s="1587"/>
      <c r="AQ48" s="1587"/>
      <c r="AR48" s="1587"/>
      <c r="AS48" s="1587"/>
    </row>
    <row r="49" spans="2:45" ht="51.75" thickBot="1">
      <c r="D49" s="1588" t="s">
        <v>91</v>
      </c>
      <c r="E49" s="1588"/>
      <c r="F49" s="1588" t="s">
        <v>77</v>
      </c>
      <c r="G49" s="1588" t="s">
        <v>45</v>
      </c>
      <c r="H49" s="1588"/>
      <c r="I49" s="1588" t="s">
        <v>147</v>
      </c>
      <c r="J49" s="8"/>
      <c r="K49" s="8"/>
      <c r="L49" s="8"/>
      <c r="M49" s="8"/>
      <c r="N49" s="8"/>
      <c r="O49" s="8"/>
      <c r="P49" s="8"/>
      <c r="R49" s="1588" t="s">
        <v>91</v>
      </c>
      <c r="S49" s="1588"/>
      <c r="T49" s="1588" t="s">
        <v>77</v>
      </c>
      <c r="U49" s="1588" t="s">
        <v>45</v>
      </c>
      <c r="V49" s="1588"/>
      <c r="W49" s="1588" t="s">
        <v>147</v>
      </c>
      <c r="X49" s="1588" t="s">
        <v>91</v>
      </c>
      <c r="Y49" s="1588" t="s">
        <v>77</v>
      </c>
      <c r="Z49" s="1588"/>
      <c r="AA49" s="1588" t="s">
        <v>45</v>
      </c>
      <c r="AB49" s="1588" t="s">
        <v>147</v>
      </c>
      <c r="AC49" s="8"/>
      <c r="AH49" s="1589">
        <v>1</v>
      </c>
      <c r="AI49" s="1590" t="s">
        <v>909</v>
      </c>
      <c r="AJ49" s="1591">
        <f>(126061.24999+122.99203+9259.69768+10328.62845)/100</f>
        <v>1457.7256814999998</v>
      </c>
      <c r="AK49" s="1383"/>
      <c r="AL49" s="1383"/>
      <c r="AM49" s="1383"/>
      <c r="AN49" s="1383"/>
      <c r="AO49" s="1383"/>
      <c r="AP49" s="1383"/>
      <c r="AQ49" s="1580"/>
      <c r="AR49" s="1383"/>
      <c r="AS49" s="1383"/>
    </row>
    <row r="50" spans="2:45" ht="52.5" thickTop="1" thickBot="1">
      <c r="C50" s="1425" t="s">
        <v>910</v>
      </c>
      <c r="D50" s="1592">
        <f>'T-1'!G70</f>
        <v>2634.5814727505003</v>
      </c>
      <c r="E50" s="1592"/>
      <c r="F50" s="1592">
        <f>'T-1'!G57</f>
        <v>1847.6532453448001</v>
      </c>
      <c r="G50" s="1592">
        <f>'T-1'!G38</f>
        <v>2873.5650820967307</v>
      </c>
      <c r="H50" s="1592"/>
      <c r="I50" s="1592">
        <f>SUM(D50:G50)</f>
        <v>7355.7998001920314</v>
      </c>
      <c r="J50" s="1592"/>
      <c r="K50" s="1592"/>
      <c r="L50" s="1592"/>
      <c r="M50" s="1592"/>
      <c r="N50" s="1592"/>
      <c r="O50" s="1592"/>
      <c r="P50" s="1592"/>
      <c r="Q50" s="1425"/>
      <c r="R50" s="1592">
        <f>'T-1'!N70</f>
        <v>4961.0000000000009</v>
      </c>
      <c r="S50" s="1592"/>
      <c r="T50" s="1592">
        <f>'T-1'!N57</f>
        <v>2025</v>
      </c>
      <c r="U50" s="1592">
        <f>'T-1'!N38</f>
        <v>3085.0000000000005</v>
      </c>
      <c r="V50" s="1592"/>
      <c r="W50" s="1593">
        <f>SUM(R50:U50)</f>
        <v>10071.000000000002</v>
      </c>
      <c r="X50" s="1592">
        <f>'T-1'!S70</f>
        <v>5045</v>
      </c>
      <c r="Y50" s="1592">
        <f>'T-1'!S57</f>
        <v>2123.0000019999998</v>
      </c>
      <c r="Z50" s="1592"/>
      <c r="AA50" s="1592">
        <f>'T-1'!S38</f>
        <v>3313.9999999999995</v>
      </c>
      <c r="AB50" s="1593">
        <f>SUM(X50:AA50)</f>
        <v>10482.000001999999</v>
      </c>
      <c r="AC50" s="4"/>
      <c r="AH50" s="1589">
        <v>2</v>
      </c>
      <c r="AI50" s="1590" t="s">
        <v>911</v>
      </c>
      <c r="AJ50" s="1591">
        <f>AJ56</f>
        <v>1457.5279989000003</v>
      </c>
      <c r="AK50" s="1383"/>
      <c r="AL50" s="1594"/>
      <c r="AM50" s="1383"/>
      <c r="AN50" s="1383"/>
      <c r="AO50" s="1383"/>
      <c r="AP50" s="1383"/>
      <c r="AQ50" s="1580"/>
      <c r="AR50" s="1383"/>
      <c r="AS50" s="1383"/>
    </row>
    <row r="51" spans="2:45" ht="51">
      <c r="C51" t="s">
        <v>912</v>
      </c>
      <c r="D51" s="7">
        <f>I51/$I$50*D50</f>
        <v>1867.5763221610202</v>
      </c>
      <c r="E51" s="7"/>
      <c r="F51" s="7">
        <f>I51/$I$50*F50</f>
        <v>1309.7463442523404</v>
      </c>
      <c r="G51" s="7">
        <f>I51/$I$50*G50</f>
        <v>2036.9846835329847</v>
      </c>
      <c r="H51" s="7"/>
      <c r="I51" s="7">
        <f>C33+D33</f>
        <v>5214.3073499463453</v>
      </c>
      <c r="J51" s="7"/>
      <c r="K51" s="7"/>
      <c r="L51" s="7"/>
      <c r="M51" s="7"/>
      <c r="N51" s="7"/>
      <c r="O51" s="7"/>
      <c r="P51" s="7"/>
      <c r="R51" s="4">
        <f>W51/$W$50*R50</f>
        <v>3825.342082460043</v>
      </c>
      <c r="S51" s="4"/>
      <c r="T51" s="4">
        <f>W51/$W$50*T50</f>
        <v>1561.4427972145909</v>
      </c>
      <c r="U51" s="4">
        <f>W51/$W$50*U50</f>
        <v>2378.7906318059327</v>
      </c>
      <c r="V51" s="4"/>
      <c r="W51" s="4">
        <f>Q33+R33</f>
        <v>7765.575511480567</v>
      </c>
      <c r="X51" s="4">
        <f>$AB$51/$AB$50*X50</f>
        <v>5890.672482226908</v>
      </c>
      <c r="Y51" s="4">
        <f>$AB$51/$AB$50*Y50</f>
        <v>2478.8697109116097</v>
      </c>
      <c r="Z51" s="4"/>
      <c r="AA51" s="4">
        <f>$AB$51/$AB$50*AA50</f>
        <v>3869.5121122101032</v>
      </c>
      <c r="AB51" s="7">
        <f>X33+Y33</f>
        <v>12239.05430534862</v>
      </c>
      <c r="AC51" s="4"/>
      <c r="AH51" s="1589">
        <v>3</v>
      </c>
      <c r="AI51" s="1590" t="s">
        <v>913</v>
      </c>
      <c r="AJ51" s="1591">
        <f>(213.04+34.77+0.1535)*8%</f>
        <v>19.83708</v>
      </c>
      <c r="AK51" s="70"/>
      <c r="AL51" s="1595"/>
      <c r="AM51" s="394"/>
      <c r="AN51" s="70"/>
      <c r="AO51" s="70"/>
      <c r="AP51" s="70"/>
      <c r="AQ51" s="1586"/>
      <c r="AR51" s="70"/>
      <c r="AS51" s="70"/>
    </row>
    <row r="52" spans="2:45" ht="51">
      <c r="C52" t="s">
        <v>914</v>
      </c>
      <c r="F52" s="7">
        <f>I52/SUM(F50:G50)*F50</f>
        <v>17108.98577789179</v>
      </c>
      <c r="G52" s="7">
        <f>I52/SUM(F50:G50)*G50</f>
        <v>26608.772097961872</v>
      </c>
      <c r="H52" s="7"/>
      <c r="I52" s="7">
        <f>F33+G33</f>
        <v>43717.757875853662</v>
      </c>
      <c r="J52" s="7"/>
      <c r="K52" s="7"/>
      <c r="L52" s="7"/>
      <c r="M52" s="7"/>
      <c r="N52" s="7"/>
      <c r="O52" s="7"/>
      <c r="P52" s="7"/>
      <c r="R52" s="4"/>
      <c r="S52" s="4"/>
      <c r="T52" s="7">
        <f>W52/SUM(T50:U50)*T50</f>
        <v>20052.828726195203</v>
      </c>
      <c r="U52" s="7">
        <f>W52/SUM(T50:U50)*U50</f>
        <v>30549.618084104797</v>
      </c>
      <c r="V52" s="7"/>
      <c r="W52" s="7">
        <f>T33+U33</f>
        <v>50602.446810299996</v>
      </c>
      <c r="X52" s="7"/>
      <c r="Y52" s="7">
        <f>AB52/SUM(Y50:AA50)*Y50</f>
        <v>20236.206387852111</v>
      </c>
      <c r="Z52" s="7"/>
      <c r="AA52" s="7">
        <f>AB52/SUM(Y50:AA50)*AA50</f>
        <v>31588.689546003068</v>
      </c>
      <c r="AB52" s="7">
        <f>AA33+AB33</f>
        <v>51824.895933855179</v>
      </c>
      <c r="AC52" s="4"/>
      <c r="AH52" s="1589">
        <v>4</v>
      </c>
      <c r="AI52" s="1590" t="s">
        <v>915</v>
      </c>
      <c r="AJ52" s="1596">
        <f>129+(153*1500000)/10000000</f>
        <v>151.94999999999999</v>
      </c>
      <c r="AL52" s="1597"/>
    </row>
    <row r="53" spans="2:45" ht="77.25" thickBot="1">
      <c r="C53" t="s">
        <v>147</v>
      </c>
      <c r="D53" s="14">
        <f>SUM(D51:D52)</f>
        <v>1867.5763221610202</v>
      </c>
      <c r="E53" s="14"/>
      <c r="F53" s="14">
        <f>SUM(F51:F52)</f>
        <v>18418.732122144131</v>
      </c>
      <c r="G53" s="14">
        <f>SUM(G51:G52)</f>
        <v>28645.756781494856</v>
      </c>
      <c r="H53" s="14"/>
      <c r="I53" s="14">
        <f>SUM(I51:I52)</f>
        <v>48932.065225800005</v>
      </c>
      <c r="J53" s="12"/>
      <c r="K53" s="12"/>
      <c r="L53" s="12"/>
      <c r="M53" s="12"/>
      <c r="N53" s="12"/>
      <c r="O53" s="12"/>
      <c r="P53" s="12"/>
      <c r="R53" s="14">
        <f t="shared" ref="R53:AB53" si="70">SUM(R51:R52)</f>
        <v>3825.342082460043</v>
      </c>
      <c r="S53" s="14"/>
      <c r="T53" s="14">
        <f t="shared" si="70"/>
        <v>21614.271523409792</v>
      </c>
      <c r="U53" s="14">
        <f t="shared" si="70"/>
        <v>32928.408715910729</v>
      </c>
      <c r="V53" s="14"/>
      <c r="W53" s="14">
        <f t="shared" si="70"/>
        <v>58368.022321780561</v>
      </c>
      <c r="X53" s="14">
        <f t="shared" si="70"/>
        <v>5890.672482226908</v>
      </c>
      <c r="Y53" s="14">
        <f t="shared" si="70"/>
        <v>22715.076098763722</v>
      </c>
      <c r="Z53" s="14"/>
      <c r="AA53" s="14">
        <f t="shared" si="70"/>
        <v>35458.201658213169</v>
      </c>
      <c r="AB53" s="14">
        <f t="shared" si="70"/>
        <v>64063.950239203798</v>
      </c>
      <c r="AC53" s="12"/>
      <c r="AH53" s="1589">
        <v>5</v>
      </c>
      <c r="AI53" s="1590" t="s">
        <v>916</v>
      </c>
      <c r="AJ53" s="1598">
        <f>AJ49-AJ50+AJ52-AJ51</f>
        <v>132.31060259999953</v>
      </c>
      <c r="AL53" s="1597"/>
    </row>
    <row r="54" spans="2:45" ht="13.5" thickTop="1">
      <c r="D54" s="1508">
        <f>D53/$I$53</f>
        <v>3.8166717745163121E-2</v>
      </c>
      <c r="E54" s="1508"/>
      <c r="F54" s="1508">
        <f>F53/$I$53</f>
        <v>0.37641436218049995</v>
      </c>
      <c r="G54" s="1508">
        <f>G53/$I$53</f>
        <v>0.58541892007433693</v>
      </c>
      <c r="H54" s="1508"/>
      <c r="I54" s="107">
        <f>SUM(D54:G54)</f>
        <v>1</v>
      </c>
      <c r="J54" s="107"/>
      <c r="K54" s="107"/>
      <c r="L54" s="107"/>
      <c r="M54" s="107"/>
      <c r="N54" s="107"/>
      <c r="O54" s="107"/>
      <c r="P54" s="107"/>
      <c r="R54" s="1508">
        <f>R53/$W$53</f>
        <v>6.5538319276453913E-2</v>
      </c>
      <c r="S54" s="1508"/>
      <c r="T54" s="1508">
        <f>T53/$W$53</f>
        <v>0.37031015723389055</v>
      </c>
      <c r="U54" s="1508">
        <f>U53/$W$53</f>
        <v>0.56415152348965558</v>
      </c>
      <c r="V54" s="1508"/>
      <c r="W54" s="107">
        <f>SUM(R54:U54)</f>
        <v>1</v>
      </c>
      <c r="X54" s="1508">
        <f>X53/$AB$53</f>
        <v>9.1949879147822572E-2</v>
      </c>
      <c r="Y54" s="1508">
        <f>Y53/$AB$53</f>
        <v>0.3545687709538598</v>
      </c>
      <c r="Z54" s="1508"/>
      <c r="AA54" s="1508">
        <f>AA53/$AB$53</f>
        <v>0.55348134989831765</v>
      </c>
      <c r="AB54" s="107">
        <f>SUM(X54:AA54)</f>
        <v>1</v>
      </c>
      <c r="AC54" s="107"/>
      <c r="AH54" s="91"/>
      <c r="AI54" s="23"/>
      <c r="AJ54" s="393"/>
    </row>
    <row r="55" spans="2:45" ht="51">
      <c r="C55" t="s">
        <v>912</v>
      </c>
      <c r="D55" s="7">
        <f>I55/$I$50*D50</f>
        <v>57.552414752455917</v>
      </c>
      <c r="E55" s="7"/>
      <c r="F55" s="7">
        <f>I55/$I$50*F50</f>
        <v>40.361972857794946</v>
      </c>
      <c r="G55" s="7">
        <f>I55/$I$50*G50</f>
        <v>62.773010109400374</v>
      </c>
      <c r="H55" s="7"/>
      <c r="I55" s="7">
        <f>C34+D34</f>
        <v>160.68739771965124</v>
      </c>
      <c r="J55" s="7"/>
      <c r="K55" s="7"/>
      <c r="L55" s="7"/>
      <c r="M55" s="7"/>
      <c r="N55" s="7"/>
      <c r="O55" s="7"/>
      <c r="P55" s="7"/>
      <c r="R55" s="7">
        <f>W55/$W$50*R50</f>
        <v>124.31553906910051</v>
      </c>
      <c r="S55" s="7"/>
      <c r="T55" s="7">
        <f>W55/$W$50*T50</f>
        <v>50.743593351124467</v>
      </c>
      <c r="U55" s="7">
        <f>W55/$W$50*U50</f>
        <v>77.305671846034073</v>
      </c>
      <c r="V55" s="7"/>
      <c r="W55" s="7">
        <f>Q34+R34</f>
        <v>252.36480426625906</v>
      </c>
      <c r="X55" s="7">
        <f>+$AB$55/$AB$50*X50</f>
        <v>235.99367676729932</v>
      </c>
      <c r="Y55" s="7">
        <f>+$AB$55/$AB$50*Y50</f>
        <v>99.309133052321855</v>
      </c>
      <c r="Z55" s="7"/>
      <c r="AA55" s="7">
        <f>+$AB$55/$AB$50*AA50</f>
        <v>155.02141621542714</v>
      </c>
      <c r="AB55" s="7">
        <f>X34+Y34</f>
        <v>490.3242260350483</v>
      </c>
      <c r="AC55" s="7"/>
      <c r="AH55" s="91" t="s">
        <v>521</v>
      </c>
      <c r="AI55" s="1599" t="s">
        <v>917</v>
      </c>
      <c r="AJ55" s="393"/>
    </row>
    <row r="56" spans="2:45" ht="51">
      <c r="C56" t="s">
        <v>914</v>
      </c>
      <c r="F56" s="7">
        <f>I56/SUM(F50:G50)*F50</f>
        <v>157.7307894584178</v>
      </c>
      <c r="G56" s="7">
        <f>I56/SUM(F50:G50)*G50</f>
        <v>245.31101282193092</v>
      </c>
      <c r="H56" s="7"/>
      <c r="I56" s="7">
        <f>F34+G34</f>
        <v>403.04180228034875</v>
      </c>
      <c r="J56" s="7"/>
      <c r="K56" s="7"/>
      <c r="L56" s="7"/>
      <c r="M56" s="7"/>
      <c r="N56" s="7"/>
      <c r="O56" s="7"/>
      <c r="P56" s="7"/>
      <c r="T56" s="7">
        <f>W56/SUM(T50:U50)*T50</f>
        <v>651.67458470907616</v>
      </c>
      <c r="U56" s="7">
        <f>W56/SUM(T50:U50)*U50</f>
        <v>992.79807102592611</v>
      </c>
      <c r="V56" s="7"/>
      <c r="W56" s="7">
        <f>T34+U34</f>
        <v>1644.472655735002</v>
      </c>
      <c r="Y56" s="7">
        <f>+AB56/(Y50+AA50)*Y50</f>
        <v>810.70824489053155</v>
      </c>
      <c r="Z56" s="7"/>
      <c r="AA56" s="7">
        <f>+AB56/(Y50+AA50)*AA50</f>
        <v>1265.5144234744196</v>
      </c>
      <c r="AB56" s="7">
        <f>+AA34+AB34</f>
        <v>2076.222668364951</v>
      </c>
      <c r="AC56" s="7"/>
      <c r="AH56" s="1589">
        <v>1</v>
      </c>
      <c r="AI56" s="1590" t="s">
        <v>911</v>
      </c>
      <c r="AJ56" s="1591">
        <f>(126880.78041+126.20139+9090.51868+9655.29941)/100</f>
        <v>1457.5279989000003</v>
      </c>
    </row>
    <row r="57" spans="2:45">
      <c r="D57" s="12">
        <f>SUM(D55:D56)</f>
        <v>57.552414752455917</v>
      </c>
      <c r="E57" s="12"/>
      <c r="F57" s="12">
        <f>SUM(F55:F56)</f>
        <v>198.09276231621274</v>
      </c>
      <c r="G57" s="12">
        <f>SUM(G55:G56)</f>
        <v>308.08402293133128</v>
      </c>
      <c r="H57" s="12"/>
      <c r="I57" s="12">
        <f>SUM(D57:G57)</f>
        <v>563.72919999999999</v>
      </c>
      <c r="J57" s="12"/>
      <c r="K57" s="12"/>
      <c r="L57" s="12"/>
      <c r="M57" s="12"/>
      <c r="N57" s="12"/>
      <c r="O57" s="12"/>
      <c r="P57" s="12"/>
      <c r="R57" s="12">
        <f>SUM(R55:R56)</f>
        <v>124.31553906910051</v>
      </c>
      <c r="S57" s="12"/>
      <c r="T57" s="12">
        <f>SUM(T55:T56)</f>
        <v>702.4181780602006</v>
      </c>
      <c r="U57" s="12">
        <f>SUM(U55:U56)</f>
        <v>1070.1037428719601</v>
      </c>
      <c r="V57" s="12"/>
      <c r="W57" s="12">
        <f>SUM(R57:U57)</f>
        <v>1896.8374600012612</v>
      </c>
      <c r="X57" s="12">
        <f>SUM(X55:X56)</f>
        <v>235.99367676729932</v>
      </c>
      <c r="Y57" s="12">
        <f>SUM(Y55:Y56)</f>
        <v>910.01737794285339</v>
      </c>
      <c r="Z57" s="12"/>
      <c r="AA57" s="12">
        <f>SUM(AA55:AA56)</f>
        <v>1420.5358396898466</v>
      </c>
      <c r="AB57" s="12">
        <f>SUM(X57:AA57)</f>
        <v>2566.5468943999995</v>
      </c>
      <c r="AC57" s="12"/>
      <c r="AH57" s="1589"/>
      <c r="AI57" s="1590"/>
      <c r="AJ57" s="1591"/>
    </row>
    <row r="58" spans="2:45" ht="51">
      <c r="C58" t="s">
        <v>855</v>
      </c>
      <c r="D58" t="s">
        <v>856</v>
      </c>
      <c r="Q58" s="506" t="s">
        <v>918</v>
      </c>
      <c r="X58" s="506" t="s">
        <v>918</v>
      </c>
      <c r="AH58" s="1589">
        <v>2</v>
      </c>
      <c r="AI58" s="1590" t="s">
        <v>919</v>
      </c>
      <c r="AJ58" s="1591">
        <f>(125054.28665+120.45752+8449.69837+8606.92338)/100</f>
        <v>1422.3136591999998</v>
      </c>
    </row>
    <row r="59" spans="2:45" ht="51">
      <c r="B59" s="66" t="s">
        <v>920</v>
      </c>
      <c r="C59">
        <f>C38+D38</f>
        <v>155</v>
      </c>
      <c r="D59">
        <f>F38+G38</f>
        <v>2299</v>
      </c>
      <c r="Q59" s="30" t="s">
        <v>855</v>
      </c>
      <c r="R59" s="30"/>
      <c r="S59" s="30"/>
      <c r="U59">
        <f>T40+Q40</f>
        <v>31</v>
      </c>
      <c r="X59" s="30" t="s">
        <v>855</v>
      </c>
      <c r="Y59" s="30"/>
      <c r="Z59" s="30"/>
      <c r="AB59">
        <f>X40+AA40</f>
        <v>4</v>
      </c>
      <c r="AH59" s="1589">
        <v>3</v>
      </c>
      <c r="AI59" s="1590" t="s">
        <v>921</v>
      </c>
      <c r="AJ59" s="1591">
        <f>(213.04+34.77+0.1535)*8%</f>
        <v>19.83708</v>
      </c>
    </row>
    <row r="60" spans="2:45" ht="51">
      <c r="B60" s="66" t="s">
        <v>922</v>
      </c>
      <c r="C60" s="7">
        <f>950.12</f>
        <v>950.12</v>
      </c>
      <c r="D60" s="7">
        <f>5770.61-C60</f>
        <v>4820.49</v>
      </c>
      <c r="E60" s="7"/>
      <c r="F60" s="7">
        <f>SUM(C60:D60)</f>
        <v>5770.61</v>
      </c>
      <c r="Q60" s="31" t="s">
        <v>856</v>
      </c>
      <c r="R60" s="30"/>
      <c r="S60" s="30"/>
      <c r="U60">
        <f>U40+R40</f>
        <v>109</v>
      </c>
      <c r="X60" s="31" t="s">
        <v>856</v>
      </c>
      <c r="Y60" s="30"/>
      <c r="Z60" s="30"/>
      <c r="AB60">
        <f>Y40+AB40</f>
        <v>84</v>
      </c>
      <c r="AH60" s="1589">
        <v>4</v>
      </c>
      <c r="AI60" s="1590" t="s">
        <v>923</v>
      </c>
      <c r="AJ60" s="1600">
        <f>124.56+(184*1500000)/10000000</f>
        <v>152.16</v>
      </c>
    </row>
    <row r="61" spans="2:45" ht="17.25" customHeight="1">
      <c r="C61" s="452">
        <f>C60/F60</f>
        <v>0.16464810479308081</v>
      </c>
      <c r="D61" s="452">
        <f>D60/F60</f>
        <v>0.83535189520691921</v>
      </c>
      <c r="E61" s="452"/>
      <c r="F61" s="7"/>
      <c r="T61" t="s">
        <v>147</v>
      </c>
      <c r="U61" s="2">
        <f>U60+U59</f>
        <v>140</v>
      </c>
      <c r="V61" s="2"/>
      <c r="AA61" t="s">
        <v>147</v>
      </c>
      <c r="AB61" s="2">
        <f>AB60+AB59</f>
        <v>88</v>
      </c>
      <c r="AC61" s="2"/>
      <c r="AH61" s="1589">
        <v>5</v>
      </c>
      <c r="AI61" s="1590" t="s">
        <v>924</v>
      </c>
      <c r="AJ61" s="1598">
        <f>AJ56-AJ58+AJ60-AJ59</f>
        <v>167.53725970000045</v>
      </c>
    </row>
    <row r="62" spans="2:45">
      <c r="B62" s="66" t="s">
        <v>925</v>
      </c>
      <c r="C62" s="7">
        <f>C60*0.9</f>
        <v>855.10800000000006</v>
      </c>
      <c r="D62" s="7">
        <f>7102.96-C62</f>
        <v>6247.8519999999999</v>
      </c>
      <c r="E62" s="7"/>
      <c r="F62" s="7">
        <f>SUM(C62:D62)</f>
        <v>7102.96</v>
      </c>
      <c r="Q62" t="s">
        <v>926</v>
      </c>
      <c r="U62">
        <v>100000</v>
      </c>
      <c r="X62" t="s">
        <v>926</v>
      </c>
      <c r="AB62">
        <v>100000</v>
      </c>
      <c r="AH62" s="1589"/>
      <c r="AI62" s="1504"/>
      <c r="AJ62" s="1600"/>
    </row>
    <row r="63" spans="2:45">
      <c r="C63" s="452">
        <f>C62/F62</f>
        <v>0.12038755673690969</v>
      </c>
      <c r="D63" s="452">
        <f>D62/F62</f>
        <v>0.87961244326309029</v>
      </c>
      <c r="E63" s="452"/>
      <c r="Q63" t="s">
        <v>927</v>
      </c>
      <c r="U63">
        <v>70000</v>
      </c>
      <c r="X63" t="s">
        <v>927</v>
      </c>
      <c r="AB63">
        <v>70000</v>
      </c>
      <c r="AF63" s="7"/>
      <c r="AH63" s="1589"/>
      <c r="AI63" s="1504"/>
      <c r="AJ63" s="393"/>
    </row>
    <row r="64" spans="2:45">
      <c r="Q64" t="s">
        <v>928</v>
      </c>
      <c r="X64" t="s">
        <v>928</v>
      </c>
      <c r="AH64" s="91"/>
      <c r="AI64" s="1504"/>
      <c r="AJ64" s="393"/>
    </row>
    <row r="65" spans="3:36" ht="13.5" thickBot="1">
      <c r="C65" s="452"/>
      <c r="D65" s="452"/>
      <c r="E65" s="452"/>
      <c r="Q65" t="s">
        <v>855</v>
      </c>
      <c r="U65">
        <f>U59*U62*6</f>
        <v>18600000</v>
      </c>
      <c r="X65" t="s">
        <v>855</v>
      </c>
      <c r="AB65">
        <f>AB59*AB62*6</f>
        <v>2400000</v>
      </c>
      <c r="AH65" s="1441"/>
      <c r="AI65" s="1601"/>
      <c r="AJ65" s="1602"/>
    </row>
    <row r="66" spans="3:36">
      <c r="Q66" t="s">
        <v>929</v>
      </c>
      <c r="U66">
        <f>U60*U63*6</f>
        <v>45780000</v>
      </c>
      <c r="X66" t="s">
        <v>929</v>
      </c>
      <c r="AB66">
        <f>AB60*AB63*6</f>
        <v>35280000</v>
      </c>
    </row>
    <row r="67" spans="3:36">
      <c r="T67" t="s">
        <v>930</v>
      </c>
      <c r="U67">
        <f>U66+U65</f>
        <v>64380000</v>
      </c>
      <c r="AA67" t="s">
        <v>930</v>
      </c>
      <c r="AB67">
        <f>AB66+AB65</f>
        <v>37680000</v>
      </c>
    </row>
    <row r="68" spans="3:36">
      <c r="Q68" t="s">
        <v>931</v>
      </c>
      <c r="X68" t="s">
        <v>931</v>
      </c>
    </row>
    <row r="69" spans="3:36">
      <c r="Q69" t="s">
        <v>932</v>
      </c>
      <c r="X69" t="s">
        <v>932</v>
      </c>
    </row>
    <row r="70" spans="3:36">
      <c r="C70" s="452"/>
      <c r="D70" s="452"/>
      <c r="E70" s="452"/>
      <c r="Q70" t="s">
        <v>933</v>
      </c>
      <c r="U70">
        <f>U62/2</f>
        <v>50000</v>
      </c>
      <c r="X70" t="s">
        <v>933</v>
      </c>
      <c r="AB70">
        <f>AB62/2</f>
        <v>50000</v>
      </c>
    </row>
    <row r="71" spans="3:36">
      <c r="Q71" t="s">
        <v>934</v>
      </c>
      <c r="U71">
        <f>U63/2</f>
        <v>35000</v>
      </c>
      <c r="X71" t="s">
        <v>934</v>
      </c>
      <c r="AB71">
        <f>AB63/2</f>
        <v>35000</v>
      </c>
    </row>
    <row r="72" spans="3:36">
      <c r="Q72" t="s">
        <v>855</v>
      </c>
      <c r="U72">
        <f>U70*U59*6</f>
        <v>9300000</v>
      </c>
      <c r="X72" t="s">
        <v>855</v>
      </c>
      <c r="AB72">
        <f>AB70*AB59*6</f>
        <v>1200000</v>
      </c>
    </row>
    <row r="73" spans="3:36">
      <c r="Q73" t="s">
        <v>929</v>
      </c>
      <c r="U73">
        <f>U71*U60*6</f>
        <v>22890000</v>
      </c>
      <c r="X73" t="s">
        <v>929</v>
      </c>
      <c r="AB73">
        <f>AB71*AB60*6</f>
        <v>17640000</v>
      </c>
    </row>
    <row r="74" spans="3:36">
      <c r="T74" t="s">
        <v>935</v>
      </c>
      <c r="U74">
        <f>SUM(U72:U73)</f>
        <v>32190000</v>
      </c>
      <c r="AA74" t="s">
        <v>935</v>
      </c>
      <c r="AB74">
        <f>SUM(AB72:AB73)</f>
        <v>18840000</v>
      </c>
    </row>
    <row r="75" spans="3:36">
      <c r="Q75" s="506" t="s">
        <v>936</v>
      </c>
      <c r="X75" s="506" t="s">
        <v>2346</v>
      </c>
    </row>
    <row r="76" spans="3:36">
      <c r="T76" t="s">
        <v>937</v>
      </c>
      <c r="U76" s="2">
        <f>U67-U74</f>
        <v>32190000</v>
      </c>
      <c r="V76" s="2"/>
      <c r="AA76" t="s">
        <v>937</v>
      </c>
      <c r="AB76" s="2">
        <f>AB67-AB74</f>
        <v>18840000</v>
      </c>
      <c r="AC76" s="2"/>
    </row>
    <row r="77" spans="3:36">
      <c r="Q77" s="2" t="s">
        <v>938</v>
      </c>
      <c r="X77" s="2" t="s">
        <v>939</v>
      </c>
    </row>
    <row r="78" spans="3:36">
      <c r="Q78" s="506" t="s">
        <v>855</v>
      </c>
      <c r="R78" s="2"/>
      <c r="S78" s="2"/>
      <c r="U78" s="9">
        <f>Q39+T39</f>
        <v>606</v>
      </c>
      <c r="X78" s="506" t="s">
        <v>855</v>
      </c>
      <c r="Y78" s="2"/>
      <c r="Z78" s="2"/>
      <c r="AB78">
        <f>X39+AA39</f>
        <v>647</v>
      </c>
    </row>
    <row r="79" spans="3:36">
      <c r="Q79" t="s">
        <v>856</v>
      </c>
      <c r="U79">
        <f>R39+U39</f>
        <v>87</v>
      </c>
      <c r="X79" t="s">
        <v>856</v>
      </c>
      <c r="AB79">
        <f>Y39+AB39</f>
        <v>114</v>
      </c>
    </row>
    <row r="80" spans="3:36">
      <c r="T80" t="s">
        <v>147</v>
      </c>
      <c r="U80" s="2">
        <f>U79+U78</f>
        <v>693</v>
      </c>
      <c r="V80" s="2"/>
      <c r="AA80" t="s">
        <v>147</v>
      </c>
      <c r="AB80" s="2">
        <f>AB79+AB78</f>
        <v>761</v>
      </c>
      <c r="AC80" s="2"/>
    </row>
    <row r="81" spans="9:29">
      <c r="Q81" t="s">
        <v>940</v>
      </c>
      <c r="X81" t="s">
        <v>940</v>
      </c>
    </row>
    <row r="82" spans="9:29">
      <c r="Q82" t="s">
        <v>855</v>
      </c>
      <c r="U82">
        <f>21000*U78*6</f>
        <v>76356000</v>
      </c>
      <c r="X82" t="s">
        <v>855</v>
      </c>
      <c r="AB82">
        <v>330070937.50000006</v>
      </c>
    </row>
    <row r="83" spans="9:29">
      <c r="Q83" t="s">
        <v>856</v>
      </c>
      <c r="U83">
        <f>17000*U79*6</f>
        <v>8874000</v>
      </c>
      <c r="X83" t="s">
        <v>856</v>
      </c>
      <c r="AB83">
        <v>58247812.500000007</v>
      </c>
    </row>
    <row r="84" spans="9:29">
      <c r="T84" t="s">
        <v>941</v>
      </c>
      <c r="U84" s="2">
        <f>SUM(U82:U83)</f>
        <v>85230000</v>
      </c>
      <c r="V84" s="2"/>
      <c r="AA84" t="s">
        <v>942</v>
      </c>
      <c r="AB84" s="2">
        <f>SUM(AB82:AB83)</f>
        <v>388318750.00000006</v>
      </c>
      <c r="AC84" s="2"/>
    </row>
    <row r="85" spans="9:29">
      <c r="Q85" t="s">
        <v>2145</v>
      </c>
      <c r="U85" s="9">
        <f>310.034166666667*10^5</f>
        <v>31003416.666666698</v>
      </c>
      <c r="X85" s="2"/>
    </row>
    <row r="89" spans="9:29">
      <c r="AB89" s="2"/>
      <c r="AC89" s="2"/>
    </row>
    <row r="91" spans="9:29">
      <c r="I91">
        <f>514+57</f>
        <v>571</v>
      </c>
    </row>
    <row r="92" spans="9:29">
      <c r="I92">
        <f>131+80+6+28+4+6+31+6+10+1+15+5+7+4+1+3+23+11+3+3+23+11+66+36</f>
        <v>514</v>
      </c>
      <c r="X92" s="302" t="s">
        <v>943</v>
      </c>
    </row>
    <row r="93" spans="9:29">
      <c r="W93" t="s">
        <v>944</v>
      </c>
      <c r="AB93">
        <f>514+694+57</f>
        <v>1265</v>
      </c>
    </row>
    <row r="94" spans="9:29">
      <c r="W94" t="s">
        <v>945</v>
      </c>
      <c r="AB94">
        <v>8000</v>
      </c>
    </row>
    <row r="95" spans="9:29">
      <c r="W95" t="s">
        <v>946</v>
      </c>
      <c r="AB95">
        <f>AB94*AB93*12</f>
        <v>121440000</v>
      </c>
    </row>
    <row r="96" spans="9:29">
      <c r="W96" t="s">
        <v>947</v>
      </c>
      <c r="AB96">
        <f>(42500*3+25000*1+25500*2+24500*8)*12</f>
        <v>4794000</v>
      </c>
    </row>
    <row r="97" spans="3:30">
      <c r="Q97" s="213"/>
      <c r="R97" s="213"/>
      <c r="S97" s="213"/>
      <c r="T97" s="213"/>
      <c r="U97" s="213"/>
      <c r="V97" s="213"/>
      <c r="W97" s="7" t="s">
        <v>147</v>
      </c>
      <c r="AB97">
        <f>AB96+AB95</f>
        <v>126234000</v>
      </c>
    </row>
    <row r="101" spans="3:30">
      <c r="X101" s="213"/>
      <c r="Y101" s="213"/>
      <c r="Z101" s="213"/>
      <c r="AA101" s="213"/>
      <c r="AB101" s="213"/>
      <c r="AC101" s="213"/>
      <c r="AD101" s="7"/>
    </row>
    <row r="103" spans="3:30">
      <c r="W103">
        <f>1265*12*15000</f>
        <v>227700000</v>
      </c>
    </row>
    <row r="104" spans="3:30" ht="15.75">
      <c r="C104" s="1527" t="s">
        <v>2197</v>
      </c>
      <c r="D104" s="1603" t="s">
        <v>2199</v>
      </c>
      <c r="F104" s="1604" t="s">
        <v>2224</v>
      </c>
    </row>
    <row r="105" spans="3:30">
      <c r="C105" s="1095" t="s">
        <v>2184</v>
      </c>
      <c r="D105" s="1095" t="s">
        <v>2198</v>
      </c>
      <c r="E105" s="1095" t="s">
        <v>1702</v>
      </c>
      <c r="F105" s="1095" t="s">
        <v>2198</v>
      </c>
      <c r="G105" s="1095" t="s">
        <v>1703</v>
      </c>
      <c r="H105" s="1095" t="s">
        <v>2198</v>
      </c>
    </row>
    <row r="106" spans="3:30">
      <c r="C106" s="1605" t="s">
        <v>2186</v>
      </c>
      <c r="D106" s="1606">
        <f>329/2.88</f>
        <v>114.23611111111111</v>
      </c>
      <c r="E106" s="1605" t="s">
        <v>2200</v>
      </c>
      <c r="F106" s="1605">
        <v>120.1</v>
      </c>
      <c r="G106" s="1605" t="s">
        <v>2212</v>
      </c>
      <c r="H106" s="1605">
        <v>127.7</v>
      </c>
    </row>
    <row r="107" spans="3:30">
      <c r="C107" s="1605" t="s">
        <v>2187</v>
      </c>
      <c r="D107" s="1606">
        <f>330/2.88</f>
        <v>114.58333333333334</v>
      </c>
      <c r="E107" s="1605" t="s">
        <v>2201</v>
      </c>
      <c r="F107" s="1605">
        <v>120.6</v>
      </c>
      <c r="G107" s="1605" t="s">
        <v>2213</v>
      </c>
      <c r="H107" s="1607">
        <v>129</v>
      </c>
    </row>
    <row r="108" spans="3:30">
      <c r="C108" s="1605" t="s">
        <v>2188</v>
      </c>
      <c r="D108" s="1606">
        <f>332/2.88</f>
        <v>115.27777777777779</v>
      </c>
      <c r="E108" s="1605" t="s">
        <v>2202</v>
      </c>
      <c r="F108" s="1605">
        <v>121.7</v>
      </c>
      <c r="G108" s="1605" t="s">
        <v>2214</v>
      </c>
      <c r="H108" s="1605">
        <v>129.19999999999999</v>
      </c>
    </row>
    <row r="109" spans="3:30">
      <c r="C109" s="1605" t="s">
        <v>2189</v>
      </c>
      <c r="D109" s="1606">
        <f>336/2.88</f>
        <v>116.66666666666667</v>
      </c>
      <c r="E109" s="1605" t="s">
        <v>2203</v>
      </c>
      <c r="F109" s="1605">
        <v>122.8</v>
      </c>
      <c r="G109" s="1605" t="s">
        <v>2215</v>
      </c>
      <c r="H109" s="1605">
        <v>129.9</v>
      </c>
    </row>
    <row r="110" spans="3:30">
      <c r="C110" s="1605" t="s">
        <v>2190</v>
      </c>
      <c r="D110" s="1606">
        <f>338/2.88</f>
        <v>117.36111111111111</v>
      </c>
      <c r="E110" s="1605" t="s">
        <v>2204</v>
      </c>
      <c r="F110" s="1606">
        <v>123</v>
      </c>
      <c r="G110" s="1605" t="s">
        <v>2216</v>
      </c>
      <c r="H110" s="1606">
        <v>130.19999999999999</v>
      </c>
    </row>
    <row r="111" spans="3:30">
      <c r="C111" s="1605" t="s">
        <v>2191</v>
      </c>
      <c r="D111" s="1605">
        <v>118.1</v>
      </c>
      <c r="E111" s="1605" t="s">
        <v>2205</v>
      </c>
      <c r="F111" s="1605">
        <v>123.3</v>
      </c>
      <c r="G111" s="1605" t="s">
        <v>2217</v>
      </c>
      <c r="H111" s="1605">
        <v>131.30000000000001</v>
      </c>
    </row>
    <row r="112" spans="3:30">
      <c r="C112" s="1605" t="s">
        <v>2192</v>
      </c>
      <c r="D112" s="1605">
        <v>119.5</v>
      </c>
      <c r="E112" s="1605" t="s">
        <v>2206</v>
      </c>
      <c r="F112" s="1605">
        <v>124.9</v>
      </c>
      <c r="G112" s="1605" t="s">
        <v>2218</v>
      </c>
      <c r="H112" s="1605"/>
    </row>
    <row r="113" spans="3:8">
      <c r="C113" s="1605" t="s">
        <v>2193</v>
      </c>
      <c r="D113" s="1605">
        <v>119.9</v>
      </c>
      <c r="E113" s="1605" t="s">
        <v>2207</v>
      </c>
      <c r="F113" s="1605">
        <v>125.7</v>
      </c>
      <c r="G113" s="1605" t="s">
        <v>2219</v>
      </c>
      <c r="H113" s="1605"/>
    </row>
    <row r="114" spans="3:8">
      <c r="C114" s="1605" t="s">
        <v>2194</v>
      </c>
      <c r="D114" s="1605">
        <v>118.8</v>
      </c>
      <c r="E114" s="1605" t="s">
        <v>2208</v>
      </c>
      <c r="F114" s="1605">
        <v>125.4</v>
      </c>
      <c r="G114" s="1605" t="s">
        <v>2220</v>
      </c>
      <c r="H114" s="1605"/>
    </row>
    <row r="115" spans="3:8">
      <c r="C115" s="1605" t="s">
        <v>2185</v>
      </c>
      <c r="D115" s="1605">
        <v>118.2</v>
      </c>
      <c r="E115" s="1605" t="s">
        <v>2209</v>
      </c>
      <c r="F115" s="1605">
        <v>125.1</v>
      </c>
      <c r="G115" s="1605" t="s">
        <v>2221</v>
      </c>
      <c r="H115" s="1605"/>
    </row>
    <row r="116" spans="3:8">
      <c r="C116" s="1605" t="s">
        <v>2195</v>
      </c>
      <c r="D116" s="1606">
        <v>119</v>
      </c>
      <c r="E116" s="1605" t="s">
        <v>2210</v>
      </c>
      <c r="F116" s="1606">
        <v>125</v>
      </c>
      <c r="G116" s="1605" t="s">
        <v>2222</v>
      </c>
      <c r="H116" s="1606"/>
    </row>
    <row r="117" spans="3:8">
      <c r="C117" s="1605" t="s">
        <v>2196</v>
      </c>
      <c r="D117" s="1605">
        <v>119.6</v>
      </c>
      <c r="E117" s="1605" t="s">
        <v>2211</v>
      </c>
      <c r="F117" s="1606">
        <v>126</v>
      </c>
      <c r="G117" s="1605" t="s">
        <v>2223</v>
      </c>
      <c r="H117" s="1606"/>
    </row>
    <row r="118" spans="3:8">
      <c r="D118" s="1608">
        <f>AVERAGE(D106:D117)</f>
        <v>117.60208333333333</v>
      </c>
      <c r="F118" s="1608">
        <f>AVERAGE(F106:F117)</f>
        <v>123.63333333333333</v>
      </c>
      <c r="H118" s="1608">
        <f>AVERAGE(H106:H117)</f>
        <v>129.54999999999998</v>
      </c>
    </row>
    <row r="121" spans="3:8" ht="15.75">
      <c r="C121" s="1527" t="s">
        <v>2225</v>
      </c>
    </row>
    <row r="122" spans="3:8">
      <c r="C122" s="1095" t="s">
        <v>2184</v>
      </c>
      <c r="D122" s="1095" t="s">
        <v>2198</v>
      </c>
      <c r="E122" s="1095" t="s">
        <v>1702</v>
      </c>
      <c r="F122" s="1095" t="s">
        <v>2198</v>
      </c>
      <c r="G122" s="1095" t="s">
        <v>1703</v>
      </c>
      <c r="H122" s="1095" t="s">
        <v>2198</v>
      </c>
    </row>
    <row r="123" spans="3:8">
      <c r="C123" s="1605" t="s">
        <v>2186</v>
      </c>
      <c r="D123" s="1609">
        <v>124.11369390103569</v>
      </c>
      <c r="E123" s="1605" t="s">
        <v>2200</v>
      </c>
      <c r="F123" s="1610">
        <v>133.55189873417731</v>
      </c>
      <c r="G123" s="1605" t="s">
        <v>2212</v>
      </c>
      <c r="H123" s="1610">
        <v>149.3883774453395</v>
      </c>
    </row>
    <row r="124" spans="3:8">
      <c r="C124" s="1605" t="s">
        <v>2187</v>
      </c>
      <c r="D124" s="1609">
        <v>122.84280782508638</v>
      </c>
      <c r="E124" s="1605" t="s">
        <v>2201</v>
      </c>
      <c r="F124" s="1610">
        <v>133.62428078250866</v>
      </c>
      <c r="G124" s="1605" t="s">
        <v>2213</v>
      </c>
      <c r="H124" s="1610">
        <v>149.12497123130069</v>
      </c>
    </row>
    <row r="125" spans="3:8">
      <c r="C125" s="1605" t="s">
        <v>2188</v>
      </c>
      <c r="D125" s="1609">
        <v>123.77790563866519</v>
      </c>
      <c r="E125" s="1605" t="s">
        <v>2202</v>
      </c>
      <c r="F125" s="1610">
        <v>134.72163406214034</v>
      </c>
      <c r="G125" s="1605" t="s">
        <v>2214</v>
      </c>
      <c r="H125" s="1610">
        <v>149.48872266973532</v>
      </c>
    </row>
    <row r="126" spans="3:8">
      <c r="C126" s="1605" t="s">
        <v>2189</v>
      </c>
      <c r="D126" s="1609">
        <v>124.032336018412</v>
      </c>
      <c r="E126" s="1605" t="s">
        <v>2203</v>
      </c>
      <c r="F126" s="1610">
        <v>135.43268124280777</v>
      </c>
      <c r="G126" s="1605" t="s">
        <v>2215</v>
      </c>
      <c r="H126" s="1610">
        <v>149.07238204833149</v>
      </c>
    </row>
    <row r="127" spans="3:8">
      <c r="C127" s="1605" t="s">
        <v>2190</v>
      </c>
      <c r="D127" s="1609">
        <v>124.98446490218642</v>
      </c>
      <c r="E127" s="1605" t="s">
        <v>2204</v>
      </c>
      <c r="F127" s="1610">
        <v>136.19171461449943</v>
      </c>
      <c r="G127" s="1605" t="s">
        <v>2216</v>
      </c>
      <c r="H127" s="1610">
        <v>149.01565017261231</v>
      </c>
    </row>
    <row r="128" spans="3:8">
      <c r="C128" s="1605" t="s">
        <v>2191</v>
      </c>
      <c r="D128" s="1609">
        <v>126.08354430379734</v>
      </c>
      <c r="E128" s="1605" t="s">
        <v>2205</v>
      </c>
      <c r="F128" s="1610">
        <v>137.43222094361334</v>
      </c>
      <c r="G128" s="1605" t="s">
        <v>2217</v>
      </c>
      <c r="H128" s="1610">
        <v>148.49102416570764</v>
      </c>
    </row>
    <row r="129" spans="3:8">
      <c r="C129" s="1605" t="s">
        <v>2192</v>
      </c>
      <c r="D129" s="1609">
        <v>127.03463751438429</v>
      </c>
      <c r="E129" s="1605" t="s">
        <v>2206</v>
      </c>
      <c r="F129" s="1610">
        <v>140.24062140391263</v>
      </c>
      <c r="G129" s="1605" t="s">
        <v>2218</v>
      </c>
      <c r="H129" s="1610">
        <v>149.37054085155347</v>
      </c>
    </row>
    <row r="130" spans="3:8">
      <c r="C130" s="1605" t="s">
        <v>2193</v>
      </c>
      <c r="D130" s="1609">
        <v>128.4848101265824</v>
      </c>
      <c r="E130" s="1605" t="s">
        <v>2207</v>
      </c>
      <c r="F130" s="1610">
        <v>143.0180667433832</v>
      </c>
      <c r="G130" s="1605" t="s">
        <v>2219</v>
      </c>
    </row>
    <row r="131" spans="3:8">
      <c r="C131" s="1605" t="s">
        <v>2194</v>
      </c>
      <c r="D131" s="1609">
        <v>128.3698504027619</v>
      </c>
      <c r="E131" s="1605" t="s">
        <v>2208</v>
      </c>
      <c r="F131" s="1610">
        <v>144.02186421173772</v>
      </c>
      <c r="G131" s="1605" t="s">
        <v>2220</v>
      </c>
    </row>
    <row r="132" spans="3:8">
      <c r="C132" s="1605" t="s">
        <v>2185</v>
      </c>
      <c r="D132" s="1609">
        <v>129.23716915995405</v>
      </c>
      <c r="E132" s="1605" t="s">
        <v>2209</v>
      </c>
      <c r="F132" s="1610">
        <v>144.4714614499425</v>
      </c>
      <c r="G132" s="1605" t="s">
        <v>2221</v>
      </c>
    </row>
    <row r="133" spans="3:8">
      <c r="C133" s="1605" t="s">
        <v>2195</v>
      </c>
      <c r="D133" s="1609">
        <v>130.1887226697354</v>
      </c>
      <c r="E133" s="1605" t="s">
        <v>2210</v>
      </c>
      <c r="F133" s="1610">
        <v>145.32002301495962</v>
      </c>
      <c r="G133" s="1605" t="s">
        <v>2222</v>
      </c>
    </row>
    <row r="134" spans="3:8">
      <c r="C134" s="1605" t="s">
        <v>2196</v>
      </c>
      <c r="D134" s="1609">
        <v>131.43440736478732</v>
      </c>
      <c r="E134" s="1605" t="s">
        <v>2211</v>
      </c>
      <c r="F134" s="1610">
        <v>146.6726121979286</v>
      </c>
      <c r="G134" s="1605" t="s">
        <v>2223</v>
      </c>
    </row>
    <row r="135" spans="3:8">
      <c r="D135" s="1608">
        <f>AVERAGE(D123:D134)</f>
        <v>126.71536248561569</v>
      </c>
      <c r="F135" s="1608">
        <f>AVERAGE(F123:F134)</f>
        <v>139.55825661680095</v>
      </c>
      <c r="H135" s="1608">
        <f>AVERAGE(H123:H134)</f>
        <v>149.13595265494004</v>
      </c>
    </row>
    <row r="138" spans="3:8" ht="15.75">
      <c r="C138" s="1527" t="s">
        <v>2227</v>
      </c>
      <c r="E138" s="1603" t="s">
        <v>2228</v>
      </c>
    </row>
    <row r="139" spans="3:8">
      <c r="C139" s="1095" t="s">
        <v>2080</v>
      </c>
      <c r="D139" s="1095" t="s">
        <v>2229</v>
      </c>
      <c r="E139" s="1095" t="s">
        <v>2226</v>
      </c>
    </row>
    <row r="140" spans="3:8">
      <c r="C140" s="506" t="s">
        <v>2184</v>
      </c>
      <c r="D140" s="1610">
        <f>(60%*D135)+(40%*D118)</f>
        <v>123.07005082470275</v>
      </c>
    </row>
    <row r="141" spans="3:8">
      <c r="C141" s="506" t="s">
        <v>1702</v>
      </c>
      <c r="D141" s="1610">
        <f>(60%*F135)+(40%*F118)</f>
        <v>133.18828730341392</v>
      </c>
      <c r="E141" s="1508">
        <f>(D141-D140)/D140</f>
        <v>8.2215262047167573E-2</v>
      </c>
    </row>
    <row r="142" spans="3:8">
      <c r="C142" s="506" t="s">
        <v>1703</v>
      </c>
      <c r="D142" s="1610">
        <f>(60%*H135)+(40%*H118)</f>
        <v>141.30157159296402</v>
      </c>
      <c r="E142" s="1508">
        <f>(D142-D141)/D141</f>
        <v>6.0915899241705672E-2</v>
      </c>
    </row>
  </sheetData>
  <mergeCells count="51">
    <mergeCell ref="P7:P8"/>
    <mergeCell ref="D48:I48"/>
    <mergeCell ref="AJ38:AL38"/>
    <mergeCell ref="X48:AB48"/>
    <mergeCell ref="R48:W48"/>
    <mergeCell ref="Q7:Q8"/>
    <mergeCell ref="J7:J8"/>
    <mergeCell ref="K7:K8"/>
    <mergeCell ref="L7:L8"/>
    <mergeCell ref="M7:M8"/>
    <mergeCell ref="N7:N8"/>
    <mergeCell ref="O7:O8"/>
    <mergeCell ref="AA7:AA8"/>
    <mergeCell ref="AB7:AB8"/>
    <mergeCell ref="C7:C8"/>
    <mergeCell ref="D7:D8"/>
    <mergeCell ref="F7:F8"/>
    <mergeCell ref="G7:G8"/>
    <mergeCell ref="I7:I8"/>
    <mergeCell ref="H7:H8"/>
    <mergeCell ref="E7:E8"/>
    <mergeCell ref="C4:I4"/>
    <mergeCell ref="Q4:W4"/>
    <mergeCell ref="X4:AD4"/>
    <mergeCell ref="Q5:S5"/>
    <mergeCell ref="T5:V5"/>
    <mergeCell ref="C5:E5"/>
    <mergeCell ref="F5:H5"/>
    <mergeCell ref="J4:P4"/>
    <mergeCell ref="J5:L5"/>
    <mergeCell ref="M5:O5"/>
    <mergeCell ref="I5:I6"/>
    <mergeCell ref="P5:P6"/>
    <mergeCell ref="W5:W6"/>
    <mergeCell ref="AD5:AD6"/>
    <mergeCell ref="A4:A6"/>
    <mergeCell ref="B4:B6"/>
    <mergeCell ref="B3:AA3"/>
    <mergeCell ref="AD7:AD8"/>
    <mergeCell ref="R7:R8"/>
    <mergeCell ref="T7:T8"/>
    <mergeCell ref="U7:U8"/>
    <mergeCell ref="W7:W8"/>
    <mergeCell ref="X7:X8"/>
    <mergeCell ref="Y7:Y8"/>
    <mergeCell ref="V7:V8"/>
    <mergeCell ref="S7:S8"/>
    <mergeCell ref="X5:Z5"/>
    <mergeCell ref="AA5:AC5"/>
    <mergeCell ref="AC7:AC8"/>
    <mergeCell ref="Z7:Z8"/>
  </mergeCells>
  <phoneticPr fontId="0" type="noConversion"/>
  <printOptions horizontalCentered="1" gridLines="1"/>
  <pageMargins left="0" right="0" top="0.19685039370078741" bottom="0" header="0" footer="0"/>
  <pageSetup paperSize="9" scale="78" orientation="landscape" r:id="rId1"/>
  <headerFooter alignWithMargins="0">
    <oddFooter xml:space="preserve">&amp;R&amp;"Arial,Bold"&amp;12
OERC FORM-&amp;A
&amp;"Arial,Regular"&amp;10
</oddFooter>
  </headerFooter>
  <rowBreaks count="1" manualBreakCount="1">
    <brk id="41" max="29" man="1"/>
  </rowBreaks>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4">
    <pageSetUpPr fitToPage="1"/>
  </sheetPr>
  <dimension ref="A1:J32"/>
  <sheetViews>
    <sheetView view="pageBreakPreview" zoomScaleNormal="100" zoomScaleSheetLayoutView="100" workbookViewId="0">
      <selection activeCell="F19" sqref="F19"/>
    </sheetView>
  </sheetViews>
  <sheetFormatPr defaultRowHeight="12.75"/>
  <cols>
    <col min="1" max="1" width="10.28515625" customWidth="1"/>
    <col min="2" max="2" width="34.42578125" customWidth="1"/>
    <col min="3" max="3" width="13.28515625" customWidth="1"/>
    <col min="4" max="4" width="13.28515625" hidden="1" customWidth="1"/>
    <col min="5" max="5" width="12.42578125" bestFit="1" customWidth="1"/>
    <col min="6" max="6" width="15.85546875" customWidth="1"/>
    <col min="7" max="7" width="13.140625" customWidth="1"/>
    <col min="11" max="11" width="39.85546875" customWidth="1"/>
  </cols>
  <sheetData>
    <row r="1" spans="1:9">
      <c r="A1" s="20" t="s">
        <v>2</v>
      </c>
      <c r="E1" s="3" t="s">
        <v>0</v>
      </c>
      <c r="F1" s="2" t="s">
        <v>2440</v>
      </c>
    </row>
    <row r="2" spans="1:9">
      <c r="A2" s="67" t="s">
        <v>948</v>
      </c>
      <c r="B2" s="26"/>
      <c r="C2" s="26"/>
      <c r="D2" s="26"/>
      <c r="E2" s="26"/>
      <c r="F2" s="26"/>
    </row>
    <row r="3" spans="1:9">
      <c r="F3" s="2" t="s">
        <v>526</v>
      </c>
    </row>
    <row r="4" spans="1:9" ht="25.5">
      <c r="A4" s="1611" t="s">
        <v>2126</v>
      </c>
      <c r="B4" s="1611" t="s">
        <v>2398</v>
      </c>
      <c r="C4" s="1612" t="s">
        <v>1952</v>
      </c>
      <c r="D4" s="1612" t="s">
        <v>949</v>
      </c>
      <c r="E4" s="1612" t="s">
        <v>2121</v>
      </c>
      <c r="F4" s="1612" t="s">
        <v>2399</v>
      </c>
    </row>
    <row r="5" spans="1:9" ht="18" customHeight="1" thickTop="1">
      <c r="A5" s="81">
        <v>1</v>
      </c>
      <c r="B5" s="81" t="s">
        <v>950</v>
      </c>
      <c r="C5" s="115">
        <v>371.46893920000002</v>
      </c>
      <c r="D5" s="115">
        <f>132.45</f>
        <v>132.44999999999999</v>
      </c>
      <c r="E5" s="115">
        <v>420</v>
      </c>
      <c r="F5" s="115">
        <v>600</v>
      </c>
      <c r="G5" s="1613">
        <f>D5*2</f>
        <v>264.89999999999998</v>
      </c>
      <c r="H5" s="1062">
        <v>305.89</v>
      </c>
      <c r="I5" s="7">
        <f>H5*1.07</f>
        <v>327.3023</v>
      </c>
    </row>
    <row r="6" spans="1:9" ht="18" customHeight="1">
      <c r="A6" s="23">
        <v>2</v>
      </c>
      <c r="B6" s="23" t="s">
        <v>951</v>
      </c>
      <c r="C6" s="36">
        <v>1039.4728270999999</v>
      </c>
      <c r="D6" s="36">
        <v>568.20000000000005</v>
      </c>
      <c r="E6" s="36">
        <f>E16-E5-E7-E8-E11-E13-E14-E15</f>
        <v>7716.6779583432035</v>
      </c>
      <c r="F6" s="36">
        <f ca="1">F16-F5-F7-F8-F11-F13-F14-F15</f>
        <v>11554.770248978763</v>
      </c>
      <c r="G6" s="1613">
        <f t="shared" ref="G6:G14" si="0">D6*2</f>
        <v>1136.4000000000001</v>
      </c>
      <c r="H6">
        <v>1150.52</v>
      </c>
      <c r="I6" s="7">
        <f t="shared" ref="I6:I14" si="1">H6*1.07</f>
        <v>1231.0563999999999</v>
      </c>
    </row>
    <row r="7" spans="1:9" ht="18" customHeight="1">
      <c r="A7" s="23"/>
      <c r="B7" s="23" t="s">
        <v>952</v>
      </c>
      <c r="C7" s="36">
        <v>3140.4168551999996</v>
      </c>
      <c r="D7" s="36">
        <f>2743.37</f>
        <v>2743.37</v>
      </c>
      <c r="E7" s="36">
        <f>C31</f>
        <v>5583.7799800000003</v>
      </c>
      <c r="F7" s="36">
        <f>C31*1.1</f>
        <v>6142.1579780000011</v>
      </c>
      <c r="G7" s="1613">
        <f t="shared" si="0"/>
        <v>5486.74</v>
      </c>
      <c r="H7">
        <v>5498.02</v>
      </c>
      <c r="I7" s="7">
        <f t="shared" si="1"/>
        <v>5882.8814000000011</v>
      </c>
    </row>
    <row r="8" spans="1:9" ht="18" customHeight="1">
      <c r="A8" s="23"/>
      <c r="B8" s="23" t="s">
        <v>953</v>
      </c>
      <c r="C8" s="36">
        <v>6850.3457921999998</v>
      </c>
      <c r="D8" s="36">
        <v>6796.99</v>
      </c>
      <c r="E8" s="36">
        <f>G31</f>
        <v>12140.146270000001</v>
      </c>
      <c r="F8" s="36">
        <f>G31*1.1</f>
        <v>13354.160897000002</v>
      </c>
      <c r="G8" s="1613">
        <f t="shared" si="0"/>
        <v>13593.98</v>
      </c>
      <c r="H8">
        <v>13612</v>
      </c>
      <c r="I8" s="7">
        <f t="shared" si="1"/>
        <v>14564.84</v>
      </c>
    </row>
    <row r="9" spans="1:9" ht="18" customHeight="1">
      <c r="A9" s="23"/>
      <c r="B9" s="23" t="s">
        <v>954</v>
      </c>
      <c r="C9" s="36"/>
      <c r="D9" s="36"/>
      <c r="E9" s="36"/>
      <c r="F9" s="36"/>
      <c r="G9" s="1613"/>
      <c r="I9" s="7"/>
    </row>
    <row r="10" spans="1:9" ht="18" customHeight="1">
      <c r="A10" s="23">
        <v>3</v>
      </c>
      <c r="B10" s="23" t="s">
        <v>955</v>
      </c>
      <c r="C10" s="36"/>
      <c r="D10" s="36"/>
      <c r="E10" s="36"/>
      <c r="F10" s="36"/>
      <c r="G10" s="1613"/>
      <c r="I10" s="7"/>
    </row>
    <row r="11" spans="1:9" ht="18" customHeight="1">
      <c r="A11" s="23">
        <v>4</v>
      </c>
      <c r="B11" s="23" t="s">
        <v>956</v>
      </c>
      <c r="C11" s="36">
        <f>11.23531843*100</f>
        <v>1123.531843</v>
      </c>
      <c r="D11" s="36">
        <v>255.13</v>
      </c>
      <c r="E11" s="36">
        <f>1098</f>
        <v>1098</v>
      </c>
      <c r="F11" s="36">
        <v>800</v>
      </c>
      <c r="G11" s="1613">
        <f t="shared" si="0"/>
        <v>510.26</v>
      </c>
      <c r="H11">
        <v>515.37</v>
      </c>
      <c r="I11" s="7">
        <f t="shared" si="1"/>
        <v>551.44590000000005</v>
      </c>
    </row>
    <row r="12" spans="1:9" ht="18" customHeight="1">
      <c r="A12" s="23">
        <v>5</v>
      </c>
      <c r="B12" s="23" t="s">
        <v>957</v>
      </c>
      <c r="C12" s="36"/>
      <c r="D12" s="36"/>
      <c r="E12" s="36"/>
      <c r="F12" s="36"/>
      <c r="G12" s="1613"/>
      <c r="I12" s="7">
        <f t="shared" si="1"/>
        <v>0</v>
      </c>
    </row>
    <row r="13" spans="1:9" ht="18" customHeight="1">
      <c r="A13" s="23">
        <v>6</v>
      </c>
      <c r="B13" s="23" t="s">
        <v>958</v>
      </c>
      <c r="C13" s="36">
        <f>1320.810925-1123.531843</f>
        <v>197.27908200000002</v>
      </c>
      <c r="D13" s="36">
        <f>470.71</f>
        <v>470.71</v>
      </c>
      <c r="E13" s="36">
        <f>1850</f>
        <v>1850</v>
      </c>
      <c r="F13" s="36">
        <v>1400</v>
      </c>
      <c r="G13" s="1613">
        <f t="shared" si="0"/>
        <v>941.42</v>
      </c>
      <c r="H13">
        <v>944.19</v>
      </c>
      <c r="I13" s="7">
        <f t="shared" si="1"/>
        <v>1010.2833000000002</v>
      </c>
    </row>
    <row r="14" spans="1:9" ht="18" customHeight="1">
      <c r="A14" s="23">
        <v>7</v>
      </c>
      <c r="B14" s="23" t="s">
        <v>959</v>
      </c>
      <c r="C14" s="36">
        <v>982.91521249999948</v>
      </c>
      <c r="D14" s="36">
        <v>340.15</v>
      </c>
      <c r="E14" s="36">
        <f>1427</f>
        <v>1427</v>
      </c>
      <c r="F14" s="36">
        <v>550</v>
      </c>
      <c r="G14" s="1613">
        <f t="shared" si="0"/>
        <v>680.3</v>
      </c>
      <c r="H14" s="1062">
        <v>683.56</v>
      </c>
      <c r="I14" s="7">
        <f t="shared" si="1"/>
        <v>731.40919999999994</v>
      </c>
    </row>
    <row r="15" spans="1:9" ht="53.25" customHeight="1">
      <c r="A15" s="1614">
        <v>8</v>
      </c>
      <c r="B15" s="1615" t="s">
        <v>2125</v>
      </c>
      <c r="C15" s="123"/>
      <c r="D15" s="123"/>
      <c r="E15" s="123"/>
      <c r="F15" s="123">
        <v>200</v>
      </c>
      <c r="G15" s="452"/>
      <c r="H15" s="12">
        <f>SUM(H5:H14)</f>
        <v>22709.55</v>
      </c>
      <c r="I15" s="12">
        <f>SUM(I5:I14)</f>
        <v>24299.218499999995</v>
      </c>
    </row>
    <row r="16" spans="1:9" ht="18" customHeight="1" thickBot="1">
      <c r="A16" s="1611"/>
      <c r="B16" s="1616" t="s">
        <v>231</v>
      </c>
      <c r="C16" s="114">
        <f>SUM(C5:C14)</f>
        <v>13705.430551199999</v>
      </c>
      <c r="D16" s="114">
        <f>SUM(D5:D14)</f>
        <v>11306.999999999998</v>
      </c>
      <c r="E16" s="114">
        <f>DEPCAL!G16*5.4%+DEPCAL!P35*5.4%</f>
        <v>30235.604208343204</v>
      </c>
      <c r="F16" s="114">
        <f ca="1">DEPCAL!H16*5.4%+DEPCAL!Q35*5.4%</f>
        <v>34601.089123978767</v>
      </c>
      <c r="G16" s="1613"/>
    </row>
    <row r="17" spans="1:10" ht="13.5" thickTop="1">
      <c r="C17" s="7"/>
      <c r="D17" s="7"/>
      <c r="E17" s="7"/>
      <c r="F17" s="7"/>
      <c r="G17" s="1617"/>
      <c r="H17" s="7"/>
    </row>
    <row r="18" spans="1:10">
      <c r="C18" s="1583"/>
      <c r="E18" s="7"/>
      <c r="F18" s="7"/>
    </row>
    <row r="19" spans="1:10">
      <c r="A19" t="s">
        <v>960</v>
      </c>
      <c r="E19" s="7"/>
    </row>
    <row r="20" spans="1:10">
      <c r="A20" t="s">
        <v>30</v>
      </c>
      <c r="E20" s="7"/>
    </row>
    <row r="21" spans="1:10">
      <c r="A21" t="s">
        <v>961</v>
      </c>
      <c r="B21" t="s">
        <v>962</v>
      </c>
      <c r="C21" t="s">
        <v>963</v>
      </c>
      <c r="E21" t="s">
        <v>964</v>
      </c>
    </row>
    <row r="22" spans="1:10">
      <c r="A22" t="s">
        <v>965</v>
      </c>
      <c r="C22" s="7">
        <f>1359.88425</f>
        <v>1359.8842500000001</v>
      </c>
      <c r="E22" s="7"/>
    </row>
    <row r="23" spans="1:10">
      <c r="A23" t="s">
        <v>966</v>
      </c>
      <c r="B23" t="s">
        <v>967</v>
      </c>
      <c r="C23" s="7">
        <v>1121.6744900000001</v>
      </c>
      <c r="F23" t="s">
        <v>967</v>
      </c>
      <c r="G23" s="7">
        <f>1348.94</f>
        <v>1348.94</v>
      </c>
      <c r="H23" t="s">
        <v>968</v>
      </c>
    </row>
    <row r="24" spans="1:10">
      <c r="A24" t="s">
        <v>969</v>
      </c>
      <c r="B24" t="s">
        <v>970</v>
      </c>
      <c r="C24" s="7">
        <f>925.03671</f>
        <v>925.03670999999997</v>
      </c>
      <c r="F24" t="s">
        <v>971</v>
      </c>
      <c r="G24" s="7">
        <f>1744.96052</f>
        <v>1744.9605200000001</v>
      </c>
    </row>
    <row r="25" spans="1:10">
      <c r="A25" t="s">
        <v>972</v>
      </c>
      <c r="B25" t="s">
        <v>973</v>
      </c>
      <c r="C25" s="7">
        <f>1015.79634</f>
        <v>1015.79634</v>
      </c>
      <c r="F25" t="s">
        <v>974</v>
      </c>
      <c r="G25" s="7">
        <f>1844.4547</f>
        <v>1844.4547</v>
      </c>
    </row>
    <row r="26" spans="1:10">
      <c r="A26" t="s">
        <v>975</v>
      </c>
      <c r="B26" t="s">
        <v>976</v>
      </c>
      <c r="C26" s="7">
        <f>1161.38819</f>
        <v>1161.3881899999999</v>
      </c>
      <c r="F26" t="s">
        <v>977</v>
      </c>
      <c r="G26" s="7">
        <f>1044.92176</f>
        <v>1044.9217599999999</v>
      </c>
    </row>
    <row r="27" spans="1:10">
      <c r="F27" t="s">
        <v>978</v>
      </c>
      <c r="G27" s="7">
        <f>636.65385</f>
        <v>636.65385000000003</v>
      </c>
    </row>
    <row r="28" spans="1:10">
      <c r="F28" t="s">
        <v>979</v>
      </c>
      <c r="G28" s="7">
        <f>2143.77923</f>
        <v>2143.7792300000001</v>
      </c>
    </row>
    <row r="29" spans="1:10">
      <c r="F29" t="s">
        <v>970</v>
      </c>
      <c r="G29" s="7">
        <f>1855.33048</f>
        <v>1855.3304800000001</v>
      </c>
    </row>
    <row r="30" spans="1:10">
      <c r="F30" t="s">
        <v>980</v>
      </c>
      <c r="G30" s="7">
        <f>1521.10573</f>
        <v>1521.10573</v>
      </c>
    </row>
    <row r="31" spans="1:10">
      <c r="C31" s="7">
        <f>SUM(C22:C30)</f>
        <v>5583.7799800000003</v>
      </c>
      <c r="G31" s="7">
        <f>SUM(G22:G30)</f>
        <v>12140.146270000001</v>
      </c>
      <c r="I31">
        <f>C31+G31</f>
        <v>17723.92625</v>
      </c>
      <c r="J31">
        <f>I31*1.1</f>
        <v>19496.318875000001</v>
      </c>
    </row>
    <row r="32" spans="1:10">
      <c r="I32" s="9">
        <f>I31/12</f>
        <v>1476.9938541666668</v>
      </c>
    </row>
  </sheetData>
  <phoneticPr fontId="0" type="noConversion"/>
  <printOptions horizontalCentered="1" gridLines="1"/>
  <pageMargins left="0.74803149606299213" right="0.51181102362204722" top="1.7322834645669292" bottom="0.98425196850393704" header="0.51181102362204722" footer="0.51181102362204722"/>
  <pageSetup paperSize="9" orientation="portrait" r:id="rId1"/>
  <headerFooter alignWithMargins="0">
    <oddFooter xml:space="preserve">&amp;R&amp;"Arial,Bold"&amp;12OERC FORM-&amp;A&amp;"Arial,Regular"&amp;10
</oddFooter>
  </headerFooter>
  <legacy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46"/>
  <dimension ref="A1:Q168"/>
  <sheetViews>
    <sheetView view="pageBreakPreview" topLeftCell="B50" zoomScaleSheetLayoutView="100" workbookViewId="0">
      <selection activeCell="B66" sqref="A66:XFD66"/>
    </sheetView>
  </sheetViews>
  <sheetFormatPr defaultRowHeight="12.75"/>
  <cols>
    <col min="1" max="1" width="9.28515625" hidden="1" customWidth="1"/>
    <col min="2" max="2" width="33.7109375" customWidth="1"/>
    <col min="3" max="3" width="10.85546875" hidden="1" customWidth="1"/>
    <col min="4" max="5" width="13.85546875" customWidth="1"/>
    <col min="6" max="6" width="11.140625" bestFit="1" customWidth="1"/>
    <col min="7" max="7" width="14.28515625" bestFit="1" customWidth="1"/>
    <col min="8" max="8" width="9.85546875" customWidth="1"/>
    <col min="9" max="9" width="49.42578125" customWidth="1"/>
    <col min="10" max="10" width="10.5703125" bestFit="1" customWidth="1"/>
    <col min="11" max="11" width="13.140625" customWidth="1"/>
    <col min="12" max="12" width="12" bestFit="1" customWidth="1"/>
    <col min="13" max="13" width="5.7109375" customWidth="1"/>
    <col min="14" max="14" width="41.85546875" bestFit="1" customWidth="1"/>
    <col min="15" max="15" width="12" customWidth="1"/>
    <col min="16" max="16" width="11.140625" customWidth="1"/>
    <col min="17" max="17" width="13" bestFit="1" customWidth="1"/>
  </cols>
  <sheetData>
    <row r="1" spans="1:9">
      <c r="B1" s="20" t="s">
        <v>2</v>
      </c>
      <c r="F1" s="3" t="s">
        <v>0</v>
      </c>
      <c r="G1" s="2" t="s">
        <v>981</v>
      </c>
    </row>
    <row r="3" spans="1:9">
      <c r="A3" s="67" t="s">
        <v>982</v>
      </c>
      <c r="B3" s="67"/>
      <c r="C3" s="67"/>
      <c r="D3" s="67"/>
      <c r="E3" s="67"/>
      <c r="F3" s="67"/>
      <c r="G3" s="67"/>
    </row>
    <row r="4" spans="1:9">
      <c r="G4" s="2" t="s">
        <v>983</v>
      </c>
    </row>
    <row r="5" spans="1:9" ht="33.75">
      <c r="A5" s="1619" t="s">
        <v>854</v>
      </c>
      <c r="B5" s="1884" t="s">
        <v>791</v>
      </c>
      <c r="C5" s="1382" t="s">
        <v>984</v>
      </c>
      <c r="D5" s="1620" t="s">
        <v>984</v>
      </c>
      <c r="E5" s="1620" t="s">
        <v>985</v>
      </c>
      <c r="F5" s="1620" t="s">
        <v>160</v>
      </c>
      <c r="G5" s="813" t="s">
        <v>986</v>
      </c>
    </row>
    <row r="6" spans="1:9">
      <c r="A6" s="28"/>
      <c r="B6" s="1885"/>
      <c r="C6" s="1621" t="s">
        <v>987</v>
      </c>
      <c r="D6" s="1622" t="s">
        <v>850</v>
      </c>
      <c r="E6" s="1622" t="s">
        <v>851</v>
      </c>
      <c r="F6" s="1622" t="s">
        <v>851</v>
      </c>
      <c r="G6" s="1622" t="s">
        <v>1959</v>
      </c>
    </row>
    <row r="7" spans="1:9">
      <c r="A7" s="23"/>
      <c r="B7" s="28" t="s">
        <v>988</v>
      </c>
      <c r="C7" s="28"/>
      <c r="D7" s="35"/>
      <c r="E7" s="1623"/>
      <c r="F7" s="1623"/>
      <c r="G7" s="35"/>
    </row>
    <row r="8" spans="1:9">
      <c r="A8" s="23"/>
      <c r="B8" s="23" t="s">
        <v>989</v>
      </c>
      <c r="C8" s="36">
        <v>0</v>
      </c>
      <c r="D8" s="36">
        <v>225.44385999999997</v>
      </c>
      <c r="E8" s="36">
        <v>190.65339979999999</v>
      </c>
      <c r="F8" s="36">
        <f>E8</f>
        <v>190.65339979999999</v>
      </c>
      <c r="G8" s="36">
        <v>190</v>
      </c>
      <c r="H8" s="7"/>
    </row>
    <row r="9" spans="1:9">
      <c r="A9" s="23"/>
      <c r="B9" s="23" t="s">
        <v>990</v>
      </c>
      <c r="C9" s="36"/>
      <c r="D9" s="36"/>
      <c r="E9" s="36"/>
      <c r="F9" s="36">
        <v>0</v>
      </c>
      <c r="G9" s="354">
        <v>0</v>
      </c>
      <c r="H9" s="7"/>
    </row>
    <row r="10" spans="1:9">
      <c r="A10" s="23"/>
      <c r="B10" s="23" t="s">
        <v>991</v>
      </c>
      <c r="C10" s="36">
        <v>10.68</v>
      </c>
      <c r="D10" s="36">
        <v>363.81680600000004</v>
      </c>
      <c r="E10" s="36">
        <v>274</v>
      </c>
      <c r="F10" s="36">
        <v>452</v>
      </c>
      <c r="G10" s="36">
        <f>F10*1.07</f>
        <v>483.64000000000004</v>
      </c>
      <c r="H10" s="7"/>
    </row>
    <row r="11" spans="1:9">
      <c r="A11" s="23"/>
      <c r="B11" s="23" t="s">
        <v>992</v>
      </c>
      <c r="C11" s="36">
        <v>11.51</v>
      </c>
      <c r="D11" s="36">
        <v>18.2965385</v>
      </c>
      <c r="E11" s="36">
        <v>0.53490000000000004</v>
      </c>
      <c r="F11" s="36">
        <v>18.7</v>
      </c>
      <c r="G11" s="36">
        <f>F11*1.07</f>
        <v>20.009</v>
      </c>
      <c r="H11" s="7"/>
      <c r="I11" s="7"/>
    </row>
    <row r="12" spans="1:9">
      <c r="A12" s="23"/>
      <c r="B12" s="23" t="s">
        <v>993</v>
      </c>
      <c r="C12" s="36">
        <v>0.35</v>
      </c>
      <c r="D12" s="36">
        <v>630.52973999999995</v>
      </c>
      <c r="E12" s="36">
        <v>115.99999999999999</v>
      </c>
      <c r="F12" s="36">
        <v>650.65</v>
      </c>
      <c r="G12" s="36">
        <f>F12*1.07</f>
        <v>696.19550000000004</v>
      </c>
      <c r="H12" s="7"/>
      <c r="I12" s="7"/>
    </row>
    <row r="13" spans="1:9">
      <c r="A13" s="23"/>
      <c r="B13" s="23" t="s">
        <v>994</v>
      </c>
      <c r="C13" s="36"/>
      <c r="D13" s="36"/>
      <c r="E13" s="1624"/>
      <c r="F13" s="1624"/>
      <c r="G13" s="36"/>
      <c r="H13" s="7"/>
    </row>
    <row r="14" spans="1:9">
      <c r="A14" s="23"/>
      <c r="B14" s="28" t="s">
        <v>995</v>
      </c>
      <c r="C14" s="37">
        <f>SUM(C8:C13)</f>
        <v>22.54</v>
      </c>
      <c r="D14" s="37">
        <f>SUM(D8:D13)</f>
        <v>1238.0869444999998</v>
      </c>
      <c r="E14" s="37">
        <f>SUM(E8:E13)</f>
        <v>581.18829979999998</v>
      </c>
      <c r="F14" s="1625">
        <f>SUM(F8:F13)</f>
        <v>1312.0033997999999</v>
      </c>
      <c r="G14" s="37">
        <f>SUM(G8:G13)</f>
        <v>1389.8445000000002</v>
      </c>
      <c r="H14" s="7"/>
    </row>
    <row r="15" spans="1:9">
      <c r="A15" s="23"/>
      <c r="B15" s="28" t="s">
        <v>996</v>
      </c>
      <c r="C15" s="36"/>
      <c r="D15" s="36"/>
      <c r="E15" s="1624"/>
      <c r="F15" s="1624"/>
      <c r="G15" s="36"/>
      <c r="H15" s="7"/>
    </row>
    <row r="16" spans="1:9">
      <c r="A16" s="23"/>
      <c r="B16" s="23" t="s">
        <v>997</v>
      </c>
      <c r="C16" s="36">
        <v>23.63</v>
      </c>
      <c r="D16" s="36">
        <v>142.43262870000001</v>
      </c>
      <c r="E16" s="36">
        <v>69</v>
      </c>
      <c r="F16" s="36">
        <v>152</v>
      </c>
      <c r="G16" s="36">
        <f>F16*1.07</f>
        <v>162.64000000000001</v>
      </c>
      <c r="H16" s="7"/>
    </row>
    <row r="17" spans="1:11">
      <c r="A17" s="23"/>
      <c r="B17" s="23" t="s">
        <v>998</v>
      </c>
      <c r="C17" s="36">
        <v>4.07</v>
      </c>
      <c r="D17" s="36">
        <v>5.5758230000000006</v>
      </c>
      <c r="E17" s="36">
        <v>13.973401999999998</v>
      </c>
      <c r="F17" s="36">
        <v>28</v>
      </c>
      <c r="G17" s="36">
        <f>F17*1.07</f>
        <v>29.96</v>
      </c>
      <c r="H17" s="7"/>
      <c r="I17" s="7"/>
    </row>
    <row r="18" spans="1:11">
      <c r="A18" s="23"/>
      <c r="B18" s="23" t="s">
        <v>999</v>
      </c>
      <c r="C18" s="36"/>
      <c r="D18" s="36"/>
      <c r="E18" s="36"/>
      <c r="F18" s="36"/>
      <c r="G18" s="36"/>
      <c r="H18" s="7"/>
    </row>
    <row r="19" spans="1:11">
      <c r="A19" s="23"/>
      <c r="B19" s="23" t="s">
        <v>1000</v>
      </c>
      <c r="C19" s="36">
        <v>0</v>
      </c>
      <c r="D19" s="36"/>
      <c r="E19" s="36"/>
      <c r="F19" s="36"/>
      <c r="G19" s="36"/>
      <c r="H19" s="7"/>
    </row>
    <row r="20" spans="1:11">
      <c r="A20" s="23"/>
      <c r="B20" s="23" t="s">
        <v>1001</v>
      </c>
      <c r="C20" s="36"/>
      <c r="D20" s="36"/>
      <c r="E20" s="1624"/>
      <c r="F20" s="1624"/>
      <c r="G20" s="36"/>
      <c r="H20" s="7"/>
    </row>
    <row r="21" spans="1:11">
      <c r="A21" s="23"/>
      <c r="B21" s="28" t="s">
        <v>995</v>
      </c>
      <c r="C21" s="37">
        <f>SUM(C16:C20)</f>
        <v>27.7</v>
      </c>
      <c r="D21" s="37">
        <f>SUM(D16:D20)</f>
        <v>148.00845170000002</v>
      </c>
      <c r="E21" s="37">
        <f>SUM(E16:E20)</f>
        <v>82.973401999999993</v>
      </c>
      <c r="F21" s="1625">
        <f>SUM(F16:F20)</f>
        <v>180</v>
      </c>
      <c r="G21" s="37">
        <f>SUM(G16:G20)</f>
        <v>192.60000000000002</v>
      </c>
      <c r="H21" s="7"/>
    </row>
    <row r="22" spans="1:11">
      <c r="A22" s="23"/>
      <c r="B22" s="28" t="s">
        <v>1002</v>
      </c>
      <c r="C22" s="36"/>
      <c r="D22" s="36"/>
      <c r="E22" s="1624"/>
      <c r="F22" s="1624"/>
      <c r="G22" s="36"/>
      <c r="H22" s="7"/>
    </row>
    <row r="23" spans="1:11">
      <c r="A23" s="23"/>
      <c r="B23" s="23" t="s">
        <v>1003</v>
      </c>
      <c r="C23" s="36">
        <v>5</v>
      </c>
      <c r="D23" s="36">
        <v>1746.88843</v>
      </c>
      <c r="E23" s="36">
        <v>40</v>
      </c>
      <c r="F23" s="36">
        <f>80</f>
        <v>80</v>
      </c>
      <c r="G23" s="36">
        <f>F23*1.07</f>
        <v>85.600000000000009</v>
      </c>
      <c r="H23" s="7"/>
      <c r="I23" s="7"/>
    </row>
    <row r="24" spans="1:11">
      <c r="A24" s="23"/>
      <c r="B24" s="502" t="s">
        <v>2169</v>
      </c>
      <c r="C24" s="36">
        <v>0.37</v>
      </c>
      <c r="D24" s="36">
        <v>864.14493829999992</v>
      </c>
      <c r="E24" s="36">
        <v>457.31508170000001</v>
      </c>
      <c r="F24" s="36">
        <v>752</v>
      </c>
      <c r="G24" s="36">
        <f>F24*1.07</f>
        <v>804.6400000000001</v>
      </c>
      <c r="H24" s="7"/>
      <c r="I24" s="7"/>
    </row>
    <row r="25" spans="1:11">
      <c r="A25" s="23"/>
      <c r="B25" s="502" t="s">
        <v>2146</v>
      </c>
      <c r="C25" s="36"/>
      <c r="D25" s="36">
        <v>729.56396400000006</v>
      </c>
      <c r="E25" s="1624">
        <v>2463.3755787</v>
      </c>
      <c r="F25" s="36">
        <v>4975</v>
      </c>
      <c r="G25" s="36">
        <f t="shared" ref="G25:G26" si="0">F25*1.07</f>
        <v>5323.25</v>
      </c>
      <c r="H25" s="7"/>
      <c r="J25" s="7"/>
      <c r="K25" s="7"/>
    </row>
    <row r="26" spans="1:11">
      <c r="A26" s="23"/>
      <c r="B26" s="23" t="s">
        <v>1004</v>
      </c>
      <c r="C26" s="36">
        <v>0</v>
      </c>
      <c r="D26" s="36">
        <v>168.08166</v>
      </c>
      <c r="E26" s="1624">
        <v>42</v>
      </c>
      <c r="F26" s="36">
        <v>182</v>
      </c>
      <c r="G26" s="36">
        <f t="shared" si="0"/>
        <v>194.74</v>
      </c>
      <c r="H26" s="7"/>
    </row>
    <row r="27" spans="1:11">
      <c r="A27" s="23"/>
      <c r="B27" s="502" t="s">
        <v>2167</v>
      </c>
      <c r="C27" s="36"/>
      <c r="D27" s="36">
        <v>442.55178219999999</v>
      </c>
      <c r="E27" s="36">
        <v>127.84902</v>
      </c>
      <c r="F27" s="36">
        <v>451</v>
      </c>
      <c r="G27" s="36">
        <f>F27*1.07</f>
        <v>482.57000000000005</v>
      </c>
      <c r="H27" s="7"/>
    </row>
    <row r="28" spans="1:11">
      <c r="A28" s="23"/>
      <c r="B28" s="28" t="s">
        <v>995</v>
      </c>
      <c r="C28" s="37">
        <f>SUM(C23:C27)</f>
        <v>5.37</v>
      </c>
      <c r="D28" s="37">
        <f>SUM(D23:D27)</f>
        <v>3951.2307744999998</v>
      </c>
      <c r="E28" s="37">
        <f>SUM(E23:E27)</f>
        <v>3130.5396804000002</v>
      </c>
      <c r="F28" s="1625">
        <f>SUM(F23:F27)</f>
        <v>6440</v>
      </c>
      <c r="G28" s="37">
        <f>SUM(G23:G27)</f>
        <v>6890.7999999999993</v>
      </c>
      <c r="H28" s="7"/>
    </row>
    <row r="29" spans="1:11">
      <c r="A29" s="23"/>
      <c r="B29" s="28" t="s">
        <v>1005</v>
      </c>
      <c r="C29" s="36"/>
      <c r="D29" s="36"/>
      <c r="E29" s="1624"/>
      <c r="F29" s="1624"/>
      <c r="G29" s="36"/>
      <c r="H29" s="7"/>
    </row>
    <row r="30" spans="1:11">
      <c r="A30" s="23"/>
      <c r="B30" s="23" t="s">
        <v>1006</v>
      </c>
      <c r="C30" s="36">
        <v>0.28000000000000003</v>
      </c>
      <c r="D30" s="36">
        <v>32.281883000000001</v>
      </c>
      <c r="E30" s="36">
        <v>18.381981400000001</v>
      </c>
      <c r="F30" s="36">
        <f>E30*2</f>
        <v>36.763962800000002</v>
      </c>
      <c r="G30" s="36">
        <f>F30*1.07</f>
        <v>39.337440196000003</v>
      </c>
      <c r="H30" s="7"/>
    </row>
    <row r="31" spans="1:11">
      <c r="A31" s="23"/>
      <c r="B31" s="23" t="s">
        <v>1007</v>
      </c>
      <c r="C31" s="36">
        <v>55.61</v>
      </c>
      <c r="D31" s="36">
        <f>458.5478735+(2.622687116*100)</f>
        <v>720.81658509999988</v>
      </c>
      <c r="E31" s="36">
        <f>242.1607433+(2.390358706*100)</f>
        <v>481.19661389999999</v>
      </c>
      <c r="F31" s="36">
        <v>755</v>
      </c>
      <c r="G31" s="36">
        <f t="shared" ref="G31:G32" si="1">F31*1.07</f>
        <v>807.85</v>
      </c>
      <c r="H31" s="7"/>
    </row>
    <row r="32" spans="1:11">
      <c r="A32" s="23"/>
      <c r="B32" s="23" t="s">
        <v>1008</v>
      </c>
      <c r="C32" s="36">
        <f>19.35+61.2</f>
        <v>80.550000000000011</v>
      </c>
      <c r="D32" s="36">
        <v>884.22680059999993</v>
      </c>
      <c r="E32" s="36">
        <v>458.31466700000004</v>
      </c>
      <c r="F32" s="36">
        <v>920</v>
      </c>
      <c r="G32" s="36">
        <f t="shared" si="1"/>
        <v>984.40000000000009</v>
      </c>
      <c r="H32" s="7"/>
    </row>
    <row r="33" spans="1:11">
      <c r="A33" s="23"/>
      <c r="B33" s="23" t="s">
        <v>50</v>
      </c>
      <c r="C33" s="36">
        <v>3.75</v>
      </c>
      <c r="D33" s="36">
        <v>0</v>
      </c>
      <c r="E33" s="1624"/>
      <c r="F33" s="1624"/>
      <c r="G33" s="36"/>
      <c r="H33" s="7"/>
    </row>
    <row r="34" spans="1:11">
      <c r="A34" s="23"/>
      <c r="B34" s="28" t="s">
        <v>995</v>
      </c>
      <c r="C34" s="37">
        <f>SUM(C30:C33)</f>
        <v>140.19</v>
      </c>
      <c r="D34" s="37">
        <f>SUM(D30:D33)</f>
        <v>1637.3252686999999</v>
      </c>
      <c r="E34" s="37">
        <f>SUM(E30:E33)</f>
        <v>957.89326230000006</v>
      </c>
      <c r="F34" s="1625">
        <f>SUM(F30:F33)</f>
        <v>1711.7639627999999</v>
      </c>
      <c r="G34" s="37">
        <f>SUM(G30:G33)</f>
        <v>1831.587440196</v>
      </c>
      <c r="H34" s="7"/>
    </row>
    <row r="35" spans="1:11">
      <c r="A35" s="23"/>
      <c r="B35" s="28" t="s">
        <v>1009</v>
      </c>
      <c r="C35" s="36"/>
      <c r="D35" s="36"/>
      <c r="E35" s="1624"/>
      <c r="F35" s="1624"/>
      <c r="G35" s="36"/>
      <c r="H35" s="7"/>
    </row>
    <row r="36" spans="1:11">
      <c r="A36" s="23"/>
      <c r="B36" s="23" t="s">
        <v>1010</v>
      </c>
      <c r="C36" s="36">
        <v>0</v>
      </c>
      <c r="D36" s="36">
        <v>2.95547</v>
      </c>
      <c r="E36" s="36">
        <v>11.266249999999999</v>
      </c>
      <c r="F36" s="1624">
        <v>23</v>
      </c>
      <c r="G36" s="36">
        <f>F36*1.07</f>
        <v>24.610000000000003</v>
      </c>
      <c r="H36" s="7"/>
      <c r="I36" s="161">
        <f>2000*15000*1.18</f>
        <v>35400000</v>
      </c>
    </row>
    <row r="37" spans="1:11">
      <c r="A37" s="23"/>
      <c r="B37" s="23" t="s">
        <v>1011</v>
      </c>
      <c r="C37" s="36">
        <v>0.18</v>
      </c>
      <c r="D37" s="36">
        <v>0.89061999999999997</v>
      </c>
      <c r="E37" s="36">
        <v>0.25105</v>
      </c>
      <c r="F37" s="354">
        <v>0.91</v>
      </c>
      <c r="G37" s="36">
        <f t="shared" ref="G37:G47" si="2">F37*1.07</f>
        <v>0.97370000000000012</v>
      </c>
      <c r="H37" s="7"/>
    </row>
    <row r="38" spans="1:11">
      <c r="A38" s="23"/>
      <c r="B38" s="23" t="s">
        <v>1012</v>
      </c>
      <c r="C38" s="36">
        <v>15.15</v>
      </c>
      <c r="D38" s="36">
        <v>107.6133</v>
      </c>
      <c r="E38" s="36">
        <v>41.197557599999996</v>
      </c>
      <c r="F38" s="36">
        <v>108.42</v>
      </c>
      <c r="G38" s="36">
        <f t="shared" si="2"/>
        <v>116.00940000000001</v>
      </c>
      <c r="H38" s="7"/>
    </row>
    <row r="39" spans="1:11">
      <c r="A39" s="23"/>
      <c r="B39" s="502" t="s">
        <v>1013</v>
      </c>
      <c r="C39" s="36">
        <v>2.4500000000000002</v>
      </c>
      <c r="D39" s="36">
        <f>208.4895272+(1.28*100)</f>
        <v>336.4895272</v>
      </c>
      <c r="E39" s="36">
        <v>44</v>
      </c>
      <c r="F39" s="36">
        <v>211.55</v>
      </c>
      <c r="G39" s="36">
        <f t="shared" si="2"/>
        <v>226.35850000000002</v>
      </c>
      <c r="H39" s="7"/>
    </row>
    <row r="40" spans="1:11">
      <c r="A40" s="23"/>
      <c r="B40" s="502" t="s">
        <v>1014</v>
      </c>
      <c r="C40" s="36"/>
      <c r="D40" s="36">
        <f>12.94093+37.819</f>
        <v>50.759930000000004</v>
      </c>
      <c r="E40" s="36">
        <f>8.48937+22.42</f>
        <v>30.909370000000003</v>
      </c>
      <c r="F40" s="354">
        <v>17</v>
      </c>
      <c r="G40" s="36">
        <f t="shared" si="2"/>
        <v>18.190000000000001</v>
      </c>
      <c r="H40" s="7"/>
    </row>
    <row r="41" spans="1:11">
      <c r="A41" s="23"/>
      <c r="B41" s="502" t="s">
        <v>1028</v>
      </c>
      <c r="C41" s="36">
        <v>10.56</v>
      </c>
      <c r="D41" s="36">
        <v>257.72668570000002</v>
      </c>
      <c r="E41" s="36">
        <v>157.5319002</v>
      </c>
      <c r="F41" s="36">
        <v>315.35000000000002</v>
      </c>
      <c r="G41" s="36">
        <f t="shared" si="2"/>
        <v>337.42450000000002</v>
      </c>
      <c r="H41" s="7"/>
      <c r="I41" s="161"/>
    </row>
    <row r="42" spans="1:11">
      <c r="A42" s="23"/>
      <c r="B42" s="23" t="s">
        <v>1015</v>
      </c>
      <c r="C42" s="36"/>
      <c r="D42" s="36">
        <v>259.59397999999999</v>
      </c>
      <c r="E42" s="36">
        <v>308</v>
      </c>
      <c r="F42" s="36">
        <v>502</v>
      </c>
      <c r="G42" s="36">
        <f t="shared" si="2"/>
        <v>537.14</v>
      </c>
      <c r="H42" s="7"/>
      <c r="I42" s="161"/>
    </row>
    <row r="43" spans="1:11">
      <c r="A43" s="23"/>
      <c r="B43" s="502" t="s">
        <v>1016</v>
      </c>
      <c r="C43" s="36"/>
      <c r="D43" s="354">
        <v>220.9875352</v>
      </c>
      <c r="E43" s="36">
        <v>185.07508000000001</v>
      </c>
      <c r="F43" s="36">
        <v>372.55</v>
      </c>
      <c r="G43" s="36">
        <f t="shared" si="2"/>
        <v>398.62850000000003</v>
      </c>
      <c r="H43" s="7"/>
    </row>
    <row r="44" spans="1:11">
      <c r="A44" s="23"/>
      <c r="B44" s="502" t="s">
        <v>1017</v>
      </c>
      <c r="C44" s="36"/>
      <c r="D44" s="36">
        <v>71.778599999999997</v>
      </c>
      <c r="E44" s="1624">
        <v>0</v>
      </c>
      <c r="F44" s="1626">
        <v>75</v>
      </c>
      <c r="G44" s="36">
        <f t="shared" si="2"/>
        <v>80.25</v>
      </c>
      <c r="H44" s="7"/>
      <c r="I44" s="1627"/>
      <c r="J44" s="1627"/>
    </row>
    <row r="45" spans="1:11">
      <c r="A45" s="23"/>
      <c r="B45" s="502" t="s">
        <v>1018</v>
      </c>
      <c r="C45" s="36">
        <f>52.66+0.7+0.67+4.6+9.24+0.8+0.07+16.21</f>
        <v>84.949999999999989</v>
      </c>
      <c r="D45" s="36">
        <f>702.229643500002-(2.622687116*100)-(1.28*100)+33.35056</f>
        <v>345.31149190000201</v>
      </c>
      <c r="E45" s="1624">
        <f>292.594868700001-(2.390358706*100)+19.422</f>
        <v>72.98099810000096</v>
      </c>
      <c r="F45" s="36">
        <v>150</v>
      </c>
      <c r="G45" s="36">
        <f t="shared" si="2"/>
        <v>160.5</v>
      </c>
      <c r="H45" s="7"/>
      <c r="I45" s="1627"/>
      <c r="J45" s="1627"/>
    </row>
    <row r="46" spans="1:11">
      <c r="A46" s="23"/>
      <c r="B46" s="23" t="s">
        <v>1019</v>
      </c>
      <c r="C46" s="36"/>
      <c r="D46" s="36">
        <v>2387</v>
      </c>
      <c r="E46" s="1624">
        <v>1162</v>
      </c>
      <c r="F46" s="1626">
        <f>G46/1.07</f>
        <v>5466.9757009345794</v>
      </c>
      <c r="G46" s="36">
        <f>Q66*100</f>
        <v>5849.6640000000007</v>
      </c>
      <c r="H46" s="7"/>
      <c r="I46" s="1627"/>
      <c r="J46" s="1627"/>
      <c r="K46" s="1628"/>
    </row>
    <row r="47" spans="1:11">
      <c r="A47" s="23"/>
      <c r="B47" s="23" t="s">
        <v>1020</v>
      </c>
      <c r="C47" s="36">
        <v>0.38</v>
      </c>
      <c r="D47" s="36">
        <v>14.88959</v>
      </c>
      <c r="E47" s="1624">
        <v>30.12304</v>
      </c>
      <c r="F47" s="1626">
        <v>62.38</v>
      </c>
      <c r="G47" s="36">
        <f t="shared" si="2"/>
        <v>66.746600000000001</v>
      </c>
      <c r="H47" s="7"/>
      <c r="I47" s="1627"/>
      <c r="J47" s="1627"/>
      <c r="K47" s="7"/>
    </row>
    <row r="48" spans="1:11">
      <c r="A48" s="23"/>
      <c r="B48" s="28" t="s">
        <v>995</v>
      </c>
      <c r="C48" s="37">
        <f>SUM(C36:C47)</f>
        <v>113.66999999999999</v>
      </c>
      <c r="D48" s="37">
        <f>SUM(D36:D47)</f>
        <v>4055.9967300000021</v>
      </c>
      <c r="E48" s="37">
        <f>SUM(E36:E47)</f>
        <v>2043.3352459000009</v>
      </c>
      <c r="F48" s="1625">
        <f>SUM(F36:F47)</f>
        <v>7305.1357009345793</v>
      </c>
      <c r="G48" s="37">
        <f>SUM(G36:G47)</f>
        <v>7816.4952000000012</v>
      </c>
      <c r="H48" s="7"/>
      <c r="I48" s="1627"/>
      <c r="J48" s="1627"/>
      <c r="K48" s="7"/>
    </row>
    <row r="49" spans="1:17">
      <c r="A49" s="23"/>
      <c r="B49" s="23" t="s">
        <v>1021</v>
      </c>
      <c r="C49" s="36"/>
      <c r="D49" s="36"/>
      <c r="E49" s="1624"/>
      <c r="F49" s="1624"/>
      <c r="G49" s="36"/>
      <c r="H49" s="7"/>
      <c r="I49" s="1627"/>
      <c r="J49" s="1627"/>
      <c r="K49" s="12"/>
      <c r="M49" s="2"/>
    </row>
    <row r="50" spans="1:17">
      <c r="A50" s="23"/>
      <c r="B50" s="23" t="s">
        <v>1022</v>
      </c>
      <c r="C50" s="36"/>
      <c r="D50" s="160"/>
      <c r="E50" s="1629"/>
      <c r="F50" s="1624"/>
      <c r="G50" s="36"/>
      <c r="H50" s="7"/>
      <c r="J50" s="12"/>
    </row>
    <row r="51" spans="1:17">
      <c r="A51" s="23"/>
      <c r="B51" s="23" t="s">
        <v>1023</v>
      </c>
      <c r="C51" s="36">
        <f>2.85+18.33+9+13.21</f>
        <v>43.39</v>
      </c>
      <c r="D51" s="36">
        <v>296</v>
      </c>
      <c r="E51" s="36">
        <v>245.00000000000003</v>
      </c>
      <c r="F51" s="36">
        <v>427</v>
      </c>
      <c r="G51" s="36">
        <f>F51*1.07</f>
        <v>456.89000000000004</v>
      </c>
      <c r="H51" s="7"/>
    </row>
    <row r="52" spans="1:17">
      <c r="A52" s="23"/>
      <c r="B52" s="23" t="s">
        <v>1024</v>
      </c>
      <c r="C52" s="36"/>
      <c r="D52" s="36"/>
      <c r="E52" s="1624"/>
      <c r="F52" s="1624"/>
      <c r="G52" s="36"/>
      <c r="H52" s="7"/>
    </row>
    <row r="53" spans="1:17">
      <c r="A53" s="23"/>
      <c r="B53" s="1630" t="s">
        <v>1025</v>
      </c>
      <c r="C53" s="36">
        <f>0.3+0.25+0.8</f>
        <v>1.35</v>
      </c>
      <c r="D53" s="36"/>
      <c r="E53" s="36"/>
      <c r="F53" s="36"/>
      <c r="G53" s="36"/>
      <c r="H53" s="7"/>
    </row>
    <row r="54" spans="1:17">
      <c r="A54" s="23"/>
      <c r="B54" s="23" t="s">
        <v>995</v>
      </c>
      <c r="C54" s="37">
        <f>SUM(C50:C53)</f>
        <v>44.74</v>
      </c>
      <c r="D54" s="37">
        <f>SUM(D50:D53)</f>
        <v>296</v>
      </c>
      <c r="E54" s="37">
        <f>SUM(E50:E53)</f>
        <v>245.00000000000003</v>
      </c>
      <c r="F54" s="1625">
        <f>SUM(F50:F53)</f>
        <v>427</v>
      </c>
      <c r="G54" s="37">
        <f>SUM(G50:G53)</f>
        <v>456.89000000000004</v>
      </c>
      <c r="H54" s="7"/>
    </row>
    <row r="55" spans="1:17">
      <c r="A55" s="23"/>
      <c r="B55" s="28" t="s">
        <v>231</v>
      </c>
      <c r="C55" s="37"/>
      <c r="D55" s="37">
        <f>D14+D21+D28+D34+D48+D54</f>
        <v>11326.648169400003</v>
      </c>
      <c r="E55" s="37">
        <f>E14+E21+E28+E34+E48+E54</f>
        <v>7040.9298904000007</v>
      </c>
      <c r="F55" s="37">
        <f>F14+F21+F28+F34+F48+F54</f>
        <v>17375.903063534577</v>
      </c>
      <c r="G55" s="37">
        <f>G14+G21+G28+G34+G48+G54</f>
        <v>18578.217140196</v>
      </c>
      <c r="H55" s="7"/>
      <c r="I55" s="12"/>
      <c r="J55" s="7"/>
      <c r="M55" s="161" t="s">
        <v>1019</v>
      </c>
    </row>
    <row r="56" spans="1:17">
      <c r="A56" s="23"/>
      <c r="B56" s="502" t="s">
        <v>2284</v>
      </c>
      <c r="C56" s="37"/>
      <c r="D56" s="37"/>
      <c r="E56" s="36"/>
      <c r="F56" s="1626"/>
      <c r="G56" s="354">
        <f>Q108/10^5</f>
        <v>1423.2</v>
      </c>
      <c r="H56" s="1583"/>
      <c r="M56" s="1631" t="s">
        <v>2147</v>
      </c>
      <c r="N56" s="1631" t="s">
        <v>2148</v>
      </c>
      <c r="O56" s="1632" t="s">
        <v>2164</v>
      </c>
      <c r="P56" s="1632" t="s">
        <v>2165</v>
      </c>
      <c r="Q56" s="1632" t="s">
        <v>2166</v>
      </c>
    </row>
    <row r="57" spans="1:17">
      <c r="A57" s="23"/>
      <c r="B57" s="502" t="s">
        <v>2175</v>
      </c>
      <c r="C57" s="37"/>
      <c r="D57" s="37"/>
      <c r="E57" s="1625"/>
      <c r="F57" s="1626"/>
      <c r="G57" s="354">
        <f>J63*100</f>
        <v>668</v>
      </c>
      <c r="H57" s="7"/>
      <c r="I57" s="1633" t="s">
        <v>1026</v>
      </c>
      <c r="J57" s="232" t="s">
        <v>2136</v>
      </c>
      <c r="K57" s="232"/>
      <c r="M57" s="1634">
        <v>1</v>
      </c>
      <c r="N57" s="1635" t="s">
        <v>2149</v>
      </c>
      <c r="O57" s="696">
        <v>1720000</v>
      </c>
      <c r="P57" s="696">
        <v>19.5</v>
      </c>
      <c r="Q57" s="696">
        <v>40.247999999999998</v>
      </c>
    </row>
    <row r="58" spans="1:17">
      <c r="A58" s="23"/>
      <c r="B58" s="502" t="s">
        <v>2172</v>
      </c>
      <c r="C58" s="37"/>
      <c r="D58" s="1063"/>
      <c r="E58" s="354"/>
      <c r="F58" s="354"/>
      <c r="G58" s="354">
        <f>O83</f>
        <v>2455</v>
      </c>
      <c r="H58" s="7"/>
      <c r="I58" s="506" t="s">
        <v>2170</v>
      </c>
      <c r="J58">
        <v>2.08</v>
      </c>
      <c r="M58" s="1634">
        <v>2</v>
      </c>
      <c r="N58" s="1635" t="s">
        <v>2150</v>
      </c>
      <c r="O58" s="696">
        <v>75000</v>
      </c>
      <c r="P58" s="696">
        <v>75</v>
      </c>
      <c r="Q58" s="696">
        <v>6.75</v>
      </c>
    </row>
    <row r="59" spans="1:17" ht="15.75">
      <c r="A59" s="23"/>
      <c r="B59" s="502" t="s">
        <v>2173</v>
      </c>
      <c r="C59" s="37"/>
      <c r="D59" s="37"/>
      <c r="E59" s="37"/>
      <c r="F59" s="354"/>
      <c r="G59" s="354">
        <f>(Q67+Q69+Q70)*100</f>
        <v>769.99999999999989</v>
      </c>
      <c r="H59" s="7"/>
      <c r="I59" s="1636" t="s">
        <v>1027</v>
      </c>
      <c r="J59">
        <v>0.25</v>
      </c>
      <c r="M59" s="1634">
        <v>3</v>
      </c>
      <c r="N59" s="23" t="s">
        <v>2151</v>
      </c>
      <c r="O59" s="696">
        <v>44000</v>
      </c>
      <c r="P59" s="696">
        <v>80</v>
      </c>
      <c r="Q59" s="696">
        <v>4.2240000000000002</v>
      </c>
    </row>
    <row r="60" spans="1:17">
      <c r="A60" s="23"/>
      <c r="B60" s="502" t="s">
        <v>2174</v>
      </c>
      <c r="C60" s="37"/>
      <c r="D60" s="37"/>
      <c r="E60" s="37"/>
      <c r="F60" s="354"/>
      <c r="G60" s="36">
        <f>Q68*100</f>
        <v>1469.2828</v>
      </c>
      <c r="H60" s="7"/>
      <c r="I60" s="506" t="s">
        <v>1030</v>
      </c>
      <c r="J60">
        <v>1.21</v>
      </c>
      <c r="M60" s="1634">
        <v>4</v>
      </c>
      <c r="N60" s="23" t="s">
        <v>2152</v>
      </c>
      <c r="O60" s="696">
        <v>44000</v>
      </c>
      <c r="P60" s="696">
        <v>80</v>
      </c>
      <c r="Q60" s="696">
        <v>4.2240000000000002</v>
      </c>
    </row>
    <row r="61" spans="1:17">
      <c r="A61" s="23"/>
      <c r="B61" s="502" t="s">
        <v>2411</v>
      </c>
      <c r="C61" s="23"/>
      <c r="D61" s="23"/>
      <c r="E61" s="23"/>
      <c r="F61" s="23"/>
      <c r="G61" s="23">
        <v>702</v>
      </c>
      <c r="H61" s="7"/>
      <c r="I61" s="506" t="s">
        <v>1029</v>
      </c>
      <c r="J61">
        <v>1.1100000000000001</v>
      </c>
      <c r="M61" s="1634">
        <v>5</v>
      </c>
      <c r="N61" s="1635" t="s">
        <v>2153</v>
      </c>
      <c r="O61" s="696">
        <v>17200</v>
      </c>
      <c r="P61" s="696">
        <v>80</v>
      </c>
      <c r="Q61" s="696">
        <v>1.6512</v>
      </c>
    </row>
    <row r="62" spans="1:17">
      <c r="A62" s="23"/>
      <c r="B62" s="502" t="s">
        <v>2347</v>
      </c>
      <c r="C62" s="37"/>
      <c r="D62" s="354"/>
      <c r="E62" s="354"/>
      <c r="F62" s="354"/>
      <c r="G62" s="354">
        <v>150</v>
      </c>
      <c r="H62" s="7"/>
      <c r="I62" s="506" t="s">
        <v>2171</v>
      </c>
      <c r="J62">
        <v>2.0299999999999998</v>
      </c>
      <c r="M62" s="1634">
        <v>6</v>
      </c>
      <c r="N62" s="1635" t="s">
        <v>2154</v>
      </c>
      <c r="O62" s="696">
        <v>440</v>
      </c>
      <c r="P62" s="696">
        <v>80</v>
      </c>
      <c r="Q62" s="696">
        <v>4.224E-2</v>
      </c>
    </row>
    <row r="63" spans="1:17">
      <c r="A63" s="23"/>
      <c r="B63" s="502"/>
      <c r="C63" s="37"/>
      <c r="D63" s="354"/>
      <c r="E63" s="354"/>
      <c r="F63" s="354"/>
      <c r="G63" s="354"/>
      <c r="H63" s="7"/>
      <c r="I63" s="2" t="s">
        <v>147</v>
      </c>
      <c r="J63" s="2">
        <f>SUM(J58:J62)</f>
        <v>6.68</v>
      </c>
      <c r="M63" s="1634">
        <v>7</v>
      </c>
      <c r="N63" s="1635" t="s">
        <v>2155</v>
      </c>
      <c r="O63" s="696">
        <v>4000</v>
      </c>
      <c r="P63" s="696">
        <v>19.5</v>
      </c>
      <c r="Q63" s="696">
        <v>0.60840000000000005</v>
      </c>
    </row>
    <row r="64" spans="1:17">
      <c r="A64" s="23"/>
      <c r="B64" s="75" t="s">
        <v>941</v>
      </c>
      <c r="C64" s="37"/>
      <c r="D64" s="37">
        <f>SUM(D56:D63)</f>
        <v>0</v>
      </c>
      <c r="E64" s="37">
        <f>SUM(E56:E63)</f>
        <v>0</v>
      </c>
      <c r="F64" s="37">
        <f>SUM(F56:F63)</f>
        <v>0</v>
      </c>
      <c r="G64" s="37">
        <f>SUM(G56:G63)</f>
        <v>7637.4827999999998</v>
      </c>
      <c r="H64" s="7"/>
      <c r="M64" s="1634">
        <v>8</v>
      </c>
      <c r="N64" s="1635" t="s">
        <v>2156</v>
      </c>
      <c r="O64" s="696">
        <v>1200</v>
      </c>
      <c r="P64" s="696">
        <v>80</v>
      </c>
      <c r="Q64" s="696">
        <v>0.74880000000000002</v>
      </c>
    </row>
    <row r="65" spans="1:17">
      <c r="A65" s="23"/>
      <c r="B65" s="28"/>
      <c r="C65" s="37"/>
      <c r="D65" s="37"/>
      <c r="E65" s="1625"/>
      <c r="F65" s="1625"/>
      <c r="G65" s="354"/>
      <c r="H65" s="7"/>
      <c r="J65" s="232"/>
      <c r="K65" s="232"/>
      <c r="M65" s="1634">
        <v>9</v>
      </c>
      <c r="N65" s="1635" t="s">
        <v>2157</v>
      </c>
      <c r="O65" s="696"/>
      <c r="P65" s="696"/>
      <c r="Q65" s="696">
        <v>0</v>
      </c>
    </row>
    <row r="66" spans="1:17">
      <c r="A66" s="23"/>
      <c r="B66" s="28" t="s">
        <v>231</v>
      </c>
      <c r="C66" s="36">
        <f>C54+C48+C34+C28+C21+C14</f>
        <v>354.21000000000004</v>
      </c>
      <c r="D66" s="37">
        <f>(D55+D64)</f>
        <v>11326.648169400003</v>
      </c>
      <c r="E66" s="37">
        <f>E55+E64</f>
        <v>7040.9298904000007</v>
      </c>
      <c r="F66" s="37">
        <f>F55+F64</f>
        <v>17375.903063534577</v>
      </c>
      <c r="G66" s="37">
        <f>G55+G64</f>
        <v>26215.699940195998</v>
      </c>
      <c r="H66" s="7"/>
      <c r="J66" s="1892"/>
      <c r="M66" s="1893" t="s">
        <v>2158</v>
      </c>
      <c r="N66" s="1893"/>
      <c r="O66" s="696"/>
      <c r="P66" s="696"/>
      <c r="Q66" s="1061">
        <f>SUM(Q57:Q65)</f>
        <v>58.496640000000006</v>
      </c>
    </row>
    <row r="67" spans="1:17">
      <c r="D67" s="1637"/>
      <c r="E67" s="1637"/>
      <c r="F67" s="312"/>
      <c r="G67" s="312"/>
      <c r="H67" s="1583"/>
      <c r="J67" s="1892"/>
      <c r="K67" s="7"/>
      <c r="M67" s="1634">
        <v>10</v>
      </c>
      <c r="N67" s="23" t="s">
        <v>2159</v>
      </c>
      <c r="O67" s="696">
        <v>100</v>
      </c>
      <c r="P67" s="696">
        <v>20000</v>
      </c>
      <c r="Q67" s="696">
        <v>2.4</v>
      </c>
    </row>
    <row r="68" spans="1:17" ht="26.25" customHeight="1">
      <c r="B68" s="1890" t="s">
        <v>2168</v>
      </c>
      <c r="C68" s="1891"/>
      <c r="D68" s="1891"/>
      <c r="E68" s="1891"/>
      <c r="F68" s="1891"/>
      <c r="G68" s="1891"/>
      <c r="I68" s="8"/>
      <c r="J68" s="7"/>
      <c r="K68" s="7"/>
      <c r="L68" s="2"/>
      <c r="M68" s="1634">
        <v>11</v>
      </c>
      <c r="N68" s="23" t="s">
        <v>2160</v>
      </c>
      <c r="O68" s="696">
        <v>216071</v>
      </c>
      <c r="P68" s="696">
        <v>1360</v>
      </c>
      <c r="Q68" s="1638">
        <v>14.692828</v>
      </c>
    </row>
    <row r="69" spans="1:17" ht="12.75" customHeight="1">
      <c r="B69" s="1890"/>
      <c r="C69" s="1890"/>
      <c r="D69" s="1890"/>
      <c r="E69" s="1890"/>
      <c r="F69" s="1890"/>
      <c r="G69" s="1890"/>
      <c r="J69" s="7"/>
      <c r="K69" s="7"/>
      <c r="L69" s="7"/>
      <c r="M69" s="1634">
        <v>12</v>
      </c>
      <c r="N69" s="68" t="s">
        <v>2161</v>
      </c>
      <c r="O69" s="696">
        <v>100000</v>
      </c>
      <c r="P69" s="696">
        <v>500</v>
      </c>
      <c r="Q69" s="696">
        <v>4.9999999999999991</v>
      </c>
    </row>
    <row r="70" spans="1:17">
      <c r="A70" s="66"/>
      <c r="B70" s="1890"/>
      <c r="C70" s="1890"/>
      <c r="D70" s="1890"/>
      <c r="E70" s="1890"/>
      <c r="F70" s="1890"/>
      <c r="G70" s="1890"/>
      <c r="J70" s="7"/>
      <c r="K70" s="7"/>
      <c r="M70" s="1634">
        <v>13</v>
      </c>
      <c r="N70" s="23" t="s">
        <v>2162</v>
      </c>
      <c r="O70" s="696">
        <v>100000</v>
      </c>
      <c r="P70" s="696">
        <v>30</v>
      </c>
      <c r="Q70" s="696">
        <v>0.3</v>
      </c>
    </row>
    <row r="71" spans="1:17">
      <c r="A71" s="66"/>
      <c r="B71" s="1890"/>
      <c r="C71" s="1890"/>
      <c r="D71" s="1890"/>
      <c r="E71" s="1890"/>
      <c r="F71" s="1890"/>
      <c r="G71" s="1890"/>
      <c r="I71" s="7">
        <f>G66+'F-12'!AD35</f>
        <v>87713.103284999786</v>
      </c>
      <c r="J71" s="7"/>
      <c r="M71" s="23"/>
      <c r="N71" s="23"/>
      <c r="O71" s="23"/>
      <c r="P71" s="23"/>
      <c r="Q71" s="191">
        <f>SUM(Q67:Q70)</f>
        <v>22.392828000000002</v>
      </c>
    </row>
    <row r="72" spans="1:17" ht="15">
      <c r="D72" s="7"/>
      <c r="E72" s="7"/>
      <c r="F72" s="7"/>
      <c r="G72" s="7"/>
      <c r="J72" s="12"/>
      <c r="K72" s="12"/>
      <c r="M72" s="1894" t="s">
        <v>2163</v>
      </c>
      <c r="N72" s="1894"/>
      <c r="O72" s="696"/>
      <c r="P72" s="696"/>
      <c r="Q72" s="1061">
        <f>Q66+Q71</f>
        <v>80.889468000000008</v>
      </c>
    </row>
    <row r="73" spans="1:17" ht="13.5" thickBot="1">
      <c r="B73" s="1888" t="s">
        <v>1031</v>
      </c>
      <c r="C73" s="1888"/>
      <c r="D73" s="1888"/>
      <c r="E73" s="1888"/>
      <c r="F73" s="1888"/>
      <c r="G73" s="1888"/>
      <c r="J73" s="7"/>
      <c r="K73" s="312"/>
    </row>
    <row r="74" spans="1:17">
      <c r="A74" s="1438"/>
      <c r="B74" s="1439"/>
      <c r="C74" s="1439"/>
      <c r="D74" s="1639" t="s">
        <v>2176</v>
      </c>
      <c r="E74" s="1639"/>
      <c r="F74" s="1640"/>
      <c r="G74" s="1641"/>
      <c r="I74" s="161"/>
      <c r="K74" s="12"/>
      <c r="N74" s="506" t="s">
        <v>2298</v>
      </c>
    </row>
    <row r="75" spans="1:17" ht="13.5" thickBot="1">
      <c r="A75" s="94"/>
      <c r="B75" s="1588" t="s">
        <v>91</v>
      </c>
      <c r="C75" s="1588"/>
      <c r="D75" s="1642" t="s">
        <v>77</v>
      </c>
      <c r="E75" s="1642"/>
      <c r="F75" s="1642" t="s">
        <v>45</v>
      </c>
      <c r="G75" s="1643" t="s">
        <v>147</v>
      </c>
      <c r="I75" s="506"/>
      <c r="J75" s="1889"/>
      <c r="K75" s="1889"/>
      <c r="N75" s="1644" t="s">
        <v>2290</v>
      </c>
      <c r="O75" s="1645">
        <v>250</v>
      </c>
    </row>
    <row r="76" spans="1:17" ht="14.25" thickTop="1" thickBot="1">
      <c r="A76" s="1646" t="s">
        <v>1032</v>
      </c>
      <c r="B76" s="1592"/>
      <c r="C76" s="1592"/>
      <c r="D76" s="1592">
        <f>'T-1'!N57</f>
        <v>2025</v>
      </c>
      <c r="E76" s="1592"/>
      <c r="F76" s="1592">
        <f>'T-1'!N38</f>
        <v>3085.0000000000005</v>
      </c>
      <c r="G76" s="1647"/>
      <c r="I76" s="506"/>
      <c r="J76" s="1889"/>
      <c r="K76" s="1889"/>
      <c r="N76" s="1648" t="s">
        <v>2291</v>
      </c>
      <c r="O76" s="1645">
        <v>200</v>
      </c>
    </row>
    <row r="77" spans="1:17">
      <c r="A77" s="94"/>
      <c r="D77" s="7"/>
      <c r="E77" s="7"/>
      <c r="F77" s="7"/>
      <c r="G77" s="93"/>
      <c r="I77" s="506"/>
      <c r="J77" s="1889"/>
      <c r="K77" s="1889"/>
      <c r="N77" s="1644" t="s">
        <v>2292</v>
      </c>
      <c r="O77" s="1645">
        <v>200</v>
      </c>
    </row>
    <row r="78" spans="1:17">
      <c r="A78" s="1646" t="s">
        <v>1033</v>
      </c>
      <c r="B78" s="7">
        <f>F66*2%</f>
        <v>347.51806127069153</v>
      </c>
      <c r="D78" s="7">
        <f>(G78-B77:B78)/SUM(D76:F76)*D76</f>
        <v>6748.0390664548668</v>
      </c>
      <c r="E78" s="7"/>
      <c r="F78" s="7">
        <f>(G78-B78)/SUM(D76:F76)*F76</f>
        <v>10280.34593580902</v>
      </c>
      <c r="G78" s="93">
        <f>F66</f>
        <v>17375.903063534577</v>
      </c>
      <c r="I78" s="506"/>
      <c r="J78" s="1"/>
      <c r="K78" s="213"/>
      <c r="N78" s="1644" t="s">
        <v>2293</v>
      </c>
      <c r="O78" s="1645">
        <v>25</v>
      </c>
    </row>
    <row r="79" spans="1:17">
      <c r="A79" s="94"/>
      <c r="D79" s="7"/>
      <c r="E79" s="7"/>
      <c r="F79" s="7"/>
      <c r="G79" s="93"/>
      <c r="I79" s="506"/>
      <c r="J79" s="116"/>
      <c r="K79" s="116"/>
      <c r="N79" s="1648" t="s">
        <v>2294</v>
      </c>
      <c r="O79" s="1645">
        <v>1200</v>
      </c>
    </row>
    <row r="80" spans="1:17" ht="13.5" thickBot="1">
      <c r="A80" s="1646" t="s">
        <v>387</v>
      </c>
      <c r="B80" s="1649">
        <f>B78/G78</f>
        <v>0.02</v>
      </c>
      <c r="C80" s="1649"/>
      <c r="D80" s="1649">
        <f>D78/G78</f>
        <v>0.38835616438356163</v>
      </c>
      <c r="E80" s="1649"/>
      <c r="F80" s="1649">
        <f>F78/G78</f>
        <v>0.59164383561643841</v>
      </c>
      <c r="G80" s="1650">
        <f>SUM(B80:F80)</f>
        <v>1</v>
      </c>
      <c r="I80" s="506"/>
      <c r="J80" s="1"/>
      <c r="K80" s="213"/>
      <c r="N80" s="1644" t="s">
        <v>2295</v>
      </c>
      <c r="O80" s="1645">
        <v>250</v>
      </c>
    </row>
    <row r="81" spans="1:17" ht="13.5" thickTop="1">
      <c r="A81" s="94"/>
      <c r="D81" s="7"/>
      <c r="E81" s="7"/>
      <c r="F81" s="7"/>
      <c r="G81" s="93"/>
      <c r="J81" s="1628"/>
      <c r="N81" s="1648" t="s">
        <v>2296</v>
      </c>
      <c r="O81" s="1645">
        <v>210</v>
      </c>
    </row>
    <row r="82" spans="1:17">
      <c r="A82" s="94"/>
      <c r="D82" s="312" t="s">
        <v>2177</v>
      </c>
      <c r="E82" s="312"/>
      <c r="F82" s="7"/>
      <c r="G82" s="93"/>
      <c r="N82" s="1648" t="s">
        <v>2297</v>
      </c>
      <c r="O82" s="1645">
        <v>120</v>
      </c>
    </row>
    <row r="83" spans="1:17" ht="13.5" thickBot="1">
      <c r="A83" s="94"/>
      <c r="B83" s="1588" t="s">
        <v>91</v>
      </c>
      <c r="C83" s="1588"/>
      <c r="D83" s="1642" t="s">
        <v>77</v>
      </c>
      <c r="E83" s="1642"/>
      <c r="F83" s="1642" t="s">
        <v>45</v>
      </c>
      <c r="G83" s="1643" t="s">
        <v>147</v>
      </c>
      <c r="I83" s="374"/>
      <c r="N83" s="1651" t="s">
        <v>231</v>
      </c>
      <c r="O83" s="1645">
        <f>SUM(O75:O82)</f>
        <v>2455</v>
      </c>
    </row>
    <row r="84" spans="1:17" ht="14.25" thickTop="1" thickBot="1">
      <c r="A84" s="1646" t="s">
        <v>1032</v>
      </c>
      <c r="B84" s="1592"/>
      <c r="C84" s="1592"/>
      <c r="D84" s="1592">
        <f>'T-1'!S57</f>
        <v>2123.0000019999998</v>
      </c>
      <c r="E84" s="1592"/>
      <c r="F84" s="1592">
        <f>'T-1'!S38</f>
        <v>3313.9999999999995</v>
      </c>
      <c r="G84" s="1647"/>
      <c r="I84" s="374"/>
      <c r="K84" s="7"/>
    </row>
    <row r="85" spans="1:17">
      <c r="A85" s="94"/>
      <c r="D85" s="7"/>
      <c r="E85" s="7"/>
      <c r="F85" s="7"/>
      <c r="G85" s="93"/>
      <c r="N85" s="506" t="s">
        <v>2284</v>
      </c>
    </row>
    <row r="86" spans="1:17">
      <c r="A86" s="1646" t="s">
        <v>1034</v>
      </c>
      <c r="B86" s="7">
        <f>G66*2%</f>
        <v>524.31399880391996</v>
      </c>
      <c r="D86" s="7">
        <f>(G86-B86)/SUM(D84:F84)*D84</f>
        <v>10031.784510740223</v>
      </c>
      <c r="E86" s="7"/>
      <c r="F86" s="7">
        <f>(G86-B86)/SUM(D84:F84)*F84</f>
        <v>15659.601430651857</v>
      </c>
      <c r="G86" s="93">
        <f>G66</f>
        <v>26215.699940195998</v>
      </c>
      <c r="I86" s="161"/>
      <c r="J86" s="7"/>
      <c r="K86" s="7"/>
      <c r="N86" s="506" t="s">
        <v>2299</v>
      </c>
      <c r="O86" s="7">
        <f>(124*40000*12)/10^5</f>
        <v>595.20000000000005</v>
      </c>
    </row>
    <row r="87" spans="1:17">
      <c r="A87" s="94"/>
      <c r="D87" s="7"/>
      <c r="E87" s="7"/>
      <c r="F87" s="7"/>
      <c r="G87" s="93"/>
      <c r="N87" s="506" t="s">
        <v>2300</v>
      </c>
      <c r="O87" s="312">
        <f>(95000*9*12)/10^5</f>
        <v>102.6</v>
      </c>
    </row>
    <row r="88" spans="1:17" ht="13.5" thickBot="1">
      <c r="A88" s="1646" t="s">
        <v>387</v>
      </c>
      <c r="B88" s="1649">
        <f>B86/G86</f>
        <v>0.02</v>
      </c>
      <c r="C88" s="1649"/>
      <c r="D88" s="1649">
        <f>D86/G86</f>
        <v>0.38266323362050281</v>
      </c>
      <c r="E88" s="1649"/>
      <c r="F88" s="1649">
        <f>F86/G86</f>
        <v>0.59733676637949729</v>
      </c>
      <c r="G88" s="1650">
        <f>SUM(B88:F88)</f>
        <v>1</v>
      </c>
      <c r="K88" s="7"/>
      <c r="N88" s="506" t="s">
        <v>2301</v>
      </c>
      <c r="O88" s="7">
        <f>(30000*12*23)/10^5</f>
        <v>82.8</v>
      </c>
    </row>
    <row r="89" spans="1:17" ht="14.25" thickTop="1" thickBot="1">
      <c r="A89" t="s">
        <v>1035</v>
      </c>
      <c r="B89" s="1425"/>
      <c r="C89" s="1425"/>
      <c r="D89" s="1425"/>
      <c r="E89" s="1425"/>
      <c r="F89" s="1425"/>
      <c r="G89" s="1426"/>
      <c r="K89" s="7"/>
      <c r="N89" s="2" t="s">
        <v>2302</v>
      </c>
      <c r="O89" s="12">
        <f>SUM(O86:O88)</f>
        <v>780.6</v>
      </c>
    </row>
    <row r="90" spans="1:17">
      <c r="A90" t="s">
        <v>1036</v>
      </c>
      <c r="I90" s="506"/>
    </row>
    <row r="91" spans="1:17">
      <c r="J91" s="7"/>
      <c r="K91" s="7"/>
    </row>
    <row r="92" spans="1:17" ht="15">
      <c r="I92" s="506"/>
      <c r="J92" s="7"/>
      <c r="K92" s="7"/>
      <c r="N92" s="1895" t="s">
        <v>2416</v>
      </c>
      <c r="O92" s="1895"/>
      <c r="P92" s="1895"/>
      <c r="Q92" s="1895"/>
    </row>
    <row r="93" spans="1:17" ht="12.75" customHeight="1">
      <c r="I93" s="506"/>
      <c r="J93" s="7"/>
      <c r="K93" s="7"/>
      <c r="N93" s="23" t="s">
        <v>2417</v>
      </c>
      <c r="O93" s="23" t="s">
        <v>2418</v>
      </c>
      <c r="P93" s="23" t="s">
        <v>2419</v>
      </c>
      <c r="Q93" s="23" t="s">
        <v>2420</v>
      </c>
    </row>
    <row r="94" spans="1:17">
      <c r="N94" s="23" t="s">
        <v>2421</v>
      </c>
      <c r="O94" s="23">
        <v>1</v>
      </c>
      <c r="P94" s="23">
        <v>250000</v>
      </c>
      <c r="Q94" s="23">
        <f>O94*P94</f>
        <v>250000</v>
      </c>
    </row>
    <row r="95" spans="1:17">
      <c r="I95" s="161"/>
      <c r="K95" s="7"/>
      <c r="N95" s="23" t="s">
        <v>2422</v>
      </c>
      <c r="O95" s="23">
        <v>5</v>
      </c>
      <c r="P95" s="23">
        <v>100000</v>
      </c>
      <c r="Q95" s="23">
        <f t="shared" ref="Q95:Q100" si="3">O95*P95</f>
        <v>500000</v>
      </c>
    </row>
    <row r="96" spans="1:17">
      <c r="J96" s="7"/>
      <c r="K96" s="7"/>
      <c r="N96" s="23" t="s">
        <v>2423</v>
      </c>
      <c r="O96" s="23">
        <v>17</v>
      </c>
      <c r="P96" s="23">
        <v>80000</v>
      </c>
      <c r="Q96" s="23">
        <f t="shared" si="3"/>
        <v>1360000</v>
      </c>
    </row>
    <row r="97" spans="8:17">
      <c r="I97" s="1886"/>
      <c r="J97" s="1886"/>
      <c r="K97" s="1886"/>
      <c r="L97" s="1886"/>
      <c r="N97" s="23" t="s">
        <v>2424</v>
      </c>
      <c r="O97" s="23">
        <v>34</v>
      </c>
      <c r="P97" s="23">
        <v>60000</v>
      </c>
      <c r="Q97" s="23">
        <f t="shared" si="3"/>
        <v>2040000</v>
      </c>
    </row>
    <row r="98" spans="8:17" ht="15">
      <c r="H98" s="1886"/>
      <c r="I98" s="1652"/>
      <c r="J98" s="1653"/>
      <c r="K98" s="1653"/>
      <c r="L98" s="1653"/>
      <c r="M98" s="1886"/>
      <c r="N98" s="23" t="s">
        <v>2425</v>
      </c>
      <c r="O98" s="23">
        <v>17</v>
      </c>
      <c r="P98" s="23">
        <v>60000</v>
      </c>
      <c r="Q98" s="23">
        <f t="shared" si="3"/>
        <v>1020000</v>
      </c>
    </row>
    <row r="99" spans="8:17">
      <c r="H99" s="1886"/>
      <c r="I99" s="3"/>
      <c r="J99" s="1654"/>
      <c r="K99" s="1655"/>
      <c r="L99" s="1655"/>
      <c r="M99" s="1886"/>
      <c r="N99" s="23" t="s">
        <v>2426</v>
      </c>
      <c r="O99" s="23">
        <v>34</v>
      </c>
      <c r="P99" s="23">
        <v>40000</v>
      </c>
      <c r="Q99" s="23">
        <f t="shared" si="3"/>
        <v>1360000</v>
      </c>
    </row>
    <row r="100" spans="8:17">
      <c r="H100" s="1886"/>
      <c r="I100" s="643"/>
      <c r="J100" s="1656"/>
      <c r="K100" s="957"/>
      <c r="L100" s="957"/>
      <c r="M100" s="1886"/>
      <c r="N100" s="23" t="s">
        <v>2427</v>
      </c>
      <c r="O100" s="23">
        <v>17</v>
      </c>
      <c r="P100" s="23">
        <v>40000</v>
      </c>
      <c r="Q100" s="23">
        <f t="shared" si="3"/>
        <v>680000</v>
      </c>
    </row>
    <row r="101" spans="8:17">
      <c r="H101" s="1886"/>
      <c r="I101" s="1"/>
      <c r="J101" s="1656"/>
      <c r="K101" s="957"/>
      <c r="L101" s="957"/>
      <c r="M101" s="1886"/>
      <c r="N101" s="23" t="s">
        <v>147</v>
      </c>
      <c r="O101" s="23">
        <f>SUM(O94:O100)</f>
        <v>125</v>
      </c>
      <c r="P101" s="23"/>
      <c r="Q101" s="23">
        <f>SUM(Q94:Q100)</f>
        <v>7210000</v>
      </c>
    </row>
    <row r="102" spans="8:17" ht="15">
      <c r="H102" s="1886"/>
      <c r="I102" s="3"/>
      <c r="J102" s="1655"/>
      <c r="K102" s="1655"/>
      <c r="L102" s="1655"/>
      <c r="M102" s="1886"/>
      <c r="N102" s="1896" t="s">
        <v>2428</v>
      </c>
      <c r="O102" s="1896"/>
      <c r="P102" s="1896"/>
      <c r="Q102" s="1896"/>
    </row>
    <row r="103" spans="8:17">
      <c r="H103" s="1886"/>
      <c r="I103" s="643"/>
      <c r="J103" s="374"/>
      <c r="M103" s="1886"/>
      <c r="N103" s="23" t="s">
        <v>2429</v>
      </c>
      <c r="O103" s="23">
        <v>17</v>
      </c>
      <c r="P103" s="23">
        <v>100000</v>
      </c>
      <c r="Q103" s="23">
        <f>O103*P103</f>
        <v>1700000</v>
      </c>
    </row>
    <row r="104" spans="8:17">
      <c r="H104" s="1886"/>
      <c r="I104" s="643"/>
      <c r="J104" s="374"/>
      <c r="K104" s="7"/>
      <c r="M104" s="1886"/>
      <c r="N104" s="23" t="s">
        <v>2430</v>
      </c>
      <c r="O104" s="23">
        <v>35</v>
      </c>
      <c r="P104" s="23">
        <v>60000</v>
      </c>
      <c r="Q104" s="23">
        <f>O104*P104</f>
        <v>2100000</v>
      </c>
    </row>
    <row r="105" spans="8:17" ht="25.5">
      <c r="I105" s="1887"/>
      <c r="J105" s="1887"/>
      <c r="K105" s="1887"/>
      <c r="L105" s="1887"/>
      <c r="N105" s="1504" t="s">
        <v>2431</v>
      </c>
      <c r="O105" s="23">
        <v>17</v>
      </c>
      <c r="P105" s="23">
        <v>50000</v>
      </c>
      <c r="Q105" s="23">
        <f>O105*P105</f>
        <v>850000</v>
      </c>
    </row>
    <row r="106" spans="8:17">
      <c r="J106" s="7"/>
      <c r="K106" s="7"/>
      <c r="N106" s="23" t="s">
        <v>147</v>
      </c>
      <c r="O106" s="23"/>
      <c r="P106" s="23"/>
      <c r="Q106" s="23">
        <f>SUM(Q103:Q105)</f>
        <v>4650000</v>
      </c>
    </row>
    <row r="107" spans="8:17">
      <c r="N107" s="1897" t="s">
        <v>2432</v>
      </c>
      <c r="O107" s="1897"/>
      <c r="P107" s="1897"/>
      <c r="Q107" s="23">
        <f>Q106+Q101</f>
        <v>11860000</v>
      </c>
    </row>
    <row r="108" spans="8:17">
      <c r="I108" s="2"/>
      <c r="K108" s="7"/>
      <c r="N108" s="1897" t="s">
        <v>2433</v>
      </c>
      <c r="O108" s="1897"/>
      <c r="P108" s="1897"/>
      <c r="Q108" s="23">
        <f>Q107*12</f>
        <v>142320000</v>
      </c>
    </row>
    <row r="111" spans="8:17">
      <c r="I111" s="161"/>
      <c r="K111" s="9"/>
    </row>
    <row r="112" spans="8:17">
      <c r="J112" s="12"/>
      <c r="K112" s="12"/>
    </row>
    <row r="113" spans="9:11">
      <c r="I113" s="161"/>
    </row>
    <row r="114" spans="9:11">
      <c r="I114" s="2"/>
      <c r="J114" s="7"/>
      <c r="K114" s="7"/>
    </row>
    <row r="115" spans="9:11">
      <c r="J115" s="7"/>
      <c r="K115" s="7"/>
    </row>
    <row r="116" spans="9:11">
      <c r="I116" s="161"/>
    </row>
    <row r="117" spans="9:11">
      <c r="I117" s="2"/>
    </row>
    <row r="126" spans="9:11">
      <c r="J126" s="7"/>
      <c r="K126" s="7"/>
    </row>
    <row r="127" spans="9:11">
      <c r="J127" s="7"/>
      <c r="K127" s="7"/>
    </row>
    <row r="128" spans="9:11">
      <c r="J128" s="12"/>
      <c r="K128" s="12"/>
    </row>
    <row r="131" spans="9:11">
      <c r="I131" s="1886"/>
      <c r="J131" s="1886"/>
      <c r="K131" s="161"/>
    </row>
    <row r="132" spans="9:11">
      <c r="I132" s="1886"/>
      <c r="J132" s="1886"/>
    </row>
    <row r="141" spans="9:11">
      <c r="I141" s="506"/>
      <c r="K141" s="7"/>
    </row>
    <row r="142" spans="9:11">
      <c r="I142" s="506"/>
      <c r="K142" s="7"/>
    </row>
    <row r="143" spans="9:11">
      <c r="K143" s="116"/>
    </row>
    <row r="163" spans="9:11">
      <c r="I163" s="161"/>
    </row>
    <row r="165" spans="9:11">
      <c r="I165" s="66"/>
    </row>
    <row r="168" spans="9:11">
      <c r="K168" s="12"/>
    </row>
  </sheetData>
  <mergeCells count="19">
    <mergeCell ref="M98:M104"/>
    <mergeCell ref="I131:I132"/>
    <mergeCell ref="J131:J132"/>
    <mergeCell ref="J66:J67"/>
    <mergeCell ref="K75:K77"/>
    <mergeCell ref="M66:N66"/>
    <mergeCell ref="M72:N72"/>
    <mergeCell ref="N92:Q92"/>
    <mergeCell ref="N102:Q102"/>
    <mergeCell ref="N107:P107"/>
    <mergeCell ref="N108:P108"/>
    <mergeCell ref="B5:B6"/>
    <mergeCell ref="H98:H104"/>
    <mergeCell ref="I105:L105"/>
    <mergeCell ref="B73:G73"/>
    <mergeCell ref="J75:J77"/>
    <mergeCell ref="B68:G68"/>
    <mergeCell ref="B69:G71"/>
    <mergeCell ref="I97:L97"/>
  </mergeCells>
  <phoneticPr fontId="0" type="noConversion"/>
  <printOptions horizontalCentered="1" gridLines="1"/>
  <pageMargins left="0.23622047244094491" right="0" top="0.98425196850393704" bottom="0.51181102362204722" header="0" footer="0.59055118110236227"/>
  <pageSetup paperSize="9" orientation="portrait" r:id="rId1"/>
  <headerFooter alignWithMargins="0">
    <oddFooter>&amp;R&amp;"Arial,Bold"&amp;12OERC FORM-&amp;A</oddFooter>
  </headerFooter>
  <rowBreaks count="1" manualBreakCount="1">
    <brk id="48" max="6"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49"/>
  <dimension ref="A1:M51"/>
  <sheetViews>
    <sheetView view="pageBreakPreview" zoomScale="90" zoomScaleNormal="75" zoomScaleSheetLayoutView="90" workbookViewId="0">
      <pane xSplit="1" ySplit="6" topLeftCell="B16" activePane="bottomRight" state="frozen"/>
      <selection activeCell="B10" sqref="A10:XFD10"/>
      <selection pane="topRight" activeCell="B10" sqref="A10:XFD10"/>
      <selection pane="bottomLeft" activeCell="B10" sqref="A10:XFD10"/>
      <selection pane="bottomRight" activeCell="F21" sqref="F21"/>
    </sheetView>
  </sheetViews>
  <sheetFormatPr defaultRowHeight="12.75"/>
  <cols>
    <col min="1" max="1" width="23.28515625" customWidth="1"/>
    <col min="2" max="3" width="12.85546875" bestFit="1" customWidth="1"/>
    <col min="4" max="4" width="14.140625" bestFit="1" customWidth="1"/>
    <col min="5" max="5" width="10.5703125" hidden="1" customWidth="1"/>
    <col min="6" max="6" width="10.7109375" customWidth="1"/>
    <col min="7" max="7" width="12" hidden="1" customWidth="1"/>
    <col min="8" max="8" width="11" hidden="1" customWidth="1"/>
    <col min="9" max="9" width="9.85546875" customWidth="1"/>
    <col min="10" max="10" width="10.28515625" customWidth="1"/>
    <col min="12" max="12" width="12.42578125" customWidth="1"/>
  </cols>
  <sheetData>
    <row r="1" spans="1:13">
      <c r="A1" s="20" t="s">
        <v>106</v>
      </c>
      <c r="J1" s="3" t="s">
        <v>0</v>
      </c>
      <c r="K1" s="2" t="s">
        <v>1037</v>
      </c>
      <c r="L1" s="2"/>
    </row>
    <row r="2" spans="1:13">
      <c r="K2" s="2"/>
      <c r="L2" s="2"/>
    </row>
    <row r="3" spans="1:13" ht="15.75">
      <c r="A3" s="805" t="s">
        <v>2230</v>
      </c>
      <c r="B3" s="805"/>
      <c r="C3" s="805"/>
      <c r="D3" s="805"/>
      <c r="E3" s="805"/>
      <c r="F3" s="805"/>
      <c r="G3" s="805"/>
      <c r="H3" s="805"/>
      <c r="I3" s="805"/>
      <c r="J3" s="805"/>
      <c r="K3" s="805"/>
      <c r="L3" s="805"/>
    </row>
    <row r="4" spans="1:13">
      <c r="B4" s="806"/>
      <c r="C4" s="806"/>
      <c r="D4" s="806"/>
      <c r="E4" s="806"/>
      <c r="F4" s="806"/>
      <c r="K4" s="2"/>
      <c r="L4" s="2" t="s">
        <v>526</v>
      </c>
    </row>
    <row r="5" spans="1:13" ht="32.25" customHeight="1">
      <c r="A5" s="33" t="s">
        <v>1038</v>
      </c>
      <c r="B5" s="1898" t="s">
        <v>1039</v>
      </c>
      <c r="C5" s="1898" t="s">
        <v>1040</v>
      </c>
      <c r="D5" s="1898" t="s">
        <v>2247</v>
      </c>
      <c r="E5" s="1898" t="s">
        <v>1041</v>
      </c>
      <c r="F5" s="1898" t="s">
        <v>1042</v>
      </c>
      <c r="G5" s="33" t="s">
        <v>1043</v>
      </c>
      <c r="H5" s="1899" t="s">
        <v>1044</v>
      </c>
      <c r="I5" s="1899" t="s">
        <v>1045</v>
      </c>
      <c r="J5" s="1899" t="s">
        <v>1046</v>
      </c>
      <c r="K5" s="1899" t="s">
        <v>1047</v>
      </c>
      <c r="L5" s="1899" t="s">
        <v>1048</v>
      </c>
      <c r="M5" s="66"/>
    </row>
    <row r="6" spans="1:13" ht="13.5" customHeight="1">
      <c r="A6" s="33"/>
      <c r="B6" s="1898"/>
      <c r="C6" s="1898"/>
      <c r="D6" s="1898"/>
      <c r="E6" s="1898"/>
      <c r="F6" s="1898"/>
      <c r="G6" s="33"/>
      <c r="H6" s="1899"/>
      <c r="I6" s="1899"/>
      <c r="J6" s="1899"/>
      <c r="K6" s="1899"/>
      <c r="L6" s="1899"/>
      <c r="M6" s="66"/>
    </row>
    <row r="7" spans="1:13">
      <c r="A7" s="68" t="s">
        <v>1049</v>
      </c>
      <c r="B7" s="807">
        <v>515.22694825340011</v>
      </c>
      <c r="C7" s="807">
        <v>460.07412507940023</v>
      </c>
      <c r="D7" s="807">
        <v>5423.190034489201</v>
      </c>
      <c r="E7" s="807"/>
      <c r="F7" s="650">
        <f t="shared" ref="F7:F28" si="0">SUM(B7:E7)</f>
        <v>6398.4911078220011</v>
      </c>
      <c r="G7" s="650">
        <f>'T-6'!I12</f>
        <v>1219.0260000000001</v>
      </c>
      <c r="H7" s="646">
        <f t="shared" ref="H7:H28" si="1">F7/G7*365</f>
        <v>1915.8321925496505</v>
      </c>
      <c r="I7" s="354">
        <v>0</v>
      </c>
      <c r="J7" s="354">
        <v>2007.6323167231003</v>
      </c>
      <c r="K7" s="354"/>
      <c r="L7" s="354"/>
    </row>
    <row r="8" spans="1:13">
      <c r="A8" s="68" t="s">
        <v>174</v>
      </c>
      <c r="B8" s="807">
        <v>29360.408270266325</v>
      </c>
      <c r="C8" s="807">
        <v>18336.289124437291</v>
      </c>
      <c r="D8" s="807">
        <v>249776.70845133008</v>
      </c>
      <c r="E8" s="807"/>
      <c r="F8" s="650">
        <f t="shared" si="0"/>
        <v>297473.40584603371</v>
      </c>
      <c r="G8" s="650">
        <f>'T-6'!I18</f>
        <v>84088.66441980192</v>
      </c>
      <c r="H8" s="646">
        <f t="shared" si="1"/>
        <v>1291.2298451042288</v>
      </c>
      <c r="I8" s="354">
        <v>566.30699010000001</v>
      </c>
      <c r="J8" s="354">
        <v>56694.940904666335</v>
      </c>
      <c r="K8" s="354"/>
      <c r="L8" s="354"/>
    </row>
    <row r="9" spans="1:13">
      <c r="A9" s="68" t="s">
        <v>1050</v>
      </c>
      <c r="B9" s="807">
        <v>3575.4169408680973</v>
      </c>
      <c r="C9" s="807">
        <v>1658.2905166351986</v>
      </c>
      <c r="D9" s="807">
        <v>11274.15261192429</v>
      </c>
      <c r="E9" s="807"/>
      <c r="F9" s="650">
        <f t="shared" si="0"/>
        <v>16507.860069427585</v>
      </c>
      <c r="G9" s="650">
        <f>'T-6'!I25</f>
        <v>28212.200390301576</v>
      </c>
      <c r="H9" s="646">
        <f t="shared" si="1"/>
        <v>213.57316487133673</v>
      </c>
      <c r="I9" s="354">
        <v>18.422637899999998</v>
      </c>
      <c r="J9" s="354">
        <v>15513.842316977334</v>
      </c>
      <c r="K9" s="354"/>
      <c r="L9" s="354"/>
    </row>
    <row r="10" spans="1:13">
      <c r="A10" s="573" t="s">
        <v>63</v>
      </c>
      <c r="B10" s="807">
        <v>3675.1201487614021</v>
      </c>
      <c r="C10" s="807">
        <v>1774.1299342494992</v>
      </c>
      <c r="D10" s="807">
        <v>21467.836669606728</v>
      </c>
      <c r="E10" s="807"/>
      <c r="F10" s="650">
        <f t="shared" si="0"/>
        <v>26917.08675261763</v>
      </c>
      <c r="G10" s="650">
        <f>'T-6'!I26</f>
        <v>6591.8209999999999</v>
      </c>
      <c r="H10" s="646">
        <f t="shared" si="1"/>
        <v>1490.4434851470382</v>
      </c>
      <c r="I10" s="354">
        <v>0</v>
      </c>
      <c r="J10" s="354">
        <v>5764.4005804999015</v>
      </c>
      <c r="K10" s="354"/>
      <c r="L10" s="354"/>
    </row>
    <row r="11" spans="1:13">
      <c r="A11" s="573" t="s">
        <v>64</v>
      </c>
      <c r="B11" s="807">
        <v>30.424174889799986</v>
      </c>
      <c r="C11" s="807">
        <v>7.7966570011000007</v>
      </c>
      <c r="D11" s="807">
        <v>14.311949320099998</v>
      </c>
      <c r="E11" s="807"/>
      <c r="F11" s="650">
        <f t="shared" si="0"/>
        <v>52.532781210999985</v>
      </c>
      <c r="G11" s="650">
        <f>'T-6'!I27+'T-6'!I41</f>
        <v>170.85999999999999</v>
      </c>
      <c r="H11" s="646">
        <f t="shared" si="1"/>
        <v>112.22325378681376</v>
      </c>
      <c r="I11" s="354">
        <v>0</v>
      </c>
      <c r="J11" s="354">
        <v>8.6011999999999986</v>
      </c>
      <c r="K11" s="354"/>
      <c r="L11" s="354"/>
    </row>
    <row r="12" spans="1:13">
      <c r="A12" s="573" t="s">
        <v>65</v>
      </c>
      <c r="B12" s="807">
        <v>20.004654883600004</v>
      </c>
      <c r="C12" s="807">
        <v>21.99006401010001</v>
      </c>
      <c r="D12" s="807">
        <v>9.4939091159000011</v>
      </c>
      <c r="E12" s="807"/>
      <c r="F12" s="650">
        <f t="shared" si="0"/>
        <v>51.488628009600014</v>
      </c>
      <c r="G12" s="650">
        <f>'T-6'!I28+'T-6'!I42</f>
        <v>380.43799999999999</v>
      </c>
      <c r="H12" s="646">
        <f t="shared" si="1"/>
        <v>49.399243039612251</v>
      </c>
      <c r="I12" s="354">
        <v>0</v>
      </c>
      <c r="J12" s="354">
        <f>2.7060748375+21.4703663</f>
        <v>24.176441137499999</v>
      </c>
      <c r="K12" s="354"/>
      <c r="L12" s="354"/>
    </row>
    <row r="13" spans="1:13">
      <c r="A13" s="68" t="s">
        <v>1051</v>
      </c>
      <c r="B13" s="807">
        <v>1004.4104813758004</v>
      </c>
      <c r="C13" s="807">
        <v>477.7799461763002</v>
      </c>
      <c r="D13" s="807">
        <v>2512.9202032033986</v>
      </c>
      <c r="E13" s="807"/>
      <c r="F13" s="650">
        <f t="shared" si="0"/>
        <v>3995.1106307554992</v>
      </c>
      <c r="G13" s="650">
        <f>'T-6'!I29</f>
        <v>2565.7009741999996</v>
      </c>
      <c r="H13" s="646">
        <f t="shared" si="1"/>
        <v>568.34970048699347</v>
      </c>
      <c r="I13" s="354">
        <v>0</v>
      </c>
      <c r="J13" s="354">
        <v>358.34441880740002</v>
      </c>
      <c r="K13" s="354"/>
      <c r="L13" s="354"/>
    </row>
    <row r="14" spans="1:13">
      <c r="A14" s="68" t="s">
        <v>182</v>
      </c>
      <c r="B14" s="807">
        <v>127.50276461969997</v>
      </c>
      <c r="C14" s="807">
        <v>27.547618078100015</v>
      </c>
      <c r="D14" s="807">
        <v>83.553820192199979</v>
      </c>
      <c r="E14" s="807"/>
      <c r="F14" s="650">
        <f t="shared" si="0"/>
        <v>238.60420288999995</v>
      </c>
      <c r="G14" s="650">
        <f>'T-6'!I30</f>
        <v>1373.2920985599997</v>
      </c>
      <c r="H14" s="646">
        <f t="shared" si="1"/>
        <v>63.417341544578157</v>
      </c>
      <c r="I14" s="354">
        <v>0</v>
      </c>
      <c r="J14" s="354">
        <v>1237.5865579002002</v>
      </c>
      <c r="K14" s="354"/>
      <c r="L14" s="354"/>
    </row>
    <row r="15" spans="1:13">
      <c r="A15" s="68" t="s">
        <v>183</v>
      </c>
      <c r="B15" s="807">
        <v>157.15470835739995</v>
      </c>
      <c r="C15" s="807">
        <v>85.93234976319998</v>
      </c>
      <c r="D15" s="807">
        <v>103.84152994040001</v>
      </c>
      <c r="E15" s="807"/>
      <c r="F15" s="650">
        <f t="shared" si="0"/>
        <v>346.92858806099991</v>
      </c>
      <c r="G15" s="650">
        <f>'T-6'!I31</f>
        <v>5565.1687378799998</v>
      </c>
      <c r="H15" s="646">
        <f t="shared" si="1"/>
        <v>22.753835616941796</v>
      </c>
      <c r="I15" s="354">
        <v>0</v>
      </c>
      <c r="J15" s="354">
        <v>624.92196577669995</v>
      </c>
      <c r="K15" s="354"/>
      <c r="L15" s="354"/>
    </row>
    <row r="16" spans="1:13">
      <c r="A16" s="68" t="s">
        <v>78</v>
      </c>
      <c r="B16" s="807">
        <v>578.24673622980004</v>
      </c>
      <c r="C16" s="807">
        <v>289.39978346020007</v>
      </c>
      <c r="D16" s="807">
        <v>1634.8543575356</v>
      </c>
      <c r="E16" s="807"/>
      <c r="F16" s="650">
        <f t="shared" si="0"/>
        <v>2502.5008772256001</v>
      </c>
      <c r="G16" s="650">
        <f>'T-6'!I32</f>
        <v>2981.1460414600001</v>
      </c>
      <c r="H16" s="646">
        <f t="shared" si="1"/>
        <v>306.39653592415254</v>
      </c>
      <c r="I16" s="354">
        <v>3.6578327000000002</v>
      </c>
      <c r="J16" s="354">
        <v>1178.2820383202998</v>
      </c>
      <c r="K16" s="354"/>
      <c r="L16" s="354"/>
    </row>
    <row r="17" spans="1:12">
      <c r="A17" s="68" t="s">
        <v>1052</v>
      </c>
      <c r="B17" s="807">
        <v>909.40598392369998</v>
      </c>
      <c r="C17" s="807">
        <v>892.09746915440019</v>
      </c>
      <c r="D17" s="807">
        <v>2976.432927440102</v>
      </c>
      <c r="E17" s="807"/>
      <c r="F17" s="650">
        <f t="shared" si="0"/>
        <v>4777.936380518202</v>
      </c>
      <c r="G17" s="650">
        <f>'T-6'!I33+'T-6'!I34</f>
        <v>5018.2003650199995</v>
      </c>
      <c r="H17" s="646">
        <f t="shared" si="1"/>
        <v>347.52434180299883</v>
      </c>
      <c r="I17" s="354">
        <v>0</v>
      </c>
      <c r="J17" s="354">
        <v>551.24828157000013</v>
      </c>
      <c r="K17" s="354"/>
      <c r="L17" s="354"/>
    </row>
    <row r="18" spans="1:12">
      <c r="A18" s="509" t="s">
        <v>2248</v>
      </c>
      <c r="B18" s="807">
        <v>30.749903283099989</v>
      </c>
      <c r="C18" s="807">
        <v>17.5403921656</v>
      </c>
      <c r="D18" s="807">
        <v>104.48715508490004</v>
      </c>
      <c r="E18" s="807"/>
      <c r="F18" s="650">
        <f t="shared" si="0"/>
        <v>152.77745053360002</v>
      </c>
      <c r="G18" s="650">
        <f>'T-6'!I39</f>
        <v>682.35015979000025</v>
      </c>
      <c r="H18" s="646">
        <f t="shared" si="1"/>
        <v>81.723098682831463</v>
      </c>
      <c r="I18" s="36">
        <v>0</v>
      </c>
      <c r="J18" s="36">
        <f>28.8284371+78.20694974</f>
        <v>107.03538684</v>
      </c>
      <c r="K18" s="354"/>
      <c r="L18" s="354"/>
    </row>
    <row r="19" spans="1:12">
      <c r="A19" s="606" t="s">
        <v>1053</v>
      </c>
      <c r="B19" s="650">
        <v>-1.2892696966999999</v>
      </c>
      <c r="C19" s="650">
        <v>1.15E-6</v>
      </c>
      <c r="D19" s="650">
        <v>1.3740408399999999</v>
      </c>
      <c r="E19" s="650"/>
      <c r="F19" s="650">
        <f t="shared" si="0"/>
        <v>8.4772293299999912E-2</v>
      </c>
      <c r="G19" s="650">
        <f>'T-6'!I40</f>
        <v>744.80537984</v>
      </c>
      <c r="H19" s="646"/>
      <c r="I19" s="36">
        <v>0</v>
      </c>
      <c r="J19" s="36">
        <v>10.607454300000002</v>
      </c>
      <c r="K19" s="354"/>
      <c r="L19" s="354"/>
    </row>
    <row r="20" spans="1:12">
      <c r="A20" s="68" t="s">
        <v>78</v>
      </c>
      <c r="B20" s="650">
        <v>80.434232489999999</v>
      </c>
      <c r="C20" s="807">
        <v>37.933623621199999</v>
      </c>
      <c r="D20" s="807">
        <v>33.359056452600001</v>
      </c>
      <c r="E20" s="650"/>
      <c r="F20" s="650">
        <f t="shared" si="0"/>
        <v>151.7269125638</v>
      </c>
      <c r="G20" s="650">
        <f>'T-6'!I43</f>
        <v>1483.2881618399999</v>
      </c>
      <c r="H20" s="646">
        <f t="shared" si="1"/>
        <v>37.336186258702703</v>
      </c>
      <c r="I20" s="36">
        <v>13.615662199999999</v>
      </c>
      <c r="J20" s="36">
        <v>3.6100023999999999</v>
      </c>
      <c r="K20" s="354"/>
      <c r="L20" s="354"/>
    </row>
    <row r="21" spans="1:12">
      <c r="A21" s="606" t="s">
        <v>90</v>
      </c>
      <c r="B21" s="650">
        <v>77.783524208699987</v>
      </c>
      <c r="C21" s="650">
        <v>258.57862024000013</v>
      </c>
      <c r="D21" s="650">
        <v>299.53925869839998</v>
      </c>
      <c r="E21" s="650"/>
      <c r="F21" s="650">
        <f t="shared" si="0"/>
        <v>635.90140314710015</v>
      </c>
      <c r="G21" s="650">
        <f>'T-6'!I35+'T-6'!I45+'T-6'!I56</f>
        <v>9837.1505823249972</v>
      </c>
      <c r="H21" s="646">
        <f t="shared" si="1"/>
        <v>23.594638529344753</v>
      </c>
      <c r="I21" s="36">
        <v>6.1862799999999996E-2</v>
      </c>
      <c r="J21" s="36">
        <v>-24.958134566400012</v>
      </c>
      <c r="K21" s="354"/>
      <c r="L21" s="354"/>
    </row>
    <row r="22" spans="1:12">
      <c r="A22" s="606" t="s">
        <v>1054</v>
      </c>
      <c r="B22" s="650">
        <v>72.337956849999998</v>
      </c>
      <c r="C22" s="650">
        <v>17.708171493999998</v>
      </c>
      <c r="D22" s="650">
        <v>293.46578648000002</v>
      </c>
      <c r="E22" s="650"/>
      <c r="F22" s="650">
        <f t="shared" si="0"/>
        <v>383.51191482400003</v>
      </c>
      <c r="G22" s="650">
        <f>'T-6'!I47</f>
        <v>2418.3663431800001</v>
      </c>
      <c r="H22" s="646">
        <f t="shared" si="1"/>
        <v>57.882813869586293</v>
      </c>
      <c r="I22" s="36">
        <v>554.11941999999999</v>
      </c>
      <c r="J22" s="36">
        <v>152.003334</v>
      </c>
      <c r="K22" s="354"/>
      <c r="L22" s="354"/>
    </row>
    <row r="23" spans="1:12">
      <c r="A23" s="606" t="s">
        <v>73</v>
      </c>
      <c r="B23" s="650">
        <v>-4.1021342273000059</v>
      </c>
      <c r="C23" s="650">
        <v>355.51498022369998</v>
      </c>
      <c r="D23" s="650">
        <v>909.77269527009992</v>
      </c>
      <c r="E23" s="650"/>
      <c r="F23" s="650">
        <f t="shared" si="0"/>
        <v>1261.1855412665</v>
      </c>
      <c r="G23" s="650">
        <f>'T-6'!I36+'T-6'!I46+'T-6'!I48+'T-6'!I53+'T-6'!I57</f>
        <v>83948.160036114001</v>
      </c>
      <c r="H23" s="646">
        <f t="shared" si="1"/>
        <v>5.4835355815331761</v>
      </c>
      <c r="I23" s="36">
        <v>813.6258492999998</v>
      </c>
      <c r="J23" s="36">
        <v>4137.2822479783999</v>
      </c>
      <c r="K23" s="354"/>
      <c r="L23" s="354"/>
    </row>
    <row r="24" spans="1:12">
      <c r="A24" s="606" t="s">
        <v>1055</v>
      </c>
      <c r="B24" s="650">
        <v>78.244542199999998</v>
      </c>
      <c r="C24" s="650">
        <v>232.75963341799999</v>
      </c>
      <c r="D24" s="650">
        <v>5.0000000000000003E-10</v>
      </c>
      <c r="E24" s="650"/>
      <c r="F24" s="650">
        <f t="shared" si="0"/>
        <v>311.00417561849997</v>
      </c>
      <c r="G24" s="650">
        <f>'T-6'!I52+'T-6'!I63</f>
        <v>295.04378640000004</v>
      </c>
      <c r="H24" s="646">
        <f t="shared" si="1"/>
        <v>384.74466954831786</v>
      </c>
      <c r="I24" s="36">
        <v>0</v>
      </c>
      <c r="J24" s="36">
        <v>331.32093859999998</v>
      </c>
      <c r="K24" s="354"/>
      <c r="L24" s="354"/>
    </row>
    <row r="25" spans="1:12">
      <c r="A25" s="606" t="s">
        <v>85</v>
      </c>
      <c r="B25" s="650">
        <v>6.4900000000000005E-5</v>
      </c>
      <c r="C25" s="650">
        <v>8.9530000000000005E-6</v>
      </c>
      <c r="D25" s="650">
        <v>5.6532999999999989E-6</v>
      </c>
      <c r="E25" s="650"/>
      <c r="F25" s="650">
        <f t="shared" si="0"/>
        <v>7.9506300000000001E-5</v>
      </c>
      <c r="G25" s="650">
        <f>'T-6'!I58+'T-6'!I51</f>
        <v>44280.195606600013</v>
      </c>
      <c r="H25" s="646">
        <f t="shared" si="1"/>
        <v>6.5536746399725861E-7</v>
      </c>
      <c r="I25" s="36">
        <v>0</v>
      </c>
      <c r="J25" s="36">
        <v>-3.0067749127000001</v>
      </c>
      <c r="K25" s="354"/>
      <c r="L25" s="354"/>
    </row>
    <row r="26" spans="1:12">
      <c r="A26" s="606" t="s">
        <v>92</v>
      </c>
      <c r="B26" s="650">
        <v>0.74077974199999996</v>
      </c>
      <c r="C26" s="650">
        <v>1.1999999999999998E-8</v>
      </c>
      <c r="D26" s="650">
        <v>1.0000000000000001E-9</v>
      </c>
      <c r="E26" s="650"/>
      <c r="F26" s="650">
        <f t="shared" si="0"/>
        <v>0.74077975499999993</v>
      </c>
      <c r="G26" s="650">
        <f>'T-6'!I59+'T-6'!I64</f>
        <v>34234.271332899996</v>
      </c>
      <c r="H26" s="646">
        <f t="shared" si="1"/>
        <v>7.898068223673671E-3</v>
      </c>
      <c r="I26" s="36">
        <v>283.32822720000001</v>
      </c>
      <c r="J26" s="36">
        <v>0</v>
      </c>
      <c r="K26" s="354"/>
      <c r="L26" s="354"/>
    </row>
    <row r="27" spans="1:12">
      <c r="A27" s="606" t="s">
        <v>83</v>
      </c>
      <c r="B27" s="650">
        <v>-8891.0379770495001</v>
      </c>
      <c r="C27" s="650">
        <v>2.5301999999999999E-5</v>
      </c>
      <c r="D27" s="650">
        <v>4.6199999999999997E-8</v>
      </c>
      <c r="E27" s="650"/>
      <c r="F27" s="650">
        <f t="shared" si="0"/>
        <v>-8891.0379517012989</v>
      </c>
      <c r="G27" s="650">
        <f>'T-6'!I49+'T-6'!I60</f>
        <v>77907.337726750004</v>
      </c>
      <c r="H27" s="646">
        <f t="shared" si="1"/>
        <v>-41.654983305336373</v>
      </c>
      <c r="I27" s="36">
        <v>27765.272467199997</v>
      </c>
      <c r="J27" s="36">
        <v>2552.0654975000002</v>
      </c>
      <c r="K27" s="354"/>
      <c r="L27" s="354"/>
    </row>
    <row r="28" spans="1:12">
      <c r="A28" s="606" t="s">
        <v>93</v>
      </c>
      <c r="B28" s="650">
        <v>6.1510000000000009E-6</v>
      </c>
      <c r="C28" s="650">
        <v>3.2000000000000002E-8</v>
      </c>
      <c r="D28" s="650">
        <v>4.0000000000000001E-10</v>
      </c>
      <c r="E28" s="650"/>
      <c r="F28" s="650">
        <f t="shared" si="0"/>
        <v>6.1834000000000008E-6</v>
      </c>
      <c r="G28" s="650">
        <f>'T-6'!I50+'T-6'!I62</f>
        <v>8568.3156759800004</v>
      </c>
      <c r="H28" s="646">
        <f t="shared" si="1"/>
        <v>2.6340544458778506E-7</v>
      </c>
      <c r="I28" s="36">
        <v>17.52392</v>
      </c>
      <c r="J28" s="36">
        <v>-1.3500000000000001E-5</v>
      </c>
      <c r="K28" s="354"/>
      <c r="L28" s="354"/>
    </row>
    <row r="29" spans="1:12">
      <c r="A29" s="33" t="s">
        <v>231</v>
      </c>
      <c r="B29" s="808">
        <f>SUM(B7:B28)</f>
        <v>31397.183441280322</v>
      </c>
      <c r="C29" s="808">
        <f t="shared" ref="C29:G29" si="2">SUM(C7:C28)</f>
        <v>24951.3630446563</v>
      </c>
      <c r="D29" s="808">
        <f t="shared" si="2"/>
        <v>296919.29446262534</v>
      </c>
      <c r="E29" s="808">
        <f t="shared" si="2"/>
        <v>0</v>
      </c>
      <c r="F29" s="808">
        <f t="shared" si="2"/>
        <v>353267.84094856202</v>
      </c>
      <c r="G29" s="808">
        <f t="shared" si="2"/>
        <v>402565.80281894247</v>
      </c>
      <c r="H29" s="646">
        <f>F29/G29*365</f>
        <v>320.30232335511687</v>
      </c>
      <c r="I29" s="808">
        <f>SUM(I7:I28)</f>
        <v>30035.934869399996</v>
      </c>
      <c r="J29" s="808">
        <f>SUM(J7:J28)</f>
        <v>91229.936961018073</v>
      </c>
      <c r="K29" s="808">
        <f>SUM(K7:K28)</f>
        <v>0</v>
      </c>
      <c r="L29" s="808">
        <f>SUM(L7:L28)</f>
        <v>0</v>
      </c>
    </row>
    <row r="30" spans="1:12">
      <c r="A30" s="23"/>
      <c r="B30" s="113"/>
      <c r="C30" s="113"/>
      <c r="D30" s="113"/>
      <c r="E30" s="113"/>
      <c r="F30" s="809"/>
      <c r="G30" s="809"/>
      <c r="H30" s="23"/>
      <c r="I30" s="36"/>
      <c r="J30" s="36"/>
      <c r="K30" s="36"/>
      <c r="L30" s="160"/>
    </row>
    <row r="31" spans="1:12">
      <c r="A31" s="23" t="s">
        <v>1056</v>
      </c>
      <c r="B31" s="113"/>
      <c r="C31" s="113"/>
      <c r="D31" s="113"/>
      <c r="E31" s="113"/>
      <c r="F31" s="113"/>
      <c r="G31" s="113"/>
      <c r="H31" s="23"/>
      <c r="I31" s="36"/>
      <c r="J31" s="36"/>
      <c r="K31" s="36"/>
      <c r="L31" s="36"/>
    </row>
    <row r="32" spans="1:12">
      <c r="A32" s="810"/>
      <c r="B32" s="213"/>
      <c r="C32" s="213"/>
      <c r="D32" s="213"/>
      <c r="E32" s="213"/>
      <c r="F32" s="213"/>
      <c r="G32" s="213"/>
      <c r="I32" s="7"/>
      <c r="J32" s="7"/>
      <c r="K32" s="7"/>
      <c r="L32" s="7"/>
    </row>
    <row r="33" spans="1:12">
      <c r="A33" s="227"/>
      <c r="B33" s="213"/>
      <c r="C33" s="213"/>
      <c r="D33" s="213"/>
      <c r="E33" s="213"/>
      <c r="G33" s="7" t="e">
        <f>#REF!</f>
        <v>#REF!</v>
      </c>
      <c r="I33" s="7"/>
      <c r="J33" s="7"/>
      <c r="K33" s="7"/>
      <c r="L33" s="7"/>
    </row>
    <row r="34" spans="1:12">
      <c r="F34" s="7"/>
      <c r="G34" s="7">
        <f>109890.78+63482.91</f>
        <v>173373.69</v>
      </c>
      <c r="L34" s="7"/>
    </row>
    <row r="35" spans="1:12">
      <c r="B35" s="7"/>
      <c r="C35" s="7"/>
      <c r="D35" s="7"/>
      <c r="E35" s="7"/>
      <c r="F35" s="7"/>
      <c r="G35">
        <f>17579.48+19096.83+20257.92+21097.29+19565.24+18110.26</f>
        <v>115707.01999999999</v>
      </c>
    </row>
    <row r="36" spans="1:12" hidden="1">
      <c r="J36" s="7"/>
    </row>
    <row r="37" spans="1:12" hidden="1">
      <c r="F37" s="7"/>
      <c r="H37" t="s">
        <v>1057</v>
      </c>
      <c r="J37" s="7"/>
    </row>
    <row r="38" spans="1:12" hidden="1">
      <c r="H38" t="s">
        <v>1058</v>
      </c>
      <c r="J38" s="7">
        <f>'F-9'!C16</f>
        <v>118731.43</v>
      </c>
    </row>
    <row r="39" spans="1:12" hidden="1">
      <c r="F39" s="7"/>
      <c r="H39" t="s">
        <v>1059</v>
      </c>
      <c r="J39" s="7" t="e">
        <f>#REF!</f>
        <v>#REF!</v>
      </c>
    </row>
    <row r="40" spans="1:12" hidden="1">
      <c r="H40" t="s">
        <v>386</v>
      </c>
      <c r="J40" s="7">
        <f>('F-22'!C8+'F-22'!C9)/2</f>
        <v>26804.583277331403</v>
      </c>
    </row>
    <row r="41" spans="1:12" hidden="1">
      <c r="H41" t="s">
        <v>1060</v>
      </c>
      <c r="J41" s="7">
        <f>9535.79+9041.91+10034.69+11940.56+10750.15+13851.77</f>
        <v>65154.869999999995</v>
      </c>
    </row>
    <row r="42" spans="1:12" hidden="1">
      <c r="H42" t="s">
        <v>1061</v>
      </c>
      <c r="J42" s="12" t="e">
        <f>J38+J39+J40-J41</f>
        <v>#REF!</v>
      </c>
    </row>
    <row r="43" spans="1:12" hidden="1">
      <c r="F43" s="7"/>
      <c r="J43" s="7"/>
    </row>
    <row r="44" spans="1:12" hidden="1">
      <c r="H44" t="s">
        <v>1062</v>
      </c>
      <c r="J44">
        <f>(5869.02+2203.87+2308.24+3871.28+780+826)</f>
        <v>15858.410000000002</v>
      </c>
    </row>
    <row r="45" spans="1:12" hidden="1">
      <c r="H45" t="s">
        <v>1063</v>
      </c>
      <c r="J45" s="217" t="e">
        <f>J44+J42</f>
        <v>#REF!</v>
      </c>
    </row>
    <row r="46" spans="1:12" hidden="1">
      <c r="J46" s="7" t="e">
        <f>J45-F29</f>
        <v>#REF!</v>
      </c>
    </row>
    <row r="47" spans="1:12" hidden="1"/>
    <row r="48" spans="1:12">
      <c r="G48" s="7" t="e">
        <f>G34+G33-G35</f>
        <v>#REF!</v>
      </c>
    </row>
    <row r="49" spans="7:10">
      <c r="G49" s="7"/>
      <c r="J49" s="7"/>
    </row>
    <row r="51" spans="7:10">
      <c r="G51" s="7"/>
    </row>
  </sheetData>
  <mergeCells count="10">
    <mergeCell ref="L5:L6"/>
    <mergeCell ref="H5:H6"/>
    <mergeCell ref="I5:I6"/>
    <mergeCell ref="J5:J6"/>
    <mergeCell ref="K5:K6"/>
    <mergeCell ref="B5:B6"/>
    <mergeCell ref="F5:F6"/>
    <mergeCell ref="D5:D6"/>
    <mergeCell ref="C5:C6"/>
    <mergeCell ref="E5:E6"/>
  </mergeCells>
  <phoneticPr fontId="0" type="noConversion"/>
  <printOptions horizontalCentered="1" gridLines="1"/>
  <pageMargins left="0.51181102362204722" right="0.23622047244094491" top="0.98425196850393704" bottom="0.74803149606299213" header="0.51181102362204722" footer="0.51181102362204722"/>
  <pageSetup paperSize="9" orientation="landscape" r:id="rId1"/>
  <headerFooter alignWithMargins="0">
    <oddFooter xml:space="preserve">&amp;R&amp;"Arial,Bold"&amp;12OERC FORM-&amp;A&amp;"Arial,Regular"&amp;10
</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50"/>
  <dimension ref="A1:G30"/>
  <sheetViews>
    <sheetView view="pageBreakPreview" topLeftCell="A8" workbookViewId="0">
      <selection activeCell="C18" sqref="C18"/>
    </sheetView>
  </sheetViews>
  <sheetFormatPr defaultRowHeight="12.75"/>
  <cols>
    <col min="1" max="1" width="19.85546875" customWidth="1"/>
    <col min="2" max="2" width="18" customWidth="1"/>
    <col min="3" max="3" width="17.28515625" customWidth="1"/>
    <col min="4" max="4" width="12.28515625" customWidth="1"/>
    <col min="5" max="5" width="16.42578125" customWidth="1"/>
  </cols>
  <sheetData>
    <row r="1" spans="1:5">
      <c r="A1" s="20" t="s">
        <v>106</v>
      </c>
      <c r="D1" s="3" t="s">
        <v>0</v>
      </c>
      <c r="E1" s="2" t="s">
        <v>1064</v>
      </c>
    </row>
    <row r="3" spans="1:5">
      <c r="A3" s="67" t="s">
        <v>1065</v>
      </c>
      <c r="B3" s="67"/>
      <c r="C3" s="67"/>
      <c r="D3" s="67"/>
      <c r="E3" s="67"/>
    </row>
    <row r="4" spans="1:5">
      <c r="A4" s="20"/>
      <c r="E4" s="2" t="s">
        <v>526</v>
      </c>
    </row>
    <row r="5" spans="1:5">
      <c r="A5" s="2" t="s">
        <v>1066</v>
      </c>
    </row>
    <row r="6" spans="1:5">
      <c r="A6" s="1884" t="s">
        <v>791</v>
      </c>
      <c r="B6" s="1900" t="s">
        <v>27</v>
      </c>
      <c r="C6" s="1901"/>
      <c r="D6" s="945" t="s">
        <v>1067</v>
      </c>
      <c r="E6" s="945" t="s">
        <v>1068</v>
      </c>
    </row>
    <row r="7" spans="1:5" ht="27" customHeight="1">
      <c r="A7" s="1885"/>
      <c r="B7" s="883" t="s">
        <v>1069</v>
      </c>
      <c r="C7" s="883" t="s">
        <v>2239</v>
      </c>
      <c r="D7" s="945" t="s">
        <v>2240</v>
      </c>
      <c r="E7" s="945" t="s">
        <v>1070</v>
      </c>
    </row>
    <row r="8" spans="1:5">
      <c r="A8" s="23"/>
      <c r="B8" s="23"/>
      <c r="C8" s="23"/>
      <c r="D8" s="23"/>
      <c r="E8" s="23"/>
    </row>
    <row r="9" spans="1:5" ht="25.5">
      <c r="A9" s="33" t="s">
        <v>1071</v>
      </c>
      <c r="B9" s="23"/>
      <c r="C9" s="23"/>
      <c r="D9" s="23"/>
      <c r="E9" s="23"/>
    </row>
    <row r="10" spans="1:5">
      <c r="A10" s="68" t="s">
        <v>1072</v>
      </c>
      <c r="B10" s="23"/>
      <c r="C10" s="23"/>
      <c r="D10" s="23"/>
      <c r="E10" s="23"/>
    </row>
    <row r="11" spans="1:5">
      <c r="A11" s="68" t="s">
        <v>1073</v>
      </c>
      <c r="B11" s="23"/>
      <c r="C11" s="23"/>
      <c r="D11" s="23"/>
      <c r="E11" s="23"/>
    </row>
    <row r="12" spans="1:5">
      <c r="A12" s="68" t="s">
        <v>1074</v>
      </c>
      <c r="B12" s="23"/>
      <c r="C12" s="23"/>
      <c r="D12" s="23"/>
      <c r="E12" s="23"/>
    </row>
    <row r="13" spans="1:5">
      <c r="A13" s="68" t="s">
        <v>1075</v>
      </c>
      <c r="B13" s="23"/>
      <c r="C13" s="23"/>
      <c r="D13" s="23"/>
      <c r="E13" s="23"/>
    </row>
    <row r="14" spans="1:5">
      <c r="A14" s="68"/>
      <c r="B14" s="23"/>
      <c r="C14" s="23"/>
      <c r="D14" s="23"/>
      <c r="E14" s="23"/>
    </row>
    <row r="15" spans="1:5">
      <c r="A15" s="68"/>
      <c r="B15" s="23"/>
      <c r="C15" s="23"/>
      <c r="D15" s="23"/>
      <c r="E15" s="23"/>
    </row>
    <row r="16" spans="1:5">
      <c r="A16" s="33" t="s">
        <v>1076</v>
      </c>
      <c r="B16" s="23"/>
      <c r="C16" s="23"/>
      <c r="D16" s="23"/>
      <c r="E16" s="23"/>
    </row>
    <row r="17" spans="1:7">
      <c r="A17" s="68" t="s">
        <v>1072</v>
      </c>
      <c r="B17" s="23"/>
      <c r="C17" s="354">
        <v>2108.44</v>
      </c>
      <c r="D17" s="354">
        <v>1343.95</v>
      </c>
      <c r="E17" s="36">
        <f>D17/C17*12</f>
        <v>7.6489727001954053</v>
      </c>
    </row>
    <row r="18" spans="1:7">
      <c r="A18" s="68" t="s">
        <v>1073</v>
      </c>
      <c r="B18" s="23"/>
      <c r="C18" s="354"/>
      <c r="D18" s="354"/>
      <c r="E18" s="36"/>
    </row>
    <row r="19" spans="1:7" ht="25.5">
      <c r="A19" s="68" t="s">
        <v>1077</v>
      </c>
      <c r="B19" s="23"/>
      <c r="C19" s="354">
        <v>1967.8</v>
      </c>
      <c r="D19" s="354">
        <v>1082.17</v>
      </c>
      <c r="E19" s="36">
        <f>D19/C19*12</f>
        <v>6.5992682183148696</v>
      </c>
      <c r="G19" s="7"/>
    </row>
    <row r="20" spans="1:7">
      <c r="A20" s="68" t="s">
        <v>1078</v>
      </c>
      <c r="B20" s="23"/>
      <c r="C20" s="354">
        <v>2248.5500000000002</v>
      </c>
      <c r="D20" s="354">
        <v>3273.02</v>
      </c>
      <c r="E20" s="36">
        <f>D20/C20*12</f>
        <v>17.467363411976606</v>
      </c>
    </row>
    <row r="21" spans="1:7">
      <c r="A21" t="s">
        <v>1079</v>
      </c>
      <c r="B21" s="23"/>
      <c r="C21" s="354">
        <v>87.27</v>
      </c>
      <c r="D21" s="354">
        <v>25.09</v>
      </c>
      <c r="E21" s="36">
        <f>D21/C21*12</f>
        <v>3.4499828119628742</v>
      </c>
    </row>
    <row r="22" spans="1:7">
      <c r="A22" s="68" t="s">
        <v>1080</v>
      </c>
      <c r="B22" s="23"/>
      <c r="C22" s="354">
        <v>194.45</v>
      </c>
      <c r="D22" s="354">
        <v>30.48</v>
      </c>
      <c r="E22" s="36">
        <f>D22/C22*12</f>
        <v>1.8809976857804065</v>
      </c>
    </row>
    <row r="23" spans="1:7">
      <c r="A23" s="68" t="s">
        <v>50</v>
      </c>
      <c r="B23" s="23"/>
      <c r="C23" s="354">
        <f>'F-10'!O32-SUM(C17:C22)</f>
        <v>5928.1862496654267</v>
      </c>
      <c r="D23" s="36">
        <f>'F-10'!O49-SUM(D17:D22)</f>
        <v>4501.9862496654314</v>
      </c>
      <c r="E23" s="36">
        <f>D23/C23*12</f>
        <v>9.1130461697343197</v>
      </c>
    </row>
    <row r="24" spans="1:7">
      <c r="A24" s="68"/>
      <c r="B24" s="23"/>
      <c r="C24" s="23"/>
      <c r="D24" s="23"/>
      <c r="E24" s="23"/>
    </row>
    <row r="25" spans="1:7">
      <c r="A25" s="33" t="s">
        <v>231</v>
      </c>
      <c r="B25" s="23"/>
      <c r="C25" s="354">
        <f>SUM(C17:C24)</f>
        <v>12534.696249665427</v>
      </c>
      <c r="D25" s="36">
        <f>SUM(D17:D24)</f>
        <v>10256.696249665431</v>
      </c>
      <c r="E25" s="36">
        <f>D25/C25*12</f>
        <v>9.8191733205557661</v>
      </c>
    </row>
    <row r="26" spans="1:7">
      <c r="A26" t="s">
        <v>1081</v>
      </c>
      <c r="D26" s="7"/>
      <c r="E26" s="7"/>
    </row>
    <row r="27" spans="1:7">
      <c r="C27" s="7"/>
      <c r="D27" s="7"/>
    </row>
    <row r="28" spans="1:7">
      <c r="A28" t="s">
        <v>1082</v>
      </c>
    </row>
    <row r="30" spans="1:7">
      <c r="A30" t="s">
        <v>30</v>
      </c>
      <c r="C30" s="223"/>
      <c r="D30" s="223"/>
    </row>
  </sheetData>
  <mergeCells count="2">
    <mergeCell ref="A6:A7"/>
    <mergeCell ref="B6:C6"/>
  </mergeCells>
  <phoneticPr fontId="0" type="noConversion"/>
  <printOptions horizontalCentered="1" gridLines="1"/>
  <pageMargins left="0.51181102362204722" right="0.51181102362204722" top="0.74803149606299213" bottom="0.74803149606299213" header="0.51181102362204722" footer="0.51181102362204722"/>
  <pageSetup paperSize="9" orientation="portrait" r:id="rId1"/>
  <headerFooter alignWithMargins="0">
    <oddFooter xml:space="preserve">&amp;R&amp;"Arial,Bold"&amp;12OERC FORM-&amp;A&amp;"Arial,Regular"&amp;10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73"/>
  <sheetViews>
    <sheetView view="pageBreakPreview" topLeftCell="A28" zoomScale="60" zoomScaleNormal="83" workbookViewId="0">
      <selection activeCell="B43" sqref="B43"/>
    </sheetView>
  </sheetViews>
  <sheetFormatPr defaultColWidth="14.7109375" defaultRowHeight="15"/>
  <cols>
    <col min="1" max="1" width="6" style="513" customWidth="1"/>
    <col min="2" max="2" width="37.140625" style="540" customWidth="1"/>
    <col min="3" max="3" width="17.140625" style="518" customWidth="1"/>
    <col min="4" max="4" width="13.7109375" style="518" customWidth="1"/>
    <col min="5" max="5" width="14.42578125" style="518" customWidth="1"/>
    <col min="6" max="8" width="12.5703125" style="518" customWidth="1"/>
    <col min="9" max="9" width="13.140625" style="518" customWidth="1"/>
    <col min="10" max="10" width="12.5703125" style="518" customWidth="1"/>
    <col min="11" max="11" width="14.28515625" style="518" customWidth="1"/>
    <col min="12" max="12" width="14.42578125" style="518" customWidth="1"/>
    <col min="13" max="14" width="12.85546875" style="518" customWidth="1"/>
    <col min="15" max="16" width="14.7109375" style="518" customWidth="1"/>
    <col min="17" max="17" width="16.28515625" style="518" customWidth="1"/>
    <col min="18" max="256" width="14.7109375" style="518"/>
    <col min="257" max="257" width="6" style="518" customWidth="1"/>
    <col min="258" max="258" width="37.140625" style="518" customWidth="1"/>
    <col min="259" max="259" width="17.140625" style="518" customWidth="1"/>
    <col min="260" max="260" width="13.7109375" style="518" customWidth="1"/>
    <col min="261" max="261" width="14.42578125" style="518" customWidth="1"/>
    <col min="262" max="264" width="12.5703125" style="518" customWidth="1"/>
    <col min="265" max="265" width="13.140625" style="518" customWidth="1"/>
    <col min="266" max="268" width="12.5703125" style="518" customWidth="1"/>
    <col min="269" max="270" width="12.85546875" style="518" customWidth="1"/>
    <col min="271" max="272" width="14.7109375" style="518" customWidth="1"/>
    <col min="273" max="273" width="16.28515625" style="518" customWidth="1"/>
    <col min="274" max="512" width="14.7109375" style="518"/>
    <col min="513" max="513" width="6" style="518" customWidth="1"/>
    <col min="514" max="514" width="37.140625" style="518" customWidth="1"/>
    <col min="515" max="515" width="17.140625" style="518" customWidth="1"/>
    <col min="516" max="516" width="13.7109375" style="518" customWidth="1"/>
    <col min="517" max="517" width="14.42578125" style="518" customWidth="1"/>
    <col min="518" max="520" width="12.5703125" style="518" customWidth="1"/>
    <col min="521" max="521" width="13.140625" style="518" customWidth="1"/>
    <col min="522" max="524" width="12.5703125" style="518" customWidth="1"/>
    <col min="525" max="526" width="12.85546875" style="518" customWidth="1"/>
    <col min="527" max="528" width="14.7109375" style="518" customWidth="1"/>
    <col min="529" max="529" width="16.28515625" style="518" customWidth="1"/>
    <col min="530" max="768" width="14.7109375" style="518"/>
    <col min="769" max="769" width="6" style="518" customWidth="1"/>
    <col min="770" max="770" width="37.140625" style="518" customWidth="1"/>
    <col min="771" max="771" width="17.140625" style="518" customWidth="1"/>
    <col min="772" max="772" width="13.7109375" style="518" customWidth="1"/>
    <col min="773" max="773" width="14.42578125" style="518" customWidth="1"/>
    <col min="774" max="776" width="12.5703125" style="518" customWidth="1"/>
    <col min="777" max="777" width="13.140625" style="518" customWidth="1"/>
    <col min="778" max="780" width="12.5703125" style="518" customWidth="1"/>
    <col min="781" max="782" width="12.85546875" style="518" customWidth="1"/>
    <col min="783" max="784" width="14.7109375" style="518" customWidth="1"/>
    <col min="785" max="785" width="16.28515625" style="518" customWidth="1"/>
    <col min="786" max="1024" width="14.7109375" style="518"/>
    <col min="1025" max="1025" width="6" style="518" customWidth="1"/>
    <col min="1026" max="1026" width="37.140625" style="518" customWidth="1"/>
    <col min="1027" max="1027" width="17.140625" style="518" customWidth="1"/>
    <col min="1028" max="1028" width="13.7109375" style="518" customWidth="1"/>
    <col min="1029" max="1029" width="14.42578125" style="518" customWidth="1"/>
    <col min="1030" max="1032" width="12.5703125" style="518" customWidth="1"/>
    <col min="1033" max="1033" width="13.140625" style="518" customWidth="1"/>
    <col min="1034" max="1036" width="12.5703125" style="518" customWidth="1"/>
    <col min="1037" max="1038" width="12.85546875" style="518" customWidth="1"/>
    <col min="1039" max="1040" width="14.7109375" style="518" customWidth="1"/>
    <col min="1041" max="1041" width="16.28515625" style="518" customWidth="1"/>
    <col min="1042" max="1280" width="14.7109375" style="518"/>
    <col min="1281" max="1281" width="6" style="518" customWidth="1"/>
    <col min="1282" max="1282" width="37.140625" style="518" customWidth="1"/>
    <col min="1283" max="1283" width="17.140625" style="518" customWidth="1"/>
    <col min="1284" max="1284" width="13.7109375" style="518" customWidth="1"/>
    <col min="1285" max="1285" width="14.42578125" style="518" customWidth="1"/>
    <col min="1286" max="1288" width="12.5703125" style="518" customWidth="1"/>
    <col min="1289" max="1289" width="13.140625" style="518" customWidth="1"/>
    <col min="1290" max="1292" width="12.5703125" style="518" customWidth="1"/>
    <col min="1293" max="1294" width="12.85546875" style="518" customWidth="1"/>
    <col min="1295" max="1296" width="14.7109375" style="518" customWidth="1"/>
    <col min="1297" max="1297" width="16.28515625" style="518" customWidth="1"/>
    <col min="1298" max="1536" width="14.7109375" style="518"/>
    <col min="1537" max="1537" width="6" style="518" customWidth="1"/>
    <col min="1538" max="1538" width="37.140625" style="518" customWidth="1"/>
    <col min="1539" max="1539" width="17.140625" style="518" customWidth="1"/>
    <col min="1540" max="1540" width="13.7109375" style="518" customWidth="1"/>
    <col min="1541" max="1541" width="14.42578125" style="518" customWidth="1"/>
    <col min="1542" max="1544" width="12.5703125" style="518" customWidth="1"/>
    <col min="1545" max="1545" width="13.140625" style="518" customWidth="1"/>
    <col min="1546" max="1548" width="12.5703125" style="518" customWidth="1"/>
    <col min="1549" max="1550" width="12.85546875" style="518" customWidth="1"/>
    <col min="1551" max="1552" width="14.7109375" style="518" customWidth="1"/>
    <col min="1553" max="1553" width="16.28515625" style="518" customWidth="1"/>
    <col min="1554" max="1792" width="14.7109375" style="518"/>
    <col min="1793" max="1793" width="6" style="518" customWidth="1"/>
    <col min="1794" max="1794" width="37.140625" style="518" customWidth="1"/>
    <col min="1795" max="1795" width="17.140625" style="518" customWidth="1"/>
    <col min="1796" max="1796" width="13.7109375" style="518" customWidth="1"/>
    <col min="1797" max="1797" width="14.42578125" style="518" customWidth="1"/>
    <col min="1798" max="1800" width="12.5703125" style="518" customWidth="1"/>
    <col min="1801" max="1801" width="13.140625" style="518" customWidth="1"/>
    <col min="1802" max="1804" width="12.5703125" style="518" customWidth="1"/>
    <col min="1805" max="1806" width="12.85546875" style="518" customWidth="1"/>
    <col min="1807" max="1808" width="14.7109375" style="518" customWidth="1"/>
    <col min="1809" max="1809" width="16.28515625" style="518" customWidth="1"/>
    <col min="1810" max="2048" width="14.7109375" style="518"/>
    <col min="2049" max="2049" width="6" style="518" customWidth="1"/>
    <col min="2050" max="2050" width="37.140625" style="518" customWidth="1"/>
    <col min="2051" max="2051" width="17.140625" style="518" customWidth="1"/>
    <col min="2052" max="2052" width="13.7109375" style="518" customWidth="1"/>
    <col min="2053" max="2053" width="14.42578125" style="518" customWidth="1"/>
    <col min="2054" max="2056" width="12.5703125" style="518" customWidth="1"/>
    <col min="2057" max="2057" width="13.140625" style="518" customWidth="1"/>
    <col min="2058" max="2060" width="12.5703125" style="518" customWidth="1"/>
    <col min="2061" max="2062" width="12.85546875" style="518" customWidth="1"/>
    <col min="2063" max="2064" width="14.7109375" style="518" customWidth="1"/>
    <col min="2065" max="2065" width="16.28515625" style="518" customWidth="1"/>
    <col min="2066" max="2304" width="14.7109375" style="518"/>
    <col min="2305" max="2305" width="6" style="518" customWidth="1"/>
    <col min="2306" max="2306" width="37.140625" style="518" customWidth="1"/>
    <col min="2307" max="2307" width="17.140625" style="518" customWidth="1"/>
    <col min="2308" max="2308" width="13.7109375" style="518" customWidth="1"/>
    <col min="2309" max="2309" width="14.42578125" style="518" customWidth="1"/>
    <col min="2310" max="2312" width="12.5703125" style="518" customWidth="1"/>
    <col min="2313" max="2313" width="13.140625" style="518" customWidth="1"/>
    <col min="2314" max="2316" width="12.5703125" style="518" customWidth="1"/>
    <col min="2317" max="2318" width="12.85546875" style="518" customWidth="1"/>
    <col min="2319" max="2320" width="14.7109375" style="518" customWidth="1"/>
    <col min="2321" max="2321" width="16.28515625" style="518" customWidth="1"/>
    <col min="2322" max="2560" width="14.7109375" style="518"/>
    <col min="2561" max="2561" width="6" style="518" customWidth="1"/>
    <col min="2562" max="2562" width="37.140625" style="518" customWidth="1"/>
    <col min="2563" max="2563" width="17.140625" style="518" customWidth="1"/>
    <col min="2564" max="2564" width="13.7109375" style="518" customWidth="1"/>
    <col min="2565" max="2565" width="14.42578125" style="518" customWidth="1"/>
    <col min="2566" max="2568" width="12.5703125" style="518" customWidth="1"/>
    <col min="2569" max="2569" width="13.140625" style="518" customWidth="1"/>
    <col min="2570" max="2572" width="12.5703125" style="518" customWidth="1"/>
    <col min="2573" max="2574" width="12.85546875" style="518" customWidth="1"/>
    <col min="2575" max="2576" width="14.7109375" style="518" customWidth="1"/>
    <col min="2577" max="2577" width="16.28515625" style="518" customWidth="1"/>
    <col min="2578" max="2816" width="14.7109375" style="518"/>
    <col min="2817" max="2817" width="6" style="518" customWidth="1"/>
    <col min="2818" max="2818" width="37.140625" style="518" customWidth="1"/>
    <col min="2819" max="2819" width="17.140625" style="518" customWidth="1"/>
    <col min="2820" max="2820" width="13.7109375" style="518" customWidth="1"/>
    <col min="2821" max="2821" width="14.42578125" style="518" customWidth="1"/>
    <col min="2822" max="2824" width="12.5703125" style="518" customWidth="1"/>
    <col min="2825" max="2825" width="13.140625" style="518" customWidth="1"/>
    <col min="2826" max="2828" width="12.5703125" style="518" customWidth="1"/>
    <col min="2829" max="2830" width="12.85546875" style="518" customWidth="1"/>
    <col min="2831" max="2832" width="14.7109375" style="518" customWidth="1"/>
    <col min="2833" max="2833" width="16.28515625" style="518" customWidth="1"/>
    <col min="2834" max="3072" width="14.7109375" style="518"/>
    <col min="3073" max="3073" width="6" style="518" customWidth="1"/>
    <col min="3074" max="3074" width="37.140625" style="518" customWidth="1"/>
    <col min="3075" max="3075" width="17.140625" style="518" customWidth="1"/>
    <col min="3076" max="3076" width="13.7109375" style="518" customWidth="1"/>
    <col min="3077" max="3077" width="14.42578125" style="518" customWidth="1"/>
    <col min="3078" max="3080" width="12.5703125" style="518" customWidth="1"/>
    <col min="3081" max="3081" width="13.140625" style="518" customWidth="1"/>
    <col min="3082" max="3084" width="12.5703125" style="518" customWidth="1"/>
    <col min="3085" max="3086" width="12.85546875" style="518" customWidth="1"/>
    <col min="3087" max="3088" width="14.7109375" style="518" customWidth="1"/>
    <col min="3089" max="3089" width="16.28515625" style="518" customWidth="1"/>
    <col min="3090" max="3328" width="14.7109375" style="518"/>
    <col min="3329" max="3329" width="6" style="518" customWidth="1"/>
    <col min="3330" max="3330" width="37.140625" style="518" customWidth="1"/>
    <col min="3331" max="3331" width="17.140625" style="518" customWidth="1"/>
    <col min="3332" max="3332" width="13.7109375" style="518" customWidth="1"/>
    <col min="3333" max="3333" width="14.42578125" style="518" customWidth="1"/>
    <col min="3334" max="3336" width="12.5703125" style="518" customWidth="1"/>
    <col min="3337" max="3337" width="13.140625" style="518" customWidth="1"/>
    <col min="3338" max="3340" width="12.5703125" style="518" customWidth="1"/>
    <col min="3341" max="3342" width="12.85546875" style="518" customWidth="1"/>
    <col min="3343" max="3344" width="14.7109375" style="518" customWidth="1"/>
    <col min="3345" max="3345" width="16.28515625" style="518" customWidth="1"/>
    <col min="3346" max="3584" width="14.7109375" style="518"/>
    <col min="3585" max="3585" width="6" style="518" customWidth="1"/>
    <col min="3586" max="3586" width="37.140625" style="518" customWidth="1"/>
    <col min="3587" max="3587" width="17.140625" style="518" customWidth="1"/>
    <col min="3588" max="3588" width="13.7109375" style="518" customWidth="1"/>
    <col min="3589" max="3589" width="14.42578125" style="518" customWidth="1"/>
    <col min="3590" max="3592" width="12.5703125" style="518" customWidth="1"/>
    <col min="3593" max="3593" width="13.140625" style="518" customWidth="1"/>
    <col min="3594" max="3596" width="12.5703125" style="518" customWidth="1"/>
    <col min="3597" max="3598" width="12.85546875" style="518" customWidth="1"/>
    <col min="3599" max="3600" width="14.7109375" style="518" customWidth="1"/>
    <col min="3601" max="3601" width="16.28515625" style="518" customWidth="1"/>
    <col min="3602" max="3840" width="14.7109375" style="518"/>
    <col min="3841" max="3841" width="6" style="518" customWidth="1"/>
    <col min="3842" max="3842" width="37.140625" style="518" customWidth="1"/>
    <col min="3843" max="3843" width="17.140625" style="518" customWidth="1"/>
    <col min="3844" max="3844" width="13.7109375" style="518" customWidth="1"/>
    <col min="3845" max="3845" width="14.42578125" style="518" customWidth="1"/>
    <col min="3846" max="3848" width="12.5703125" style="518" customWidth="1"/>
    <col min="3849" max="3849" width="13.140625" style="518" customWidth="1"/>
    <col min="3850" max="3852" width="12.5703125" style="518" customWidth="1"/>
    <col min="3853" max="3854" width="12.85546875" style="518" customWidth="1"/>
    <col min="3855" max="3856" width="14.7109375" style="518" customWidth="1"/>
    <col min="3857" max="3857" width="16.28515625" style="518" customWidth="1"/>
    <col min="3858" max="4096" width="14.7109375" style="518"/>
    <col min="4097" max="4097" width="6" style="518" customWidth="1"/>
    <col min="4098" max="4098" width="37.140625" style="518" customWidth="1"/>
    <col min="4099" max="4099" width="17.140625" style="518" customWidth="1"/>
    <col min="4100" max="4100" width="13.7109375" style="518" customWidth="1"/>
    <col min="4101" max="4101" width="14.42578125" style="518" customWidth="1"/>
    <col min="4102" max="4104" width="12.5703125" style="518" customWidth="1"/>
    <col min="4105" max="4105" width="13.140625" style="518" customWidth="1"/>
    <col min="4106" max="4108" width="12.5703125" style="518" customWidth="1"/>
    <col min="4109" max="4110" width="12.85546875" style="518" customWidth="1"/>
    <col min="4111" max="4112" width="14.7109375" style="518" customWidth="1"/>
    <col min="4113" max="4113" width="16.28515625" style="518" customWidth="1"/>
    <col min="4114" max="4352" width="14.7109375" style="518"/>
    <col min="4353" max="4353" width="6" style="518" customWidth="1"/>
    <col min="4354" max="4354" width="37.140625" style="518" customWidth="1"/>
    <col min="4355" max="4355" width="17.140625" style="518" customWidth="1"/>
    <col min="4356" max="4356" width="13.7109375" style="518" customWidth="1"/>
    <col min="4357" max="4357" width="14.42578125" style="518" customWidth="1"/>
    <col min="4358" max="4360" width="12.5703125" style="518" customWidth="1"/>
    <col min="4361" max="4361" width="13.140625" style="518" customWidth="1"/>
    <col min="4362" max="4364" width="12.5703125" style="518" customWidth="1"/>
    <col min="4365" max="4366" width="12.85546875" style="518" customWidth="1"/>
    <col min="4367" max="4368" width="14.7109375" style="518" customWidth="1"/>
    <col min="4369" max="4369" width="16.28515625" style="518" customWidth="1"/>
    <col min="4370" max="4608" width="14.7109375" style="518"/>
    <col min="4609" max="4609" width="6" style="518" customWidth="1"/>
    <col min="4610" max="4610" width="37.140625" style="518" customWidth="1"/>
    <col min="4611" max="4611" width="17.140625" style="518" customWidth="1"/>
    <col min="4612" max="4612" width="13.7109375" style="518" customWidth="1"/>
    <col min="4613" max="4613" width="14.42578125" style="518" customWidth="1"/>
    <col min="4614" max="4616" width="12.5703125" style="518" customWidth="1"/>
    <col min="4617" max="4617" width="13.140625" style="518" customWidth="1"/>
    <col min="4618" max="4620" width="12.5703125" style="518" customWidth="1"/>
    <col min="4621" max="4622" width="12.85546875" style="518" customWidth="1"/>
    <col min="4623" max="4624" width="14.7109375" style="518" customWidth="1"/>
    <col min="4625" max="4625" width="16.28515625" style="518" customWidth="1"/>
    <col min="4626" max="4864" width="14.7109375" style="518"/>
    <col min="4865" max="4865" width="6" style="518" customWidth="1"/>
    <col min="4866" max="4866" width="37.140625" style="518" customWidth="1"/>
    <col min="4867" max="4867" width="17.140625" style="518" customWidth="1"/>
    <col min="4868" max="4868" width="13.7109375" style="518" customWidth="1"/>
    <col min="4869" max="4869" width="14.42578125" style="518" customWidth="1"/>
    <col min="4870" max="4872" width="12.5703125" style="518" customWidth="1"/>
    <col min="4873" max="4873" width="13.140625" style="518" customWidth="1"/>
    <col min="4874" max="4876" width="12.5703125" style="518" customWidth="1"/>
    <col min="4877" max="4878" width="12.85546875" style="518" customWidth="1"/>
    <col min="4879" max="4880" width="14.7109375" style="518" customWidth="1"/>
    <col min="4881" max="4881" width="16.28515625" style="518" customWidth="1"/>
    <col min="4882" max="5120" width="14.7109375" style="518"/>
    <col min="5121" max="5121" width="6" style="518" customWidth="1"/>
    <col min="5122" max="5122" width="37.140625" style="518" customWidth="1"/>
    <col min="5123" max="5123" width="17.140625" style="518" customWidth="1"/>
    <col min="5124" max="5124" width="13.7109375" style="518" customWidth="1"/>
    <col min="5125" max="5125" width="14.42578125" style="518" customWidth="1"/>
    <col min="5126" max="5128" width="12.5703125" style="518" customWidth="1"/>
    <col min="5129" max="5129" width="13.140625" style="518" customWidth="1"/>
    <col min="5130" max="5132" width="12.5703125" style="518" customWidth="1"/>
    <col min="5133" max="5134" width="12.85546875" style="518" customWidth="1"/>
    <col min="5135" max="5136" width="14.7109375" style="518" customWidth="1"/>
    <col min="5137" max="5137" width="16.28515625" style="518" customWidth="1"/>
    <col min="5138" max="5376" width="14.7109375" style="518"/>
    <col min="5377" max="5377" width="6" style="518" customWidth="1"/>
    <col min="5378" max="5378" width="37.140625" style="518" customWidth="1"/>
    <col min="5379" max="5379" width="17.140625" style="518" customWidth="1"/>
    <col min="5380" max="5380" width="13.7109375" style="518" customWidth="1"/>
    <col min="5381" max="5381" width="14.42578125" style="518" customWidth="1"/>
    <col min="5382" max="5384" width="12.5703125" style="518" customWidth="1"/>
    <col min="5385" max="5385" width="13.140625" style="518" customWidth="1"/>
    <col min="5386" max="5388" width="12.5703125" style="518" customWidth="1"/>
    <col min="5389" max="5390" width="12.85546875" style="518" customWidth="1"/>
    <col min="5391" max="5392" width="14.7109375" style="518" customWidth="1"/>
    <col min="5393" max="5393" width="16.28515625" style="518" customWidth="1"/>
    <col min="5394" max="5632" width="14.7109375" style="518"/>
    <col min="5633" max="5633" width="6" style="518" customWidth="1"/>
    <col min="5634" max="5634" width="37.140625" style="518" customWidth="1"/>
    <col min="5635" max="5635" width="17.140625" style="518" customWidth="1"/>
    <col min="5636" max="5636" width="13.7109375" style="518" customWidth="1"/>
    <col min="5637" max="5637" width="14.42578125" style="518" customWidth="1"/>
    <col min="5638" max="5640" width="12.5703125" style="518" customWidth="1"/>
    <col min="5641" max="5641" width="13.140625" style="518" customWidth="1"/>
    <col min="5642" max="5644" width="12.5703125" style="518" customWidth="1"/>
    <col min="5645" max="5646" width="12.85546875" style="518" customWidth="1"/>
    <col min="5647" max="5648" width="14.7109375" style="518" customWidth="1"/>
    <col min="5649" max="5649" width="16.28515625" style="518" customWidth="1"/>
    <col min="5650" max="5888" width="14.7109375" style="518"/>
    <col min="5889" max="5889" width="6" style="518" customWidth="1"/>
    <col min="5890" max="5890" width="37.140625" style="518" customWidth="1"/>
    <col min="5891" max="5891" width="17.140625" style="518" customWidth="1"/>
    <col min="5892" max="5892" width="13.7109375" style="518" customWidth="1"/>
    <col min="5893" max="5893" width="14.42578125" style="518" customWidth="1"/>
    <col min="5894" max="5896" width="12.5703125" style="518" customWidth="1"/>
    <col min="5897" max="5897" width="13.140625" style="518" customWidth="1"/>
    <col min="5898" max="5900" width="12.5703125" style="518" customWidth="1"/>
    <col min="5901" max="5902" width="12.85546875" style="518" customWidth="1"/>
    <col min="5903" max="5904" width="14.7109375" style="518" customWidth="1"/>
    <col min="5905" max="5905" width="16.28515625" style="518" customWidth="1"/>
    <col min="5906" max="6144" width="14.7109375" style="518"/>
    <col min="6145" max="6145" width="6" style="518" customWidth="1"/>
    <col min="6146" max="6146" width="37.140625" style="518" customWidth="1"/>
    <col min="6147" max="6147" width="17.140625" style="518" customWidth="1"/>
    <col min="6148" max="6148" width="13.7109375" style="518" customWidth="1"/>
    <col min="6149" max="6149" width="14.42578125" style="518" customWidth="1"/>
    <col min="6150" max="6152" width="12.5703125" style="518" customWidth="1"/>
    <col min="6153" max="6153" width="13.140625" style="518" customWidth="1"/>
    <col min="6154" max="6156" width="12.5703125" style="518" customWidth="1"/>
    <col min="6157" max="6158" width="12.85546875" style="518" customWidth="1"/>
    <col min="6159" max="6160" width="14.7109375" style="518" customWidth="1"/>
    <col min="6161" max="6161" width="16.28515625" style="518" customWidth="1"/>
    <col min="6162" max="6400" width="14.7109375" style="518"/>
    <col min="6401" max="6401" width="6" style="518" customWidth="1"/>
    <col min="6402" max="6402" width="37.140625" style="518" customWidth="1"/>
    <col min="6403" max="6403" width="17.140625" style="518" customWidth="1"/>
    <col min="6404" max="6404" width="13.7109375" style="518" customWidth="1"/>
    <col min="6405" max="6405" width="14.42578125" style="518" customWidth="1"/>
    <col min="6406" max="6408" width="12.5703125" style="518" customWidth="1"/>
    <col min="6409" max="6409" width="13.140625" style="518" customWidth="1"/>
    <col min="6410" max="6412" width="12.5703125" style="518" customWidth="1"/>
    <col min="6413" max="6414" width="12.85546875" style="518" customWidth="1"/>
    <col min="6415" max="6416" width="14.7109375" style="518" customWidth="1"/>
    <col min="6417" max="6417" width="16.28515625" style="518" customWidth="1"/>
    <col min="6418" max="6656" width="14.7109375" style="518"/>
    <col min="6657" max="6657" width="6" style="518" customWidth="1"/>
    <col min="6658" max="6658" width="37.140625" style="518" customWidth="1"/>
    <col min="6659" max="6659" width="17.140625" style="518" customWidth="1"/>
    <col min="6660" max="6660" width="13.7109375" style="518" customWidth="1"/>
    <col min="6661" max="6661" width="14.42578125" style="518" customWidth="1"/>
    <col min="6662" max="6664" width="12.5703125" style="518" customWidth="1"/>
    <col min="6665" max="6665" width="13.140625" style="518" customWidth="1"/>
    <col min="6666" max="6668" width="12.5703125" style="518" customWidth="1"/>
    <col min="6669" max="6670" width="12.85546875" style="518" customWidth="1"/>
    <col min="6671" max="6672" width="14.7109375" style="518" customWidth="1"/>
    <col min="6673" max="6673" width="16.28515625" style="518" customWidth="1"/>
    <col min="6674" max="6912" width="14.7109375" style="518"/>
    <col min="6913" max="6913" width="6" style="518" customWidth="1"/>
    <col min="6914" max="6914" width="37.140625" style="518" customWidth="1"/>
    <col min="6915" max="6915" width="17.140625" style="518" customWidth="1"/>
    <col min="6916" max="6916" width="13.7109375" style="518" customWidth="1"/>
    <col min="6917" max="6917" width="14.42578125" style="518" customWidth="1"/>
    <col min="6918" max="6920" width="12.5703125" style="518" customWidth="1"/>
    <col min="6921" max="6921" width="13.140625" style="518" customWidth="1"/>
    <col min="6922" max="6924" width="12.5703125" style="518" customWidth="1"/>
    <col min="6925" max="6926" width="12.85546875" style="518" customWidth="1"/>
    <col min="6927" max="6928" width="14.7109375" style="518" customWidth="1"/>
    <col min="6929" max="6929" width="16.28515625" style="518" customWidth="1"/>
    <col min="6930" max="7168" width="14.7109375" style="518"/>
    <col min="7169" max="7169" width="6" style="518" customWidth="1"/>
    <col min="7170" max="7170" width="37.140625" style="518" customWidth="1"/>
    <col min="7171" max="7171" width="17.140625" style="518" customWidth="1"/>
    <col min="7172" max="7172" width="13.7109375" style="518" customWidth="1"/>
    <col min="7173" max="7173" width="14.42578125" style="518" customWidth="1"/>
    <col min="7174" max="7176" width="12.5703125" style="518" customWidth="1"/>
    <col min="7177" max="7177" width="13.140625" style="518" customWidth="1"/>
    <col min="7178" max="7180" width="12.5703125" style="518" customWidth="1"/>
    <col min="7181" max="7182" width="12.85546875" style="518" customWidth="1"/>
    <col min="7183" max="7184" width="14.7109375" style="518" customWidth="1"/>
    <col min="7185" max="7185" width="16.28515625" style="518" customWidth="1"/>
    <col min="7186" max="7424" width="14.7109375" style="518"/>
    <col min="7425" max="7425" width="6" style="518" customWidth="1"/>
    <col min="7426" max="7426" width="37.140625" style="518" customWidth="1"/>
    <col min="7427" max="7427" width="17.140625" style="518" customWidth="1"/>
    <col min="7428" max="7428" width="13.7109375" style="518" customWidth="1"/>
    <col min="7429" max="7429" width="14.42578125" style="518" customWidth="1"/>
    <col min="7430" max="7432" width="12.5703125" style="518" customWidth="1"/>
    <col min="7433" max="7433" width="13.140625" style="518" customWidth="1"/>
    <col min="7434" max="7436" width="12.5703125" style="518" customWidth="1"/>
    <col min="7437" max="7438" width="12.85546875" style="518" customWidth="1"/>
    <col min="7439" max="7440" width="14.7109375" style="518" customWidth="1"/>
    <col min="7441" max="7441" width="16.28515625" style="518" customWidth="1"/>
    <col min="7442" max="7680" width="14.7109375" style="518"/>
    <col min="7681" max="7681" width="6" style="518" customWidth="1"/>
    <col min="7682" max="7682" width="37.140625" style="518" customWidth="1"/>
    <col min="7683" max="7683" width="17.140625" style="518" customWidth="1"/>
    <col min="7684" max="7684" width="13.7109375" style="518" customWidth="1"/>
    <col min="7685" max="7685" width="14.42578125" style="518" customWidth="1"/>
    <col min="7686" max="7688" width="12.5703125" style="518" customWidth="1"/>
    <col min="7689" max="7689" width="13.140625" style="518" customWidth="1"/>
    <col min="7690" max="7692" width="12.5703125" style="518" customWidth="1"/>
    <col min="7693" max="7694" width="12.85546875" style="518" customWidth="1"/>
    <col min="7695" max="7696" width="14.7109375" style="518" customWidth="1"/>
    <col min="7697" max="7697" width="16.28515625" style="518" customWidth="1"/>
    <col min="7698" max="7936" width="14.7109375" style="518"/>
    <col min="7937" max="7937" width="6" style="518" customWidth="1"/>
    <col min="7938" max="7938" width="37.140625" style="518" customWidth="1"/>
    <col min="7939" max="7939" width="17.140625" style="518" customWidth="1"/>
    <col min="7940" max="7940" width="13.7109375" style="518" customWidth="1"/>
    <col min="7941" max="7941" width="14.42578125" style="518" customWidth="1"/>
    <col min="7942" max="7944" width="12.5703125" style="518" customWidth="1"/>
    <col min="7945" max="7945" width="13.140625" style="518" customWidth="1"/>
    <col min="7946" max="7948" width="12.5703125" style="518" customWidth="1"/>
    <col min="7949" max="7950" width="12.85546875" style="518" customWidth="1"/>
    <col min="7951" max="7952" width="14.7109375" style="518" customWidth="1"/>
    <col min="7953" max="7953" width="16.28515625" style="518" customWidth="1"/>
    <col min="7954" max="8192" width="14.7109375" style="518"/>
    <col min="8193" max="8193" width="6" style="518" customWidth="1"/>
    <col min="8194" max="8194" width="37.140625" style="518" customWidth="1"/>
    <col min="8195" max="8195" width="17.140625" style="518" customWidth="1"/>
    <col min="8196" max="8196" width="13.7109375" style="518" customWidth="1"/>
    <col min="8197" max="8197" width="14.42578125" style="518" customWidth="1"/>
    <col min="8198" max="8200" width="12.5703125" style="518" customWidth="1"/>
    <col min="8201" max="8201" width="13.140625" style="518" customWidth="1"/>
    <col min="8202" max="8204" width="12.5703125" style="518" customWidth="1"/>
    <col min="8205" max="8206" width="12.85546875" style="518" customWidth="1"/>
    <col min="8207" max="8208" width="14.7109375" style="518" customWidth="1"/>
    <col min="8209" max="8209" width="16.28515625" style="518" customWidth="1"/>
    <col min="8210" max="8448" width="14.7109375" style="518"/>
    <col min="8449" max="8449" width="6" style="518" customWidth="1"/>
    <col min="8450" max="8450" width="37.140625" style="518" customWidth="1"/>
    <col min="8451" max="8451" width="17.140625" style="518" customWidth="1"/>
    <col min="8452" max="8452" width="13.7109375" style="518" customWidth="1"/>
    <col min="8453" max="8453" width="14.42578125" style="518" customWidth="1"/>
    <col min="8454" max="8456" width="12.5703125" style="518" customWidth="1"/>
    <col min="8457" max="8457" width="13.140625" style="518" customWidth="1"/>
    <col min="8458" max="8460" width="12.5703125" style="518" customWidth="1"/>
    <col min="8461" max="8462" width="12.85546875" style="518" customWidth="1"/>
    <col min="8463" max="8464" width="14.7109375" style="518" customWidth="1"/>
    <col min="8465" max="8465" width="16.28515625" style="518" customWidth="1"/>
    <col min="8466" max="8704" width="14.7109375" style="518"/>
    <col min="8705" max="8705" width="6" style="518" customWidth="1"/>
    <col min="8706" max="8706" width="37.140625" style="518" customWidth="1"/>
    <col min="8707" max="8707" width="17.140625" style="518" customWidth="1"/>
    <col min="8708" max="8708" width="13.7109375" style="518" customWidth="1"/>
    <col min="8709" max="8709" width="14.42578125" style="518" customWidth="1"/>
    <col min="8710" max="8712" width="12.5703125" style="518" customWidth="1"/>
    <col min="8713" max="8713" width="13.140625" style="518" customWidth="1"/>
    <col min="8714" max="8716" width="12.5703125" style="518" customWidth="1"/>
    <col min="8717" max="8718" width="12.85546875" style="518" customWidth="1"/>
    <col min="8719" max="8720" width="14.7109375" style="518" customWidth="1"/>
    <col min="8721" max="8721" width="16.28515625" style="518" customWidth="1"/>
    <col min="8722" max="8960" width="14.7109375" style="518"/>
    <col min="8961" max="8961" width="6" style="518" customWidth="1"/>
    <col min="8962" max="8962" width="37.140625" style="518" customWidth="1"/>
    <col min="8963" max="8963" width="17.140625" style="518" customWidth="1"/>
    <col min="8964" max="8964" width="13.7109375" style="518" customWidth="1"/>
    <col min="8965" max="8965" width="14.42578125" style="518" customWidth="1"/>
    <col min="8966" max="8968" width="12.5703125" style="518" customWidth="1"/>
    <col min="8969" max="8969" width="13.140625" style="518" customWidth="1"/>
    <col min="8970" max="8972" width="12.5703125" style="518" customWidth="1"/>
    <col min="8973" max="8974" width="12.85546875" style="518" customWidth="1"/>
    <col min="8975" max="8976" width="14.7109375" style="518" customWidth="1"/>
    <col min="8977" max="8977" width="16.28515625" style="518" customWidth="1"/>
    <col min="8978" max="9216" width="14.7109375" style="518"/>
    <col min="9217" max="9217" width="6" style="518" customWidth="1"/>
    <col min="9218" max="9218" width="37.140625" style="518" customWidth="1"/>
    <col min="9219" max="9219" width="17.140625" style="518" customWidth="1"/>
    <col min="9220" max="9220" width="13.7109375" style="518" customWidth="1"/>
    <col min="9221" max="9221" width="14.42578125" style="518" customWidth="1"/>
    <col min="9222" max="9224" width="12.5703125" style="518" customWidth="1"/>
    <col min="9225" max="9225" width="13.140625" style="518" customWidth="1"/>
    <col min="9226" max="9228" width="12.5703125" style="518" customWidth="1"/>
    <col min="9229" max="9230" width="12.85546875" style="518" customWidth="1"/>
    <col min="9231" max="9232" width="14.7109375" style="518" customWidth="1"/>
    <col min="9233" max="9233" width="16.28515625" style="518" customWidth="1"/>
    <col min="9234" max="9472" width="14.7109375" style="518"/>
    <col min="9473" max="9473" width="6" style="518" customWidth="1"/>
    <col min="9474" max="9474" width="37.140625" style="518" customWidth="1"/>
    <col min="9475" max="9475" width="17.140625" style="518" customWidth="1"/>
    <col min="9476" max="9476" width="13.7109375" style="518" customWidth="1"/>
    <col min="9477" max="9477" width="14.42578125" style="518" customWidth="1"/>
    <col min="9478" max="9480" width="12.5703125" style="518" customWidth="1"/>
    <col min="9481" max="9481" width="13.140625" style="518" customWidth="1"/>
    <col min="9482" max="9484" width="12.5703125" style="518" customWidth="1"/>
    <col min="9485" max="9486" width="12.85546875" style="518" customWidth="1"/>
    <col min="9487" max="9488" width="14.7109375" style="518" customWidth="1"/>
    <col min="9489" max="9489" width="16.28515625" style="518" customWidth="1"/>
    <col min="9490" max="9728" width="14.7109375" style="518"/>
    <col min="9729" max="9729" width="6" style="518" customWidth="1"/>
    <col min="9730" max="9730" width="37.140625" style="518" customWidth="1"/>
    <col min="9731" max="9731" width="17.140625" style="518" customWidth="1"/>
    <col min="9732" max="9732" width="13.7109375" style="518" customWidth="1"/>
    <col min="9733" max="9733" width="14.42578125" style="518" customWidth="1"/>
    <col min="9734" max="9736" width="12.5703125" style="518" customWidth="1"/>
    <col min="9737" max="9737" width="13.140625" style="518" customWidth="1"/>
    <col min="9738" max="9740" width="12.5703125" style="518" customWidth="1"/>
    <col min="9741" max="9742" width="12.85546875" style="518" customWidth="1"/>
    <col min="9743" max="9744" width="14.7109375" style="518" customWidth="1"/>
    <col min="9745" max="9745" width="16.28515625" style="518" customWidth="1"/>
    <col min="9746" max="9984" width="14.7109375" style="518"/>
    <col min="9985" max="9985" width="6" style="518" customWidth="1"/>
    <col min="9986" max="9986" width="37.140625" style="518" customWidth="1"/>
    <col min="9987" max="9987" width="17.140625" style="518" customWidth="1"/>
    <col min="9988" max="9988" width="13.7109375" style="518" customWidth="1"/>
    <col min="9989" max="9989" width="14.42578125" style="518" customWidth="1"/>
    <col min="9990" max="9992" width="12.5703125" style="518" customWidth="1"/>
    <col min="9993" max="9993" width="13.140625" style="518" customWidth="1"/>
    <col min="9994" max="9996" width="12.5703125" style="518" customWidth="1"/>
    <col min="9997" max="9998" width="12.85546875" style="518" customWidth="1"/>
    <col min="9999" max="10000" width="14.7109375" style="518" customWidth="1"/>
    <col min="10001" max="10001" width="16.28515625" style="518" customWidth="1"/>
    <col min="10002" max="10240" width="14.7109375" style="518"/>
    <col min="10241" max="10241" width="6" style="518" customWidth="1"/>
    <col min="10242" max="10242" width="37.140625" style="518" customWidth="1"/>
    <col min="10243" max="10243" width="17.140625" style="518" customWidth="1"/>
    <col min="10244" max="10244" width="13.7109375" style="518" customWidth="1"/>
    <col min="10245" max="10245" width="14.42578125" style="518" customWidth="1"/>
    <col min="10246" max="10248" width="12.5703125" style="518" customWidth="1"/>
    <col min="10249" max="10249" width="13.140625" style="518" customWidth="1"/>
    <col min="10250" max="10252" width="12.5703125" style="518" customWidth="1"/>
    <col min="10253" max="10254" width="12.85546875" style="518" customWidth="1"/>
    <col min="10255" max="10256" width="14.7109375" style="518" customWidth="1"/>
    <col min="10257" max="10257" width="16.28515625" style="518" customWidth="1"/>
    <col min="10258" max="10496" width="14.7109375" style="518"/>
    <col min="10497" max="10497" width="6" style="518" customWidth="1"/>
    <col min="10498" max="10498" width="37.140625" style="518" customWidth="1"/>
    <col min="10499" max="10499" width="17.140625" style="518" customWidth="1"/>
    <col min="10500" max="10500" width="13.7109375" style="518" customWidth="1"/>
    <col min="10501" max="10501" width="14.42578125" style="518" customWidth="1"/>
    <col min="10502" max="10504" width="12.5703125" style="518" customWidth="1"/>
    <col min="10505" max="10505" width="13.140625" style="518" customWidth="1"/>
    <col min="10506" max="10508" width="12.5703125" style="518" customWidth="1"/>
    <col min="10509" max="10510" width="12.85546875" style="518" customWidth="1"/>
    <col min="10511" max="10512" width="14.7109375" style="518" customWidth="1"/>
    <col min="10513" max="10513" width="16.28515625" style="518" customWidth="1"/>
    <col min="10514" max="10752" width="14.7109375" style="518"/>
    <col min="10753" max="10753" width="6" style="518" customWidth="1"/>
    <col min="10754" max="10754" width="37.140625" style="518" customWidth="1"/>
    <col min="10755" max="10755" width="17.140625" style="518" customWidth="1"/>
    <col min="10756" max="10756" width="13.7109375" style="518" customWidth="1"/>
    <col min="10757" max="10757" width="14.42578125" style="518" customWidth="1"/>
    <col min="10758" max="10760" width="12.5703125" style="518" customWidth="1"/>
    <col min="10761" max="10761" width="13.140625" style="518" customWidth="1"/>
    <col min="10762" max="10764" width="12.5703125" style="518" customWidth="1"/>
    <col min="10765" max="10766" width="12.85546875" style="518" customWidth="1"/>
    <col min="10767" max="10768" width="14.7109375" style="518" customWidth="1"/>
    <col min="10769" max="10769" width="16.28515625" style="518" customWidth="1"/>
    <col min="10770" max="11008" width="14.7109375" style="518"/>
    <col min="11009" max="11009" width="6" style="518" customWidth="1"/>
    <col min="11010" max="11010" width="37.140625" style="518" customWidth="1"/>
    <col min="11011" max="11011" width="17.140625" style="518" customWidth="1"/>
    <col min="11012" max="11012" width="13.7109375" style="518" customWidth="1"/>
    <col min="11013" max="11013" width="14.42578125" style="518" customWidth="1"/>
    <col min="11014" max="11016" width="12.5703125" style="518" customWidth="1"/>
    <col min="11017" max="11017" width="13.140625" style="518" customWidth="1"/>
    <col min="11018" max="11020" width="12.5703125" style="518" customWidth="1"/>
    <col min="11021" max="11022" width="12.85546875" style="518" customWidth="1"/>
    <col min="11023" max="11024" width="14.7109375" style="518" customWidth="1"/>
    <col min="11025" max="11025" width="16.28515625" style="518" customWidth="1"/>
    <col min="11026" max="11264" width="14.7109375" style="518"/>
    <col min="11265" max="11265" width="6" style="518" customWidth="1"/>
    <col min="11266" max="11266" width="37.140625" style="518" customWidth="1"/>
    <col min="11267" max="11267" width="17.140625" style="518" customWidth="1"/>
    <col min="11268" max="11268" width="13.7109375" style="518" customWidth="1"/>
    <col min="11269" max="11269" width="14.42578125" style="518" customWidth="1"/>
    <col min="11270" max="11272" width="12.5703125" style="518" customWidth="1"/>
    <col min="11273" max="11273" width="13.140625" style="518" customWidth="1"/>
    <col min="11274" max="11276" width="12.5703125" style="518" customWidth="1"/>
    <col min="11277" max="11278" width="12.85546875" style="518" customWidth="1"/>
    <col min="11279" max="11280" width="14.7109375" style="518" customWidth="1"/>
    <col min="11281" max="11281" width="16.28515625" style="518" customWidth="1"/>
    <col min="11282" max="11520" width="14.7109375" style="518"/>
    <col min="11521" max="11521" width="6" style="518" customWidth="1"/>
    <col min="11522" max="11522" width="37.140625" style="518" customWidth="1"/>
    <col min="11523" max="11523" width="17.140625" style="518" customWidth="1"/>
    <col min="11524" max="11524" width="13.7109375" style="518" customWidth="1"/>
    <col min="11525" max="11525" width="14.42578125" style="518" customWidth="1"/>
    <col min="11526" max="11528" width="12.5703125" style="518" customWidth="1"/>
    <col min="11529" max="11529" width="13.140625" style="518" customWidth="1"/>
    <col min="11530" max="11532" width="12.5703125" style="518" customWidth="1"/>
    <col min="11533" max="11534" width="12.85546875" style="518" customWidth="1"/>
    <col min="11535" max="11536" width="14.7109375" style="518" customWidth="1"/>
    <col min="11537" max="11537" width="16.28515625" style="518" customWidth="1"/>
    <col min="11538" max="11776" width="14.7109375" style="518"/>
    <col min="11777" max="11777" width="6" style="518" customWidth="1"/>
    <col min="11778" max="11778" width="37.140625" style="518" customWidth="1"/>
    <col min="11779" max="11779" width="17.140625" style="518" customWidth="1"/>
    <col min="11780" max="11780" width="13.7109375" style="518" customWidth="1"/>
    <col min="11781" max="11781" width="14.42578125" style="518" customWidth="1"/>
    <col min="11782" max="11784" width="12.5703125" style="518" customWidth="1"/>
    <col min="11785" max="11785" width="13.140625" style="518" customWidth="1"/>
    <col min="11786" max="11788" width="12.5703125" style="518" customWidth="1"/>
    <col min="11789" max="11790" width="12.85546875" style="518" customWidth="1"/>
    <col min="11791" max="11792" width="14.7109375" style="518" customWidth="1"/>
    <col min="11793" max="11793" width="16.28515625" style="518" customWidth="1"/>
    <col min="11794" max="12032" width="14.7109375" style="518"/>
    <col min="12033" max="12033" width="6" style="518" customWidth="1"/>
    <col min="12034" max="12034" width="37.140625" style="518" customWidth="1"/>
    <col min="12035" max="12035" width="17.140625" style="518" customWidth="1"/>
    <col min="12036" max="12036" width="13.7109375" style="518" customWidth="1"/>
    <col min="12037" max="12037" width="14.42578125" style="518" customWidth="1"/>
    <col min="12038" max="12040" width="12.5703125" style="518" customWidth="1"/>
    <col min="12041" max="12041" width="13.140625" style="518" customWidth="1"/>
    <col min="12042" max="12044" width="12.5703125" style="518" customWidth="1"/>
    <col min="12045" max="12046" width="12.85546875" style="518" customWidth="1"/>
    <col min="12047" max="12048" width="14.7109375" style="518" customWidth="1"/>
    <col min="12049" max="12049" width="16.28515625" style="518" customWidth="1"/>
    <col min="12050" max="12288" width="14.7109375" style="518"/>
    <col min="12289" max="12289" width="6" style="518" customWidth="1"/>
    <col min="12290" max="12290" width="37.140625" style="518" customWidth="1"/>
    <col min="12291" max="12291" width="17.140625" style="518" customWidth="1"/>
    <col min="12292" max="12292" width="13.7109375" style="518" customWidth="1"/>
    <col min="12293" max="12293" width="14.42578125" style="518" customWidth="1"/>
    <col min="12294" max="12296" width="12.5703125" style="518" customWidth="1"/>
    <col min="12297" max="12297" width="13.140625" style="518" customWidth="1"/>
    <col min="12298" max="12300" width="12.5703125" style="518" customWidth="1"/>
    <col min="12301" max="12302" width="12.85546875" style="518" customWidth="1"/>
    <col min="12303" max="12304" width="14.7109375" style="518" customWidth="1"/>
    <col min="12305" max="12305" width="16.28515625" style="518" customWidth="1"/>
    <col min="12306" max="12544" width="14.7109375" style="518"/>
    <col min="12545" max="12545" width="6" style="518" customWidth="1"/>
    <col min="12546" max="12546" width="37.140625" style="518" customWidth="1"/>
    <col min="12547" max="12547" width="17.140625" style="518" customWidth="1"/>
    <col min="12548" max="12548" width="13.7109375" style="518" customWidth="1"/>
    <col min="12549" max="12549" width="14.42578125" style="518" customWidth="1"/>
    <col min="12550" max="12552" width="12.5703125" style="518" customWidth="1"/>
    <col min="12553" max="12553" width="13.140625" style="518" customWidth="1"/>
    <col min="12554" max="12556" width="12.5703125" style="518" customWidth="1"/>
    <col min="12557" max="12558" width="12.85546875" style="518" customWidth="1"/>
    <col min="12559" max="12560" width="14.7109375" style="518" customWidth="1"/>
    <col min="12561" max="12561" width="16.28515625" style="518" customWidth="1"/>
    <col min="12562" max="12800" width="14.7109375" style="518"/>
    <col min="12801" max="12801" width="6" style="518" customWidth="1"/>
    <col min="12802" max="12802" width="37.140625" style="518" customWidth="1"/>
    <col min="12803" max="12803" width="17.140625" style="518" customWidth="1"/>
    <col min="12804" max="12804" width="13.7109375" style="518" customWidth="1"/>
    <col min="12805" max="12805" width="14.42578125" style="518" customWidth="1"/>
    <col min="12806" max="12808" width="12.5703125" style="518" customWidth="1"/>
    <col min="12809" max="12809" width="13.140625" style="518" customWidth="1"/>
    <col min="12810" max="12812" width="12.5703125" style="518" customWidth="1"/>
    <col min="12813" max="12814" width="12.85546875" style="518" customWidth="1"/>
    <col min="12815" max="12816" width="14.7109375" style="518" customWidth="1"/>
    <col min="12817" max="12817" width="16.28515625" style="518" customWidth="1"/>
    <col min="12818" max="13056" width="14.7109375" style="518"/>
    <col min="13057" max="13057" width="6" style="518" customWidth="1"/>
    <col min="13058" max="13058" width="37.140625" style="518" customWidth="1"/>
    <col min="13059" max="13059" width="17.140625" style="518" customWidth="1"/>
    <col min="13060" max="13060" width="13.7109375" style="518" customWidth="1"/>
    <col min="13061" max="13061" width="14.42578125" style="518" customWidth="1"/>
    <col min="13062" max="13064" width="12.5703125" style="518" customWidth="1"/>
    <col min="13065" max="13065" width="13.140625" style="518" customWidth="1"/>
    <col min="13066" max="13068" width="12.5703125" style="518" customWidth="1"/>
    <col min="13069" max="13070" width="12.85546875" style="518" customWidth="1"/>
    <col min="13071" max="13072" width="14.7109375" style="518" customWidth="1"/>
    <col min="13073" max="13073" width="16.28515625" style="518" customWidth="1"/>
    <col min="13074" max="13312" width="14.7109375" style="518"/>
    <col min="13313" max="13313" width="6" style="518" customWidth="1"/>
    <col min="13314" max="13314" width="37.140625" style="518" customWidth="1"/>
    <col min="13315" max="13315" width="17.140625" style="518" customWidth="1"/>
    <col min="13316" max="13316" width="13.7109375" style="518" customWidth="1"/>
    <col min="13317" max="13317" width="14.42578125" style="518" customWidth="1"/>
    <col min="13318" max="13320" width="12.5703125" style="518" customWidth="1"/>
    <col min="13321" max="13321" width="13.140625" style="518" customWidth="1"/>
    <col min="13322" max="13324" width="12.5703125" style="518" customWidth="1"/>
    <col min="13325" max="13326" width="12.85546875" style="518" customWidth="1"/>
    <col min="13327" max="13328" width="14.7109375" style="518" customWidth="1"/>
    <col min="13329" max="13329" width="16.28515625" style="518" customWidth="1"/>
    <col min="13330" max="13568" width="14.7109375" style="518"/>
    <col min="13569" max="13569" width="6" style="518" customWidth="1"/>
    <col min="13570" max="13570" width="37.140625" style="518" customWidth="1"/>
    <col min="13571" max="13571" width="17.140625" style="518" customWidth="1"/>
    <col min="13572" max="13572" width="13.7109375" style="518" customWidth="1"/>
    <col min="13573" max="13573" width="14.42578125" style="518" customWidth="1"/>
    <col min="13574" max="13576" width="12.5703125" style="518" customWidth="1"/>
    <col min="13577" max="13577" width="13.140625" style="518" customWidth="1"/>
    <col min="13578" max="13580" width="12.5703125" style="518" customWidth="1"/>
    <col min="13581" max="13582" width="12.85546875" style="518" customWidth="1"/>
    <col min="13583" max="13584" width="14.7109375" style="518" customWidth="1"/>
    <col min="13585" max="13585" width="16.28515625" style="518" customWidth="1"/>
    <col min="13586" max="13824" width="14.7109375" style="518"/>
    <col min="13825" max="13825" width="6" style="518" customWidth="1"/>
    <col min="13826" max="13826" width="37.140625" style="518" customWidth="1"/>
    <col min="13827" max="13827" width="17.140625" style="518" customWidth="1"/>
    <col min="13828" max="13828" width="13.7109375" style="518" customWidth="1"/>
    <col min="13829" max="13829" width="14.42578125" style="518" customWidth="1"/>
    <col min="13830" max="13832" width="12.5703125" style="518" customWidth="1"/>
    <col min="13833" max="13833" width="13.140625" style="518" customWidth="1"/>
    <col min="13834" max="13836" width="12.5703125" style="518" customWidth="1"/>
    <col min="13837" max="13838" width="12.85546875" style="518" customWidth="1"/>
    <col min="13839" max="13840" width="14.7109375" style="518" customWidth="1"/>
    <col min="13841" max="13841" width="16.28515625" style="518" customWidth="1"/>
    <col min="13842" max="14080" width="14.7109375" style="518"/>
    <col min="14081" max="14081" width="6" style="518" customWidth="1"/>
    <col min="14082" max="14082" width="37.140625" style="518" customWidth="1"/>
    <col min="14083" max="14083" width="17.140625" style="518" customWidth="1"/>
    <col min="14084" max="14084" width="13.7109375" style="518" customWidth="1"/>
    <col min="14085" max="14085" width="14.42578125" style="518" customWidth="1"/>
    <col min="14086" max="14088" width="12.5703125" style="518" customWidth="1"/>
    <col min="14089" max="14089" width="13.140625" style="518" customWidth="1"/>
    <col min="14090" max="14092" width="12.5703125" style="518" customWidth="1"/>
    <col min="14093" max="14094" width="12.85546875" style="518" customWidth="1"/>
    <col min="14095" max="14096" width="14.7109375" style="518" customWidth="1"/>
    <col min="14097" max="14097" width="16.28515625" style="518" customWidth="1"/>
    <col min="14098" max="14336" width="14.7109375" style="518"/>
    <col min="14337" max="14337" width="6" style="518" customWidth="1"/>
    <col min="14338" max="14338" width="37.140625" style="518" customWidth="1"/>
    <col min="14339" max="14339" width="17.140625" style="518" customWidth="1"/>
    <col min="14340" max="14340" width="13.7109375" style="518" customWidth="1"/>
    <col min="14341" max="14341" width="14.42578125" style="518" customWidth="1"/>
    <col min="14342" max="14344" width="12.5703125" style="518" customWidth="1"/>
    <col min="14345" max="14345" width="13.140625" style="518" customWidth="1"/>
    <col min="14346" max="14348" width="12.5703125" style="518" customWidth="1"/>
    <col min="14349" max="14350" width="12.85546875" style="518" customWidth="1"/>
    <col min="14351" max="14352" width="14.7109375" style="518" customWidth="1"/>
    <col min="14353" max="14353" width="16.28515625" style="518" customWidth="1"/>
    <col min="14354" max="14592" width="14.7109375" style="518"/>
    <col min="14593" max="14593" width="6" style="518" customWidth="1"/>
    <col min="14594" max="14594" width="37.140625" style="518" customWidth="1"/>
    <col min="14595" max="14595" width="17.140625" style="518" customWidth="1"/>
    <col min="14596" max="14596" width="13.7109375" style="518" customWidth="1"/>
    <col min="14597" max="14597" width="14.42578125" style="518" customWidth="1"/>
    <col min="14598" max="14600" width="12.5703125" style="518" customWidth="1"/>
    <col min="14601" max="14601" width="13.140625" style="518" customWidth="1"/>
    <col min="14602" max="14604" width="12.5703125" style="518" customWidth="1"/>
    <col min="14605" max="14606" width="12.85546875" style="518" customWidth="1"/>
    <col min="14607" max="14608" width="14.7109375" style="518" customWidth="1"/>
    <col min="14609" max="14609" width="16.28515625" style="518" customWidth="1"/>
    <col min="14610" max="14848" width="14.7109375" style="518"/>
    <col min="14849" max="14849" width="6" style="518" customWidth="1"/>
    <col min="14850" max="14850" width="37.140625" style="518" customWidth="1"/>
    <col min="14851" max="14851" width="17.140625" style="518" customWidth="1"/>
    <col min="14852" max="14852" width="13.7109375" style="518" customWidth="1"/>
    <col min="14853" max="14853" width="14.42578125" style="518" customWidth="1"/>
    <col min="14854" max="14856" width="12.5703125" style="518" customWidth="1"/>
    <col min="14857" max="14857" width="13.140625" style="518" customWidth="1"/>
    <col min="14858" max="14860" width="12.5703125" style="518" customWidth="1"/>
    <col min="14861" max="14862" width="12.85546875" style="518" customWidth="1"/>
    <col min="14863" max="14864" width="14.7109375" style="518" customWidth="1"/>
    <col min="14865" max="14865" width="16.28515625" style="518" customWidth="1"/>
    <col min="14866" max="15104" width="14.7109375" style="518"/>
    <col min="15105" max="15105" width="6" style="518" customWidth="1"/>
    <col min="15106" max="15106" width="37.140625" style="518" customWidth="1"/>
    <col min="15107" max="15107" width="17.140625" style="518" customWidth="1"/>
    <col min="15108" max="15108" width="13.7109375" style="518" customWidth="1"/>
    <col min="15109" max="15109" width="14.42578125" style="518" customWidth="1"/>
    <col min="15110" max="15112" width="12.5703125" style="518" customWidth="1"/>
    <col min="15113" max="15113" width="13.140625" style="518" customWidth="1"/>
    <col min="15114" max="15116" width="12.5703125" style="518" customWidth="1"/>
    <col min="15117" max="15118" width="12.85546875" style="518" customWidth="1"/>
    <col min="15119" max="15120" width="14.7109375" style="518" customWidth="1"/>
    <col min="15121" max="15121" width="16.28515625" style="518" customWidth="1"/>
    <col min="15122" max="15360" width="14.7109375" style="518"/>
    <col min="15361" max="15361" width="6" style="518" customWidth="1"/>
    <col min="15362" max="15362" width="37.140625" style="518" customWidth="1"/>
    <col min="15363" max="15363" width="17.140625" style="518" customWidth="1"/>
    <col min="15364" max="15364" width="13.7109375" style="518" customWidth="1"/>
    <col min="15365" max="15365" width="14.42578125" style="518" customWidth="1"/>
    <col min="15366" max="15368" width="12.5703125" style="518" customWidth="1"/>
    <col min="15369" max="15369" width="13.140625" style="518" customWidth="1"/>
    <col min="15370" max="15372" width="12.5703125" style="518" customWidth="1"/>
    <col min="15373" max="15374" width="12.85546875" style="518" customWidth="1"/>
    <col min="15375" max="15376" width="14.7109375" style="518" customWidth="1"/>
    <col min="15377" max="15377" width="16.28515625" style="518" customWidth="1"/>
    <col min="15378" max="15616" width="14.7109375" style="518"/>
    <col min="15617" max="15617" width="6" style="518" customWidth="1"/>
    <col min="15618" max="15618" width="37.140625" style="518" customWidth="1"/>
    <col min="15619" max="15619" width="17.140625" style="518" customWidth="1"/>
    <col min="15620" max="15620" width="13.7109375" style="518" customWidth="1"/>
    <col min="15621" max="15621" width="14.42578125" style="518" customWidth="1"/>
    <col min="15622" max="15624" width="12.5703125" style="518" customWidth="1"/>
    <col min="15625" max="15625" width="13.140625" style="518" customWidth="1"/>
    <col min="15626" max="15628" width="12.5703125" style="518" customWidth="1"/>
    <col min="15629" max="15630" width="12.85546875" style="518" customWidth="1"/>
    <col min="15631" max="15632" width="14.7109375" style="518" customWidth="1"/>
    <col min="15633" max="15633" width="16.28515625" style="518" customWidth="1"/>
    <col min="15634" max="15872" width="14.7109375" style="518"/>
    <col min="15873" max="15873" width="6" style="518" customWidth="1"/>
    <col min="15874" max="15874" width="37.140625" style="518" customWidth="1"/>
    <col min="15875" max="15875" width="17.140625" style="518" customWidth="1"/>
    <col min="15876" max="15876" width="13.7109375" style="518" customWidth="1"/>
    <col min="15877" max="15877" width="14.42578125" style="518" customWidth="1"/>
    <col min="15878" max="15880" width="12.5703125" style="518" customWidth="1"/>
    <col min="15881" max="15881" width="13.140625" style="518" customWidth="1"/>
    <col min="15882" max="15884" width="12.5703125" style="518" customWidth="1"/>
    <col min="15885" max="15886" width="12.85546875" style="518" customWidth="1"/>
    <col min="15887" max="15888" width="14.7109375" style="518" customWidth="1"/>
    <col min="15889" max="15889" width="16.28515625" style="518" customWidth="1"/>
    <col min="15890" max="16128" width="14.7109375" style="518"/>
    <col min="16129" max="16129" width="6" style="518" customWidth="1"/>
    <col min="16130" max="16130" width="37.140625" style="518" customWidth="1"/>
    <col min="16131" max="16131" width="17.140625" style="518" customWidth="1"/>
    <col min="16132" max="16132" width="13.7109375" style="518" customWidth="1"/>
    <col min="16133" max="16133" width="14.42578125" style="518" customWidth="1"/>
    <col min="16134" max="16136" width="12.5703125" style="518" customWidth="1"/>
    <col min="16137" max="16137" width="13.140625" style="518" customWidth="1"/>
    <col min="16138" max="16140" width="12.5703125" style="518" customWidth="1"/>
    <col min="16141" max="16142" width="12.85546875" style="518" customWidth="1"/>
    <col min="16143" max="16144" width="14.7109375" style="518" customWidth="1"/>
    <col min="16145" max="16145" width="16.28515625" style="518" customWidth="1"/>
    <col min="16146" max="16384" width="14.7109375" style="518"/>
  </cols>
  <sheetData>
    <row r="1" spans="1:24" ht="18">
      <c r="B1" s="514" t="s">
        <v>106</v>
      </c>
      <c r="C1" s="515"/>
      <c r="D1" s="515"/>
      <c r="E1" s="515"/>
      <c r="F1" s="515"/>
      <c r="G1" s="515"/>
      <c r="H1" s="515"/>
      <c r="I1" s="515"/>
      <c r="J1" s="515"/>
      <c r="K1" s="516" t="s">
        <v>0</v>
      </c>
      <c r="L1" s="517" t="s">
        <v>107</v>
      </c>
    </row>
    <row r="2" spans="1:24" ht="18">
      <c r="B2" s="519" t="s">
        <v>148</v>
      </c>
      <c r="C2" s="515"/>
      <c r="D2" s="515"/>
      <c r="E2" s="515"/>
      <c r="F2" s="515"/>
      <c r="G2" s="515"/>
      <c r="H2" s="515"/>
      <c r="I2" s="515"/>
      <c r="J2" s="515"/>
      <c r="K2" s="515"/>
    </row>
    <row r="3" spans="1:24" ht="5.25" customHeight="1">
      <c r="B3" s="520"/>
      <c r="C3" s="515"/>
      <c r="D3" s="515"/>
      <c r="E3" s="515"/>
      <c r="F3" s="515"/>
      <c r="G3" s="515"/>
      <c r="H3" s="515"/>
      <c r="I3" s="515"/>
      <c r="J3" s="515"/>
      <c r="K3" s="515"/>
      <c r="L3" s="515"/>
    </row>
    <row r="4" spans="1:24" ht="18">
      <c r="A4" s="533" t="s">
        <v>109</v>
      </c>
      <c r="B4" s="522" t="s">
        <v>110</v>
      </c>
      <c r="C4" s="519" t="s">
        <v>111</v>
      </c>
      <c r="D4" s="515"/>
      <c r="E4" s="515"/>
      <c r="G4" s="515"/>
      <c r="H4" s="515"/>
      <c r="I4" s="515"/>
      <c r="J4" s="515"/>
      <c r="K4" s="515"/>
      <c r="L4" s="515"/>
    </row>
    <row r="5" spans="1:24" ht="18.75" thickBot="1">
      <c r="B5" s="515"/>
      <c r="C5" s="520"/>
      <c r="D5" s="515"/>
      <c r="E5" s="515"/>
      <c r="F5" s="519" t="s">
        <v>112</v>
      </c>
      <c r="G5" s="515"/>
      <c r="H5" s="515"/>
      <c r="I5" s="519" t="s">
        <v>113</v>
      </c>
      <c r="J5" s="515"/>
      <c r="K5" s="515"/>
      <c r="L5" s="515"/>
    </row>
    <row r="6" spans="1:24" ht="18">
      <c r="A6" s="1763"/>
      <c r="B6" s="1758" t="s">
        <v>114</v>
      </c>
      <c r="C6" s="1758" t="s">
        <v>115</v>
      </c>
      <c r="D6" s="1766" t="s">
        <v>116</v>
      </c>
      <c r="E6" s="1128"/>
      <c r="F6" s="1099" t="s">
        <v>117</v>
      </c>
      <c r="G6" s="1099"/>
      <c r="H6" s="1099"/>
      <c r="I6" s="1100"/>
      <c r="J6" s="1122"/>
      <c r="K6" s="1099"/>
      <c r="L6" s="1100"/>
    </row>
    <row r="7" spans="1:24" s="526" customFormat="1" ht="54" customHeight="1" thickBot="1">
      <c r="A7" s="1764"/>
      <c r="B7" s="1765"/>
      <c r="C7" s="1765"/>
      <c r="D7" s="1767"/>
      <c r="E7" s="1129" t="s">
        <v>118</v>
      </c>
      <c r="F7" s="1115" t="s">
        <v>119</v>
      </c>
      <c r="G7" s="1115" t="s">
        <v>120</v>
      </c>
      <c r="H7" s="1115" t="s">
        <v>121</v>
      </c>
      <c r="I7" s="1116" t="s">
        <v>122</v>
      </c>
      <c r="J7" s="1123" t="s">
        <v>123</v>
      </c>
      <c r="K7" s="1115" t="s">
        <v>124</v>
      </c>
      <c r="L7" s="1116" t="s">
        <v>125</v>
      </c>
    </row>
    <row r="8" spans="1:24" ht="18">
      <c r="A8" s="1110"/>
      <c r="B8" s="1111" t="s">
        <v>126</v>
      </c>
      <c r="C8" s="1112"/>
      <c r="D8" s="1117"/>
      <c r="E8" s="1130"/>
      <c r="F8" s="1112"/>
      <c r="G8" s="1112"/>
      <c r="H8" s="1112"/>
      <c r="I8" s="1131"/>
      <c r="J8" s="1124"/>
      <c r="K8" s="1113"/>
      <c r="L8" s="1114"/>
      <c r="N8" s="515"/>
    </row>
    <row r="9" spans="1:24" ht="18">
      <c r="A9" s="1101">
        <v>1</v>
      </c>
      <c r="B9" s="528" t="s">
        <v>127</v>
      </c>
      <c r="C9" s="524">
        <v>103627</v>
      </c>
      <c r="D9" s="1118">
        <v>84526.66</v>
      </c>
      <c r="E9" s="1132"/>
      <c r="F9" s="529">
        <v>80.876836170631705</v>
      </c>
      <c r="G9" s="529">
        <v>202.96318819686925</v>
      </c>
      <c r="H9" s="529">
        <v>78.030333363265598</v>
      </c>
      <c r="I9" s="1133">
        <v>49.961713602967272</v>
      </c>
      <c r="J9" s="1125">
        <f t="shared" ref="J9:J15" si="0">F9+G9+H9+I9</f>
        <v>411.83207133373384</v>
      </c>
      <c r="K9" s="530">
        <v>18451.32</v>
      </c>
      <c r="L9" s="1102">
        <v>9305.99</v>
      </c>
      <c r="M9" s="535"/>
      <c r="N9" s="577"/>
      <c r="P9" s="577"/>
      <c r="Q9" s="545"/>
      <c r="R9" s="545"/>
      <c r="S9" s="545"/>
      <c r="T9" s="545"/>
      <c r="U9" s="545"/>
      <c r="V9" s="545"/>
      <c r="W9" s="545"/>
      <c r="X9" s="545"/>
    </row>
    <row r="10" spans="1:24" ht="18">
      <c r="A10" s="1101">
        <v>2</v>
      </c>
      <c r="B10" s="528" t="s">
        <v>128</v>
      </c>
      <c r="C10" s="524">
        <v>137960</v>
      </c>
      <c r="D10" s="1118">
        <v>239090.29</v>
      </c>
      <c r="E10" s="1132"/>
      <c r="F10" s="529">
        <v>7.3110849758690506</v>
      </c>
      <c r="G10" s="529">
        <v>62.468945736876215</v>
      </c>
      <c r="H10" s="529">
        <v>34.038940191428168</v>
      </c>
      <c r="I10" s="1133">
        <v>28.614480877624221</v>
      </c>
      <c r="J10" s="1125">
        <f t="shared" si="0"/>
        <v>132.43345178179766</v>
      </c>
      <c r="K10" s="530">
        <v>6243.09</v>
      </c>
      <c r="L10" s="1102">
        <v>4700.51</v>
      </c>
      <c r="M10" s="535"/>
      <c r="N10" s="577"/>
      <c r="P10" s="577"/>
      <c r="Q10" s="545"/>
      <c r="R10" s="545"/>
      <c r="S10" s="545"/>
      <c r="T10" s="545"/>
      <c r="U10" s="545"/>
      <c r="V10" s="545"/>
      <c r="W10" s="545"/>
      <c r="X10" s="545"/>
    </row>
    <row r="11" spans="1:24" ht="18">
      <c r="A11" s="1101">
        <v>3</v>
      </c>
      <c r="B11" s="528" t="s">
        <v>129</v>
      </c>
      <c r="C11" s="524">
        <v>68760</v>
      </c>
      <c r="D11" s="1118">
        <v>177981.52000000002</v>
      </c>
      <c r="E11" s="1132"/>
      <c r="F11" s="529">
        <v>1.8735594016250019</v>
      </c>
      <c r="G11" s="529">
        <v>23.964446939094163</v>
      </c>
      <c r="H11" s="529">
        <v>25.851583372316831</v>
      </c>
      <c r="I11" s="1133">
        <v>22.245248435108831</v>
      </c>
      <c r="J11" s="1125">
        <f t="shared" si="0"/>
        <v>73.934838148144834</v>
      </c>
      <c r="K11" s="530">
        <v>3562.7</v>
      </c>
      <c r="L11" s="1102">
        <v>2910.01</v>
      </c>
      <c r="M11" s="535"/>
      <c r="N11" s="577"/>
      <c r="P11" s="577"/>
      <c r="Q11" s="545"/>
      <c r="R11" s="545"/>
      <c r="S11" s="545"/>
      <c r="T11" s="545"/>
      <c r="U11" s="545"/>
      <c r="V11" s="545"/>
      <c r="W11" s="545"/>
      <c r="X11" s="545"/>
    </row>
    <row r="12" spans="1:24" ht="18">
      <c r="A12" s="1101">
        <v>4</v>
      </c>
      <c r="B12" s="528">
        <v>4</v>
      </c>
      <c r="C12" s="524">
        <v>23983</v>
      </c>
      <c r="D12" s="1118">
        <v>82917.066999999995</v>
      </c>
      <c r="E12" s="1132"/>
      <c r="F12" s="529">
        <v>9.1134532974360291E-2</v>
      </c>
      <c r="G12" s="529">
        <v>1.6561283788823815</v>
      </c>
      <c r="H12" s="529">
        <v>4.1289902329988699</v>
      </c>
      <c r="I12" s="1133">
        <v>5.6438840514263839</v>
      </c>
      <c r="J12" s="1125">
        <f t="shared" si="0"/>
        <v>11.520137196281997</v>
      </c>
      <c r="K12" s="530">
        <v>637.55999999999995</v>
      </c>
      <c r="L12" s="1102">
        <v>575.76</v>
      </c>
      <c r="M12" s="535"/>
      <c r="N12" s="577"/>
      <c r="P12" s="577"/>
      <c r="Q12" s="545"/>
      <c r="R12" s="545"/>
      <c r="S12" s="545"/>
      <c r="T12" s="545"/>
      <c r="U12" s="545"/>
      <c r="V12" s="545"/>
      <c r="W12" s="545"/>
      <c r="X12" s="545"/>
    </row>
    <row r="13" spans="1:24" ht="18">
      <c r="A13" s="1101">
        <v>5</v>
      </c>
      <c r="B13" s="531" t="s">
        <v>130</v>
      </c>
      <c r="C13" s="524">
        <v>18212</v>
      </c>
      <c r="D13" s="1118">
        <v>102245.876</v>
      </c>
      <c r="E13" s="1132"/>
      <c r="F13" s="529">
        <v>5.6398429365973571E-2</v>
      </c>
      <c r="G13" s="529">
        <v>0.94565531749488885</v>
      </c>
      <c r="H13" s="529">
        <v>2.6187004721386535</v>
      </c>
      <c r="I13" s="1133">
        <v>13.615643695743001</v>
      </c>
      <c r="J13" s="1125">
        <f t="shared" si="0"/>
        <v>17.236397914742518</v>
      </c>
      <c r="K13" s="530">
        <v>921.21</v>
      </c>
      <c r="L13" s="1102">
        <v>852.47</v>
      </c>
      <c r="M13" s="535"/>
      <c r="N13" s="577"/>
      <c r="P13" s="577"/>
      <c r="Q13" s="545"/>
      <c r="R13" s="545"/>
      <c r="S13" s="545"/>
      <c r="T13" s="545"/>
      <c r="U13" s="545"/>
      <c r="V13" s="545"/>
      <c r="W13" s="545"/>
      <c r="X13" s="545"/>
    </row>
    <row r="14" spans="1:24" ht="18">
      <c r="A14" s="1161">
        <v>6</v>
      </c>
      <c r="B14" s="534" t="s">
        <v>131</v>
      </c>
      <c r="C14" s="525">
        <f>SUM(C9:C13)</f>
        <v>352542</v>
      </c>
      <c r="D14" s="1119">
        <f>SUM(D9:D13)</f>
        <v>686761.41300000006</v>
      </c>
      <c r="E14" s="1134"/>
      <c r="F14" s="960">
        <f t="shared" ref="F14:L14" si="1">SUM(F9:F13)</f>
        <v>90.209013510466093</v>
      </c>
      <c r="G14" s="960">
        <f t="shared" si="1"/>
        <v>291.9983645692169</v>
      </c>
      <c r="H14" s="960">
        <f t="shared" si="1"/>
        <v>144.66854763214809</v>
      </c>
      <c r="I14" s="1135">
        <f t="shared" si="1"/>
        <v>120.08097066286972</v>
      </c>
      <c r="J14" s="1126">
        <f t="shared" si="0"/>
        <v>646.95689637470082</v>
      </c>
      <c r="K14" s="961">
        <f>SUM(K9:K13)</f>
        <v>29815.88</v>
      </c>
      <c r="L14" s="1103">
        <f t="shared" si="1"/>
        <v>18344.740000000002</v>
      </c>
      <c r="M14" s="535"/>
      <c r="N14" s="578"/>
      <c r="Q14" s="545"/>
      <c r="R14" s="986"/>
    </row>
    <row r="15" spans="1:24" ht="36.6" customHeight="1">
      <c r="A15" s="1101">
        <v>7</v>
      </c>
      <c r="B15" s="531" t="s">
        <v>132</v>
      </c>
      <c r="C15" s="531">
        <v>24</v>
      </c>
      <c r="D15" s="1120">
        <v>8748</v>
      </c>
      <c r="E15" s="1132"/>
      <c r="F15" s="529"/>
      <c r="G15" s="529"/>
      <c r="H15" s="529"/>
      <c r="I15" s="1133">
        <v>0.27359640000000002</v>
      </c>
      <c r="J15" s="1125">
        <f t="shared" si="0"/>
        <v>0.27359640000000002</v>
      </c>
      <c r="K15" s="530">
        <v>409.43157219999966</v>
      </c>
      <c r="L15" s="1102">
        <v>2.85955</v>
      </c>
      <c r="N15" s="577"/>
      <c r="P15" s="987"/>
    </row>
    <row r="16" spans="1:24" ht="18">
      <c r="A16" s="1161">
        <v>8</v>
      </c>
      <c r="B16" s="534" t="s">
        <v>131</v>
      </c>
      <c r="C16" s="525">
        <f>C15</f>
        <v>24</v>
      </c>
      <c r="D16" s="1119">
        <f>D15</f>
        <v>8748</v>
      </c>
      <c r="E16" s="1134"/>
      <c r="F16" s="960"/>
      <c r="G16" s="960"/>
      <c r="H16" s="960"/>
      <c r="I16" s="1135">
        <f t="shared" ref="I16" si="2">I15</f>
        <v>0.27359640000000002</v>
      </c>
      <c r="J16" s="1126">
        <f>J15</f>
        <v>0.27359640000000002</v>
      </c>
      <c r="K16" s="961">
        <f t="shared" ref="K16:L16" si="3">K15</f>
        <v>409.43157219999966</v>
      </c>
      <c r="L16" s="1103">
        <f t="shared" si="3"/>
        <v>2.85955</v>
      </c>
      <c r="N16" s="577"/>
      <c r="Q16" s="545"/>
      <c r="R16" s="545"/>
      <c r="S16" s="545"/>
      <c r="T16" s="545"/>
    </row>
    <row r="17" spans="1:24" ht="18">
      <c r="A17" s="1101">
        <v>9</v>
      </c>
      <c r="B17" s="531" t="s">
        <v>133</v>
      </c>
      <c r="C17" s="524"/>
      <c r="D17" s="1162"/>
      <c r="E17" s="1132"/>
      <c r="F17" s="529"/>
      <c r="G17" s="529"/>
      <c r="H17" s="529"/>
      <c r="I17" s="1133"/>
      <c r="J17" s="1125"/>
      <c r="K17" s="530"/>
      <c r="L17" s="1102"/>
      <c r="N17" s="577"/>
      <c r="Q17" s="545"/>
    </row>
    <row r="18" spans="1:24" ht="18">
      <c r="A18" s="1101">
        <v>10</v>
      </c>
      <c r="B18" s="531" t="s">
        <v>134</v>
      </c>
      <c r="C18" s="524"/>
      <c r="D18" s="1162"/>
      <c r="E18" s="1132"/>
      <c r="F18" s="529"/>
      <c r="G18" s="529"/>
      <c r="H18" s="529"/>
      <c r="I18" s="1133"/>
      <c r="J18" s="1125"/>
      <c r="K18" s="530"/>
      <c r="L18" s="1102"/>
      <c r="N18" s="577"/>
    </row>
    <row r="19" spans="1:24" ht="18">
      <c r="A19" s="1161">
        <v>11</v>
      </c>
      <c r="B19" s="534" t="s">
        <v>135</v>
      </c>
      <c r="C19" s="525"/>
      <c r="D19" s="1163"/>
      <c r="E19" s="1134"/>
      <c r="F19" s="960">
        <f>F18</f>
        <v>0</v>
      </c>
      <c r="G19" s="960">
        <f t="shared" ref="G19:L19" si="4">G18</f>
        <v>0</v>
      </c>
      <c r="H19" s="960">
        <f t="shared" si="4"/>
        <v>0</v>
      </c>
      <c r="I19" s="1135">
        <f t="shared" si="4"/>
        <v>0</v>
      </c>
      <c r="J19" s="1126">
        <f t="shared" si="4"/>
        <v>0</v>
      </c>
      <c r="K19" s="961">
        <f t="shared" si="4"/>
        <v>0</v>
      </c>
      <c r="L19" s="1103">
        <f t="shared" si="4"/>
        <v>0</v>
      </c>
      <c r="N19" s="577"/>
    </row>
    <row r="20" spans="1:24" ht="6.75" customHeight="1">
      <c r="A20" s="1101"/>
      <c r="B20" s="531"/>
      <c r="C20" s="524"/>
      <c r="D20" s="1162"/>
      <c r="E20" s="1132"/>
      <c r="F20" s="529"/>
      <c r="G20" s="529"/>
      <c r="H20" s="529"/>
      <c r="I20" s="1133"/>
      <c r="J20" s="1125"/>
      <c r="K20" s="530"/>
      <c r="L20" s="1102"/>
      <c r="N20" s="577"/>
    </row>
    <row r="21" spans="1:24" ht="18.75" thickBot="1">
      <c r="A21" s="1146">
        <v>12</v>
      </c>
      <c r="B21" s="1105" t="s">
        <v>136</v>
      </c>
      <c r="C21" s="1106">
        <f>C14+C16+C17</f>
        <v>352566</v>
      </c>
      <c r="D21" s="1121">
        <f>D14+D16+D17</f>
        <v>695509.41300000006</v>
      </c>
      <c r="E21" s="1136"/>
      <c r="F21" s="1107">
        <f>F14+F16+F19</f>
        <v>90.209013510466093</v>
      </c>
      <c r="G21" s="1107">
        <f t="shared" ref="G21:L21" si="5">G14+G16+G19</f>
        <v>291.9983645692169</v>
      </c>
      <c r="H21" s="1107">
        <f t="shared" si="5"/>
        <v>144.66854763214809</v>
      </c>
      <c r="I21" s="1137">
        <f t="shared" si="5"/>
        <v>120.35456706286972</v>
      </c>
      <c r="J21" s="1127">
        <f t="shared" si="5"/>
        <v>647.23049277470079</v>
      </c>
      <c r="K21" s="1108">
        <f>K14+K16+K19</f>
        <v>30225.3115722</v>
      </c>
      <c r="L21" s="1109">
        <f t="shared" si="5"/>
        <v>18347.599550000003</v>
      </c>
      <c r="N21" s="578"/>
    </row>
    <row r="22" spans="1:24" ht="18">
      <c r="B22" s="532"/>
      <c r="C22" s="965"/>
      <c r="D22" s="965"/>
      <c r="E22" s="965"/>
      <c r="F22" s="965"/>
      <c r="G22" s="965"/>
      <c r="H22" s="965"/>
      <c r="I22" s="965"/>
      <c r="J22" s="965"/>
      <c r="K22" s="965"/>
      <c r="L22" s="965"/>
    </row>
    <row r="23" spans="1:24" ht="18">
      <c r="A23" s="533" t="s">
        <v>137</v>
      </c>
      <c r="B23" s="522" t="s">
        <v>110</v>
      </c>
      <c r="C23" s="519" t="s">
        <v>138</v>
      </c>
      <c r="D23" s="515"/>
      <c r="E23" s="515"/>
      <c r="G23" s="515"/>
      <c r="H23" s="515"/>
      <c r="I23" s="515"/>
      <c r="J23" s="515"/>
      <c r="K23" s="515"/>
      <c r="L23" s="515"/>
    </row>
    <row r="24" spans="1:24" ht="18.75" thickBot="1">
      <c r="B24" s="532"/>
      <c r="C24" s="520"/>
      <c r="D24" s="515"/>
      <c r="E24" s="515"/>
      <c r="F24" s="519" t="s">
        <v>112</v>
      </c>
      <c r="G24" s="515"/>
      <c r="H24" s="515"/>
      <c r="I24" s="519" t="s">
        <v>113</v>
      </c>
      <c r="J24" s="515"/>
      <c r="K24" s="515"/>
      <c r="L24" s="515"/>
    </row>
    <row r="25" spans="1:24" ht="18">
      <c r="A25" s="1763"/>
      <c r="B25" s="1758" t="s">
        <v>114</v>
      </c>
      <c r="C25" s="1758" t="s">
        <v>115</v>
      </c>
      <c r="D25" s="1766" t="s">
        <v>116</v>
      </c>
      <c r="E25" s="1128"/>
      <c r="F25" s="1099" t="s">
        <v>117</v>
      </c>
      <c r="G25" s="1099"/>
      <c r="H25" s="1099"/>
      <c r="I25" s="1100"/>
      <c r="J25" s="1122"/>
      <c r="K25" s="1099"/>
      <c r="L25" s="1100"/>
    </row>
    <row r="26" spans="1:24" s="526" customFormat="1" ht="57" customHeight="1" thickBot="1">
      <c r="A26" s="1764"/>
      <c r="B26" s="1765"/>
      <c r="C26" s="1765"/>
      <c r="D26" s="1767"/>
      <c r="E26" s="1129" t="s">
        <v>118</v>
      </c>
      <c r="F26" s="1115" t="s">
        <v>119</v>
      </c>
      <c r="G26" s="1115" t="s">
        <v>120</v>
      </c>
      <c r="H26" s="1115" t="s">
        <v>121</v>
      </c>
      <c r="I26" s="1116" t="s">
        <v>122</v>
      </c>
      <c r="J26" s="1123" t="s">
        <v>123</v>
      </c>
      <c r="K26" s="1115" t="s">
        <v>124</v>
      </c>
      <c r="L26" s="1116" t="s">
        <v>125</v>
      </c>
    </row>
    <row r="27" spans="1:24" ht="18">
      <c r="A27" s="1110"/>
      <c r="B27" s="1111" t="s">
        <v>126</v>
      </c>
      <c r="C27" s="1112"/>
      <c r="D27" s="1117"/>
      <c r="E27" s="1130"/>
      <c r="F27" s="1112"/>
      <c r="G27" s="1112"/>
      <c r="H27" s="1112"/>
      <c r="I27" s="1131"/>
      <c r="J27" s="1124"/>
      <c r="K27" s="1113"/>
      <c r="L27" s="1114"/>
    </row>
    <row r="28" spans="1:24" ht="18">
      <c r="A28" s="1101">
        <v>1</v>
      </c>
      <c r="B28" s="528" t="s">
        <v>127</v>
      </c>
      <c r="C28" s="524">
        <v>1260662</v>
      </c>
      <c r="D28" s="1118">
        <v>576464.51</v>
      </c>
      <c r="E28" s="1132"/>
      <c r="F28" s="529">
        <v>4.5702106742624524</v>
      </c>
      <c r="G28" s="529">
        <v>28.143018653746044</v>
      </c>
      <c r="H28" s="529">
        <v>15.69130948095933</v>
      </c>
      <c r="I28" s="1133">
        <v>11.852695665521601</v>
      </c>
      <c r="J28" s="1125">
        <f>SUM(F28:I28)</f>
        <v>60.257234474489429</v>
      </c>
      <c r="K28" s="530">
        <v>2959.16</v>
      </c>
      <c r="L28" s="1102">
        <v>1277.3599999999999</v>
      </c>
      <c r="M28" s="535"/>
      <c r="N28" s="577"/>
      <c r="P28" s="577"/>
      <c r="Q28" s="545"/>
      <c r="R28" s="545"/>
      <c r="S28" s="545"/>
      <c r="T28" s="545"/>
      <c r="U28" s="545"/>
      <c r="V28" s="545"/>
      <c r="W28" s="545"/>
      <c r="X28" s="545"/>
    </row>
    <row r="29" spans="1:24" ht="18">
      <c r="A29" s="1101">
        <v>2</v>
      </c>
      <c r="B29" s="528" t="s">
        <v>128</v>
      </c>
      <c r="C29" s="524">
        <v>197334</v>
      </c>
      <c r="D29" s="1118">
        <v>250543.84</v>
      </c>
      <c r="E29" s="1132"/>
      <c r="F29" s="529">
        <v>2.5982319303772847</v>
      </c>
      <c r="G29" s="529">
        <v>46.354238901025383</v>
      </c>
      <c r="H29" s="529">
        <v>49.352868898797666</v>
      </c>
      <c r="I29" s="1133">
        <v>56.750009166525203</v>
      </c>
      <c r="J29" s="1125">
        <f>SUM(F29:I29)</f>
        <v>155.05534889672555</v>
      </c>
      <c r="K29" s="530">
        <v>7592.52</v>
      </c>
      <c r="L29" s="1102">
        <v>4901.05</v>
      </c>
      <c r="M29" s="535"/>
      <c r="N29" s="577"/>
      <c r="P29" s="577"/>
      <c r="Q29" s="545"/>
      <c r="R29" s="545"/>
      <c r="S29" s="545"/>
      <c r="T29" s="545"/>
      <c r="U29" s="545"/>
      <c r="V29" s="545"/>
      <c r="W29" s="545"/>
      <c r="X29" s="545"/>
    </row>
    <row r="30" spans="1:24" ht="18">
      <c r="A30" s="1101">
        <v>3</v>
      </c>
      <c r="B30" s="528" t="s">
        <v>129</v>
      </c>
      <c r="C30" s="524">
        <v>76863</v>
      </c>
      <c r="D30" s="1118">
        <v>142081.06</v>
      </c>
      <c r="E30" s="1132"/>
      <c r="F30" s="529">
        <v>1.006093860504822</v>
      </c>
      <c r="G30" s="529">
        <v>18.367623381842929</v>
      </c>
      <c r="H30" s="529">
        <v>32.668392337553065</v>
      </c>
      <c r="I30" s="1133">
        <v>45.067518331068413</v>
      </c>
      <c r="J30" s="1125">
        <f>SUM(F30:I30)</f>
        <v>97.109627910969238</v>
      </c>
      <c r="K30" s="530">
        <v>4568.88</v>
      </c>
      <c r="L30" s="1102">
        <v>2770.72</v>
      </c>
      <c r="M30" s="535"/>
      <c r="N30" s="577"/>
      <c r="P30" s="577"/>
      <c r="Q30" s="545"/>
      <c r="R30" s="545"/>
      <c r="S30" s="545"/>
      <c r="T30" s="545"/>
      <c r="U30" s="545"/>
      <c r="V30" s="545"/>
      <c r="W30" s="545"/>
      <c r="X30" s="545"/>
    </row>
    <row r="31" spans="1:24" ht="18">
      <c r="A31" s="1101">
        <v>4</v>
      </c>
      <c r="B31" s="528">
        <v>4</v>
      </c>
      <c r="C31" s="524">
        <v>7760</v>
      </c>
      <c r="D31" s="1118">
        <v>20418.61</v>
      </c>
      <c r="E31" s="1132"/>
      <c r="F31" s="529">
        <v>0.26376574411395282</v>
      </c>
      <c r="G31" s="529">
        <v>5.2331912439834793</v>
      </c>
      <c r="H31" s="529">
        <v>12.659613243286396</v>
      </c>
      <c r="I31" s="1133">
        <v>21.350120687574567</v>
      </c>
      <c r="J31" s="1125">
        <f>SUM(F31:I31)</f>
        <v>39.506690918958398</v>
      </c>
      <c r="K31" s="530">
        <v>1915.24</v>
      </c>
      <c r="L31" s="1102">
        <v>1405.41</v>
      </c>
      <c r="M31" s="535"/>
      <c r="N31" s="577"/>
      <c r="P31" s="577"/>
      <c r="Q31" s="545"/>
      <c r="R31" s="545"/>
      <c r="S31" s="545"/>
      <c r="T31" s="545"/>
      <c r="U31" s="545"/>
      <c r="V31" s="545"/>
      <c r="W31" s="545"/>
      <c r="X31" s="545"/>
    </row>
    <row r="32" spans="1:24" ht="18">
      <c r="A32" s="1101">
        <v>5</v>
      </c>
      <c r="B32" s="531" t="s">
        <v>130</v>
      </c>
      <c r="C32" s="524">
        <f>6068+4</f>
        <v>6072</v>
      </c>
      <c r="D32" s="1118">
        <f>25641.15+530</f>
        <v>26171.15</v>
      </c>
      <c r="E32" s="1132"/>
      <c r="F32" s="529">
        <v>0.12224362485395449</v>
      </c>
      <c r="G32" s="529">
        <v>2.4584890692146031</v>
      </c>
      <c r="H32" s="529">
        <v>8.2897871206123739</v>
      </c>
      <c r="I32" s="1133">
        <f>45.0819532091766-0.547193+0.2735964</f>
        <v>44.808356609176606</v>
      </c>
      <c r="J32" s="1125">
        <f>SUM(F32:I32)</f>
        <v>55.678876423857538</v>
      </c>
      <c r="K32" s="530">
        <v>2673.55</v>
      </c>
      <c r="L32" s="1102">
        <v>1871.26</v>
      </c>
      <c r="M32" s="535"/>
      <c r="N32" s="577"/>
      <c r="P32" s="577"/>
      <c r="Q32" s="545"/>
      <c r="R32" s="545"/>
      <c r="S32" s="545"/>
      <c r="T32" s="545"/>
      <c r="U32" s="545"/>
      <c r="V32" s="545"/>
      <c r="W32" s="545"/>
      <c r="X32" s="545"/>
    </row>
    <row r="33" spans="1:20" ht="18">
      <c r="A33" s="1161">
        <v>6</v>
      </c>
      <c r="B33" s="534" t="s">
        <v>131</v>
      </c>
      <c r="C33" s="525">
        <f>SUM(C28:C32)</f>
        <v>1548691</v>
      </c>
      <c r="D33" s="1119">
        <f t="shared" ref="D33:L33" si="6">SUM(D28:D32)</f>
        <v>1015679.1699999999</v>
      </c>
      <c r="E33" s="1134"/>
      <c r="F33" s="960">
        <f>SUM(F28:F32)</f>
        <v>8.5605458341124656</v>
      </c>
      <c r="G33" s="960">
        <f>SUM(G28:G32)</f>
        <v>100.55656124981245</v>
      </c>
      <c r="H33" s="960">
        <f>SUM(H28:H32)</f>
        <v>118.66197108120883</v>
      </c>
      <c r="I33" s="1135">
        <f>SUM(I28:I32)</f>
        <v>179.82870045986638</v>
      </c>
      <c r="J33" s="1126">
        <f t="shared" si="6"/>
        <v>407.60777862500015</v>
      </c>
      <c r="K33" s="961">
        <f>SUM(K28:K32)</f>
        <v>19709.350000000002</v>
      </c>
      <c r="L33" s="1103">
        <f t="shared" si="6"/>
        <v>12225.8</v>
      </c>
      <c r="M33" s="535"/>
      <c r="N33" s="578"/>
      <c r="O33" s="987"/>
      <c r="Q33" s="545"/>
      <c r="R33" s="987"/>
    </row>
    <row r="34" spans="1:20" ht="36" customHeight="1">
      <c r="A34" s="1101">
        <v>7</v>
      </c>
      <c r="B34" s="531" t="s">
        <v>132</v>
      </c>
      <c r="C34" s="531"/>
      <c r="D34" s="1120"/>
      <c r="E34" s="1132"/>
      <c r="F34" s="529"/>
      <c r="G34" s="529"/>
      <c r="H34" s="529"/>
      <c r="I34" s="1133"/>
      <c r="J34" s="1125"/>
      <c r="K34" s="530"/>
      <c r="L34" s="1102"/>
      <c r="N34" s="577"/>
      <c r="Q34" s="987"/>
    </row>
    <row r="35" spans="1:20" ht="18">
      <c r="A35" s="1161">
        <v>8</v>
      </c>
      <c r="B35" s="534" t="s">
        <v>131</v>
      </c>
      <c r="C35" s="525">
        <f>C34</f>
        <v>0</v>
      </c>
      <c r="D35" s="1119">
        <f>D34</f>
        <v>0</v>
      </c>
      <c r="E35" s="1134"/>
      <c r="F35" s="960">
        <f>F34</f>
        <v>0</v>
      </c>
      <c r="G35" s="960">
        <f t="shared" ref="G35:L35" si="7">G34</f>
        <v>0</v>
      </c>
      <c r="H35" s="960">
        <f t="shared" si="7"/>
        <v>0</v>
      </c>
      <c r="I35" s="1135">
        <f t="shared" si="7"/>
        <v>0</v>
      </c>
      <c r="J35" s="1126">
        <f t="shared" si="7"/>
        <v>0</v>
      </c>
      <c r="K35" s="961">
        <f t="shared" si="7"/>
        <v>0</v>
      </c>
      <c r="L35" s="1103">
        <f t="shared" si="7"/>
        <v>0</v>
      </c>
      <c r="M35" s="535"/>
      <c r="N35" s="578"/>
    </row>
    <row r="36" spans="1:20" ht="18">
      <c r="A36" s="1101">
        <v>9</v>
      </c>
      <c r="B36" s="531" t="s">
        <v>133</v>
      </c>
      <c r="C36" s="524">
        <f>133127+3435</f>
        <v>136562</v>
      </c>
      <c r="D36" s="1118">
        <f>51310+2311.29</f>
        <v>53621.29</v>
      </c>
      <c r="E36" s="1132"/>
      <c r="F36" s="529"/>
      <c r="G36" s="529"/>
      <c r="H36" s="529"/>
      <c r="I36" s="1133"/>
      <c r="J36" s="1125"/>
      <c r="K36" s="530"/>
      <c r="L36" s="1102"/>
      <c r="N36" s="577"/>
      <c r="Q36" s="545"/>
      <c r="R36" s="545"/>
      <c r="S36" s="545"/>
      <c r="T36" s="545"/>
    </row>
    <row r="37" spans="1:20" ht="18">
      <c r="A37" s="1101">
        <v>10</v>
      </c>
      <c r="B37" s="531" t="s">
        <v>134</v>
      </c>
      <c r="C37" s="524"/>
      <c r="D37" s="1118"/>
      <c r="E37" s="1132"/>
      <c r="F37" s="529"/>
      <c r="G37" s="529"/>
      <c r="H37" s="529"/>
      <c r="I37" s="1133"/>
      <c r="J37" s="1125"/>
      <c r="K37" s="530"/>
      <c r="L37" s="1102"/>
      <c r="M37" s="535"/>
      <c r="N37" s="577"/>
      <c r="Q37" s="545"/>
    </row>
    <row r="38" spans="1:20" ht="18">
      <c r="A38" s="1161">
        <v>11</v>
      </c>
      <c r="B38" s="534" t="s">
        <v>135</v>
      </c>
      <c r="C38" s="525"/>
      <c r="D38" s="1119"/>
      <c r="E38" s="1141">
        <f>13.63737+0.0000029999999977548</f>
        <v>13.637372999999998</v>
      </c>
      <c r="F38" s="960">
        <f>F37</f>
        <v>0</v>
      </c>
      <c r="G38" s="960">
        <f t="shared" ref="G38:J38" si="8">G37</f>
        <v>0</v>
      </c>
      <c r="H38" s="960">
        <f t="shared" si="8"/>
        <v>0</v>
      </c>
      <c r="I38" s="1135">
        <f t="shared" si="8"/>
        <v>0</v>
      </c>
      <c r="J38" s="1126">
        <f t="shared" si="8"/>
        <v>0</v>
      </c>
      <c r="K38" s="961">
        <v>369.93</v>
      </c>
      <c r="L38" s="1103">
        <v>67.88</v>
      </c>
      <c r="M38" s="535"/>
      <c r="N38" s="577"/>
    </row>
    <row r="39" spans="1:20" ht="9" customHeight="1">
      <c r="A39" s="1101"/>
      <c r="B39" s="531"/>
      <c r="C39" s="524"/>
      <c r="D39" s="1118"/>
      <c r="E39" s="1132"/>
      <c r="F39" s="529"/>
      <c r="G39" s="529"/>
      <c r="H39" s="529"/>
      <c r="I39" s="1133"/>
      <c r="J39" s="1125"/>
      <c r="K39" s="530"/>
      <c r="L39" s="1102"/>
      <c r="N39" s="577"/>
    </row>
    <row r="40" spans="1:20" ht="18">
      <c r="A40" s="1161">
        <v>12</v>
      </c>
      <c r="B40" s="534" t="s">
        <v>139</v>
      </c>
      <c r="C40" s="525">
        <f>C33+C35+C36</f>
        <v>1685253</v>
      </c>
      <c r="D40" s="1119">
        <f>D33+D35+D36</f>
        <v>1069300.46</v>
      </c>
      <c r="E40" s="1141">
        <f t="shared" ref="E40" si="9">E35+E36+E38</f>
        <v>13.637372999999998</v>
      </c>
      <c r="F40" s="960">
        <f>F33+F35+F38</f>
        <v>8.5605458341124656</v>
      </c>
      <c r="G40" s="960">
        <f t="shared" ref="G40:L40" si="10">G33+G35+G38</f>
        <v>100.55656124981245</v>
      </c>
      <c r="H40" s="960">
        <f t="shared" si="10"/>
        <v>118.66197108120883</v>
      </c>
      <c r="I40" s="1135">
        <f t="shared" si="10"/>
        <v>179.82870045986638</v>
      </c>
      <c r="J40" s="1126">
        <f t="shared" si="10"/>
        <v>407.60777862500015</v>
      </c>
      <c r="K40" s="961">
        <f>K33+K35+K38</f>
        <v>20079.280000000002</v>
      </c>
      <c r="L40" s="1103">
        <f t="shared" si="10"/>
        <v>12293.679999999998</v>
      </c>
      <c r="N40" s="578"/>
    </row>
    <row r="41" spans="1:20" ht="18">
      <c r="A41" s="1101"/>
      <c r="B41" s="531"/>
      <c r="C41" s="966"/>
      <c r="D41" s="1139"/>
      <c r="E41" s="1142"/>
      <c r="F41" s="984"/>
      <c r="G41" s="984"/>
      <c r="H41" s="984"/>
      <c r="I41" s="1143"/>
      <c r="J41" s="1140"/>
      <c r="K41" s="983"/>
      <c r="L41" s="1138"/>
      <c r="N41" s="577"/>
    </row>
    <row r="42" spans="1:20" ht="18.75" thickBot="1">
      <c r="A42" s="1146"/>
      <c r="B42" s="1105" t="s">
        <v>140</v>
      </c>
      <c r="C42" s="1106">
        <f>C21+C40</f>
        <v>2037819</v>
      </c>
      <c r="D42" s="1121">
        <f>D21+D40</f>
        <v>1764809.8730000001</v>
      </c>
      <c r="E42" s="1144">
        <f t="shared" ref="E42" si="11">E40+E21</f>
        <v>13.637372999999998</v>
      </c>
      <c r="F42" s="1107">
        <f>F21+F40</f>
        <v>98.769559344578553</v>
      </c>
      <c r="G42" s="1107">
        <f t="shared" ref="G42:L42" si="12">G21+G40</f>
        <v>392.55492581902934</v>
      </c>
      <c r="H42" s="1107">
        <f t="shared" si="12"/>
        <v>263.33051871335692</v>
      </c>
      <c r="I42" s="1137">
        <f t="shared" si="12"/>
        <v>300.18326752273612</v>
      </c>
      <c r="J42" s="1127">
        <f>J21+J40</f>
        <v>1054.8382713997009</v>
      </c>
      <c r="K42" s="1108">
        <f>K21+K40</f>
        <v>50304.591572200006</v>
      </c>
      <c r="L42" s="1109">
        <f t="shared" si="12"/>
        <v>30641.279549999999</v>
      </c>
      <c r="N42" s="515"/>
      <c r="P42" s="545"/>
      <c r="Q42" s="980"/>
    </row>
    <row r="43" spans="1:20" ht="18" customHeight="1" thickBot="1">
      <c r="B43" s="519" t="s">
        <v>141</v>
      </c>
      <c r="C43" s="520"/>
      <c r="D43" s="520"/>
      <c r="E43" s="515"/>
      <c r="F43" s="515"/>
      <c r="G43" s="515"/>
      <c r="H43" s="515"/>
      <c r="I43" s="515"/>
      <c r="J43" s="515"/>
      <c r="K43" s="577"/>
      <c r="L43" s="515"/>
      <c r="Q43" s="545"/>
    </row>
    <row r="44" spans="1:20" ht="54" customHeight="1">
      <c r="A44" s="1145"/>
      <c r="B44" s="1147"/>
      <c r="C44" s="1770" t="s">
        <v>142</v>
      </c>
      <c r="D44" s="1771"/>
      <c r="E44" s="1771"/>
      <c r="F44" s="1772"/>
      <c r="G44" s="1771" t="s">
        <v>143</v>
      </c>
      <c r="H44" s="1771"/>
      <c r="I44" s="1771"/>
      <c r="J44" s="1771"/>
      <c r="K44" s="1757" t="s">
        <v>144</v>
      </c>
      <c r="L44" s="1758"/>
      <c r="M44" s="1758"/>
      <c r="N44" s="1759"/>
    </row>
    <row r="45" spans="1:20" ht="18" customHeight="1">
      <c r="A45" s="1101"/>
      <c r="B45" s="1148"/>
      <c r="C45" s="1773" t="s">
        <v>111</v>
      </c>
      <c r="D45" s="1774"/>
      <c r="E45" s="1775" t="s">
        <v>138</v>
      </c>
      <c r="F45" s="1776"/>
      <c r="G45" s="1777" t="s">
        <v>111</v>
      </c>
      <c r="H45" s="1774"/>
      <c r="I45" s="1775" t="s">
        <v>138</v>
      </c>
      <c r="J45" s="1777"/>
      <c r="K45" s="1773" t="s">
        <v>111</v>
      </c>
      <c r="L45" s="1774"/>
      <c r="M45" s="1775" t="s">
        <v>138</v>
      </c>
      <c r="N45" s="1776"/>
    </row>
    <row r="46" spans="1:20" ht="55.5" customHeight="1" thickBot="1">
      <c r="A46" s="1104"/>
      <c r="B46" s="1160"/>
      <c r="C46" s="1129" t="s">
        <v>145</v>
      </c>
      <c r="D46" s="1115" t="s">
        <v>27</v>
      </c>
      <c r="E46" s="1115" t="s">
        <v>145</v>
      </c>
      <c r="F46" s="1116" t="s">
        <v>27</v>
      </c>
      <c r="G46" s="1123" t="s">
        <v>145</v>
      </c>
      <c r="H46" s="1115" t="s">
        <v>27</v>
      </c>
      <c r="I46" s="1115" t="s">
        <v>145</v>
      </c>
      <c r="J46" s="1164" t="s">
        <v>27</v>
      </c>
      <c r="K46" s="1129" t="s">
        <v>145</v>
      </c>
      <c r="L46" s="1115" t="s">
        <v>27</v>
      </c>
      <c r="M46" s="1115" t="s">
        <v>145</v>
      </c>
      <c r="N46" s="1116" t="s">
        <v>27</v>
      </c>
    </row>
    <row r="47" spans="1:20" ht="18">
      <c r="A47" s="1110">
        <v>1</v>
      </c>
      <c r="B47" s="1157" t="s">
        <v>146</v>
      </c>
      <c r="C47" s="1130"/>
      <c r="D47" s="1158"/>
      <c r="E47" s="1112">
        <v>34424</v>
      </c>
      <c r="F47" s="1159">
        <v>0.21244000000000057</v>
      </c>
      <c r="G47" s="1124"/>
      <c r="H47" s="1112"/>
      <c r="I47" s="1112"/>
      <c r="J47" s="1117"/>
      <c r="K47" s="1130"/>
      <c r="L47" s="1158"/>
      <c r="M47" s="1112">
        <f>98703+2613+822</f>
        <v>102138</v>
      </c>
      <c r="N47" s="1159">
        <f>13.00366+0.463446999999999-0.042174</f>
        <v>13.424932999999999</v>
      </c>
      <c r="Q47" s="545"/>
    </row>
    <row r="48" spans="1:20" ht="18">
      <c r="A48" s="1101"/>
      <c r="B48" s="1150" t="s">
        <v>126</v>
      </c>
      <c r="C48" s="1132"/>
      <c r="D48" s="529"/>
      <c r="E48" s="524"/>
      <c r="F48" s="1133"/>
      <c r="G48" s="1153"/>
      <c r="H48" s="524"/>
      <c r="I48" s="524"/>
      <c r="J48" s="1162"/>
      <c r="K48" s="1132"/>
      <c r="L48" s="529"/>
      <c r="M48" s="524"/>
      <c r="N48" s="1133"/>
    </row>
    <row r="49" spans="1:23" ht="18">
      <c r="A49" s="1101">
        <v>2</v>
      </c>
      <c r="B49" s="1151" t="s">
        <v>127</v>
      </c>
      <c r="C49" s="1132">
        <v>70785</v>
      </c>
      <c r="D49" s="529">
        <v>245.79571960926864</v>
      </c>
      <c r="E49" s="524">
        <v>683901</v>
      </c>
      <c r="F49" s="1133">
        <v>48.176440856329272</v>
      </c>
      <c r="G49" s="1153"/>
      <c r="H49" s="524"/>
      <c r="I49" s="524"/>
      <c r="J49" s="1162"/>
      <c r="K49" s="1132">
        <f>33018-176</f>
        <v>32842</v>
      </c>
      <c r="L49" s="529">
        <f>184.216315226023-18-0.179964</f>
        <v>166.03635122602299</v>
      </c>
      <c r="M49" s="524">
        <f>576892-131</f>
        <v>576761</v>
      </c>
      <c r="N49" s="1133">
        <f>16.6803307045459-4.599537</f>
        <v>12.080793704545899</v>
      </c>
      <c r="O49" s="545"/>
      <c r="P49" s="975"/>
      <c r="Q49" s="975"/>
      <c r="R49" s="975"/>
      <c r="S49" s="975"/>
      <c r="T49" s="975"/>
      <c r="U49" s="975"/>
      <c r="V49" s="980"/>
      <c r="W49" s="975"/>
    </row>
    <row r="50" spans="1:23" ht="18">
      <c r="A50" s="1101">
        <v>3</v>
      </c>
      <c r="B50" s="1151" t="s">
        <v>128</v>
      </c>
      <c r="C50" s="1132">
        <v>109684</v>
      </c>
      <c r="D50" s="529">
        <v>83.541410955144983</v>
      </c>
      <c r="E50" s="524">
        <v>130530</v>
      </c>
      <c r="F50" s="1133">
        <v>130.08706453239435</v>
      </c>
      <c r="G50" s="1153"/>
      <c r="H50" s="524"/>
      <c r="I50" s="524"/>
      <c r="J50" s="1162"/>
      <c r="K50" s="1132">
        <f>28286-10</f>
        <v>28276</v>
      </c>
      <c r="L50" s="529">
        <f>47.1292324973342+2-0.237192</f>
        <v>48.8920404973342</v>
      </c>
      <c r="M50" s="524">
        <f>66687+117</f>
        <v>66804</v>
      </c>
      <c r="N50" s="1133">
        <f>27.2090472092642-2.240763</f>
        <v>24.968284209264198</v>
      </c>
      <c r="O50" s="545"/>
      <c r="P50" s="975"/>
      <c r="Q50" s="975"/>
      <c r="R50" s="975"/>
      <c r="S50" s="975"/>
      <c r="T50" s="975"/>
      <c r="U50" s="975"/>
      <c r="V50" s="980"/>
      <c r="W50" s="975"/>
    </row>
    <row r="51" spans="1:23" ht="18">
      <c r="A51" s="1101">
        <v>4</v>
      </c>
      <c r="B51" s="1151" t="s">
        <v>129</v>
      </c>
      <c r="C51" s="1132">
        <v>56726</v>
      </c>
      <c r="D51" s="529">
        <v>46.680366919758093</v>
      </c>
      <c r="E51" s="524">
        <v>57110</v>
      </c>
      <c r="F51" s="1133">
        <v>82.10484241952993</v>
      </c>
      <c r="G51" s="1153"/>
      <c r="H51" s="524"/>
      <c r="I51" s="524"/>
      <c r="J51" s="1162"/>
      <c r="K51" s="1132">
        <f>11915+119</f>
        <v>12034</v>
      </c>
      <c r="L51" s="529">
        <f>15.5439597214048+12-0.289488</f>
        <v>27.254471721404801</v>
      </c>
      <c r="M51" s="524">
        <f>19742+11</f>
        <v>19753</v>
      </c>
      <c r="N51" s="1133">
        <f>15.9333141321995-0.928529</f>
        <v>15.004785132199501</v>
      </c>
      <c r="O51" s="545"/>
      <c r="P51" s="975"/>
      <c r="Q51" s="975"/>
      <c r="R51" s="975"/>
      <c r="S51" s="975"/>
      <c r="T51" s="975"/>
      <c r="U51" s="975"/>
      <c r="V51" s="980"/>
      <c r="W51" s="975"/>
    </row>
    <row r="52" spans="1:23" ht="18">
      <c r="A52" s="1101">
        <v>5</v>
      </c>
      <c r="B52" s="1151">
        <v>4</v>
      </c>
      <c r="C52" s="1132">
        <v>19918</v>
      </c>
      <c r="D52" s="529">
        <v>8.3407404494523298</v>
      </c>
      <c r="E52" s="524">
        <v>6119</v>
      </c>
      <c r="F52" s="1133">
        <v>34.835469297484408</v>
      </c>
      <c r="G52" s="1153"/>
      <c r="H52" s="524"/>
      <c r="I52" s="524"/>
      <c r="J52" s="1162"/>
      <c r="K52" s="1132">
        <f>4030+35</f>
        <v>4065</v>
      </c>
      <c r="L52" s="529">
        <f>2.03680370588018+1+0.142593</f>
        <v>3.1793967058801802</v>
      </c>
      <c r="M52" s="524">
        <f>1640+1</f>
        <v>1641</v>
      </c>
      <c r="N52" s="1133">
        <f>5.02564993008445-0.354428</f>
        <v>4.6712219300844495</v>
      </c>
      <c r="O52" s="545"/>
      <c r="P52" s="975"/>
      <c r="Q52" s="975"/>
      <c r="R52" s="975"/>
      <c r="S52" s="975"/>
      <c r="T52" s="975"/>
      <c r="U52" s="975"/>
      <c r="V52" s="980"/>
      <c r="W52" s="975"/>
    </row>
    <row r="53" spans="1:23" ht="18">
      <c r="A53" s="1101">
        <v>6</v>
      </c>
      <c r="B53" s="1149" t="s">
        <v>130</v>
      </c>
      <c r="C53" s="1132">
        <v>16064</v>
      </c>
      <c r="D53" s="529">
        <v>11.463634407476077</v>
      </c>
      <c r="E53" s="524">
        <v>4866</v>
      </c>
      <c r="F53" s="1133">
        <v>50.560133408862171</v>
      </c>
      <c r="G53" s="1153"/>
      <c r="H53" s="524"/>
      <c r="I53" s="524"/>
      <c r="J53" s="1162"/>
      <c r="K53" s="1132">
        <f>2116+56</f>
        <v>2172</v>
      </c>
      <c r="L53" s="529">
        <f>2.48230928295798+4-0.435546</f>
        <v>6.0467632829579792</v>
      </c>
      <c r="M53" s="524">
        <f>1200+6</f>
        <v>1206</v>
      </c>
      <c r="N53" s="1133">
        <f>5.42113859430578-0.302396</f>
        <v>5.1187425943057798</v>
      </c>
      <c r="O53" s="545"/>
      <c r="P53" s="975"/>
      <c r="Q53" s="975"/>
      <c r="R53" s="975"/>
      <c r="S53" s="975"/>
      <c r="T53" s="975"/>
      <c r="U53" s="975"/>
      <c r="V53" s="980"/>
      <c r="W53" s="975"/>
    </row>
    <row r="54" spans="1:23" ht="18.75" thickBot="1">
      <c r="A54" s="1146">
        <v>7</v>
      </c>
      <c r="B54" s="1152" t="s">
        <v>147</v>
      </c>
      <c r="C54" s="1136">
        <f>SUM(C49:C53)</f>
        <v>273177</v>
      </c>
      <c r="D54" s="1107">
        <f t="shared" ref="D54:N54" si="13">SUM(D49:D53)</f>
        <v>395.82187234110017</v>
      </c>
      <c r="E54" s="1106">
        <f>SUM(E49:E53)</f>
        <v>882526</v>
      </c>
      <c r="F54" s="1137">
        <f>SUM(F49:F53)</f>
        <v>345.76395051460008</v>
      </c>
      <c r="G54" s="1154"/>
      <c r="H54" s="1106"/>
      <c r="I54" s="1106"/>
      <c r="J54" s="1165"/>
      <c r="K54" s="1136">
        <f t="shared" si="13"/>
        <v>79389</v>
      </c>
      <c r="L54" s="1107">
        <f>SUM(L49:L53)</f>
        <v>251.40902343360014</v>
      </c>
      <c r="M54" s="1106">
        <f t="shared" si="13"/>
        <v>666165</v>
      </c>
      <c r="N54" s="1137">
        <f t="shared" si="13"/>
        <v>61.843827570399824</v>
      </c>
      <c r="O54" s="979"/>
      <c r="P54" s="975"/>
      <c r="Q54" s="975"/>
      <c r="R54" s="975"/>
      <c r="S54" s="975"/>
      <c r="T54" s="975"/>
      <c r="U54" s="975"/>
      <c r="V54" s="975"/>
      <c r="W54" s="975"/>
    </row>
    <row r="55" spans="1:23" ht="18">
      <c r="A55" s="539"/>
      <c r="B55" s="532"/>
      <c r="C55" s="515"/>
      <c r="D55" s="515"/>
      <c r="G55" s="515"/>
      <c r="H55" s="515"/>
      <c r="I55" s="515"/>
      <c r="J55" s="515"/>
      <c r="K55" s="515"/>
      <c r="L55" s="515"/>
      <c r="R55" s="975"/>
      <c r="S55" s="975"/>
    </row>
    <row r="56" spans="1:23">
      <c r="M56" s="535"/>
    </row>
    <row r="57" spans="1:23">
      <c r="D57" s="545"/>
      <c r="E57" s="545"/>
      <c r="F57" s="545"/>
      <c r="G57" s="545"/>
      <c r="K57" s="545"/>
      <c r="M57" s="535"/>
      <c r="N57" s="545"/>
      <c r="O57" s="545"/>
    </row>
    <row r="58" spans="1:23">
      <c r="D58" s="545"/>
      <c r="E58" s="545"/>
      <c r="F58" s="545"/>
      <c r="G58" s="545"/>
      <c r="K58" s="545"/>
      <c r="M58" s="535"/>
      <c r="N58" s="545"/>
      <c r="O58" s="974"/>
    </row>
    <row r="59" spans="1:23">
      <c r="D59" s="545"/>
      <c r="E59" s="545"/>
      <c r="F59" s="545"/>
      <c r="G59" s="545"/>
      <c r="K59" s="545"/>
      <c r="L59" s="971"/>
      <c r="M59" s="970"/>
      <c r="N59" s="545"/>
      <c r="O59" s="545"/>
    </row>
    <row r="60" spans="1:23">
      <c r="D60" s="545"/>
      <c r="E60" s="545"/>
      <c r="F60" s="545"/>
      <c r="G60" s="545"/>
      <c r="L60" s="971"/>
      <c r="M60" s="970"/>
      <c r="N60" s="545"/>
      <c r="O60" s="545"/>
    </row>
    <row r="61" spans="1:23">
      <c r="D61" s="545"/>
      <c r="E61" s="545"/>
      <c r="F61" s="545"/>
      <c r="G61" s="545"/>
      <c r="L61" s="545"/>
      <c r="M61" s="545"/>
      <c r="N61" s="545"/>
      <c r="O61" s="545"/>
    </row>
    <row r="62" spans="1:23">
      <c r="D62" s="545"/>
      <c r="F62" s="545"/>
    </row>
    <row r="67" spans="4:6">
      <c r="D67" s="545"/>
    </row>
    <row r="69" spans="4:6">
      <c r="D69" s="545">
        <f>D54+L54</f>
        <v>647.23089577470034</v>
      </c>
      <c r="F69" s="545">
        <f>F54+N54</f>
        <v>407.60777808499989</v>
      </c>
    </row>
    <row r="70" spans="4:6">
      <c r="D70" s="545">
        <f>J16</f>
        <v>0.27359640000000002</v>
      </c>
      <c r="F70" s="545">
        <f>J35</f>
        <v>0</v>
      </c>
    </row>
    <row r="71" spans="4:6">
      <c r="D71" s="545">
        <f>D69-D70</f>
        <v>646.95729937470037</v>
      </c>
      <c r="F71" s="545">
        <f>F69-F70</f>
        <v>407.60777808499989</v>
      </c>
    </row>
    <row r="72" spans="4:6">
      <c r="D72" s="518">
        <f>D71/D69*D54</f>
        <v>395.65455115785517</v>
      </c>
      <c r="F72" s="518">
        <f>F71/F69*F54</f>
        <v>345.76395051460008</v>
      </c>
    </row>
    <row r="73" spans="4:6">
      <c r="D73" s="518">
        <f>D71/D69*L54</f>
        <v>251.30274821684523</v>
      </c>
      <c r="F73" s="518">
        <f>F71/F69*N54</f>
        <v>61.843827570399824</v>
      </c>
    </row>
  </sheetData>
  <mergeCells count="17">
    <mergeCell ref="C44:F44"/>
    <mergeCell ref="G44:J44"/>
    <mergeCell ref="K44:N44"/>
    <mergeCell ref="C45:D45"/>
    <mergeCell ref="E45:F45"/>
    <mergeCell ref="G45:H45"/>
    <mergeCell ref="I45:J45"/>
    <mergeCell ref="K45:L45"/>
    <mergeCell ref="M45:N45"/>
    <mergeCell ref="A25:A26"/>
    <mergeCell ref="B25:B26"/>
    <mergeCell ref="C25:C26"/>
    <mergeCell ref="D25:D26"/>
    <mergeCell ref="A6:A7"/>
    <mergeCell ref="B6:B7"/>
    <mergeCell ref="C6:C7"/>
    <mergeCell ref="D6:D7"/>
  </mergeCells>
  <printOptions horizontalCentered="1"/>
  <pageMargins left="0.39370078740157483" right="0" top="0.19685039370078741" bottom="0.31496062992125984" header="0.35433070866141736" footer="0.39370078740157483"/>
  <pageSetup paperSize="9" scale="68" orientation="landscape" errors="blank" r:id="rId1"/>
  <headerFooter alignWithMargins="0">
    <oddFooter>&amp;R&amp;"Arial,Bold"&amp;12&amp;A</oddFooter>
  </headerFooter>
  <rowBreaks count="1" manualBreakCount="1">
    <brk id="42" min="3" max="1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51"/>
  <dimension ref="A1:S67"/>
  <sheetViews>
    <sheetView view="pageBreakPreview" zoomScale="85" zoomScaleNormal="75" workbookViewId="0">
      <selection activeCell="L35" sqref="L35"/>
    </sheetView>
  </sheetViews>
  <sheetFormatPr defaultRowHeight="12.75"/>
  <cols>
    <col min="1" max="1" width="23.28515625" customWidth="1"/>
    <col min="2" max="2" width="9.42578125" customWidth="1"/>
    <col min="3" max="3" width="23" customWidth="1"/>
    <col min="4" max="4" width="7.7109375" customWidth="1"/>
    <col min="5" max="5" width="6.85546875" customWidth="1"/>
    <col min="6" max="6" width="8.42578125" customWidth="1"/>
    <col min="7" max="7" width="7.42578125" customWidth="1"/>
    <col min="8" max="8" width="8.5703125" customWidth="1"/>
    <col min="9" max="9" width="8.140625" customWidth="1"/>
    <col min="10" max="10" width="8.42578125" customWidth="1"/>
    <col min="11" max="11" width="9.42578125" bestFit="1" customWidth="1"/>
    <col min="12" max="12" width="9.28515625" customWidth="1"/>
    <col min="13" max="13" width="11" customWidth="1"/>
    <col min="14" max="14" width="12.5703125" customWidth="1"/>
    <col min="15" max="15" width="13" customWidth="1"/>
    <col min="16" max="16" width="10.28515625" customWidth="1"/>
    <col min="17" max="17" width="7.85546875" customWidth="1"/>
    <col min="18" max="18" width="8.140625" customWidth="1"/>
    <col min="19" max="19" width="10.7109375" customWidth="1"/>
  </cols>
  <sheetData>
    <row r="1" spans="1:19" ht="17.25" customHeight="1">
      <c r="A1" s="20" t="s">
        <v>106</v>
      </c>
    </row>
    <row r="2" spans="1:19" ht="20.25">
      <c r="A2" s="134" t="s">
        <v>851</v>
      </c>
      <c r="F2" s="7"/>
      <c r="H2" s="119"/>
      <c r="J2" s="7"/>
      <c r="K2" s="7"/>
      <c r="L2" s="7"/>
      <c r="M2" s="7"/>
      <c r="N2" s="7"/>
      <c r="O2" s="7"/>
      <c r="P2" s="7"/>
      <c r="Q2" s="116" t="s">
        <v>0</v>
      </c>
      <c r="R2" s="2" t="s">
        <v>1083</v>
      </c>
    </row>
    <row r="3" spans="1:19">
      <c r="A3" s="67" t="s">
        <v>1084</v>
      </c>
      <c r="B3" s="67"/>
      <c r="C3" s="67"/>
      <c r="D3" s="67"/>
      <c r="E3" s="26"/>
      <c r="F3" s="117"/>
      <c r="G3" s="26"/>
      <c r="H3" s="120"/>
      <c r="I3" s="26"/>
      <c r="J3" s="117"/>
      <c r="K3" s="117"/>
      <c r="L3" s="117"/>
      <c r="M3" s="117"/>
      <c r="N3" s="117"/>
      <c r="O3" s="117"/>
      <c r="P3" s="117"/>
      <c r="Q3" s="117"/>
      <c r="R3" s="26"/>
      <c r="S3" s="26"/>
    </row>
    <row r="4" spans="1:19">
      <c r="F4" s="7"/>
      <c r="H4" s="119"/>
      <c r="J4" s="7"/>
      <c r="K4" s="7"/>
      <c r="L4" s="7"/>
      <c r="M4" s="7"/>
      <c r="N4" s="7"/>
      <c r="O4" s="7"/>
      <c r="P4" s="7"/>
      <c r="Q4" s="7"/>
      <c r="R4" s="2" t="s">
        <v>983</v>
      </c>
    </row>
    <row r="5" spans="1:19">
      <c r="A5" s="67"/>
      <c r="B5" s="26"/>
      <c r="C5" s="467" t="s">
        <v>1085</v>
      </c>
      <c r="D5" s="69"/>
      <c r="E5" s="69"/>
      <c r="F5" s="118"/>
      <c r="G5" s="69"/>
      <c r="H5" s="121"/>
      <c r="I5" s="69"/>
      <c r="J5" s="118"/>
      <c r="K5" s="122" t="s">
        <v>1086</v>
      </c>
      <c r="L5" s="118"/>
      <c r="M5" s="118"/>
      <c r="N5" s="122" t="s">
        <v>1087</v>
      </c>
      <c r="O5" s="118"/>
      <c r="P5" s="122" t="s">
        <v>1088</v>
      </c>
      <c r="Q5" s="118"/>
      <c r="R5" s="69"/>
      <c r="S5" s="69"/>
    </row>
    <row r="6" spans="1:19" ht="67.5">
      <c r="A6" s="233" t="s">
        <v>1089</v>
      </c>
      <c r="B6" s="233" t="s">
        <v>1090</v>
      </c>
      <c r="C6" s="233" t="s">
        <v>1091</v>
      </c>
      <c r="D6" s="233" t="s">
        <v>1092</v>
      </c>
      <c r="E6" s="233" t="s">
        <v>1093</v>
      </c>
      <c r="F6" s="234" t="s">
        <v>1094</v>
      </c>
      <c r="G6" s="233" t="s">
        <v>1095</v>
      </c>
      <c r="H6" s="235" t="s">
        <v>1096</v>
      </c>
      <c r="I6" s="233" t="s">
        <v>1097</v>
      </c>
      <c r="J6" s="234" t="s">
        <v>1098</v>
      </c>
      <c r="K6" s="234" t="s">
        <v>1099</v>
      </c>
      <c r="L6" s="234" t="s">
        <v>1100</v>
      </c>
      <c r="M6" s="234" t="s">
        <v>1101</v>
      </c>
      <c r="N6" s="234" t="s">
        <v>1102</v>
      </c>
      <c r="O6" s="234" t="s">
        <v>1134</v>
      </c>
      <c r="P6" s="234" t="s">
        <v>728</v>
      </c>
      <c r="Q6" s="234" t="s">
        <v>1103</v>
      </c>
      <c r="R6" s="233" t="s">
        <v>1104</v>
      </c>
      <c r="S6" s="233" t="s">
        <v>1105</v>
      </c>
    </row>
    <row r="7" spans="1:19">
      <c r="A7" s="23"/>
      <c r="B7" s="23"/>
      <c r="C7" s="23"/>
      <c r="D7" s="23"/>
      <c r="E7" s="23"/>
      <c r="F7" s="36"/>
      <c r="G7" s="23"/>
      <c r="H7" s="105"/>
      <c r="I7" s="23"/>
      <c r="J7" s="36"/>
      <c r="K7" s="36"/>
      <c r="L7" s="36"/>
      <c r="M7" s="36"/>
      <c r="N7" s="36"/>
      <c r="O7" s="36"/>
      <c r="P7" s="36"/>
      <c r="Q7" s="36"/>
      <c r="R7" s="23"/>
      <c r="S7" s="23"/>
    </row>
    <row r="8" spans="1:19" hidden="1">
      <c r="A8" s="23"/>
      <c r="B8" s="23"/>
      <c r="C8" s="23"/>
      <c r="D8" s="23"/>
      <c r="E8" s="23"/>
      <c r="F8" s="36"/>
      <c r="G8" s="23"/>
      <c r="H8" s="105"/>
      <c r="I8" s="23"/>
      <c r="J8" s="36"/>
      <c r="K8" s="36"/>
      <c r="L8" s="36"/>
      <c r="M8" s="36"/>
      <c r="N8" s="36"/>
      <c r="O8" s="36"/>
      <c r="P8" s="36"/>
      <c r="Q8" s="36"/>
      <c r="R8" s="23"/>
      <c r="S8" s="23"/>
    </row>
    <row r="9" spans="1:19" ht="38.25" hidden="1">
      <c r="A9" s="23" t="s">
        <v>618</v>
      </c>
      <c r="B9" s="68" t="s">
        <v>1106</v>
      </c>
      <c r="C9" s="68" t="s">
        <v>1107</v>
      </c>
      <c r="D9" s="23"/>
      <c r="E9" s="23" t="s">
        <v>1108</v>
      </c>
      <c r="F9" s="36"/>
      <c r="G9" s="23" t="s">
        <v>1108</v>
      </c>
      <c r="H9" s="323">
        <v>0</v>
      </c>
      <c r="I9" s="23" t="s">
        <v>1109</v>
      </c>
      <c r="J9" s="36">
        <v>0</v>
      </c>
      <c r="K9" s="36"/>
      <c r="L9" s="36"/>
      <c r="M9" s="36"/>
      <c r="N9" s="36"/>
      <c r="O9" s="36"/>
      <c r="P9" s="7"/>
      <c r="Q9" s="7"/>
      <c r="R9" s="23"/>
      <c r="S9" s="23"/>
    </row>
    <row r="10" spans="1:19" hidden="1">
      <c r="A10" s="23"/>
      <c r="B10" s="23"/>
      <c r="C10" s="23"/>
      <c r="D10" s="23"/>
      <c r="E10" s="23"/>
      <c r="F10" s="36"/>
      <c r="G10" s="23"/>
      <c r="H10" s="323"/>
      <c r="I10" s="23"/>
      <c r="J10" s="36"/>
      <c r="K10" s="36"/>
      <c r="L10" s="36"/>
      <c r="M10" s="36"/>
      <c r="N10" s="36"/>
      <c r="O10" s="36"/>
      <c r="P10" s="36"/>
      <c r="Q10" s="36"/>
      <c r="R10" s="23"/>
      <c r="S10" s="23"/>
    </row>
    <row r="11" spans="1:19" ht="25.5" hidden="1">
      <c r="A11" s="23"/>
      <c r="B11" s="23"/>
      <c r="C11" s="509" t="s">
        <v>1110</v>
      </c>
      <c r="D11" s="36"/>
      <c r="E11" s="23"/>
      <c r="F11" s="36"/>
      <c r="G11" s="23"/>
      <c r="H11" s="323">
        <v>0</v>
      </c>
      <c r="I11" s="23"/>
      <c r="J11" s="36"/>
      <c r="K11" s="36">
        <v>0</v>
      </c>
      <c r="L11" s="36">
        <f>'loan&amp;int'!C9</f>
        <v>0</v>
      </c>
      <c r="M11" s="36">
        <f>K11+L11</f>
        <v>0</v>
      </c>
      <c r="N11" s="36">
        <f>'loan&amp;int'!B10</f>
        <v>0</v>
      </c>
      <c r="O11" s="36">
        <f>'loan&amp;int'!C7+'loan&amp;int'!C8-'loan&amp;int'!C9</f>
        <v>0</v>
      </c>
      <c r="P11" s="36">
        <v>0</v>
      </c>
      <c r="Q11" s="36">
        <v>0</v>
      </c>
      <c r="R11" s="23"/>
      <c r="S11" s="23"/>
    </row>
    <row r="12" spans="1:19" ht="38.25" hidden="1">
      <c r="A12" s="23"/>
      <c r="B12" s="23"/>
      <c r="C12" s="68" t="s">
        <v>1111</v>
      </c>
      <c r="D12" s="36"/>
      <c r="E12" s="23"/>
      <c r="F12" s="36">
        <f>'loan&amp;int'!C8</f>
        <v>0</v>
      </c>
      <c r="G12" s="23"/>
      <c r="H12" s="105"/>
      <c r="I12" s="23"/>
      <c r="J12" s="36"/>
      <c r="K12" s="36"/>
      <c r="L12" s="36"/>
      <c r="M12" s="36"/>
      <c r="N12" s="36"/>
      <c r="O12" s="36"/>
      <c r="P12" s="36"/>
      <c r="Q12" s="36"/>
      <c r="R12" s="23"/>
      <c r="S12" s="23"/>
    </row>
    <row r="13" spans="1:19" hidden="1">
      <c r="A13" s="23"/>
      <c r="B13" s="23"/>
      <c r="C13" s="23"/>
      <c r="D13" s="23"/>
      <c r="E13" s="23"/>
      <c r="F13" s="36"/>
      <c r="G13" s="23"/>
      <c r="H13" s="105"/>
      <c r="I13" s="23"/>
      <c r="J13" s="36"/>
      <c r="K13" s="36"/>
      <c r="L13" s="36"/>
      <c r="M13" s="36"/>
      <c r="N13" s="36" t="s">
        <v>1112</v>
      </c>
      <c r="O13" s="36"/>
      <c r="P13" s="36">
        <f>SUM(P11:P12)</f>
        <v>0</v>
      </c>
      <c r="Q13" s="36">
        <f>SUM(Q11:Q12)</f>
        <v>0</v>
      </c>
      <c r="R13" s="23"/>
      <c r="S13" s="23"/>
    </row>
    <row r="14" spans="1:19" ht="51" hidden="1">
      <c r="A14" s="68" t="s">
        <v>1113</v>
      </c>
      <c r="B14" s="68" t="s">
        <v>1106</v>
      </c>
      <c r="C14" s="68" t="s">
        <v>1114</v>
      </c>
      <c r="D14" s="36"/>
      <c r="E14" s="23" t="s">
        <v>1108</v>
      </c>
      <c r="F14" s="36">
        <v>0</v>
      </c>
      <c r="G14" s="23" t="s">
        <v>1108</v>
      </c>
      <c r="H14" s="323">
        <v>0.13</v>
      </c>
      <c r="I14" s="36" t="s">
        <v>1115</v>
      </c>
      <c r="J14" s="36" t="s">
        <v>1116</v>
      </c>
      <c r="K14" s="36">
        <v>0</v>
      </c>
      <c r="L14" s="36">
        <f>'loan&amp;int'!C40</f>
        <v>0</v>
      </c>
      <c r="M14" s="36">
        <f>L14+K14</f>
        <v>0</v>
      </c>
      <c r="N14" s="7">
        <f>'loan&amp;int'!C38</f>
        <v>0</v>
      </c>
      <c r="O14" s="36">
        <f>'loan&amp;int'!C41</f>
        <v>0</v>
      </c>
      <c r="P14" s="36">
        <f>'loan&amp;int'!C43</f>
        <v>0</v>
      </c>
      <c r="Q14" s="36"/>
      <c r="R14" s="23"/>
      <c r="S14" s="23"/>
    </row>
    <row r="15" spans="1:19" hidden="1">
      <c r="A15" s="23"/>
      <c r="B15" s="23"/>
      <c r="C15" s="23"/>
      <c r="D15" s="23"/>
      <c r="E15" s="23"/>
      <c r="F15" s="36"/>
      <c r="G15" s="23"/>
      <c r="H15" s="323"/>
      <c r="I15" s="23"/>
      <c r="J15" s="36"/>
      <c r="K15" s="36"/>
      <c r="L15" s="36"/>
      <c r="M15" s="36"/>
      <c r="N15" s="36"/>
      <c r="O15" s="36"/>
      <c r="P15" s="36"/>
      <c r="Q15" s="36"/>
      <c r="R15" s="23"/>
      <c r="S15" s="23"/>
    </row>
    <row r="16" spans="1:19" hidden="1">
      <c r="A16" s="23"/>
      <c r="B16" s="23"/>
      <c r="C16" s="509" t="s">
        <v>1117</v>
      </c>
      <c r="D16" s="23"/>
      <c r="E16" s="23"/>
      <c r="F16" s="36">
        <f>'loan&amp;int'!C39</f>
        <v>0</v>
      </c>
      <c r="G16" s="23"/>
      <c r="H16" s="323"/>
      <c r="I16" s="23"/>
      <c r="J16" s="36"/>
      <c r="K16" s="36">
        <v>0</v>
      </c>
      <c r="L16" s="36">
        <f>L14</f>
        <v>0</v>
      </c>
      <c r="M16" s="36">
        <f>L16</f>
        <v>0</v>
      </c>
      <c r="N16" s="7">
        <f>'loan&amp;int'!C38</f>
        <v>0</v>
      </c>
      <c r="O16" s="37">
        <f>N16+F16-M16</f>
        <v>0</v>
      </c>
      <c r="P16" s="37">
        <f>'loan&amp;int'!C44</f>
        <v>0</v>
      </c>
      <c r="Q16" s="37">
        <v>0</v>
      </c>
      <c r="R16" s="23"/>
      <c r="S16" s="23"/>
    </row>
    <row r="17" spans="1:19" hidden="1">
      <c r="A17" s="23"/>
      <c r="B17" s="23"/>
      <c r="C17" s="23"/>
      <c r="D17" s="23"/>
      <c r="E17" s="23"/>
      <c r="F17" s="36"/>
      <c r="G17" s="23"/>
      <c r="H17" s="323"/>
      <c r="I17" s="23"/>
      <c r="J17" s="36"/>
      <c r="K17" s="36"/>
      <c r="L17" s="36"/>
      <c r="M17" s="36"/>
      <c r="N17" s="36" t="s">
        <v>1112</v>
      </c>
      <c r="O17" s="36"/>
      <c r="P17" s="37">
        <f>SUM(P14:P16)</f>
        <v>0</v>
      </c>
      <c r="Q17" s="36"/>
      <c r="R17" s="23"/>
      <c r="S17" s="23"/>
    </row>
    <row r="18" spans="1:19">
      <c r="A18" s="23"/>
      <c r="B18" s="23"/>
      <c r="C18" s="23"/>
      <c r="D18" s="23"/>
      <c r="E18" s="23"/>
      <c r="F18" s="36"/>
      <c r="G18" s="23"/>
      <c r="H18" s="323"/>
      <c r="I18" s="23"/>
      <c r="J18" s="36"/>
      <c r="K18" s="36"/>
      <c r="L18" s="36"/>
      <c r="M18" s="36"/>
      <c r="N18" s="36"/>
      <c r="O18" s="36"/>
      <c r="P18" s="36"/>
      <c r="Q18" s="36"/>
      <c r="R18" s="23"/>
      <c r="S18" s="23"/>
    </row>
    <row r="19" spans="1:19">
      <c r="A19" s="23" t="s">
        <v>596</v>
      </c>
      <c r="B19" s="68"/>
      <c r="C19" s="23" t="s">
        <v>1118</v>
      </c>
      <c r="D19" s="23"/>
      <c r="E19" s="23"/>
      <c r="F19" s="36"/>
      <c r="G19" s="23"/>
      <c r="H19" s="323">
        <v>0.1055</v>
      </c>
      <c r="I19" s="23" t="s">
        <v>1119</v>
      </c>
      <c r="J19" s="502" t="s">
        <v>1120</v>
      </c>
      <c r="K19" s="36">
        <f>'loan&amp;int'!B51</f>
        <v>0</v>
      </c>
      <c r="L19" s="36">
        <f>'loan&amp;int'!C51</f>
        <v>2054.5860381855859</v>
      </c>
      <c r="M19" s="36">
        <f>K19</f>
        <v>0</v>
      </c>
      <c r="N19" s="36">
        <f>'loan&amp;int'!C49</f>
        <v>10272.930190927929</v>
      </c>
      <c r="O19" s="36">
        <f ca="1">'loan&amp;int'!C52</f>
        <v>49853.802285162375</v>
      </c>
      <c r="P19" s="36">
        <f ca="1">'loan&amp;int'!C55</f>
        <v>732.09013882838553</v>
      </c>
      <c r="Q19" s="36">
        <v>0</v>
      </c>
      <c r="R19" s="23"/>
      <c r="S19" s="23"/>
    </row>
    <row r="20" spans="1:19">
      <c r="A20" s="23"/>
      <c r="B20" s="23"/>
      <c r="C20" s="68"/>
      <c r="D20" s="23"/>
      <c r="E20" s="23"/>
      <c r="F20" s="36"/>
      <c r="G20" s="23"/>
      <c r="H20" s="105"/>
      <c r="I20" s="23"/>
      <c r="J20" s="36"/>
      <c r="K20" s="36"/>
      <c r="L20" s="36"/>
      <c r="M20" s="36"/>
      <c r="N20" s="36"/>
      <c r="O20" s="36"/>
      <c r="P20" s="36"/>
      <c r="Q20" s="36"/>
      <c r="R20" s="23"/>
      <c r="S20" s="23"/>
    </row>
    <row r="21" spans="1:19" ht="38.25" hidden="1">
      <c r="A21" s="23" t="s">
        <v>1121</v>
      </c>
      <c r="B21" s="68" t="s">
        <v>1106</v>
      </c>
      <c r="C21" s="68"/>
      <c r="D21" s="23"/>
      <c r="E21" s="23"/>
      <c r="G21" s="23"/>
      <c r="H21" s="323">
        <f>'loan&amp;int'!B60</f>
        <v>0</v>
      </c>
      <c r="I21" s="23" t="s">
        <v>1122</v>
      </c>
      <c r="J21" s="23" t="s">
        <v>1123</v>
      </c>
      <c r="K21" s="36">
        <v>0</v>
      </c>
      <c r="L21" s="36">
        <v>0</v>
      </c>
      <c r="M21" s="36">
        <v>0</v>
      </c>
      <c r="N21" s="123">
        <f>'loan&amp;int'!C61</f>
        <v>0</v>
      </c>
      <c r="O21" s="7">
        <f>'loan&amp;int'!C64</f>
        <v>0</v>
      </c>
      <c r="P21" s="123">
        <f>'loan&amp;int'!C66</f>
        <v>0</v>
      </c>
      <c r="Q21" s="123">
        <v>0</v>
      </c>
      <c r="R21" s="23"/>
      <c r="S21" s="23"/>
    </row>
    <row r="22" spans="1:19" hidden="1">
      <c r="A22" s="23"/>
      <c r="B22" s="68"/>
      <c r="C22" s="509" t="s">
        <v>1124</v>
      </c>
      <c r="D22" s="23"/>
      <c r="E22" s="23"/>
      <c r="F22" s="36">
        <f>'loan&amp;int'!C62</f>
        <v>0</v>
      </c>
      <c r="G22" s="23"/>
      <c r="H22" s="323">
        <f>H21</f>
        <v>0</v>
      </c>
      <c r="I22" s="23"/>
      <c r="J22" s="36"/>
      <c r="K22" s="36">
        <v>0</v>
      </c>
      <c r="L22" s="36">
        <v>0</v>
      </c>
      <c r="M22" s="36">
        <v>0</v>
      </c>
      <c r="N22" s="123">
        <f>'loan&amp;int'!C61</f>
        <v>0</v>
      </c>
      <c r="O22" s="123">
        <f>'loan&amp;int'!C64</f>
        <v>0</v>
      </c>
      <c r="P22" s="123">
        <f>'loan&amp;int'!C67</f>
        <v>0</v>
      </c>
      <c r="Q22" s="123"/>
      <c r="R22" s="23"/>
      <c r="S22" s="23"/>
    </row>
    <row r="23" spans="1:19" hidden="1">
      <c r="A23" s="23"/>
      <c r="B23" s="68"/>
      <c r="C23" s="68"/>
      <c r="D23" s="23"/>
      <c r="E23" s="23"/>
      <c r="F23" s="36"/>
      <c r="G23" s="23"/>
      <c r="H23" s="323"/>
      <c r="I23" s="23"/>
      <c r="J23" s="36"/>
      <c r="K23" s="36"/>
      <c r="L23" s="36"/>
      <c r="M23" s="36"/>
      <c r="N23" s="37" t="s">
        <v>1112</v>
      </c>
      <c r="O23" s="123"/>
      <c r="P23" s="215">
        <f>P22+P21</f>
        <v>0</v>
      </c>
      <c r="Q23" s="123"/>
      <c r="R23" s="23"/>
      <c r="S23" s="23"/>
    </row>
    <row r="24" spans="1:19" ht="38.25" hidden="1">
      <c r="A24" s="23" t="s">
        <v>1125</v>
      </c>
      <c r="B24" s="68" t="s">
        <v>1106</v>
      </c>
      <c r="C24" s="509" t="s">
        <v>1124</v>
      </c>
      <c r="D24" s="23"/>
      <c r="E24" s="23"/>
      <c r="F24" s="36">
        <f>'loan&amp;int'!C18+'loan&amp;int'!C29</f>
        <v>0</v>
      </c>
      <c r="G24" s="23"/>
      <c r="H24" s="323" t="s">
        <v>1126</v>
      </c>
      <c r="I24" s="23" t="s">
        <v>1127</v>
      </c>
      <c r="J24" s="23" t="s">
        <v>1123</v>
      </c>
      <c r="K24" s="36">
        <v>0</v>
      </c>
      <c r="L24" s="36">
        <v>0</v>
      </c>
      <c r="M24" s="36">
        <v>0</v>
      </c>
      <c r="N24" s="215">
        <f>'loan&amp;int'!C17+'loan&amp;int'!C28</f>
        <v>0</v>
      </c>
      <c r="O24" s="123">
        <f>'loan&amp;int'!C20+'loan&amp;int'!C31</f>
        <v>0</v>
      </c>
      <c r="P24" s="215">
        <f>'loan&amp;int'!C24+'loan&amp;int'!C35</f>
        <v>0</v>
      </c>
      <c r="Q24" s="123">
        <v>0</v>
      </c>
      <c r="R24" s="23"/>
      <c r="S24" s="23"/>
    </row>
    <row r="25" spans="1:19" hidden="1">
      <c r="A25" s="23" t="s">
        <v>1128</v>
      </c>
      <c r="B25" s="68"/>
      <c r="C25" s="68"/>
      <c r="D25" s="23"/>
      <c r="E25" s="23"/>
      <c r="F25" s="36"/>
      <c r="G25" s="23"/>
      <c r="H25" s="323">
        <f>'loan&amp;int'!B82</f>
        <v>0</v>
      </c>
      <c r="I25" s="23" t="s">
        <v>1129</v>
      </c>
      <c r="J25" s="23" t="s">
        <v>1130</v>
      </c>
      <c r="K25" s="36">
        <f>'loan&amp;int'!B85</f>
        <v>0</v>
      </c>
      <c r="L25" s="36">
        <f>'loan&amp;int'!C85</f>
        <v>0</v>
      </c>
      <c r="M25" s="36">
        <f>K25+L25</f>
        <v>0</v>
      </c>
      <c r="N25" s="123">
        <f>'loan&amp;int'!C83</f>
        <v>0</v>
      </c>
      <c r="O25" s="123">
        <f>'loan&amp;int'!C86</f>
        <v>0</v>
      </c>
      <c r="P25" s="123">
        <f>'loan&amp;int'!C88</f>
        <v>0</v>
      </c>
      <c r="Q25" s="123"/>
      <c r="R25" s="23"/>
      <c r="S25" s="23"/>
    </row>
    <row r="26" spans="1:19" hidden="1">
      <c r="A26" s="23"/>
      <c r="B26" s="68"/>
      <c r="C26" s="509" t="s">
        <v>1124</v>
      </c>
      <c r="D26" s="23"/>
      <c r="E26" s="23"/>
      <c r="F26" s="36">
        <f>'loan&amp;int'!C70</f>
        <v>0</v>
      </c>
      <c r="G26" s="23"/>
      <c r="H26" s="323">
        <f>'loan&amp;int'!B82</f>
        <v>0</v>
      </c>
      <c r="I26" s="23"/>
      <c r="J26" s="36"/>
      <c r="K26" s="36">
        <v>0</v>
      </c>
      <c r="L26" s="36">
        <v>0</v>
      </c>
      <c r="M26" s="36">
        <f>K26+L26</f>
        <v>0</v>
      </c>
      <c r="N26" s="123">
        <f>'loan&amp;int'!C83</f>
        <v>0</v>
      </c>
      <c r="O26" s="123">
        <f>'loan&amp;int'!C86</f>
        <v>0</v>
      </c>
      <c r="P26" s="123">
        <f>'loan&amp;int'!C89</f>
        <v>0</v>
      </c>
      <c r="Q26" s="123"/>
      <c r="R26" s="23"/>
      <c r="S26" s="23"/>
    </row>
    <row r="27" spans="1:19" hidden="1">
      <c r="A27" s="23"/>
      <c r="B27" s="68"/>
      <c r="C27" s="68"/>
      <c r="D27" s="23"/>
      <c r="E27" s="23"/>
      <c r="F27" s="36"/>
      <c r="G27" s="23"/>
      <c r="H27" s="105"/>
      <c r="I27" s="23"/>
      <c r="J27" s="36"/>
      <c r="K27" s="36"/>
      <c r="L27" s="36"/>
      <c r="M27" s="36"/>
      <c r="N27" s="37" t="s">
        <v>1112</v>
      </c>
      <c r="O27" s="123"/>
      <c r="P27" s="215">
        <f>P26+P25</f>
        <v>0</v>
      </c>
      <c r="Q27" s="123"/>
      <c r="R27" s="23"/>
      <c r="S27" s="23"/>
    </row>
    <row r="28" spans="1:19" hidden="1">
      <c r="A28" s="23" t="s">
        <v>1131</v>
      </c>
      <c r="B28" s="68"/>
      <c r="C28" s="68"/>
      <c r="D28" s="23"/>
      <c r="E28" s="23"/>
      <c r="F28" s="36"/>
      <c r="G28" s="23"/>
      <c r="H28" s="323">
        <f>'loan&amp;int'!B71</f>
        <v>0</v>
      </c>
      <c r="I28" s="23" t="s">
        <v>1129</v>
      </c>
      <c r="J28" s="23" t="s">
        <v>1130</v>
      </c>
      <c r="K28" s="36">
        <f>'loan&amp;int'!B74</f>
        <v>0</v>
      </c>
      <c r="L28" s="36">
        <f>'loan&amp;int'!C74</f>
        <v>0</v>
      </c>
      <c r="M28" s="36">
        <f>K28+L28</f>
        <v>0</v>
      </c>
      <c r="N28" s="123">
        <f>'loan&amp;int'!C72</f>
        <v>0</v>
      </c>
      <c r="O28" s="123">
        <f>'loan&amp;int'!C75</f>
        <v>0</v>
      </c>
      <c r="P28" s="123">
        <f>'loan&amp;int'!C77</f>
        <v>0</v>
      </c>
      <c r="Q28" s="123"/>
      <c r="R28" s="23"/>
      <c r="S28" s="23"/>
    </row>
    <row r="29" spans="1:19" hidden="1">
      <c r="A29" s="23"/>
      <c r="B29" s="68"/>
      <c r="C29" s="509" t="s">
        <v>1124</v>
      </c>
      <c r="D29" s="23"/>
      <c r="E29" s="23"/>
      <c r="F29" s="36">
        <f>'loan&amp;int'!C73</f>
        <v>0</v>
      </c>
      <c r="G29" s="23"/>
      <c r="H29" s="323">
        <f>'loan&amp;int'!B71</f>
        <v>0</v>
      </c>
      <c r="I29" s="23"/>
      <c r="J29" s="36"/>
      <c r="K29" s="36">
        <v>0</v>
      </c>
      <c r="L29" s="36">
        <v>0</v>
      </c>
      <c r="M29" s="36">
        <f>K29+L29</f>
        <v>0</v>
      </c>
      <c r="N29" s="123">
        <f>'loan&amp;int'!C72</f>
        <v>0</v>
      </c>
      <c r="O29" s="123">
        <f>'loan&amp;int'!C75</f>
        <v>0</v>
      </c>
      <c r="P29" s="123">
        <f>'loan&amp;int'!C78</f>
        <v>0</v>
      </c>
      <c r="Q29" s="123"/>
      <c r="R29" s="23"/>
      <c r="S29" s="23"/>
    </row>
    <row r="30" spans="1:19" hidden="1">
      <c r="A30" s="23"/>
      <c r="B30" s="68"/>
      <c r="C30" s="68"/>
      <c r="D30" s="23"/>
      <c r="E30" s="23"/>
      <c r="F30" s="36"/>
      <c r="G30" s="23"/>
      <c r="H30" s="105"/>
      <c r="I30" s="23"/>
      <c r="J30" s="36"/>
      <c r="K30" s="36"/>
      <c r="L30" s="36"/>
      <c r="M30" s="36"/>
      <c r="N30" s="37" t="s">
        <v>1112</v>
      </c>
      <c r="O30" s="123"/>
      <c r="P30" s="215">
        <f>P29+P28</f>
        <v>0</v>
      </c>
      <c r="Q30" s="123"/>
      <c r="R30" s="23"/>
      <c r="S30" s="23"/>
    </row>
    <row r="31" spans="1:19" ht="38.25">
      <c r="A31" s="509" t="s">
        <v>2466</v>
      </c>
      <c r="B31" s="23"/>
      <c r="C31" s="509" t="s">
        <v>1142</v>
      </c>
      <c r="D31" s="23"/>
      <c r="E31" s="23"/>
      <c r="F31" s="123">
        <f>'loan&amp;int'!C95</f>
        <v>0</v>
      </c>
      <c r="G31" s="23"/>
      <c r="H31" s="323">
        <v>0.1055</v>
      </c>
      <c r="I31" s="23"/>
      <c r="J31" s="36"/>
      <c r="K31" s="36"/>
      <c r="L31" s="36"/>
      <c r="M31" s="36"/>
      <c r="N31" s="123"/>
      <c r="O31" s="123">
        <f>'loan&amp;int'!C97</f>
        <v>55760.544172717164</v>
      </c>
      <c r="P31" s="123">
        <f>'loan&amp;int'!C101</f>
        <v>5882.7374102216609</v>
      </c>
      <c r="Q31" s="123"/>
      <c r="R31" s="23"/>
      <c r="S31" s="23"/>
    </row>
    <row r="32" spans="1:19" ht="13.5" thickBot="1">
      <c r="A32" s="23"/>
      <c r="B32" s="23"/>
      <c r="C32" s="23"/>
      <c r="D32" s="23"/>
      <c r="E32" s="23"/>
      <c r="F32" s="23"/>
      <c r="G32" s="23"/>
      <c r="H32" s="105"/>
      <c r="I32" s="23"/>
      <c r="J32" s="36"/>
      <c r="K32" s="36"/>
      <c r="L32" s="37" t="s">
        <v>1132</v>
      </c>
      <c r="M32" s="36"/>
      <c r="N32" s="114">
        <f>N22+N19+N16+N24+N26+N29+N11+N31</f>
        <v>10272.930190927929</v>
      </c>
      <c r="O32" s="114">
        <f ca="1">O22+O19+O16+O24+O26+O29+O11+O31</f>
        <v>105614.34645787954</v>
      </c>
      <c r="P32" s="114">
        <f ca="1">P30+P19+P17+P13+P23+P24+P27+P31</f>
        <v>6614.8275490500464</v>
      </c>
      <c r="Q32" s="114">
        <f>Q30+Q19+Q17+Q13+Q24+Q31</f>
        <v>0</v>
      </c>
      <c r="R32" s="23"/>
      <c r="S32" s="23"/>
    </row>
    <row r="33" spans="1:19" ht="13.5" thickTop="1">
      <c r="A33" s="23"/>
      <c r="B33" s="23"/>
      <c r="C33" s="23"/>
      <c r="D33" s="23"/>
      <c r="E33" s="23"/>
      <c r="F33" s="23"/>
      <c r="G33" s="23"/>
      <c r="H33" s="105"/>
      <c r="I33" s="23"/>
      <c r="J33" s="36"/>
      <c r="K33" s="36"/>
      <c r="L33" s="36"/>
      <c r="M33" s="36"/>
      <c r="N33" s="115"/>
      <c r="O33" s="115"/>
      <c r="P33" s="115"/>
      <c r="Q33" s="115"/>
      <c r="R33" s="23"/>
      <c r="S33" s="23"/>
    </row>
    <row r="34" spans="1:19">
      <c r="A34" t="s">
        <v>1133</v>
      </c>
      <c r="N34" s="7"/>
      <c r="P34" s="7"/>
    </row>
    <row r="35" spans="1:19" ht="18.75" customHeight="1">
      <c r="A35" s="20" t="s">
        <v>106</v>
      </c>
    </row>
    <row r="36" spans="1:19" ht="20.25">
      <c r="A36" s="134" t="s">
        <v>1959</v>
      </c>
      <c r="F36" s="7"/>
      <c r="H36" s="119"/>
      <c r="J36" s="7"/>
      <c r="K36" s="7"/>
      <c r="L36" s="7"/>
      <c r="M36" s="7"/>
      <c r="N36" s="7"/>
      <c r="O36" s="7"/>
      <c r="P36" s="7"/>
      <c r="Q36" s="116" t="s">
        <v>0</v>
      </c>
      <c r="R36" s="2" t="s">
        <v>1083</v>
      </c>
    </row>
    <row r="37" spans="1:19">
      <c r="A37" s="67" t="s">
        <v>1084</v>
      </c>
      <c r="B37" s="67"/>
      <c r="C37" s="67"/>
      <c r="D37" s="67"/>
      <c r="E37" s="26"/>
      <c r="F37" s="117"/>
      <c r="G37" s="26"/>
      <c r="H37" s="120"/>
      <c r="I37" s="26"/>
      <c r="J37" s="117"/>
      <c r="K37" s="117"/>
      <c r="L37" s="117"/>
      <c r="M37" s="117"/>
      <c r="N37" s="117"/>
      <c r="O37" s="117"/>
      <c r="P37" s="117"/>
      <c r="Q37" s="117"/>
      <c r="R37" s="26"/>
      <c r="S37" s="26"/>
    </row>
    <row r="38" spans="1:19">
      <c r="F38" s="7"/>
      <c r="H38" s="119"/>
      <c r="J38" s="7"/>
      <c r="K38" s="7"/>
      <c r="L38" s="7"/>
      <c r="M38" s="7"/>
      <c r="N38" s="7"/>
      <c r="O38" s="7"/>
      <c r="P38" s="7"/>
      <c r="Q38" s="7"/>
      <c r="R38" s="2" t="s">
        <v>983</v>
      </c>
    </row>
    <row r="39" spans="1:19">
      <c r="A39" s="67"/>
      <c r="B39" s="26"/>
      <c r="C39" s="467" t="s">
        <v>1085</v>
      </c>
      <c r="D39" s="69"/>
      <c r="E39" s="69"/>
      <c r="F39" s="118"/>
      <c r="G39" s="69"/>
      <c r="H39" s="121"/>
      <c r="I39" s="69"/>
      <c r="J39" s="118"/>
      <c r="K39" s="122" t="s">
        <v>1086</v>
      </c>
      <c r="L39" s="118"/>
      <c r="M39" s="118"/>
      <c r="N39" s="122" t="s">
        <v>1087</v>
      </c>
      <c r="O39" s="118"/>
      <c r="P39" s="122" t="s">
        <v>1088</v>
      </c>
      <c r="Q39" s="118"/>
      <c r="R39" s="69"/>
      <c r="S39" s="69"/>
    </row>
    <row r="40" spans="1:19" ht="67.5">
      <c r="A40" s="233" t="s">
        <v>1089</v>
      </c>
      <c r="B40" s="233" t="s">
        <v>1090</v>
      </c>
      <c r="C40" s="233" t="s">
        <v>1091</v>
      </c>
      <c r="D40" s="233" t="s">
        <v>1092</v>
      </c>
      <c r="E40" s="233" t="s">
        <v>1093</v>
      </c>
      <c r="F40" s="234" t="s">
        <v>1094</v>
      </c>
      <c r="G40" s="233" t="s">
        <v>1095</v>
      </c>
      <c r="H40" s="235" t="s">
        <v>1096</v>
      </c>
      <c r="I40" s="233" t="s">
        <v>1097</v>
      </c>
      <c r="J40" s="234" t="s">
        <v>1098</v>
      </c>
      <c r="K40" s="234" t="s">
        <v>1099</v>
      </c>
      <c r="L40" s="234" t="s">
        <v>1100</v>
      </c>
      <c r="M40" s="234" t="s">
        <v>1101</v>
      </c>
      <c r="N40" s="234" t="s">
        <v>1102</v>
      </c>
      <c r="O40" s="234" t="s">
        <v>2442</v>
      </c>
      <c r="P40" s="234" t="s">
        <v>728</v>
      </c>
      <c r="Q40" s="234" t="s">
        <v>1103</v>
      </c>
      <c r="R40" s="233" t="s">
        <v>1104</v>
      </c>
      <c r="S40" s="233" t="s">
        <v>1105</v>
      </c>
    </row>
    <row r="41" spans="1:19">
      <c r="A41" s="23"/>
      <c r="B41" s="23"/>
      <c r="C41" s="23"/>
      <c r="D41" s="23"/>
      <c r="E41" s="23"/>
      <c r="F41" s="36"/>
      <c r="G41" s="23"/>
      <c r="H41" s="105"/>
      <c r="I41" s="23"/>
      <c r="J41" s="36"/>
      <c r="K41" s="36"/>
      <c r="L41" s="36"/>
      <c r="M41" s="36"/>
      <c r="N41" s="36"/>
      <c r="O41" s="36"/>
      <c r="P41" s="36"/>
      <c r="Q41" s="36"/>
      <c r="R41" s="23"/>
      <c r="S41" s="23"/>
    </row>
    <row r="42" spans="1:19">
      <c r="A42" s="23"/>
      <c r="B42" s="23"/>
      <c r="C42" s="23"/>
      <c r="D42" s="23"/>
      <c r="E42" s="23"/>
      <c r="F42" s="36"/>
      <c r="G42" s="23"/>
      <c r="H42" s="105"/>
      <c r="I42" s="23"/>
      <c r="J42" s="36"/>
      <c r="K42" s="36"/>
      <c r="L42" s="36"/>
      <c r="M42" s="36"/>
      <c r="N42" s="36"/>
      <c r="O42" s="36"/>
      <c r="P42" s="36"/>
      <c r="Q42" s="36"/>
      <c r="R42" s="23"/>
      <c r="S42" s="23"/>
    </row>
    <row r="43" spans="1:19" ht="38.25" hidden="1">
      <c r="A43" s="23" t="s">
        <v>618</v>
      </c>
      <c r="B43" s="68" t="s">
        <v>1106</v>
      </c>
      <c r="C43" s="68" t="s">
        <v>1107</v>
      </c>
      <c r="D43" s="23"/>
      <c r="E43" s="23" t="s">
        <v>1108</v>
      </c>
      <c r="F43" s="36"/>
      <c r="G43" s="23" t="s">
        <v>1108</v>
      </c>
      <c r="H43" s="323">
        <v>0</v>
      </c>
      <c r="I43" s="23" t="s">
        <v>1109</v>
      </c>
      <c r="J43" s="36">
        <v>0</v>
      </c>
      <c r="K43" s="36"/>
      <c r="L43" s="36"/>
      <c r="M43" s="36"/>
      <c r="N43" s="36"/>
      <c r="O43" s="36"/>
      <c r="P43" s="7"/>
      <c r="Q43" s="7"/>
      <c r="R43" s="23"/>
      <c r="S43" s="23"/>
    </row>
    <row r="44" spans="1:19" hidden="1">
      <c r="A44" s="23"/>
      <c r="B44" s="23"/>
      <c r="C44" s="23"/>
      <c r="D44" s="23"/>
      <c r="E44" s="23"/>
      <c r="F44" s="36"/>
      <c r="G44" s="23"/>
      <c r="H44" s="323"/>
      <c r="I44" s="23"/>
      <c r="J44" s="36"/>
      <c r="K44" s="36"/>
      <c r="L44" s="36"/>
      <c r="M44" s="36"/>
      <c r="N44" s="36"/>
      <c r="O44" s="36"/>
      <c r="P44" s="36"/>
      <c r="Q44" s="36"/>
      <c r="R44" s="23"/>
      <c r="S44" s="23"/>
    </row>
    <row r="45" spans="1:19" hidden="1">
      <c r="A45" s="23"/>
      <c r="B45" s="23"/>
      <c r="C45" s="68" t="s">
        <v>1135</v>
      </c>
      <c r="D45" s="36"/>
      <c r="E45" s="23"/>
      <c r="F45" s="36"/>
      <c r="G45" s="23"/>
      <c r="H45" s="323">
        <f>H43</f>
        <v>0</v>
      </c>
      <c r="I45" s="23"/>
      <c r="J45" s="36"/>
      <c r="K45" s="36">
        <f>M11</f>
        <v>0</v>
      </c>
      <c r="L45" s="36">
        <f>'loan&amp;int'!D9</f>
        <v>0</v>
      </c>
      <c r="M45" s="36">
        <f>K45+L45</f>
        <v>0</v>
      </c>
      <c r="N45" s="36">
        <f>'loan&amp;int'!D7</f>
        <v>0</v>
      </c>
      <c r="O45" s="36">
        <f>'loan&amp;int'!D10</f>
        <v>0</v>
      </c>
      <c r="P45" s="36">
        <v>0</v>
      </c>
      <c r="Q45" s="36">
        <v>0</v>
      </c>
      <c r="R45" s="23"/>
      <c r="S45" s="23"/>
    </row>
    <row r="46" spans="1:19" hidden="1">
      <c r="A46" s="23"/>
      <c r="B46" s="23"/>
      <c r="C46" s="23"/>
      <c r="D46" s="23"/>
      <c r="E46" s="23"/>
      <c r="F46" s="36"/>
      <c r="G46" s="23"/>
      <c r="H46" s="323"/>
      <c r="I46" s="23"/>
      <c r="J46" s="36"/>
      <c r="K46" s="36"/>
      <c r="L46" s="36"/>
      <c r="M46" s="36"/>
      <c r="N46" s="36" t="s">
        <v>1112</v>
      </c>
      <c r="O46" s="36"/>
      <c r="P46" s="36">
        <f>SUM(P45:P45)</f>
        <v>0</v>
      </c>
      <c r="Q46" s="36">
        <f>SUM(Q45:Q45)</f>
        <v>0</v>
      </c>
      <c r="R46" s="23"/>
      <c r="S46" s="23"/>
    </row>
    <row r="47" spans="1:19" ht="51" hidden="1">
      <c r="A47" s="68" t="s">
        <v>1136</v>
      </c>
      <c r="B47" s="233" t="s">
        <v>1106</v>
      </c>
      <c r="C47" s="68" t="s">
        <v>1114</v>
      </c>
      <c r="D47" s="36"/>
      <c r="E47" s="23" t="s">
        <v>1108</v>
      </c>
      <c r="F47" s="36">
        <v>0</v>
      </c>
      <c r="G47" s="23" t="s">
        <v>1108</v>
      </c>
      <c r="H47" s="323">
        <v>0.13</v>
      </c>
      <c r="I47" s="23" t="s">
        <v>1137</v>
      </c>
      <c r="J47" s="36" t="s">
        <v>1138</v>
      </c>
      <c r="K47" s="36">
        <v>0</v>
      </c>
      <c r="L47" s="36"/>
      <c r="M47" s="36"/>
      <c r="N47" s="7"/>
      <c r="O47" s="36"/>
      <c r="P47" s="36">
        <f>'loan&amp;int'!D43</f>
        <v>0</v>
      </c>
      <c r="Q47" s="36"/>
      <c r="R47" s="23"/>
      <c r="S47" s="23"/>
    </row>
    <row r="48" spans="1:19" hidden="1">
      <c r="A48" s="23"/>
      <c r="B48" s="23"/>
      <c r="C48" s="509" t="s">
        <v>1117</v>
      </c>
      <c r="D48" s="23"/>
      <c r="E48" s="23"/>
      <c r="F48" s="36">
        <f>'loan&amp;int'!D39</f>
        <v>0</v>
      </c>
      <c r="G48" s="23"/>
      <c r="H48" s="323"/>
      <c r="I48" s="23"/>
      <c r="J48" s="36"/>
      <c r="K48" s="36">
        <v>0</v>
      </c>
      <c r="L48" s="36">
        <f>'loan&amp;int'!D40</f>
        <v>0</v>
      </c>
      <c r="M48" s="36">
        <f>L48</f>
        <v>0</v>
      </c>
      <c r="N48" s="36">
        <f>'loan&amp;int'!D38</f>
        <v>0</v>
      </c>
      <c r="O48" s="37">
        <f>N48-M48</f>
        <v>0</v>
      </c>
      <c r="P48" s="37">
        <f>'loan&amp;int'!D44</f>
        <v>0</v>
      </c>
      <c r="Q48" s="37">
        <v>0</v>
      </c>
      <c r="R48" s="23"/>
      <c r="S48" s="23"/>
    </row>
    <row r="49" spans="1:19" hidden="1">
      <c r="A49" s="23"/>
      <c r="B49" s="23"/>
      <c r="C49" s="23"/>
      <c r="D49" s="23"/>
      <c r="E49" s="23"/>
      <c r="F49" s="36"/>
      <c r="G49" s="23"/>
      <c r="H49" s="323"/>
      <c r="I49" s="23"/>
      <c r="J49" s="36"/>
      <c r="K49" s="36"/>
      <c r="L49" s="36"/>
      <c r="M49" s="36"/>
      <c r="N49" s="36" t="s">
        <v>1112</v>
      </c>
      <c r="O49" s="36"/>
      <c r="P49" s="37">
        <f>SUM(P47:P48)</f>
        <v>0</v>
      </c>
      <c r="Q49" s="37">
        <f>SUM(Q47:Q48)</f>
        <v>0</v>
      </c>
      <c r="R49" s="23"/>
      <c r="S49" s="23"/>
    </row>
    <row r="50" spans="1:19">
      <c r="A50" s="23"/>
      <c r="B50" s="23"/>
      <c r="C50" s="23"/>
      <c r="D50" s="23"/>
      <c r="E50" s="23"/>
      <c r="F50" s="36"/>
      <c r="G50" s="23"/>
      <c r="H50" s="323"/>
      <c r="I50" s="23"/>
      <c r="J50" s="36"/>
      <c r="K50" s="36"/>
      <c r="L50" s="36"/>
      <c r="M50" s="36"/>
      <c r="N50" s="36"/>
      <c r="O50" s="36"/>
      <c r="P50" s="36"/>
      <c r="Q50" s="36"/>
      <c r="R50" s="23"/>
      <c r="S50" s="23"/>
    </row>
    <row r="51" spans="1:19">
      <c r="A51" s="502" t="s">
        <v>1139</v>
      </c>
      <c r="B51" s="68"/>
      <c r="C51" s="23" t="s">
        <v>1118</v>
      </c>
      <c r="D51" s="23"/>
      <c r="E51" s="23"/>
      <c r="F51" s="36"/>
      <c r="G51" s="23"/>
      <c r="H51" s="323">
        <v>0.11700000000000001</v>
      </c>
      <c r="I51" s="23">
        <v>10</v>
      </c>
      <c r="J51" s="354" t="s">
        <v>1120</v>
      </c>
      <c r="K51" s="36">
        <f>K19+L19</f>
        <v>2054.5860381855859</v>
      </c>
      <c r="L51" s="36">
        <f ca="1">'loan&amp;int'!D51</f>
        <v>7478.0703427743556</v>
      </c>
      <c r="M51" s="36">
        <f ca="1">L51+K51</f>
        <v>9532.6563809599411</v>
      </c>
      <c r="N51" s="36">
        <f ca="1">'loan&amp;int'!D49</f>
        <v>49853.802285162375</v>
      </c>
      <c r="O51" s="36">
        <f ca="1">'loan&amp;int'!D52</f>
        <v>87466.871938744167</v>
      </c>
      <c r="P51" s="36">
        <f ca="1">'loan&amp;int'!D54+'loan&amp;int'!D57</f>
        <v>5832.8948673639979</v>
      </c>
      <c r="Q51" s="36">
        <v>0</v>
      </c>
      <c r="R51" s="23"/>
      <c r="S51" s="23"/>
    </row>
    <row r="52" spans="1:19">
      <c r="A52" s="23"/>
      <c r="B52" s="23"/>
      <c r="C52" s="68"/>
      <c r="D52" s="23"/>
      <c r="E52" s="23"/>
      <c r="F52" s="36"/>
      <c r="G52" s="23"/>
      <c r="H52" s="323"/>
      <c r="I52" s="23"/>
      <c r="J52" s="36"/>
      <c r="K52" s="36"/>
      <c r="L52" s="36"/>
      <c r="M52" s="36"/>
      <c r="N52" s="36"/>
      <c r="O52" s="36"/>
      <c r="P52" s="36"/>
      <c r="Q52" s="36"/>
      <c r="R52" s="23"/>
      <c r="S52" s="23"/>
    </row>
    <row r="53" spans="1:19" hidden="1">
      <c r="A53" s="23"/>
      <c r="B53" s="23"/>
      <c r="C53" s="68"/>
      <c r="D53" s="23"/>
      <c r="E53" s="23"/>
      <c r="F53" s="36"/>
      <c r="G53" s="23"/>
      <c r="H53" s="323"/>
      <c r="I53" s="23"/>
      <c r="J53" s="36"/>
      <c r="K53" s="36"/>
      <c r="L53" s="36"/>
      <c r="M53" s="36"/>
      <c r="N53" s="123"/>
      <c r="O53" s="123"/>
      <c r="P53" s="123"/>
      <c r="Q53" s="123"/>
      <c r="R53" s="23"/>
      <c r="S53" s="23"/>
    </row>
    <row r="54" spans="1:19" ht="33.75" hidden="1">
      <c r="A54" s="23" t="s">
        <v>1140</v>
      </c>
      <c r="B54" s="233" t="s">
        <v>1106</v>
      </c>
      <c r="C54" s="68"/>
      <c r="D54" s="23"/>
      <c r="E54" s="23"/>
      <c r="G54" s="23"/>
      <c r="H54" s="323">
        <f>'loan&amp;int'!B60</f>
        <v>0</v>
      </c>
      <c r="I54" s="23" t="s">
        <v>1122</v>
      </c>
      <c r="J54" s="23" t="s">
        <v>1123</v>
      </c>
      <c r="K54" s="36">
        <v>0</v>
      </c>
      <c r="L54" s="36">
        <v>0</v>
      </c>
      <c r="M54" s="36">
        <v>0</v>
      </c>
      <c r="N54" s="123">
        <f>'loan&amp;int'!D61</f>
        <v>0</v>
      </c>
      <c r="O54" s="123">
        <f>'loan&amp;int'!D64</f>
        <v>0</v>
      </c>
      <c r="P54" s="123">
        <f>'loan&amp;int'!D66</f>
        <v>0</v>
      </c>
      <c r="Q54" s="123">
        <v>0</v>
      </c>
      <c r="R54" s="23"/>
      <c r="S54" s="23"/>
    </row>
    <row r="55" spans="1:19" hidden="1">
      <c r="A55" s="23"/>
      <c r="B55" s="68"/>
      <c r="C55" s="509" t="s">
        <v>1117</v>
      </c>
      <c r="D55" s="23"/>
      <c r="E55" s="23"/>
      <c r="F55" s="36">
        <f>'loan&amp;int'!D62</f>
        <v>0</v>
      </c>
      <c r="G55" s="23"/>
      <c r="H55" s="323">
        <f>H54</f>
        <v>0</v>
      </c>
      <c r="I55" s="23"/>
      <c r="J55" s="36"/>
      <c r="K55" s="36">
        <v>0</v>
      </c>
      <c r="L55" s="36">
        <v>0</v>
      </c>
      <c r="M55" s="36">
        <v>0</v>
      </c>
      <c r="N55" s="123">
        <f>'loan&amp;int'!D61</f>
        <v>0</v>
      </c>
      <c r="O55" s="123">
        <f>'loan&amp;int'!D64</f>
        <v>0</v>
      </c>
      <c r="P55" s="123">
        <f>'loan&amp;int'!D67</f>
        <v>0</v>
      </c>
      <c r="Q55" s="123"/>
      <c r="R55" s="23"/>
      <c r="S55" s="23"/>
    </row>
    <row r="56" spans="1:19" hidden="1">
      <c r="A56" s="23"/>
      <c r="B56" s="68"/>
      <c r="C56" s="68"/>
      <c r="D56" s="23"/>
      <c r="E56" s="23"/>
      <c r="F56" s="36"/>
      <c r="G56" s="23"/>
      <c r="H56" s="323"/>
      <c r="I56" s="23"/>
      <c r="J56" s="36"/>
      <c r="K56" s="36"/>
      <c r="L56" s="36"/>
      <c r="M56" s="36"/>
      <c r="N56" s="37" t="s">
        <v>1112</v>
      </c>
      <c r="O56" s="123"/>
      <c r="P56" s="215">
        <f>P55+P54</f>
        <v>0</v>
      </c>
      <c r="Q56" s="123"/>
      <c r="R56" s="23"/>
      <c r="S56" s="23"/>
    </row>
    <row r="57" spans="1:19" ht="38.25" hidden="1">
      <c r="A57" s="23" t="s">
        <v>1125</v>
      </c>
      <c r="B57" s="68" t="s">
        <v>1106</v>
      </c>
      <c r="C57" s="509" t="s">
        <v>1117</v>
      </c>
      <c r="D57" s="23"/>
      <c r="E57" s="23"/>
      <c r="F57" s="36">
        <f>'loan&amp;int'!D18+'loan&amp;int'!D29</f>
        <v>0</v>
      </c>
      <c r="G57" s="23"/>
      <c r="H57" s="323" t="s">
        <v>1126</v>
      </c>
      <c r="I57" s="23" t="s">
        <v>1127</v>
      </c>
      <c r="J57" s="23" t="s">
        <v>1123</v>
      </c>
      <c r="K57" s="36">
        <v>0</v>
      </c>
      <c r="L57" s="36">
        <v>0</v>
      </c>
      <c r="M57" s="36">
        <v>0</v>
      </c>
      <c r="N57" s="651">
        <f>'loan&amp;int'!D17+'loan&amp;int'!D28</f>
        <v>0</v>
      </c>
      <c r="O57" s="123">
        <f>'loan&amp;int'!D20+'loan&amp;int'!D31</f>
        <v>0</v>
      </c>
      <c r="P57" s="651">
        <f>'loan&amp;int'!D24+'loan&amp;int'!D35</f>
        <v>0</v>
      </c>
      <c r="Q57" s="123">
        <v>0</v>
      </c>
      <c r="R57" s="23"/>
      <c r="S57" s="23"/>
    </row>
    <row r="58" spans="1:19" hidden="1">
      <c r="A58" s="23" t="s">
        <v>1128</v>
      </c>
      <c r="B58" s="68"/>
      <c r="C58" s="68"/>
      <c r="D58" s="23"/>
      <c r="E58" s="23"/>
      <c r="F58" s="36"/>
      <c r="G58" s="23"/>
      <c r="H58" s="323">
        <f>'loan&amp;int'!B82</f>
        <v>0</v>
      </c>
      <c r="I58" s="23" t="s">
        <v>1129</v>
      </c>
      <c r="J58" s="23" t="s">
        <v>1130</v>
      </c>
      <c r="K58" s="36">
        <f>M25</f>
        <v>0</v>
      </c>
      <c r="L58" s="36">
        <f>'loan&amp;int'!D85</f>
        <v>0</v>
      </c>
      <c r="M58" s="36">
        <f>L58+K58</f>
        <v>0</v>
      </c>
      <c r="N58" s="123">
        <f>'loan&amp;int'!D83</f>
        <v>0</v>
      </c>
      <c r="O58" s="123">
        <f>'loan&amp;int'!D86</f>
        <v>0</v>
      </c>
      <c r="P58" s="123">
        <f>'loan&amp;int'!D89</f>
        <v>0</v>
      </c>
      <c r="Q58" s="123"/>
      <c r="R58" s="23"/>
      <c r="S58" s="23"/>
    </row>
    <row r="59" spans="1:19" hidden="1">
      <c r="A59" s="23"/>
      <c r="B59" s="68"/>
      <c r="C59" s="509" t="s">
        <v>1117</v>
      </c>
      <c r="D59" s="23"/>
      <c r="E59" s="23"/>
      <c r="F59" s="36">
        <f>'loan&amp;int'!D70</f>
        <v>0</v>
      </c>
      <c r="G59" s="23"/>
      <c r="H59" s="323">
        <f>'loan&amp;int'!B82</f>
        <v>0</v>
      </c>
      <c r="I59" s="23"/>
      <c r="J59" s="36"/>
      <c r="K59" s="36">
        <v>0</v>
      </c>
      <c r="L59" s="36">
        <v>0</v>
      </c>
      <c r="M59" s="36">
        <v>0</v>
      </c>
      <c r="N59" s="123">
        <f>'loan&amp;int'!D83</f>
        <v>0</v>
      </c>
      <c r="O59" s="123">
        <f>'loan&amp;int'!D86</f>
        <v>0</v>
      </c>
      <c r="P59" s="123">
        <f>'loan&amp;int'!D89</f>
        <v>0</v>
      </c>
      <c r="Q59" s="123"/>
      <c r="R59" s="23"/>
      <c r="S59" s="23"/>
    </row>
    <row r="60" spans="1:19" hidden="1">
      <c r="A60" s="23"/>
      <c r="B60" s="68"/>
      <c r="C60" s="68"/>
      <c r="D60" s="23"/>
      <c r="E60" s="23"/>
      <c r="F60" s="36"/>
      <c r="G60" s="23"/>
      <c r="H60" s="105"/>
      <c r="I60" s="23"/>
      <c r="J60" s="36"/>
      <c r="K60" s="36"/>
      <c r="L60" s="36"/>
      <c r="M60" s="36"/>
      <c r="N60" s="37" t="s">
        <v>1112</v>
      </c>
      <c r="O60" s="123"/>
      <c r="P60" s="215">
        <f>P59+P58</f>
        <v>0</v>
      </c>
      <c r="Q60" s="215">
        <f>SUM(Q51:Q59)</f>
        <v>0</v>
      </c>
      <c r="R60" s="23"/>
      <c r="S60" s="23"/>
    </row>
    <row r="61" spans="1:19" hidden="1">
      <c r="A61" s="23" t="s">
        <v>1141</v>
      </c>
      <c r="B61" s="68"/>
      <c r="C61" s="68"/>
      <c r="D61" s="23"/>
      <c r="E61" s="23"/>
      <c r="F61" s="36"/>
      <c r="G61" s="23"/>
      <c r="H61" s="323">
        <f>'loan&amp;int'!B71</f>
        <v>0</v>
      </c>
      <c r="I61" s="23" t="s">
        <v>1129</v>
      </c>
      <c r="J61" s="23" t="s">
        <v>1130</v>
      </c>
      <c r="K61" s="36">
        <f>M28</f>
        <v>0</v>
      </c>
      <c r="L61" s="36">
        <f>'loan&amp;int'!D74</f>
        <v>0</v>
      </c>
      <c r="M61" s="36">
        <f>L61+K61</f>
        <v>0</v>
      </c>
      <c r="N61" s="123">
        <f>'loan&amp;int'!D72</f>
        <v>0</v>
      </c>
      <c r="O61" s="123">
        <f>'loan&amp;int'!D75</f>
        <v>0</v>
      </c>
      <c r="P61" s="123">
        <f>'loan&amp;int'!D77</f>
        <v>0</v>
      </c>
      <c r="Q61" s="123"/>
      <c r="R61" s="23"/>
      <c r="S61" s="23"/>
    </row>
    <row r="62" spans="1:19" hidden="1">
      <c r="A62" s="23"/>
      <c r="B62" s="68"/>
      <c r="C62" s="509" t="s">
        <v>1117</v>
      </c>
      <c r="D62" s="23"/>
      <c r="E62" s="23"/>
      <c r="F62" s="36">
        <f>'loan&amp;int'!D73</f>
        <v>0</v>
      </c>
      <c r="G62" s="23"/>
      <c r="H62" s="323">
        <f>'loan&amp;int'!B71</f>
        <v>0</v>
      </c>
      <c r="I62" s="23"/>
      <c r="J62" s="36"/>
      <c r="K62" s="36">
        <v>0</v>
      </c>
      <c r="L62" s="36">
        <v>0</v>
      </c>
      <c r="M62" s="36">
        <v>0</v>
      </c>
      <c r="N62" s="123">
        <f>'loan&amp;int'!D72</f>
        <v>0</v>
      </c>
      <c r="O62" s="123">
        <f>'loan&amp;int'!D75</f>
        <v>0</v>
      </c>
      <c r="P62" s="123">
        <f>'loan&amp;int'!D78</f>
        <v>0</v>
      </c>
      <c r="Q62" s="123"/>
      <c r="R62" s="23"/>
      <c r="S62" s="23"/>
    </row>
    <row r="63" spans="1:19" hidden="1">
      <c r="A63" s="23"/>
      <c r="B63" s="68"/>
      <c r="C63" s="68"/>
      <c r="D63" s="23"/>
      <c r="E63" s="23"/>
      <c r="F63" s="36"/>
      <c r="G63" s="23"/>
      <c r="H63" s="105"/>
      <c r="I63" s="23"/>
      <c r="J63" s="36"/>
      <c r="K63" s="36"/>
      <c r="L63" s="36"/>
      <c r="M63" s="36"/>
      <c r="N63" s="37" t="s">
        <v>1112</v>
      </c>
      <c r="O63" s="123"/>
      <c r="P63" s="215">
        <f>P62+P61</f>
        <v>0</v>
      </c>
      <c r="Q63" s="215">
        <f>SUM(Q54:Q62)</f>
        <v>0</v>
      </c>
      <c r="R63" s="23"/>
      <c r="S63" s="23"/>
    </row>
    <row r="64" spans="1:19" ht="38.25">
      <c r="A64" s="509" t="s">
        <v>2466</v>
      </c>
      <c r="B64" s="23"/>
      <c r="C64" s="509" t="s">
        <v>2441</v>
      </c>
      <c r="D64" s="23"/>
      <c r="E64" s="23"/>
      <c r="F64" s="123">
        <f>'loan&amp;int'!D95</f>
        <v>0</v>
      </c>
      <c r="G64" s="23"/>
      <c r="H64" s="323">
        <v>0.11700000000000001</v>
      </c>
      <c r="I64" s="23"/>
      <c r="J64" s="36"/>
      <c r="K64" s="36"/>
      <c r="L64" s="36"/>
      <c r="M64" s="36"/>
      <c r="N64" s="123">
        <f ca="1">'loan&amp;int'!D94</f>
        <v>50386.669759149634</v>
      </c>
      <c r="O64" s="123">
        <f ca="1">'loan&amp;int'!D97</f>
        <v>50386.669759149634</v>
      </c>
      <c r="P64" s="123">
        <f ca="1">'loan&amp;int'!D101</f>
        <v>5895.2403618205071</v>
      </c>
      <c r="Q64" s="123"/>
      <c r="R64" s="23"/>
      <c r="S64" s="23"/>
    </row>
    <row r="65" spans="1:19" ht="13.5" thickBot="1">
      <c r="A65" s="23"/>
      <c r="B65" s="23"/>
      <c r="C65" s="23"/>
      <c r="D65" s="23"/>
      <c r="E65" s="23"/>
      <c r="F65" s="23"/>
      <c r="G65" s="23"/>
      <c r="H65" s="105"/>
      <c r="I65" s="23"/>
      <c r="J65" s="36"/>
      <c r="K65" s="36"/>
      <c r="L65" s="37" t="s">
        <v>1132</v>
      </c>
      <c r="M65" s="36"/>
      <c r="N65" s="114">
        <f ca="1">N55+N51+N48+N62+N45+N57+N59+N64</f>
        <v>100240.47204431202</v>
      </c>
      <c r="O65" s="114">
        <f ca="1">O55+O51+O48+O62+O45+O57+O59+O64</f>
        <v>137853.54169789382</v>
      </c>
      <c r="P65" s="114">
        <f ca="1">P63+P51+P49+P46+P56+P57+P60+P64</f>
        <v>11728.135229184505</v>
      </c>
      <c r="Q65" s="114">
        <f>Q63+Q51+Q49+Q46+Q57+Q64</f>
        <v>0</v>
      </c>
      <c r="R65" s="23"/>
      <c r="S65" s="23"/>
    </row>
    <row r="66" spans="1:19" ht="13.5" thickTop="1">
      <c r="A66" s="23"/>
      <c r="B66" s="23"/>
      <c r="C66" s="23"/>
      <c r="D66" s="23"/>
      <c r="E66" s="23"/>
      <c r="F66" s="23"/>
      <c r="G66" s="23"/>
      <c r="H66" s="105"/>
      <c r="I66" s="23"/>
      <c r="J66" s="36"/>
      <c r="K66" s="36"/>
      <c r="L66" s="36"/>
      <c r="M66" s="36"/>
      <c r="N66" s="115"/>
      <c r="O66" s="115"/>
      <c r="P66" s="115"/>
      <c r="Q66" s="115"/>
      <c r="R66" s="23"/>
      <c r="S66" s="23"/>
    </row>
    <row r="67" spans="1:19">
      <c r="A67" t="s">
        <v>1133</v>
      </c>
      <c r="P67" s="7"/>
    </row>
  </sheetData>
  <phoneticPr fontId="0" type="noConversion"/>
  <printOptions horizontalCentered="1" verticalCentered="1" gridLines="1"/>
  <pageMargins left="3.937007874015748E-2" right="0" top="0.19685039370078741" bottom="0.19685039370078741" header="0" footer="0"/>
  <pageSetup paperSize="9" scale="72" fitToWidth="2" fitToHeight="2" orientation="landscape" r:id="rId1"/>
  <headerFooter alignWithMargins="0">
    <oddFooter xml:space="preserve">&amp;R&amp;"Arial,Bold"&amp;12OERC FORM-&amp;A&amp;"Arial,Regular"&amp;10
</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54">
    <pageSetUpPr fitToPage="1"/>
  </sheetPr>
  <dimension ref="A1:I14"/>
  <sheetViews>
    <sheetView view="pageBreakPreview" workbookViewId="0">
      <selection activeCell="B15" sqref="B15"/>
    </sheetView>
  </sheetViews>
  <sheetFormatPr defaultRowHeight="12.75"/>
  <cols>
    <col min="2" max="2" width="23" customWidth="1"/>
    <col min="3" max="3" width="18.140625" customWidth="1"/>
    <col min="4" max="4" width="20.7109375" customWidth="1"/>
    <col min="5" max="5" width="26.5703125" customWidth="1"/>
    <col min="6" max="6" width="20.5703125" customWidth="1"/>
  </cols>
  <sheetData>
    <row r="1" spans="1:9" ht="15.75">
      <c r="A1" s="20" t="s">
        <v>106</v>
      </c>
      <c r="C1" s="506"/>
      <c r="D1" s="506"/>
      <c r="E1" s="124" t="s">
        <v>0</v>
      </c>
      <c r="F1" s="5" t="s">
        <v>1143</v>
      </c>
    </row>
    <row r="2" spans="1:9">
      <c r="C2" s="506"/>
      <c r="D2" s="506"/>
    </row>
    <row r="3" spans="1:9">
      <c r="A3" s="67" t="s">
        <v>1144</v>
      </c>
      <c r="B3" s="67"/>
      <c r="C3" s="652"/>
      <c r="D3" s="652"/>
      <c r="E3" s="67"/>
      <c r="F3" s="67"/>
    </row>
    <row r="4" spans="1:9">
      <c r="A4" t="s">
        <v>1145</v>
      </c>
      <c r="C4" s="506"/>
      <c r="D4" s="506"/>
    </row>
    <row r="5" spans="1:9" ht="12.75" customHeight="1">
      <c r="C5" s="506"/>
      <c r="D5" s="506"/>
      <c r="F5" s="2" t="s">
        <v>983</v>
      </c>
    </row>
    <row r="6" spans="1:9" ht="31.5" customHeight="1">
      <c r="A6" s="71" t="s">
        <v>790</v>
      </c>
      <c r="B6" s="72" t="s">
        <v>1146</v>
      </c>
      <c r="C6" s="653" t="s">
        <v>1147</v>
      </c>
      <c r="D6" s="653" t="s">
        <v>1148</v>
      </c>
      <c r="E6" s="72" t="s">
        <v>1149</v>
      </c>
      <c r="F6" s="72" t="s">
        <v>1150</v>
      </c>
      <c r="G6" s="66"/>
      <c r="H6" s="66"/>
      <c r="I6" s="66"/>
    </row>
    <row r="7" spans="1:9">
      <c r="A7" s="28"/>
      <c r="B7" s="1902" t="s">
        <v>2307</v>
      </c>
      <c r="C7" s="1903"/>
      <c r="D7" s="1903"/>
      <c r="E7" s="1903"/>
      <c r="F7" s="1904"/>
    </row>
    <row r="8" spans="1:9">
      <c r="A8" s="28"/>
      <c r="B8" s="1905"/>
      <c r="C8" s="1906"/>
      <c r="D8" s="1906"/>
      <c r="E8" s="1906"/>
      <c r="F8" s="1907"/>
    </row>
    <row r="9" spans="1:9">
      <c r="A9" s="28"/>
      <c r="B9" s="1905"/>
      <c r="C9" s="1906"/>
      <c r="D9" s="1906"/>
      <c r="E9" s="1906"/>
      <c r="F9" s="1907"/>
    </row>
    <row r="10" spans="1:9">
      <c r="A10" s="28"/>
      <c r="B10" s="1905"/>
      <c r="C10" s="1906"/>
      <c r="D10" s="1906"/>
      <c r="E10" s="1906"/>
      <c r="F10" s="1907"/>
    </row>
    <row r="11" spans="1:9">
      <c r="A11" s="28"/>
      <c r="B11" s="1905"/>
      <c r="C11" s="1906"/>
      <c r="D11" s="1906"/>
      <c r="E11" s="1906"/>
      <c r="F11" s="1907"/>
    </row>
    <row r="12" spans="1:9">
      <c r="A12" s="28"/>
      <c r="B12" s="1905"/>
      <c r="C12" s="1906"/>
      <c r="D12" s="1906"/>
      <c r="E12" s="1906"/>
      <c r="F12" s="1907"/>
    </row>
    <row r="13" spans="1:9">
      <c r="A13" s="28"/>
      <c r="B13" s="1905"/>
      <c r="C13" s="1906"/>
      <c r="D13" s="1906"/>
      <c r="E13" s="1906"/>
      <c r="F13" s="1907"/>
    </row>
    <row r="14" spans="1:9">
      <c r="A14" s="28"/>
      <c r="B14" s="1908"/>
      <c r="C14" s="1909"/>
      <c r="D14" s="1909"/>
      <c r="E14" s="1909"/>
      <c r="F14" s="1910"/>
    </row>
  </sheetData>
  <mergeCells count="1">
    <mergeCell ref="B7:F14"/>
  </mergeCells>
  <phoneticPr fontId="0" type="noConversion"/>
  <printOptions horizontalCentered="1" gridLines="1"/>
  <pageMargins left="0.74803149606299213" right="0.23622047244094491" top="2.0078740157480315" bottom="0.98425196850393704" header="0.51181102362204722" footer="0.51181102362204722"/>
  <pageSetup paperSize="9" orientation="landscape" r:id="rId1"/>
  <headerFooter alignWithMargins="0">
    <oddFooter xml:space="preserve">&amp;R&amp;12OERC FORM-&amp;A&amp;10
</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60"/>
  <dimension ref="A1:AA99"/>
  <sheetViews>
    <sheetView view="pageBreakPreview" zoomScale="90" zoomScaleSheetLayoutView="90" workbookViewId="0">
      <pane xSplit="1" ySplit="6" topLeftCell="B7" activePane="bottomRight" state="frozen"/>
      <selection pane="topRight"/>
      <selection pane="bottomLeft"/>
      <selection pane="bottomRight"/>
    </sheetView>
  </sheetViews>
  <sheetFormatPr defaultRowHeight="12.75"/>
  <cols>
    <col min="1" max="1" width="25.85546875" customWidth="1"/>
    <col min="2" max="2" width="17" customWidth="1"/>
    <col min="3" max="3" width="18" customWidth="1"/>
    <col min="4" max="4" width="12.5703125" bestFit="1" customWidth="1"/>
    <col min="5" max="5" width="12.7109375" customWidth="1"/>
    <col min="6" max="6" width="14.7109375" customWidth="1"/>
    <col min="7" max="7" width="14.5703125" customWidth="1"/>
    <col min="8" max="8" width="12.7109375" customWidth="1"/>
    <col min="9" max="9" width="11.5703125" bestFit="1" customWidth="1"/>
    <col min="10" max="10" width="12.28515625" customWidth="1"/>
    <col min="11" max="12" width="12.85546875" customWidth="1"/>
    <col min="13" max="13" width="13" customWidth="1"/>
    <col min="25" max="25" width="11.42578125" bestFit="1" customWidth="1"/>
    <col min="26" max="26" width="10.42578125" bestFit="1" customWidth="1"/>
    <col min="27" max="27" width="11.42578125" bestFit="1" customWidth="1"/>
  </cols>
  <sheetData>
    <row r="1" spans="1:14">
      <c r="A1" s="20" t="s">
        <v>106</v>
      </c>
      <c r="K1" s="3" t="s">
        <v>0</v>
      </c>
      <c r="L1" s="2" t="s">
        <v>1151</v>
      </c>
    </row>
    <row r="2" spans="1:14">
      <c r="A2" s="67" t="s">
        <v>1152</v>
      </c>
      <c r="B2" s="67"/>
      <c r="C2" s="67"/>
      <c r="D2" s="67"/>
      <c r="E2" s="67"/>
      <c r="F2" s="67"/>
      <c r="G2" s="67"/>
      <c r="H2" s="67"/>
      <c r="I2" s="67"/>
      <c r="J2" s="67"/>
      <c r="K2" s="67"/>
      <c r="L2" s="67"/>
      <c r="M2" s="67"/>
    </row>
    <row r="3" spans="1:14" ht="26.25" customHeight="1" thickBot="1">
      <c r="A3" s="2" t="s">
        <v>1188</v>
      </c>
      <c r="L3" s="2" t="s">
        <v>983</v>
      </c>
    </row>
    <row r="4" spans="1:14" ht="14.25" customHeight="1" thickBot="1">
      <c r="A4" s="82" t="s">
        <v>1153</v>
      </c>
      <c r="B4" s="83" t="s">
        <v>1154</v>
      </c>
      <c r="C4" s="84"/>
      <c r="D4" s="84"/>
      <c r="E4" s="84"/>
      <c r="F4" s="84"/>
      <c r="G4" s="84"/>
      <c r="H4" s="83" t="s">
        <v>730</v>
      </c>
      <c r="I4" s="84"/>
      <c r="J4" s="83"/>
      <c r="K4" s="83"/>
      <c r="L4" s="83" t="s">
        <v>1155</v>
      </c>
      <c r="M4" s="85"/>
      <c r="N4" s="66"/>
    </row>
    <row r="5" spans="1:14" ht="58.5" customHeight="1" thickBot="1">
      <c r="A5" s="86" t="s">
        <v>791</v>
      </c>
      <c r="B5" s="1911" t="s">
        <v>1156</v>
      </c>
      <c r="C5" s="1912"/>
      <c r="D5" s="1913"/>
      <c r="E5" s="87" t="s">
        <v>1157</v>
      </c>
      <c r="F5" s="87" t="s">
        <v>1158</v>
      </c>
      <c r="G5" s="87" t="s">
        <v>2309</v>
      </c>
      <c r="H5" s="87" t="s">
        <v>2310</v>
      </c>
      <c r="I5" s="87" t="s">
        <v>1159</v>
      </c>
      <c r="J5" s="87" t="s">
        <v>1160</v>
      </c>
      <c r="K5" s="87" t="s">
        <v>2311</v>
      </c>
      <c r="L5" s="87" t="s">
        <v>2312</v>
      </c>
      <c r="M5" s="88" t="s">
        <v>2313</v>
      </c>
      <c r="N5" s="66"/>
    </row>
    <row r="6" spans="1:14" ht="25.5">
      <c r="A6" s="81"/>
      <c r="B6" s="89" t="s">
        <v>1161</v>
      </c>
      <c r="C6" s="89" t="s">
        <v>1162</v>
      </c>
      <c r="D6" s="89" t="s">
        <v>147</v>
      </c>
      <c r="E6" s="81"/>
      <c r="F6" s="81"/>
      <c r="G6" s="81"/>
      <c r="H6" s="81"/>
      <c r="I6" s="81"/>
      <c r="J6" s="81"/>
      <c r="K6" s="81"/>
      <c r="L6" s="81"/>
      <c r="M6" s="81"/>
    </row>
    <row r="7" spans="1:14">
      <c r="A7" s="28" t="s">
        <v>1163</v>
      </c>
      <c r="B7" s="23"/>
      <c r="C7" s="23"/>
      <c r="D7" s="23"/>
      <c r="E7" s="23"/>
      <c r="F7" s="23"/>
      <c r="G7" s="23"/>
      <c r="H7" s="23"/>
      <c r="I7" s="23"/>
      <c r="J7" s="23"/>
      <c r="K7" s="23"/>
      <c r="L7" s="23"/>
      <c r="M7" s="23"/>
    </row>
    <row r="8" spans="1:14">
      <c r="A8" s="28" t="s">
        <v>1164</v>
      </c>
      <c r="B8" s="23"/>
      <c r="C8" s="23"/>
      <c r="D8" s="23"/>
      <c r="E8" s="23"/>
      <c r="F8" s="23"/>
      <c r="G8" s="23"/>
      <c r="H8" s="23"/>
      <c r="I8" s="23"/>
      <c r="J8" s="23"/>
      <c r="K8" s="23"/>
      <c r="L8" s="23"/>
      <c r="M8" s="23"/>
    </row>
    <row r="9" spans="1:14">
      <c r="A9" s="23" t="s">
        <v>1165</v>
      </c>
      <c r="B9" s="23"/>
      <c r="C9" s="23"/>
      <c r="D9" s="23"/>
      <c r="E9" s="23"/>
      <c r="F9" s="23"/>
      <c r="G9" s="23"/>
      <c r="H9" s="23"/>
      <c r="I9" s="23"/>
      <c r="J9" s="23"/>
      <c r="K9" s="23"/>
      <c r="L9" s="23"/>
      <c r="M9" s="23"/>
    </row>
    <row r="10" spans="1:14">
      <c r="A10" s="23" t="s">
        <v>1166</v>
      </c>
      <c r="B10" s="23"/>
      <c r="C10" s="23"/>
      <c r="D10" s="23"/>
      <c r="E10" s="23"/>
      <c r="F10" s="23"/>
      <c r="G10" s="23"/>
      <c r="H10" s="23"/>
      <c r="I10" s="23"/>
      <c r="J10" s="23"/>
      <c r="K10" s="23"/>
      <c r="L10" s="23"/>
      <c r="M10" s="23"/>
    </row>
    <row r="11" spans="1:14">
      <c r="A11" s="23" t="s">
        <v>1167</v>
      </c>
      <c r="B11" s="23"/>
      <c r="C11" s="23"/>
      <c r="D11" s="23"/>
      <c r="E11" s="23"/>
      <c r="F11" s="23"/>
      <c r="G11" s="23"/>
      <c r="H11" s="23"/>
      <c r="I11" s="23"/>
      <c r="J11" s="23"/>
      <c r="K11" s="23"/>
      <c r="L11" s="23"/>
      <c r="M11" s="23"/>
    </row>
    <row r="12" spans="1:14">
      <c r="A12" s="23" t="s">
        <v>1168</v>
      </c>
      <c r="B12" s="23"/>
      <c r="C12" s="23"/>
      <c r="D12" s="23"/>
      <c r="E12" s="23"/>
      <c r="F12" s="23"/>
      <c r="G12" s="23"/>
      <c r="H12" s="23"/>
      <c r="I12" s="23"/>
      <c r="J12" s="23"/>
      <c r="K12" s="23"/>
      <c r="L12" s="23"/>
      <c r="M12" s="23"/>
    </row>
    <row r="13" spans="1:14">
      <c r="A13" s="23" t="s">
        <v>1169</v>
      </c>
      <c r="B13" s="23"/>
      <c r="C13" s="23"/>
      <c r="D13" s="23"/>
      <c r="E13" s="23"/>
      <c r="F13" s="23"/>
      <c r="G13" s="23"/>
      <c r="H13" s="23"/>
      <c r="I13" s="23"/>
      <c r="J13" s="23"/>
      <c r="K13" s="23"/>
      <c r="L13" s="23"/>
      <c r="M13" s="23"/>
    </row>
    <row r="14" spans="1:14">
      <c r="A14" s="23" t="s">
        <v>1170</v>
      </c>
      <c r="B14" s="23"/>
      <c r="C14" s="23"/>
      <c r="D14" s="23"/>
      <c r="E14" s="23"/>
      <c r="F14" s="23"/>
      <c r="G14" s="23"/>
      <c r="H14" s="23"/>
      <c r="I14" s="23"/>
      <c r="J14" s="23"/>
      <c r="K14" s="23"/>
      <c r="L14" s="23"/>
      <c r="M14" s="23"/>
    </row>
    <row r="15" spans="1:14">
      <c r="A15" s="23" t="s">
        <v>1171</v>
      </c>
      <c r="B15" s="23"/>
      <c r="C15" s="23"/>
      <c r="D15" s="23"/>
      <c r="E15" s="23"/>
      <c r="F15" s="23"/>
      <c r="G15" s="23"/>
      <c r="H15" s="23"/>
      <c r="I15" s="23"/>
      <c r="J15" s="23"/>
      <c r="K15" s="23"/>
      <c r="L15" s="23"/>
      <c r="M15" s="23"/>
    </row>
    <row r="16" spans="1:14" ht="25.5">
      <c r="A16" s="68" t="s">
        <v>1172</v>
      </c>
      <c r="B16" s="23"/>
      <c r="C16" s="23"/>
      <c r="D16" s="23"/>
      <c r="E16" s="23"/>
      <c r="F16" s="23"/>
      <c r="G16" s="23"/>
      <c r="H16" s="23"/>
      <c r="I16" s="23"/>
      <c r="J16" s="23"/>
      <c r="K16" s="23"/>
      <c r="L16" s="23"/>
      <c r="M16" s="23"/>
    </row>
    <row r="17" spans="1:27">
      <c r="A17" s="23" t="s">
        <v>1173</v>
      </c>
      <c r="B17" s="23"/>
      <c r="C17" s="23"/>
      <c r="D17" s="23"/>
      <c r="E17" s="23"/>
      <c r="F17" s="23"/>
      <c r="G17" s="23"/>
      <c r="H17" s="23"/>
      <c r="I17" s="23"/>
      <c r="J17" s="23"/>
      <c r="K17" s="23"/>
      <c r="L17" s="23"/>
      <c r="M17" s="23"/>
      <c r="T17" t="s">
        <v>1167</v>
      </c>
      <c r="Y17">
        <v>54597943</v>
      </c>
      <c r="Z17">
        <v>640555</v>
      </c>
      <c r="AA17">
        <f>(Y17+Z17)/100000</f>
        <v>552.38498000000004</v>
      </c>
    </row>
    <row r="18" spans="1:27">
      <c r="A18" s="23" t="s">
        <v>1174</v>
      </c>
      <c r="B18" s="23"/>
      <c r="C18" s="23"/>
      <c r="D18" s="23"/>
      <c r="E18" s="23"/>
      <c r="F18" s="23"/>
      <c r="G18" s="23"/>
      <c r="H18" s="23"/>
      <c r="I18" s="23"/>
      <c r="J18" s="23"/>
      <c r="K18" s="23"/>
      <c r="L18" s="23"/>
      <c r="M18" s="23"/>
      <c r="AA18">
        <f t="shared" ref="AA18:AA26" si="0">(Y18+Z18)/100000</f>
        <v>0</v>
      </c>
    </row>
    <row r="19" spans="1:27">
      <c r="A19" s="23" t="s">
        <v>1175</v>
      </c>
      <c r="B19" s="23"/>
      <c r="C19" s="23"/>
      <c r="D19" s="23"/>
      <c r="E19" s="23"/>
      <c r="F19" s="23"/>
      <c r="G19" s="23"/>
      <c r="H19" s="23"/>
      <c r="I19" s="23"/>
      <c r="J19" s="23"/>
      <c r="K19" s="23"/>
      <c r="L19" s="23"/>
      <c r="M19" s="23"/>
      <c r="T19" t="s">
        <v>1176</v>
      </c>
      <c r="Y19">
        <v>6145817798</v>
      </c>
      <c r="Z19">
        <v>161760718</v>
      </c>
      <c r="AA19">
        <f t="shared" si="0"/>
        <v>63075.785159999999</v>
      </c>
    </row>
    <row r="20" spans="1:27">
      <c r="A20" s="28" t="s">
        <v>1177</v>
      </c>
      <c r="B20" s="23"/>
      <c r="C20" s="23"/>
      <c r="D20" s="23"/>
      <c r="E20" s="23"/>
      <c r="F20" s="23"/>
      <c r="G20" s="23"/>
      <c r="H20" s="23"/>
      <c r="I20" s="23"/>
      <c r="J20" s="23"/>
      <c r="K20" s="23"/>
      <c r="L20" s="23"/>
      <c r="M20" s="23"/>
      <c r="AA20">
        <f t="shared" si="0"/>
        <v>0</v>
      </c>
    </row>
    <row r="21" spans="1:27">
      <c r="A21" s="23" t="s">
        <v>1178</v>
      </c>
      <c r="B21" s="23"/>
      <c r="C21" s="23"/>
      <c r="D21" s="23"/>
      <c r="E21" s="23"/>
      <c r="F21" s="23"/>
      <c r="G21" s="23"/>
      <c r="H21" s="23"/>
      <c r="I21" s="23"/>
      <c r="J21" s="23"/>
      <c r="K21" s="23"/>
      <c r="L21" s="23"/>
      <c r="M21" s="23"/>
      <c r="T21" t="s">
        <v>1173</v>
      </c>
      <c r="Y21">
        <v>4053134</v>
      </c>
      <c r="Z21" s="706">
        <v>78749</v>
      </c>
      <c r="AA21">
        <f t="shared" si="0"/>
        <v>41.318829999999998</v>
      </c>
    </row>
    <row r="22" spans="1:27">
      <c r="A22" s="23" t="s">
        <v>1165</v>
      </c>
      <c r="B22" s="36">
        <f>DEPCAL!F33</f>
        <v>0</v>
      </c>
      <c r="C22" s="23"/>
      <c r="D22" s="37">
        <f>C22+B22</f>
        <v>0</v>
      </c>
      <c r="E22" s="36">
        <f>DEPCAL!G20</f>
        <v>0</v>
      </c>
      <c r="F22" s="36">
        <v>0</v>
      </c>
      <c r="G22" s="37">
        <f>D22+E22-F22</f>
        <v>0</v>
      </c>
      <c r="H22" s="36">
        <v>0</v>
      </c>
      <c r="I22" s="36">
        <f>DEPCAL!G56</f>
        <v>0</v>
      </c>
      <c r="J22" s="36">
        <v>0</v>
      </c>
      <c r="K22" s="37">
        <f>H22+I22-J22</f>
        <v>0</v>
      </c>
      <c r="L22" s="37">
        <f>G22-K22</f>
        <v>0</v>
      </c>
      <c r="M22" s="37">
        <f>D22-H22</f>
        <v>0</v>
      </c>
      <c r="AA22">
        <f t="shared" si="0"/>
        <v>0</v>
      </c>
    </row>
    <row r="23" spans="1:27">
      <c r="A23" s="23" t="s">
        <v>1166</v>
      </c>
      <c r="B23" s="36"/>
      <c r="C23" s="23"/>
      <c r="D23" s="37"/>
      <c r="E23" s="36"/>
      <c r="F23" s="36"/>
      <c r="G23" s="37"/>
      <c r="H23" s="36"/>
      <c r="I23" s="36"/>
      <c r="J23" s="36"/>
      <c r="K23" s="37"/>
      <c r="L23" s="37"/>
      <c r="M23" s="37"/>
      <c r="T23" t="s">
        <v>1179</v>
      </c>
      <c r="Y23">
        <v>16420125</v>
      </c>
      <c r="Z23">
        <v>161163</v>
      </c>
      <c r="AA23">
        <f t="shared" si="0"/>
        <v>165.81288000000001</v>
      </c>
    </row>
    <row r="24" spans="1:27">
      <c r="A24" s="23" t="s">
        <v>1167</v>
      </c>
      <c r="B24" s="36">
        <f>DEPCAL!F34</f>
        <v>4556.7079372999997</v>
      </c>
      <c r="C24" s="23"/>
      <c r="D24" s="37">
        <f>C24+B24</f>
        <v>4556.7079372999997</v>
      </c>
      <c r="E24" s="36">
        <f>DEPCAL!G21</f>
        <v>35.67</v>
      </c>
      <c r="F24" s="36">
        <v>0</v>
      </c>
      <c r="G24" s="37">
        <f>D24+E24-F24</f>
        <v>4592.3779372999998</v>
      </c>
      <c r="H24" s="36">
        <f>552.38498+6.41+22.99</f>
        <v>581.78498000000002</v>
      </c>
      <c r="I24" s="36">
        <f>DEPCAL!G57</f>
        <v>127.47061354067998</v>
      </c>
      <c r="J24" s="36">
        <v>0</v>
      </c>
      <c r="K24" s="37">
        <f>H24+I24-J24</f>
        <v>709.25559354068002</v>
      </c>
      <c r="L24" s="37">
        <f>G24-K24</f>
        <v>3883.1223437593198</v>
      </c>
      <c r="M24" s="37">
        <f>D24-H24</f>
        <v>3974.9229572999998</v>
      </c>
      <c r="AA24">
        <f t="shared" si="0"/>
        <v>0</v>
      </c>
    </row>
    <row r="25" spans="1:27">
      <c r="A25" s="23" t="s">
        <v>1168</v>
      </c>
      <c r="B25" s="36"/>
      <c r="C25" s="23"/>
      <c r="D25" s="37"/>
      <c r="E25" s="36"/>
      <c r="F25" s="36"/>
      <c r="G25" s="37"/>
      <c r="H25" s="36"/>
      <c r="I25" s="36"/>
      <c r="J25" s="36"/>
      <c r="K25" s="37"/>
      <c r="L25" s="37"/>
      <c r="M25" s="37"/>
      <c r="T25" t="s">
        <v>1175</v>
      </c>
      <c r="Y25">
        <v>46131018</v>
      </c>
      <c r="Z25">
        <v>1324435</v>
      </c>
      <c r="AA25">
        <f t="shared" si="0"/>
        <v>474.55453</v>
      </c>
    </row>
    <row r="26" spans="1:27">
      <c r="A26" s="502" t="s">
        <v>2468</v>
      </c>
      <c r="B26" s="36">
        <f>DEPCAL!F35</f>
        <v>72937.643982875001</v>
      </c>
      <c r="C26" s="23"/>
      <c r="D26" s="37">
        <f t="shared" ref="D26:D32" si="1">C26+B26</f>
        <v>72937.643982875001</v>
      </c>
      <c r="E26" s="36">
        <f ca="1">DEPCAL!G22</f>
        <v>64055.64007191053</v>
      </c>
      <c r="F26" s="36">
        <v>0</v>
      </c>
      <c r="G26" s="37">
        <f ca="1">D26+E26-F26</f>
        <v>136993.28405478553</v>
      </c>
      <c r="H26" s="36">
        <f>20523.47+2646.43</f>
        <v>23169.9</v>
      </c>
      <c r="I26" s="36">
        <f>DEPCAL!G58</f>
        <v>2928.8661737171201</v>
      </c>
      <c r="J26" s="36">
        <v>0</v>
      </c>
      <c r="K26" s="37">
        <f>H26+I26-J26</f>
        <v>26098.766173717122</v>
      </c>
      <c r="L26" s="37">
        <f ca="1">G26-K26</f>
        <v>110894.5178810684</v>
      </c>
      <c r="M26" s="37">
        <f>D26-H26</f>
        <v>49767.743982874999</v>
      </c>
      <c r="AA26">
        <f t="shared" si="0"/>
        <v>0</v>
      </c>
    </row>
    <row r="27" spans="1:27">
      <c r="A27" s="23" t="s">
        <v>1170</v>
      </c>
      <c r="B27" s="36">
        <f>DEPCAL!F36</f>
        <v>151146.81072742498</v>
      </c>
      <c r="C27" s="23"/>
      <c r="D27" s="37">
        <f t="shared" si="1"/>
        <v>151146.81072742498</v>
      </c>
      <c r="E27" s="36">
        <f>DEPCAL!G23</f>
        <v>0</v>
      </c>
      <c r="F27" s="36">
        <v>0</v>
      </c>
      <c r="G27" s="37">
        <f>D27+E27-F27</f>
        <v>151146.81072742498</v>
      </c>
      <c r="H27" s="36">
        <f>42530.26516+4914.81</f>
        <v>47445.07516</v>
      </c>
      <c r="I27" s="36">
        <f>DEPCAL!G59</f>
        <v>6035.5879691824794</v>
      </c>
      <c r="J27" s="36"/>
      <c r="K27" s="37">
        <f>H27+I27-J27</f>
        <v>53480.663129182481</v>
      </c>
      <c r="L27" s="37">
        <f>G27-K27</f>
        <v>97666.147598242504</v>
      </c>
      <c r="M27" s="37">
        <f>D27-H27</f>
        <v>103701.73556742497</v>
      </c>
      <c r="Y27">
        <f>SUM(Y17:Y26)</f>
        <v>6267020018</v>
      </c>
      <c r="Z27">
        <f t="shared" ref="Z27:AA27" si="2">SUM(Z17:Z26)</f>
        <v>163965620</v>
      </c>
      <c r="AA27">
        <f t="shared" si="2"/>
        <v>64309.856379999997</v>
      </c>
    </row>
    <row r="28" spans="1:27">
      <c r="A28" s="68" t="s">
        <v>1171</v>
      </c>
      <c r="B28" s="36"/>
      <c r="C28" s="23"/>
      <c r="D28" s="37"/>
      <c r="E28" s="36"/>
      <c r="F28" s="36"/>
      <c r="G28" s="37"/>
      <c r="H28" s="36"/>
      <c r="I28" s="36"/>
      <c r="J28" s="36"/>
      <c r="K28" s="37"/>
      <c r="L28" s="37"/>
      <c r="M28" s="37"/>
    </row>
    <row r="29" spans="1:27" ht="25.5">
      <c r="A29" s="68" t="s">
        <v>1172</v>
      </c>
      <c r="B29" s="36"/>
      <c r="C29" s="23"/>
      <c r="D29" s="37"/>
      <c r="E29" s="36"/>
      <c r="F29" s="36"/>
      <c r="G29" s="37"/>
      <c r="H29" s="36"/>
      <c r="I29" s="36"/>
      <c r="J29" s="36"/>
      <c r="K29" s="37"/>
      <c r="L29" s="37"/>
      <c r="M29" s="37"/>
    </row>
    <row r="30" spans="1:27">
      <c r="A30" s="23" t="s">
        <v>1173</v>
      </c>
      <c r="B30" s="36">
        <f>DEPCAL!F38*0</f>
        <v>0</v>
      </c>
      <c r="C30" s="36">
        <f>DEPCAL!F38</f>
        <v>187.13667240000001</v>
      </c>
      <c r="D30" s="37">
        <f t="shared" si="1"/>
        <v>187.13667240000001</v>
      </c>
      <c r="E30" s="36">
        <f>DEPCAL!G25</f>
        <v>20</v>
      </c>
      <c r="F30" s="36">
        <v>0</v>
      </c>
      <c r="G30" s="37">
        <f>D30+E30-F30</f>
        <v>207.13667240000001</v>
      </c>
      <c r="H30" s="36">
        <f>41.31883+0.79+13.02</f>
        <v>55.128829999999994</v>
      </c>
      <c r="I30" s="36">
        <f>DEPCAL!G61</f>
        <v>19.393042352400002</v>
      </c>
      <c r="J30" s="36">
        <v>0</v>
      </c>
      <c r="K30" s="37">
        <f>H30+I30-J30</f>
        <v>74.521872352399996</v>
      </c>
      <c r="L30" s="37">
        <f>G30-K30</f>
        <v>132.6148000476</v>
      </c>
      <c r="M30" s="37">
        <f>D30-H30</f>
        <v>132.00784240000002</v>
      </c>
    </row>
    <row r="31" spans="1:27">
      <c r="A31" s="23" t="s">
        <v>1180</v>
      </c>
      <c r="B31" s="36">
        <f>DEPCAL!F37</f>
        <v>301.84260949999998</v>
      </c>
      <c r="C31" s="23"/>
      <c r="D31" s="37">
        <f t="shared" si="1"/>
        <v>301.84260949999998</v>
      </c>
      <c r="E31" s="36">
        <f>DEPCAL!G24</f>
        <v>70</v>
      </c>
      <c r="F31" s="36">
        <v>0</v>
      </c>
      <c r="G31" s="37">
        <f>D31+E31-F31</f>
        <v>371.84260949999998</v>
      </c>
      <c r="H31" s="36">
        <f>165.81288+1.61+29.26</f>
        <v>196.68288000000001</v>
      </c>
      <c r="I31" s="36">
        <f>DEPCAL!G60</f>
        <v>15.515338964309997</v>
      </c>
      <c r="J31" s="36">
        <v>0</v>
      </c>
      <c r="K31" s="37">
        <f>H31+I31-J31</f>
        <v>212.19821896431</v>
      </c>
      <c r="L31" s="37">
        <f>G31-K31</f>
        <v>159.64439053568998</v>
      </c>
      <c r="M31" s="37">
        <f>D31-H31</f>
        <v>105.15972949999997</v>
      </c>
    </row>
    <row r="32" spans="1:27">
      <c r="A32" s="502" t="s">
        <v>2467</v>
      </c>
      <c r="B32" s="36">
        <f>DEPCAL!F39+DEPCAL!F40+DEPCAL!F41</f>
        <v>6227.4545213000001</v>
      </c>
      <c r="C32" s="23"/>
      <c r="D32" s="37">
        <f t="shared" si="1"/>
        <v>6227.4545213000001</v>
      </c>
      <c r="E32" s="36">
        <f>DEPCAL!G26+DEPCAL!G27+DEPCAL!G28</f>
        <v>1405.0031806</v>
      </c>
      <c r="F32" s="36">
        <v>0</v>
      </c>
      <c r="G32" s="37">
        <f>D32+E32-F32</f>
        <v>7632.4577018999998</v>
      </c>
      <c r="H32" s="36">
        <f>474.55453+13.24+25.53+459.49</f>
        <v>972.81452999999999</v>
      </c>
      <c r="I32" s="36">
        <f>DEPCAL!G62+DEPCAL!G63+DEPCAL!G64</f>
        <v>489.32092779859499</v>
      </c>
      <c r="J32" s="36">
        <v>0</v>
      </c>
      <c r="K32" s="37">
        <f>H32+I32-J32</f>
        <v>1462.1354577985949</v>
      </c>
      <c r="L32" s="37">
        <f>G32-K32</f>
        <v>6170.322244101405</v>
      </c>
      <c r="M32" s="37">
        <f>D32-H32</f>
        <v>5254.6399913000005</v>
      </c>
    </row>
    <row r="33" spans="1:13">
      <c r="A33" s="75" t="s">
        <v>147</v>
      </c>
      <c r="B33" s="37">
        <f t="shared" ref="B33:M33" si="3">SUM(B21:B32)</f>
        <v>235170.45977839999</v>
      </c>
      <c r="C33" s="37">
        <f t="shared" si="3"/>
        <v>187.13667240000001</v>
      </c>
      <c r="D33" s="37">
        <f t="shared" si="3"/>
        <v>235357.59645079999</v>
      </c>
      <c r="E33" s="37">
        <f t="shared" ca="1" si="3"/>
        <v>65586.313252510532</v>
      </c>
      <c r="F33" s="37">
        <f t="shared" si="3"/>
        <v>0</v>
      </c>
      <c r="G33" s="37">
        <f t="shared" ca="1" si="3"/>
        <v>300943.90970331046</v>
      </c>
      <c r="H33" s="37">
        <f t="shared" si="3"/>
        <v>72421.386379999996</v>
      </c>
      <c r="I33" s="37">
        <f t="shared" si="3"/>
        <v>9616.1540655555837</v>
      </c>
      <c r="J33" s="37">
        <f t="shared" si="3"/>
        <v>0</v>
      </c>
      <c r="K33" s="37">
        <f t="shared" si="3"/>
        <v>82037.540445555598</v>
      </c>
      <c r="L33" s="37">
        <f t="shared" ca="1" si="3"/>
        <v>218906.36925775491</v>
      </c>
      <c r="M33" s="37">
        <f t="shared" si="3"/>
        <v>162936.21007079998</v>
      </c>
    </row>
    <row r="34" spans="1:13">
      <c r="A34" s="28" t="s">
        <v>1181</v>
      </c>
      <c r="B34" s="23"/>
      <c r="C34" s="23"/>
      <c r="D34" s="23"/>
      <c r="E34" s="23"/>
      <c r="F34" s="23"/>
      <c r="G34" s="23"/>
      <c r="H34" s="23"/>
      <c r="I34" s="23"/>
      <c r="J34" s="23"/>
      <c r="K34" s="36"/>
      <c r="L34" s="36"/>
      <c r="M34" s="36"/>
    </row>
    <row r="35" spans="1:13">
      <c r="A35" s="23"/>
      <c r="B35" s="23"/>
      <c r="C35" s="23"/>
      <c r="D35" s="23"/>
      <c r="E35" s="23"/>
      <c r="F35" s="23"/>
      <c r="G35" s="23"/>
      <c r="H35" s="36"/>
      <c r="I35" s="23"/>
      <c r="J35" s="23"/>
      <c r="K35" s="36"/>
      <c r="L35" s="36"/>
      <c r="M35" s="36"/>
    </row>
    <row r="36" spans="1:13">
      <c r="A36" s="23" t="s">
        <v>1164</v>
      </c>
      <c r="B36" s="23"/>
      <c r="C36" s="23"/>
      <c r="D36" s="23"/>
      <c r="E36" s="23"/>
      <c r="F36" s="23"/>
      <c r="G36" s="23"/>
      <c r="H36" s="23"/>
      <c r="I36" s="23"/>
      <c r="J36" s="23"/>
      <c r="K36" s="23"/>
      <c r="L36" s="23"/>
      <c r="M36" s="23"/>
    </row>
    <row r="37" spans="1:13">
      <c r="A37" s="23" t="s">
        <v>1165</v>
      </c>
      <c r="B37" s="23"/>
      <c r="C37" s="23"/>
      <c r="D37" s="23"/>
      <c r="E37" s="23"/>
      <c r="F37" s="23"/>
      <c r="G37" s="23"/>
      <c r="H37" s="23"/>
      <c r="I37" s="23"/>
      <c r="J37" s="23"/>
      <c r="K37" s="23"/>
      <c r="L37" s="23"/>
      <c r="M37" s="23"/>
    </row>
    <row r="38" spans="1:13">
      <c r="A38" s="23" t="s">
        <v>1166</v>
      </c>
      <c r="B38" s="23"/>
      <c r="C38" s="23"/>
      <c r="D38" s="23"/>
      <c r="E38" s="23"/>
      <c r="F38" s="23"/>
      <c r="G38" s="23"/>
      <c r="H38" s="23"/>
      <c r="I38" s="23"/>
      <c r="J38" s="23"/>
      <c r="K38" s="23"/>
      <c r="L38" s="23"/>
      <c r="M38" s="23"/>
    </row>
    <row r="39" spans="1:13">
      <c r="A39" s="23" t="s">
        <v>1167</v>
      </c>
      <c r="B39" s="23"/>
      <c r="C39" s="23"/>
      <c r="D39" s="23"/>
      <c r="E39" s="23"/>
      <c r="F39" s="23"/>
      <c r="G39" s="23"/>
      <c r="H39" s="23"/>
      <c r="I39" s="23"/>
      <c r="J39" s="23"/>
      <c r="K39" s="23"/>
      <c r="L39" s="23"/>
      <c r="M39" s="23"/>
    </row>
    <row r="40" spans="1:13">
      <c r="A40" s="23" t="s">
        <v>1168</v>
      </c>
      <c r="B40" s="23"/>
      <c r="C40" s="23"/>
      <c r="D40" s="23"/>
      <c r="E40" s="23"/>
      <c r="F40" s="23"/>
      <c r="G40" s="23"/>
      <c r="H40" s="23"/>
      <c r="I40" s="23"/>
      <c r="J40" s="23"/>
      <c r="K40" s="23"/>
      <c r="L40" s="23"/>
      <c r="M40" s="23"/>
    </row>
    <row r="41" spans="1:13">
      <c r="A41" s="23" t="s">
        <v>1182</v>
      </c>
      <c r="B41" s="23"/>
      <c r="C41" s="23"/>
      <c r="D41" s="23"/>
      <c r="E41" s="23"/>
      <c r="F41" s="23"/>
      <c r="G41" s="23"/>
      <c r="H41" s="23"/>
      <c r="I41" s="23"/>
      <c r="J41" s="23"/>
      <c r="K41" s="23"/>
      <c r="L41" s="23"/>
      <c r="M41" s="23"/>
    </row>
    <row r="42" spans="1:13">
      <c r="A42" s="23" t="s">
        <v>1174</v>
      </c>
      <c r="B42" s="23"/>
      <c r="C42" s="23"/>
      <c r="D42" s="23"/>
      <c r="E42" s="23"/>
      <c r="F42" s="23"/>
      <c r="G42" s="23"/>
      <c r="H42" s="23"/>
      <c r="I42" s="23"/>
      <c r="J42" s="23"/>
      <c r="K42" s="23"/>
      <c r="L42" s="23"/>
      <c r="M42" s="23"/>
    </row>
    <row r="43" spans="1:13">
      <c r="A43" s="502" t="s">
        <v>2467</v>
      </c>
      <c r="B43" s="23"/>
      <c r="C43" s="23"/>
      <c r="D43" s="23"/>
      <c r="E43" s="23"/>
      <c r="F43" s="23"/>
      <c r="G43" s="23"/>
      <c r="H43" s="23"/>
      <c r="I43" s="23"/>
      <c r="J43" s="23"/>
      <c r="K43" s="23"/>
      <c r="L43" s="23"/>
      <c r="M43" s="23"/>
    </row>
    <row r="44" spans="1:13">
      <c r="A44" s="23" t="s">
        <v>1173</v>
      </c>
      <c r="B44" s="23"/>
      <c r="C44" s="23"/>
      <c r="D44" s="23"/>
      <c r="E44" s="23"/>
      <c r="F44" s="23"/>
      <c r="G44" s="23"/>
      <c r="H44" s="23"/>
      <c r="I44" s="23"/>
      <c r="J44" s="23"/>
      <c r="K44" s="23"/>
      <c r="L44" s="23"/>
      <c r="M44" s="23"/>
    </row>
    <row r="45" spans="1:13" ht="25.5">
      <c r="A45" s="68" t="s">
        <v>1183</v>
      </c>
      <c r="B45" s="23"/>
      <c r="C45" s="23"/>
      <c r="D45" s="23"/>
      <c r="E45" s="23"/>
      <c r="F45" s="23"/>
      <c r="G45" s="23"/>
      <c r="H45" s="23"/>
      <c r="I45" s="23"/>
      <c r="J45" s="23"/>
      <c r="K45" s="23"/>
      <c r="L45" s="23"/>
      <c r="M45" s="23"/>
    </row>
    <row r="46" spans="1:13">
      <c r="A46" s="23" t="s">
        <v>1184</v>
      </c>
      <c r="B46" s="23"/>
      <c r="C46" s="23"/>
      <c r="D46" s="23"/>
      <c r="E46" s="23"/>
      <c r="F46" s="23"/>
      <c r="G46" s="23"/>
      <c r="H46" s="23"/>
      <c r="I46" s="23"/>
      <c r="J46" s="23"/>
      <c r="K46" s="23"/>
      <c r="L46" s="23"/>
      <c r="M46" s="23"/>
    </row>
    <row r="47" spans="1:13">
      <c r="A47" s="23" t="s">
        <v>1185</v>
      </c>
      <c r="B47" s="23"/>
      <c r="C47" s="23"/>
      <c r="D47" s="23"/>
      <c r="E47" s="23"/>
      <c r="F47" s="23"/>
      <c r="G47" s="23"/>
      <c r="H47" s="23"/>
      <c r="I47" s="23"/>
      <c r="J47" s="23"/>
      <c r="K47" s="23"/>
      <c r="L47" s="23"/>
      <c r="M47" s="23"/>
    </row>
    <row r="48" spans="1:13">
      <c r="A48" s="2" t="s">
        <v>1186</v>
      </c>
    </row>
    <row r="49" spans="1:13">
      <c r="B49" t="s">
        <v>1187</v>
      </c>
    </row>
    <row r="50" spans="1:13">
      <c r="A50" t="s">
        <v>30</v>
      </c>
    </row>
    <row r="51" spans="1:13">
      <c r="A51" s="20" t="s">
        <v>106</v>
      </c>
      <c r="K51" s="3" t="s">
        <v>0</v>
      </c>
      <c r="L51" s="2" t="s">
        <v>1151</v>
      </c>
    </row>
    <row r="52" spans="1:13">
      <c r="A52" s="67" t="s">
        <v>1152</v>
      </c>
      <c r="B52" s="67"/>
      <c r="C52" s="67"/>
      <c r="D52" s="67"/>
      <c r="E52" s="67"/>
      <c r="F52" s="67"/>
      <c r="G52" s="67"/>
      <c r="H52" s="67"/>
      <c r="I52" s="67"/>
      <c r="J52" s="67"/>
      <c r="K52" s="67"/>
      <c r="L52" s="67"/>
      <c r="M52" s="67"/>
    </row>
    <row r="53" spans="1:13" ht="13.5" thickBot="1">
      <c r="A53" s="2" t="s">
        <v>2308</v>
      </c>
      <c r="L53" s="2" t="s">
        <v>983</v>
      </c>
    </row>
    <row r="54" spans="1:13" ht="13.5" thickBot="1">
      <c r="A54" s="82" t="s">
        <v>1153</v>
      </c>
      <c r="B54" s="83" t="s">
        <v>1154</v>
      </c>
      <c r="C54" s="84"/>
      <c r="D54" s="84"/>
      <c r="E54" s="84"/>
      <c r="F54" s="84"/>
      <c r="G54" s="84"/>
      <c r="H54" s="83" t="s">
        <v>730</v>
      </c>
      <c r="I54" s="84"/>
      <c r="J54" s="83"/>
      <c r="K54" s="83"/>
      <c r="L54" s="83" t="s">
        <v>1155</v>
      </c>
      <c r="M54" s="85"/>
    </row>
    <row r="55" spans="1:13" ht="51.75" thickBot="1">
      <c r="A55" s="86" t="s">
        <v>791</v>
      </c>
      <c r="B55" s="1911" t="s">
        <v>1189</v>
      </c>
      <c r="C55" s="1912"/>
      <c r="D55" s="1913"/>
      <c r="E55" s="87" t="s">
        <v>1157</v>
      </c>
      <c r="F55" s="87" t="s">
        <v>1158</v>
      </c>
      <c r="G55" s="87" t="s">
        <v>2314</v>
      </c>
      <c r="H55" s="87" t="s">
        <v>2315</v>
      </c>
      <c r="I55" s="87" t="s">
        <v>1159</v>
      </c>
      <c r="J55" s="87" t="s">
        <v>1160</v>
      </c>
      <c r="K55" s="87" t="s">
        <v>2316</v>
      </c>
      <c r="L55" s="87" t="s">
        <v>2317</v>
      </c>
      <c r="M55" s="88" t="s">
        <v>2318</v>
      </c>
    </row>
    <row r="56" spans="1:13" ht="25.5">
      <c r="A56" s="81"/>
      <c r="B56" s="89" t="s">
        <v>1161</v>
      </c>
      <c r="C56" s="89" t="s">
        <v>1162</v>
      </c>
      <c r="D56" s="89" t="s">
        <v>147</v>
      </c>
      <c r="E56" s="81"/>
      <c r="F56" s="81"/>
      <c r="G56" s="81"/>
      <c r="H56" s="81"/>
      <c r="I56" s="81"/>
      <c r="J56" s="81"/>
      <c r="K56" s="81"/>
      <c r="L56" s="81"/>
      <c r="M56" s="81"/>
    </row>
    <row r="57" spans="1:13">
      <c r="A57" s="28" t="s">
        <v>1163</v>
      </c>
      <c r="B57" s="23"/>
      <c r="C57" s="23"/>
      <c r="D57" s="23"/>
      <c r="E57" s="23"/>
      <c r="F57" s="23"/>
      <c r="G57" s="23"/>
      <c r="H57" s="23"/>
      <c r="I57" s="23"/>
      <c r="J57" s="23"/>
      <c r="K57" s="23"/>
      <c r="L57" s="23"/>
      <c r="M57" s="23"/>
    </row>
    <row r="58" spans="1:13">
      <c r="A58" s="28" t="s">
        <v>1164</v>
      </c>
      <c r="B58" s="23"/>
      <c r="C58" s="23"/>
      <c r="D58" s="23"/>
      <c r="E58" s="23"/>
      <c r="F58" s="23"/>
      <c r="G58" s="23"/>
      <c r="H58" s="23"/>
      <c r="I58" s="23"/>
      <c r="J58" s="23"/>
      <c r="K58" s="23"/>
      <c r="L58" s="23"/>
      <c r="M58" s="23"/>
    </row>
    <row r="59" spans="1:13">
      <c r="A59" s="23" t="s">
        <v>1165</v>
      </c>
      <c r="B59" s="23"/>
      <c r="C59" s="23"/>
      <c r="D59" s="23"/>
      <c r="E59" s="23"/>
      <c r="F59" s="23"/>
      <c r="G59" s="23"/>
      <c r="H59" s="23"/>
      <c r="I59" s="23"/>
      <c r="J59" s="23"/>
      <c r="K59" s="23"/>
      <c r="L59" s="23"/>
      <c r="M59" s="23"/>
    </row>
    <row r="60" spans="1:13">
      <c r="A60" s="23" t="s">
        <v>1166</v>
      </c>
      <c r="B60" s="23"/>
      <c r="C60" s="23"/>
      <c r="D60" s="23"/>
      <c r="E60" s="23"/>
      <c r="F60" s="23"/>
      <c r="G60" s="23"/>
      <c r="H60" s="23"/>
      <c r="I60" s="23"/>
      <c r="J60" s="23"/>
      <c r="K60" s="23"/>
      <c r="L60" s="23"/>
      <c r="M60" s="23"/>
    </row>
    <row r="61" spans="1:13">
      <c r="A61" s="23" t="s">
        <v>1167</v>
      </c>
      <c r="B61" s="23"/>
      <c r="C61" s="23"/>
      <c r="D61" s="23"/>
      <c r="E61" s="23"/>
      <c r="F61" s="23"/>
      <c r="G61" s="23"/>
      <c r="H61" s="23"/>
      <c r="I61" s="23"/>
      <c r="J61" s="23"/>
      <c r="K61" s="23"/>
      <c r="L61" s="23"/>
      <c r="M61" s="23"/>
    </row>
    <row r="62" spans="1:13">
      <c r="A62" s="23" t="s">
        <v>1168</v>
      </c>
      <c r="B62" s="23"/>
      <c r="C62" s="23"/>
      <c r="D62" s="23"/>
      <c r="E62" s="23"/>
      <c r="F62" s="23"/>
      <c r="G62" s="23"/>
      <c r="H62" s="23"/>
      <c r="I62" s="23"/>
      <c r="J62" s="23"/>
      <c r="K62" s="23"/>
      <c r="L62" s="23"/>
      <c r="M62" s="23"/>
    </row>
    <row r="63" spans="1:13">
      <c r="A63" s="23" t="s">
        <v>1169</v>
      </c>
      <c r="B63" s="23"/>
      <c r="C63" s="23"/>
      <c r="D63" s="23"/>
      <c r="E63" s="23"/>
      <c r="F63" s="23"/>
      <c r="G63" s="23"/>
      <c r="H63" s="23"/>
      <c r="I63" s="23"/>
      <c r="J63" s="23"/>
      <c r="K63" s="23"/>
      <c r="L63" s="23"/>
      <c r="M63" s="23"/>
    </row>
    <row r="64" spans="1:13">
      <c r="A64" s="23" t="s">
        <v>1170</v>
      </c>
      <c r="B64" s="23"/>
      <c r="C64" s="23"/>
      <c r="D64" s="23"/>
      <c r="E64" s="23"/>
      <c r="F64" s="23"/>
      <c r="G64" s="23"/>
      <c r="H64" s="23"/>
      <c r="I64" s="23"/>
      <c r="J64" s="23"/>
      <c r="K64" s="23"/>
      <c r="L64" s="23"/>
      <c r="M64" s="23"/>
    </row>
    <row r="65" spans="1:13">
      <c r="A65" s="23" t="s">
        <v>1171</v>
      </c>
      <c r="B65" s="23"/>
      <c r="C65" s="23"/>
      <c r="D65" s="23"/>
      <c r="E65" s="23"/>
      <c r="F65" s="23"/>
      <c r="G65" s="23"/>
      <c r="H65" s="23"/>
      <c r="I65" s="23"/>
      <c r="J65" s="23"/>
      <c r="K65" s="23"/>
      <c r="L65" s="23"/>
      <c r="M65" s="23"/>
    </row>
    <row r="66" spans="1:13" ht="25.5">
      <c r="A66" s="68" t="s">
        <v>1172</v>
      </c>
      <c r="B66" s="23"/>
      <c r="C66" s="23"/>
      <c r="D66" s="23"/>
      <c r="E66" s="23"/>
      <c r="F66" s="23"/>
      <c r="G66" s="23"/>
      <c r="H66" s="23"/>
      <c r="I66" s="23"/>
      <c r="J66" s="23"/>
      <c r="K66" s="23"/>
      <c r="L66" s="23"/>
      <c r="M66" s="23"/>
    </row>
    <row r="67" spans="1:13">
      <c r="A67" s="23" t="s">
        <v>1173</v>
      </c>
      <c r="B67" s="23"/>
      <c r="C67" s="23"/>
      <c r="D67" s="23"/>
      <c r="E67" s="23"/>
      <c r="F67" s="23"/>
      <c r="G67" s="23"/>
      <c r="H67" s="23"/>
      <c r="I67" s="23"/>
      <c r="J67" s="23"/>
      <c r="K67" s="23"/>
      <c r="L67" s="23"/>
      <c r="M67" s="23"/>
    </row>
    <row r="68" spans="1:13">
      <c r="A68" s="23" t="s">
        <v>1174</v>
      </c>
      <c r="B68" s="23"/>
      <c r="C68" s="23"/>
      <c r="D68" s="23"/>
      <c r="E68" s="23"/>
      <c r="F68" s="23"/>
      <c r="G68" s="23"/>
      <c r="H68" s="23"/>
      <c r="I68" s="23"/>
      <c r="J68" s="23"/>
      <c r="K68" s="23"/>
      <c r="L68" s="23"/>
      <c r="M68" s="23"/>
    </row>
    <row r="69" spans="1:13">
      <c r="A69" s="502" t="s">
        <v>2467</v>
      </c>
      <c r="B69" s="23"/>
      <c r="C69" s="23"/>
      <c r="D69" s="23"/>
      <c r="E69" s="23"/>
      <c r="F69" s="23"/>
      <c r="G69" s="23"/>
      <c r="H69" s="23"/>
      <c r="I69" s="23"/>
      <c r="J69" s="23"/>
      <c r="K69" s="23"/>
      <c r="L69" s="23"/>
      <c r="M69" s="23"/>
    </row>
    <row r="70" spans="1:13">
      <c r="A70" s="28" t="s">
        <v>1177</v>
      </c>
      <c r="B70" s="23"/>
      <c r="C70" s="23"/>
      <c r="D70" s="23"/>
      <c r="E70" s="23"/>
      <c r="F70" s="23"/>
      <c r="G70" s="23"/>
      <c r="H70" s="23"/>
      <c r="I70" s="23"/>
      <c r="J70" s="23"/>
      <c r="K70" s="23"/>
      <c r="L70" s="23"/>
      <c r="M70" s="23"/>
    </row>
    <row r="71" spans="1:13">
      <c r="A71" s="23" t="s">
        <v>1178</v>
      </c>
      <c r="B71" s="23"/>
      <c r="C71" s="23"/>
      <c r="D71" s="23"/>
      <c r="E71" s="23"/>
      <c r="F71" s="23"/>
      <c r="G71" s="23"/>
      <c r="H71" s="23"/>
      <c r="I71" s="23"/>
      <c r="J71" s="23"/>
      <c r="K71" s="23"/>
      <c r="L71" s="23"/>
      <c r="M71" s="23"/>
    </row>
    <row r="72" spans="1:13">
      <c r="A72" s="23" t="s">
        <v>1165</v>
      </c>
      <c r="B72" s="36">
        <f>DEPCAL!G33</f>
        <v>0</v>
      </c>
      <c r="C72" s="23"/>
      <c r="D72" s="37">
        <f>C72+B72</f>
        <v>0</v>
      </c>
      <c r="E72" s="36">
        <f>DEPCAL!H20</f>
        <v>0</v>
      </c>
      <c r="F72" s="36">
        <v>0</v>
      </c>
      <c r="G72" s="37">
        <f>D72+E72-F72</f>
        <v>0</v>
      </c>
      <c r="H72" s="36">
        <f>K22</f>
        <v>0</v>
      </c>
      <c r="I72" s="36">
        <f>DEPCAL!H56</f>
        <v>0</v>
      </c>
      <c r="J72" s="36">
        <v>0</v>
      </c>
      <c r="K72" s="37">
        <f>H72+I72-J72</f>
        <v>0</v>
      </c>
      <c r="L72" s="37">
        <f>G72-K72</f>
        <v>0</v>
      </c>
      <c r="M72" s="37">
        <f>D72-H72</f>
        <v>0</v>
      </c>
    </row>
    <row r="73" spans="1:13">
      <c r="A73" s="23" t="s">
        <v>1166</v>
      </c>
      <c r="B73" s="36"/>
      <c r="C73" s="23"/>
      <c r="D73" s="37"/>
      <c r="E73" s="36"/>
      <c r="F73" s="36"/>
      <c r="G73" s="37"/>
      <c r="H73" s="36"/>
      <c r="I73" s="36"/>
      <c r="J73" s="36"/>
      <c r="K73" s="37"/>
      <c r="L73" s="37"/>
      <c r="M73" s="37"/>
    </row>
    <row r="74" spans="1:13">
      <c r="A74" s="23" t="s">
        <v>1167</v>
      </c>
      <c r="B74" s="36">
        <f>DEPCAL!G34</f>
        <v>4592.3779372999998</v>
      </c>
      <c r="C74" s="23"/>
      <c r="D74" s="37">
        <f>C74+B74</f>
        <v>4592.3779372999998</v>
      </c>
      <c r="E74" s="36">
        <f>DEPCAL!H21</f>
        <v>0</v>
      </c>
      <c r="F74" s="36">
        <v>0</v>
      </c>
      <c r="G74" s="37">
        <f>D74+E74-F74</f>
        <v>4592.3779372999998</v>
      </c>
      <c r="H74" s="36">
        <f>K24</f>
        <v>709.25559354068002</v>
      </c>
      <c r="I74" s="36">
        <f>DEPCAL!H57</f>
        <v>128.66199154067999</v>
      </c>
      <c r="J74" s="36">
        <v>0</v>
      </c>
      <c r="K74" s="37">
        <f>H74+I74-J74</f>
        <v>837.91758508136002</v>
      </c>
      <c r="L74" s="37">
        <f>G74-K74</f>
        <v>3754.4603522186399</v>
      </c>
      <c r="M74" s="37">
        <f>D74-H74</f>
        <v>3883.1223437593198</v>
      </c>
    </row>
    <row r="75" spans="1:13">
      <c r="A75" s="23" t="s">
        <v>1168</v>
      </c>
      <c r="B75" s="36"/>
      <c r="C75" s="23"/>
      <c r="D75" s="37"/>
      <c r="E75" s="36"/>
      <c r="F75" s="36"/>
      <c r="G75" s="37"/>
      <c r="H75" s="36"/>
      <c r="I75" s="36"/>
      <c r="J75" s="36"/>
      <c r="K75" s="37"/>
      <c r="L75" s="37"/>
      <c r="M75" s="37"/>
    </row>
    <row r="76" spans="1:13">
      <c r="A76" s="23" t="s">
        <v>1169</v>
      </c>
      <c r="B76" s="36">
        <f ca="1">DEPCAL!G35</f>
        <v>136993.28405478553</v>
      </c>
      <c r="C76" s="23"/>
      <c r="D76" s="37">
        <f ca="1">C76+B76</f>
        <v>136993.28405478553</v>
      </c>
      <c r="E76" s="36">
        <f ca="1">DEPCAL!H22</f>
        <v>80461.651744495466</v>
      </c>
      <c r="F76" s="36">
        <v>0</v>
      </c>
      <c r="G76" s="37">
        <f ca="1">D76+E76-F76</f>
        <v>217454.935799281</v>
      </c>
      <c r="H76" s="36">
        <f>K26</f>
        <v>26098.766173717122</v>
      </c>
      <c r="I76" s="36">
        <f ca="1">DEPCAL!H58</f>
        <v>7734.2375262522837</v>
      </c>
      <c r="J76" s="36">
        <v>0</v>
      </c>
      <c r="K76" s="37">
        <f ca="1">H76+I76-J76</f>
        <v>33833.003699969406</v>
      </c>
      <c r="L76" s="37">
        <f ca="1">G76-K76</f>
        <v>183621.93209931158</v>
      </c>
      <c r="M76" s="37">
        <f ca="1">D76-H76</f>
        <v>110894.5178810684</v>
      </c>
    </row>
    <row r="77" spans="1:13">
      <c r="A77" s="23" t="s">
        <v>1170</v>
      </c>
      <c r="B77" s="36">
        <f>DEPCAL!G36</f>
        <v>151146.81072742498</v>
      </c>
      <c r="C77" s="23"/>
      <c r="D77" s="37">
        <f>C77+B77</f>
        <v>151146.81072742498</v>
      </c>
      <c r="E77" s="36">
        <f>DEPCAL!H23</f>
        <v>0</v>
      </c>
      <c r="F77" s="36"/>
      <c r="G77" s="37">
        <f>D77+E77-F77</f>
        <v>151146.81072742498</v>
      </c>
      <c r="H77" s="36">
        <f>K27</f>
        <v>53480.663129182481</v>
      </c>
      <c r="I77" s="36">
        <f>DEPCAL!H59</f>
        <v>5915.2328417908566</v>
      </c>
      <c r="J77" s="36">
        <v>0</v>
      </c>
      <c r="K77" s="37">
        <f>H77+I77-J77</f>
        <v>59395.895970973339</v>
      </c>
      <c r="L77" s="37">
        <f>G77-K77</f>
        <v>91750.914756451646</v>
      </c>
      <c r="M77" s="37">
        <f>D77-H77</f>
        <v>97666.147598242504</v>
      </c>
    </row>
    <row r="78" spans="1:13">
      <c r="A78" s="68" t="s">
        <v>1171</v>
      </c>
      <c r="B78" s="36"/>
      <c r="C78" s="23"/>
      <c r="D78" s="37"/>
      <c r="E78" s="36"/>
      <c r="F78" s="36"/>
      <c r="G78" s="37"/>
      <c r="H78" s="36"/>
      <c r="I78" s="36"/>
      <c r="J78" s="36"/>
      <c r="K78" s="37"/>
      <c r="L78" s="37"/>
      <c r="M78" s="37"/>
    </row>
    <row r="79" spans="1:13" ht="25.5">
      <c r="A79" s="68" t="s">
        <v>1172</v>
      </c>
      <c r="B79" s="36"/>
      <c r="C79" s="23"/>
      <c r="D79" s="37"/>
      <c r="E79" s="36"/>
      <c r="F79" s="36"/>
      <c r="G79" s="37"/>
      <c r="H79" s="36"/>
      <c r="I79" s="36"/>
      <c r="J79" s="36"/>
      <c r="K79" s="37"/>
      <c r="L79" s="37"/>
      <c r="M79" s="37"/>
    </row>
    <row r="80" spans="1:13">
      <c r="A80" s="23" t="s">
        <v>1173</v>
      </c>
      <c r="B80" s="36">
        <f>DEPCAL!G38*0</f>
        <v>0</v>
      </c>
      <c r="C80" s="36">
        <f>DEPCAL!G38</f>
        <v>207.13667240000001</v>
      </c>
      <c r="D80" s="37">
        <f>C80+B80</f>
        <v>207.13667240000001</v>
      </c>
      <c r="E80" s="36">
        <f>DEPCAL!H25</f>
        <v>45</v>
      </c>
      <c r="F80" s="36">
        <v>0</v>
      </c>
      <c r="G80" s="37">
        <f>D80+E80-F80</f>
        <v>252.13667240000001</v>
      </c>
      <c r="H80" s="36">
        <f>K30</f>
        <v>74.521872352399996</v>
      </c>
      <c r="I80" s="36">
        <f>DEPCAL!H61</f>
        <v>23.4305423524</v>
      </c>
      <c r="J80" s="36">
        <v>0</v>
      </c>
      <c r="K80" s="37">
        <f>H80+I80-J80</f>
        <v>97.952414704799992</v>
      </c>
      <c r="L80" s="37">
        <f>G80-K80</f>
        <v>154.18425769520002</v>
      </c>
      <c r="M80" s="37">
        <f>D80-H80</f>
        <v>132.6148000476</v>
      </c>
    </row>
    <row r="81" spans="1:13">
      <c r="A81" s="23" t="s">
        <v>1180</v>
      </c>
      <c r="B81" s="36">
        <f>DEPCAL!G37</f>
        <v>371.84260949999998</v>
      </c>
      <c r="C81" s="23"/>
      <c r="D81" s="37">
        <f>C81+B81</f>
        <v>371.84260949999998</v>
      </c>
      <c r="E81" s="36">
        <f>DEPCAL!H24</f>
        <v>90</v>
      </c>
      <c r="F81" s="36">
        <v>0</v>
      </c>
      <c r="G81" s="37">
        <f>D81+E81-F81</f>
        <v>461.84260949999998</v>
      </c>
      <c r="H81" s="36">
        <f>K31</f>
        <v>212.19821896431</v>
      </c>
      <c r="I81" s="36">
        <f>DEPCAL!H60</f>
        <v>22.794838964309996</v>
      </c>
      <c r="J81" s="36">
        <v>0</v>
      </c>
      <c r="K81" s="37">
        <f>H81+I81-J81</f>
        <v>234.99305792862</v>
      </c>
      <c r="L81" s="37">
        <f>G81-K81</f>
        <v>226.84955157137998</v>
      </c>
      <c r="M81" s="37">
        <f>D81-H81</f>
        <v>159.64439053568998</v>
      </c>
    </row>
    <row r="82" spans="1:13">
      <c r="A82" s="502" t="s">
        <v>2467</v>
      </c>
      <c r="B82" s="36">
        <f>DEPCAL!G39+DEPCAL!G40+DEPCAL!G41</f>
        <v>7632.4577018999998</v>
      </c>
      <c r="C82" s="23"/>
      <c r="D82" s="37">
        <f>C82+B82</f>
        <v>7632.4577018999998</v>
      </c>
      <c r="E82" s="36">
        <f>DEPCAL!H26+DEPCAL!H27+DEPCAL!H28</f>
        <v>1133</v>
      </c>
      <c r="F82" s="36">
        <v>0</v>
      </c>
      <c r="G82" s="37">
        <f>D82+E82-F82</f>
        <v>8765.4577018999989</v>
      </c>
      <c r="H82" s="36">
        <f>K32</f>
        <v>1462.1354577985949</v>
      </c>
      <c r="I82" s="36">
        <f>DEPCAL!H62+DEPCAL!H63+DEPCAL!H64</f>
        <v>1814.7469291305752</v>
      </c>
      <c r="J82" s="36">
        <v>0</v>
      </c>
      <c r="K82" s="37">
        <f>H82+I82-J82</f>
        <v>3276.88238692917</v>
      </c>
      <c r="L82" s="37">
        <f>G82-K82</f>
        <v>5488.5753149708289</v>
      </c>
      <c r="M82" s="37">
        <f>D82-H82</f>
        <v>6170.322244101405</v>
      </c>
    </row>
    <row r="83" spans="1:13">
      <c r="A83" s="75" t="s">
        <v>147</v>
      </c>
      <c r="B83" s="37">
        <f t="shared" ref="B83:M83" ca="1" si="4">SUM(B71:B82)</f>
        <v>300736.77303091047</v>
      </c>
      <c r="C83" s="37">
        <f t="shared" si="4"/>
        <v>207.13667240000001</v>
      </c>
      <c r="D83" s="37">
        <f t="shared" ca="1" si="4"/>
        <v>300943.90970331046</v>
      </c>
      <c r="E83" s="37">
        <f ca="1">SUM(E71:E82)</f>
        <v>81729.651744495466</v>
      </c>
      <c r="F83" s="37">
        <f t="shared" si="4"/>
        <v>0</v>
      </c>
      <c r="G83" s="37">
        <f ca="1">SUM(G71:G82)</f>
        <v>382673.56144780596</v>
      </c>
      <c r="H83" s="37">
        <f t="shared" si="4"/>
        <v>82037.540445555598</v>
      </c>
      <c r="I83" s="37">
        <f t="shared" ca="1" si="4"/>
        <v>15639.104670031105</v>
      </c>
      <c r="J83" s="37">
        <f t="shared" si="4"/>
        <v>0</v>
      </c>
      <c r="K83" s="37">
        <f t="shared" ca="1" si="4"/>
        <v>97676.645115586696</v>
      </c>
      <c r="L83" s="37">
        <f t="shared" ca="1" si="4"/>
        <v>284996.91633221926</v>
      </c>
      <c r="M83" s="37">
        <f t="shared" ca="1" si="4"/>
        <v>218906.36925775491</v>
      </c>
    </row>
    <row r="84" spans="1:13">
      <c r="A84" s="28" t="s">
        <v>1181</v>
      </c>
      <c r="B84" s="23"/>
      <c r="C84" s="23"/>
      <c r="D84" s="23"/>
      <c r="E84" s="23"/>
      <c r="F84" s="23"/>
      <c r="G84" s="23"/>
      <c r="H84" s="23"/>
      <c r="I84" s="23"/>
      <c r="J84" s="23"/>
      <c r="K84" s="36"/>
      <c r="L84" s="36"/>
      <c r="M84" s="36"/>
    </row>
    <row r="85" spans="1:13">
      <c r="A85" s="23"/>
      <c r="B85" s="23"/>
      <c r="C85" s="23"/>
      <c r="D85" s="23"/>
      <c r="E85" s="23"/>
      <c r="F85" s="23"/>
      <c r="G85" s="23"/>
      <c r="H85" s="23"/>
      <c r="I85" s="23"/>
      <c r="J85" s="23"/>
      <c r="K85" s="23"/>
      <c r="L85" s="36"/>
      <c r="M85" s="36"/>
    </row>
    <row r="86" spans="1:13">
      <c r="A86" s="23" t="s">
        <v>1164</v>
      </c>
      <c r="B86" s="23"/>
      <c r="C86" s="23"/>
      <c r="D86" s="23"/>
      <c r="E86" s="23"/>
      <c r="F86" s="23"/>
      <c r="G86" s="23"/>
      <c r="H86" s="23"/>
      <c r="I86" s="23"/>
      <c r="J86" s="23"/>
      <c r="K86" s="23"/>
      <c r="L86" s="23"/>
      <c r="M86" s="23"/>
    </row>
    <row r="87" spans="1:13">
      <c r="A87" s="23" t="s">
        <v>1165</v>
      </c>
      <c r="B87" s="23"/>
      <c r="C87" s="23"/>
      <c r="D87" s="23"/>
      <c r="E87" s="23"/>
      <c r="F87" s="23"/>
      <c r="G87" s="23"/>
      <c r="H87" s="23"/>
      <c r="I87" s="23"/>
      <c r="J87" s="23"/>
      <c r="K87" s="23"/>
      <c r="L87" s="23"/>
      <c r="M87" s="23"/>
    </row>
    <row r="88" spans="1:13">
      <c r="A88" s="23" t="s">
        <v>1166</v>
      </c>
      <c r="B88" s="23"/>
      <c r="C88" s="23"/>
      <c r="D88" s="23"/>
      <c r="E88" s="23"/>
      <c r="F88" s="23"/>
      <c r="G88" s="23"/>
      <c r="H88" s="23"/>
      <c r="I88" s="23"/>
      <c r="J88" s="23"/>
      <c r="K88" s="23"/>
      <c r="L88" s="23"/>
      <c r="M88" s="23"/>
    </row>
    <row r="89" spans="1:13">
      <c r="A89" s="23" t="s">
        <v>1167</v>
      </c>
      <c r="B89" s="23"/>
      <c r="C89" s="23"/>
      <c r="D89" s="23"/>
      <c r="E89" s="23"/>
      <c r="F89" s="23"/>
      <c r="G89" s="23"/>
      <c r="H89" s="23"/>
      <c r="I89" s="23"/>
      <c r="J89" s="23"/>
      <c r="K89" s="23"/>
      <c r="L89" s="23"/>
      <c r="M89" s="23"/>
    </row>
    <row r="90" spans="1:13">
      <c r="A90" s="23" t="s">
        <v>1168</v>
      </c>
      <c r="B90" s="23"/>
      <c r="C90" s="23"/>
      <c r="D90" s="23"/>
      <c r="E90" s="23"/>
      <c r="F90" s="23"/>
      <c r="G90" s="23"/>
      <c r="H90" s="23"/>
      <c r="I90" s="23"/>
      <c r="J90" s="23"/>
      <c r="K90" s="23"/>
      <c r="L90" s="23"/>
      <c r="M90" s="23"/>
    </row>
    <row r="91" spans="1:13">
      <c r="A91" s="23" t="s">
        <v>1182</v>
      </c>
      <c r="B91" s="23"/>
      <c r="C91" s="23"/>
      <c r="D91" s="23"/>
      <c r="E91" s="23"/>
      <c r="F91" s="23"/>
      <c r="G91" s="23"/>
      <c r="H91" s="23"/>
      <c r="I91" s="23"/>
      <c r="J91" s="23"/>
      <c r="K91" s="23"/>
      <c r="L91" s="23"/>
      <c r="M91" s="23"/>
    </row>
    <row r="92" spans="1:13">
      <c r="A92" s="23" t="s">
        <v>1174</v>
      </c>
      <c r="B92" s="23"/>
      <c r="C92" s="23"/>
      <c r="D92" s="23"/>
      <c r="E92" s="23"/>
      <c r="F92" s="23"/>
      <c r="G92" s="23"/>
      <c r="H92" s="23"/>
      <c r="I92" s="23"/>
      <c r="J92" s="23"/>
      <c r="K92" s="23"/>
      <c r="L92" s="23"/>
      <c r="M92" s="23"/>
    </row>
    <row r="93" spans="1:13">
      <c r="A93" s="23" t="s">
        <v>1175</v>
      </c>
      <c r="B93" s="23"/>
      <c r="C93" s="23"/>
      <c r="D93" s="23"/>
      <c r="E93" s="23"/>
      <c r="F93" s="23"/>
      <c r="G93" s="23"/>
      <c r="H93" s="23"/>
      <c r="I93" s="23"/>
      <c r="J93" s="23"/>
      <c r="K93" s="23"/>
      <c r="L93" s="23"/>
      <c r="M93" s="23"/>
    </row>
    <row r="94" spans="1:13">
      <c r="A94" s="23" t="s">
        <v>1173</v>
      </c>
      <c r="B94" s="23"/>
      <c r="C94" s="23"/>
      <c r="D94" s="23"/>
      <c r="E94" s="23"/>
      <c r="F94" s="23"/>
      <c r="G94" s="23"/>
      <c r="H94" s="23"/>
      <c r="I94" s="23"/>
      <c r="J94" s="23"/>
      <c r="K94" s="23"/>
      <c r="L94" s="23"/>
      <c r="M94" s="23"/>
    </row>
    <row r="95" spans="1:13" ht="25.5">
      <c r="A95" s="68" t="s">
        <v>1183</v>
      </c>
      <c r="B95" s="23"/>
      <c r="C95" s="23"/>
      <c r="D95" s="23"/>
      <c r="E95" s="23"/>
      <c r="F95" s="23"/>
      <c r="G95" s="23"/>
      <c r="H95" s="23"/>
      <c r="I95" s="23"/>
      <c r="J95" s="23"/>
      <c r="K95" s="23"/>
      <c r="L95" s="23"/>
      <c r="M95" s="23"/>
    </row>
    <row r="96" spans="1:13">
      <c r="A96" s="23" t="s">
        <v>1184</v>
      </c>
      <c r="B96" s="23"/>
      <c r="C96" s="23"/>
      <c r="D96" s="23"/>
      <c r="E96" s="23"/>
      <c r="F96" s="23"/>
      <c r="G96" s="23"/>
      <c r="H96" s="23"/>
      <c r="I96" s="23"/>
      <c r="J96" s="23"/>
      <c r="K96" s="23"/>
      <c r="L96" s="23"/>
      <c r="M96" s="23"/>
    </row>
    <row r="97" spans="1:13">
      <c r="A97" s="23" t="s">
        <v>1185</v>
      </c>
      <c r="B97" s="23"/>
      <c r="C97" s="23"/>
      <c r="D97" s="23"/>
      <c r="E97" s="23"/>
      <c r="F97" s="23"/>
      <c r="G97" s="23"/>
      <c r="H97" s="23"/>
      <c r="I97" s="23"/>
      <c r="J97" s="23"/>
      <c r="K97" s="23"/>
      <c r="L97" s="23"/>
      <c r="M97" s="23"/>
    </row>
    <row r="98" spans="1:13">
      <c r="A98" s="2" t="s">
        <v>1186</v>
      </c>
    </row>
    <row r="99" spans="1:13">
      <c r="B99" t="s">
        <v>1187</v>
      </c>
    </row>
  </sheetData>
  <mergeCells count="2">
    <mergeCell ref="B5:D5"/>
    <mergeCell ref="B55:D55"/>
  </mergeCells>
  <phoneticPr fontId="0" type="noConversion"/>
  <printOptions horizontalCentered="1" gridLines="1"/>
  <pageMargins left="0.51181102362204722" right="0.51181102362204722" top="0.51181102362204722" bottom="0.51181102362204722" header="0.51181102362204722" footer="0.51181102362204722"/>
  <pageSetup paperSize="9" scale="70" orientation="landscape" r:id="rId1"/>
  <headerFooter alignWithMargins="0">
    <oddFooter>&amp;R&amp;"Arial,Bold"&amp;12OERC FORM-&amp;A</oddFooter>
  </headerFooter>
  <rowBreaks count="1" manualBreakCount="1">
    <brk id="49" max="12"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63"/>
  <dimension ref="A1:E23"/>
  <sheetViews>
    <sheetView view="pageBreakPreview" workbookViewId="0">
      <selection activeCell="K11" sqref="K11"/>
    </sheetView>
  </sheetViews>
  <sheetFormatPr defaultRowHeight="12.75"/>
  <cols>
    <col min="2" max="2" width="20.5703125" customWidth="1"/>
    <col min="3" max="3" width="18.42578125" customWidth="1"/>
    <col min="4" max="4" width="16" customWidth="1"/>
    <col min="5" max="5" width="19.5703125" customWidth="1"/>
  </cols>
  <sheetData>
    <row r="1" spans="1:5">
      <c r="A1" s="20" t="s">
        <v>106</v>
      </c>
      <c r="D1" s="3" t="s">
        <v>0</v>
      </c>
      <c r="E1" s="2" t="s">
        <v>1190</v>
      </c>
    </row>
    <row r="2" spans="1:5" ht="20.25" customHeight="1">
      <c r="B2" s="67" t="s">
        <v>1191</v>
      </c>
      <c r="C2" s="67"/>
      <c r="D2" s="67"/>
      <c r="E2" s="67"/>
    </row>
    <row r="3" spans="1:5">
      <c r="E3" s="2" t="s">
        <v>526</v>
      </c>
    </row>
    <row r="4" spans="1:5">
      <c r="A4" s="35" t="s">
        <v>1192</v>
      </c>
      <c r="B4" s="34" t="s">
        <v>791</v>
      </c>
      <c r="C4" s="35" t="s">
        <v>1193</v>
      </c>
      <c r="D4" s="35" t="s">
        <v>1194</v>
      </c>
      <c r="E4" s="35" t="s">
        <v>1195</v>
      </c>
    </row>
    <row r="5" spans="1:5" ht="18" customHeight="1">
      <c r="A5" s="29">
        <v>1</v>
      </c>
      <c r="B5" s="73" t="s">
        <v>1196</v>
      </c>
      <c r="C5" s="80">
        <f>'F-21'!C12</f>
        <v>0</v>
      </c>
      <c r="D5" s="80">
        <f>'F-21'!D12</f>
        <v>0</v>
      </c>
      <c r="E5" s="80">
        <f>'F-21'!E12</f>
        <v>0</v>
      </c>
    </row>
    <row r="6" spans="1:5" ht="18" customHeight="1">
      <c r="A6" s="23"/>
      <c r="C6" s="23"/>
      <c r="D6" s="80"/>
      <c r="E6" s="80"/>
    </row>
    <row r="7" spans="1:5" ht="18" customHeight="1">
      <c r="A7" s="29">
        <v>2</v>
      </c>
      <c r="B7" s="73" t="s">
        <v>1197</v>
      </c>
      <c r="C7" s="23"/>
      <c r="D7" s="80"/>
      <c r="E7" s="80"/>
    </row>
    <row r="8" spans="1:5" ht="18" customHeight="1">
      <c r="A8" s="24" t="s">
        <v>1198</v>
      </c>
      <c r="B8" s="73" t="s">
        <v>1199</v>
      </c>
      <c r="C8" s="23"/>
      <c r="D8" s="80">
        <v>0</v>
      </c>
      <c r="E8" s="80">
        <v>0</v>
      </c>
    </row>
    <row r="9" spans="1:5" ht="18" customHeight="1">
      <c r="A9" s="24" t="s">
        <v>1200</v>
      </c>
      <c r="B9" s="73" t="s">
        <v>1201</v>
      </c>
      <c r="C9" s="23"/>
      <c r="D9" s="80">
        <v>0</v>
      </c>
      <c r="E9" s="80">
        <v>0</v>
      </c>
    </row>
    <row r="10" spans="1:5" ht="18" customHeight="1">
      <c r="A10" s="24" t="s">
        <v>1202</v>
      </c>
      <c r="B10" s="73" t="s">
        <v>1203</v>
      </c>
      <c r="C10" s="23"/>
      <c r="D10" s="80">
        <v>0</v>
      </c>
      <c r="E10" s="80">
        <v>0</v>
      </c>
    </row>
    <row r="11" spans="1:5" ht="18" customHeight="1">
      <c r="A11" s="29">
        <v>3</v>
      </c>
      <c r="B11" s="227" t="s">
        <v>1204</v>
      </c>
      <c r="C11" s="80">
        <f>'F-21'!C13</f>
        <v>0</v>
      </c>
      <c r="D11" s="80">
        <f>'F-21'!D13-D12</f>
        <v>0</v>
      </c>
      <c r="E11" s="80">
        <f>'F-21'!E13-E12</f>
        <v>0</v>
      </c>
    </row>
    <row r="12" spans="1:5" ht="18" customHeight="1">
      <c r="A12" s="29">
        <v>4</v>
      </c>
      <c r="B12" s="73" t="s">
        <v>1205</v>
      </c>
      <c r="C12" s="29"/>
      <c r="D12" s="80">
        <f>'F-23 CASHFLOW'!B15+C12</f>
        <v>0</v>
      </c>
      <c r="E12" s="80">
        <f>'F-23 CASHFLOW'!C15+D12</f>
        <v>0</v>
      </c>
    </row>
    <row r="13" spans="1:5" ht="18" customHeight="1">
      <c r="A13" s="23"/>
      <c r="B13" s="73" t="s">
        <v>30</v>
      </c>
      <c r="C13" s="23"/>
      <c r="D13" s="80"/>
      <c r="E13" s="80"/>
    </row>
    <row r="14" spans="1:5" ht="18" customHeight="1">
      <c r="A14" s="23"/>
      <c r="B14" s="74" t="s">
        <v>147</v>
      </c>
      <c r="C14" s="191">
        <f>SUM(C5:C13)</f>
        <v>0</v>
      </c>
      <c r="D14" s="191">
        <f>SUM(D5:D13)</f>
        <v>0</v>
      </c>
      <c r="E14" s="191">
        <f>SUM(E5:E13)</f>
        <v>0</v>
      </c>
    </row>
    <row r="15" spans="1:5">
      <c r="C15" s="7"/>
      <c r="D15" s="7"/>
      <c r="E15" s="7"/>
    </row>
    <row r="16" spans="1:5">
      <c r="C16" s="7"/>
      <c r="D16" s="7"/>
      <c r="E16" s="7"/>
    </row>
    <row r="17" spans="3:5">
      <c r="C17" s="324">
        <f>'F-21'!C13+'F-21'!C12</f>
        <v>0</v>
      </c>
      <c r="D17" s="324">
        <f>'F-21'!D13+'F-21'!D12</f>
        <v>0</v>
      </c>
      <c r="E17" s="324">
        <f>'F-21'!E13+'F-21'!E12</f>
        <v>0</v>
      </c>
    </row>
    <row r="18" spans="3:5">
      <c r="C18" s="324">
        <f>C17-C14</f>
        <v>0</v>
      </c>
      <c r="D18" s="324">
        <f>D17-D14</f>
        <v>0</v>
      </c>
      <c r="E18" s="324">
        <f>E17-E14</f>
        <v>0</v>
      </c>
    </row>
    <row r="23" spans="3:5">
      <c r="C23" s="7"/>
    </row>
  </sheetData>
  <phoneticPr fontId="0" type="noConversion"/>
  <printOptions horizontalCentered="1"/>
  <pageMargins left="0.74803149606299213" right="0.74803149606299213" top="2.2440944881889764" bottom="0.98425196850393704" header="0.51181102362204722" footer="1.299212598425197"/>
  <pageSetup paperSize="9" orientation="portrait" r:id="rId1"/>
  <headerFooter alignWithMargins="0">
    <oddFooter>&amp;R&amp;"Arial,Bold"&amp;12OERC FORM-&amp;A</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64"/>
  <dimension ref="A1:H60"/>
  <sheetViews>
    <sheetView view="pageBreakPreview" zoomScale="130" zoomScaleSheetLayoutView="130" workbookViewId="0">
      <pane xSplit="2" ySplit="6" topLeftCell="C35" activePane="bottomRight" state="frozen"/>
      <selection sqref="A1:XFD1048576"/>
      <selection pane="topRight" sqref="A1:XFD1048576"/>
      <selection pane="bottomLeft" sqref="A1:XFD1048576"/>
      <selection pane="bottomRight" activeCell="C18" sqref="C18"/>
    </sheetView>
  </sheetViews>
  <sheetFormatPr defaultColWidth="8.7109375" defaultRowHeight="12.75"/>
  <cols>
    <col min="2" max="2" width="32.28515625" customWidth="1"/>
    <col min="3" max="3" width="13" bestFit="1" customWidth="1"/>
    <col min="4" max="4" width="12.7109375" bestFit="1" customWidth="1"/>
    <col min="5" max="5" width="14" bestFit="1" customWidth="1"/>
    <col min="6" max="6" width="12.7109375" customWidth="1"/>
    <col min="7" max="7" width="13.7109375" bestFit="1" customWidth="1"/>
    <col min="8" max="8" width="14.85546875" customWidth="1"/>
  </cols>
  <sheetData>
    <row r="1" spans="1:8">
      <c r="A1" s="20" t="s">
        <v>1206</v>
      </c>
      <c r="C1" s="3"/>
      <c r="D1" s="3"/>
      <c r="E1" s="70" t="s">
        <v>1207</v>
      </c>
    </row>
    <row r="2" spans="1:8">
      <c r="A2" s="2" t="s">
        <v>1208</v>
      </c>
    </row>
    <row r="3" spans="1:8">
      <c r="E3" s="2" t="s">
        <v>526</v>
      </c>
    </row>
    <row r="4" spans="1:8">
      <c r="A4" s="23"/>
      <c r="B4" s="23"/>
      <c r="C4" s="1621" t="s">
        <v>1209</v>
      </c>
      <c r="D4" s="1621" t="s">
        <v>1210</v>
      </c>
      <c r="E4" s="1621" t="s">
        <v>1971</v>
      </c>
    </row>
    <row r="5" spans="1:8" ht="13.15" customHeight="1">
      <c r="A5" s="23"/>
      <c r="B5" s="23"/>
      <c r="C5" s="1914" t="s">
        <v>1211</v>
      </c>
      <c r="D5" s="1914" t="s">
        <v>160</v>
      </c>
      <c r="E5" s="1914" t="s">
        <v>986</v>
      </c>
    </row>
    <row r="6" spans="1:8" ht="10.5" customHeight="1">
      <c r="A6" s="23"/>
      <c r="B6" s="23"/>
      <c r="C6" s="1915"/>
      <c r="D6" s="1915"/>
      <c r="E6" s="1915"/>
    </row>
    <row r="7" spans="1:8">
      <c r="A7" s="23"/>
      <c r="B7" s="23"/>
      <c r="C7" s="36"/>
      <c r="D7" s="36"/>
      <c r="E7" s="23"/>
    </row>
    <row r="8" spans="1:8">
      <c r="A8" s="75" t="s">
        <v>1212</v>
      </c>
      <c r="B8" s="28" t="s">
        <v>1213</v>
      </c>
      <c r="C8" s="36"/>
      <c r="D8" s="36"/>
      <c r="E8" s="23"/>
    </row>
    <row r="9" spans="1:8">
      <c r="A9" s="23"/>
      <c r="B9" s="68" t="s">
        <v>1214</v>
      </c>
      <c r="C9" s="36"/>
      <c r="D9" s="36"/>
      <c r="E9" s="23"/>
    </row>
    <row r="10" spans="1:8">
      <c r="A10" s="23"/>
      <c r="B10" s="68" t="s">
        <v>1215</v>
      </c>
      <c r="C10" s="36">
        <f>3599680000/10^5</f>
        <v>35996.800000000003</v>
      </c>
      <c r="D10" s="36">
        <f ca="1">C10+'F-23 CASHFLOW'!B10</f>
        <v>51553.703026187584</v>
      </c>
      <c r="E10" s="36">
        <f ca="1">D10+'F-23 CASHFLOW'!C10</f>
        <v>68401.806150993711</v>
      </c>
    </row>
    <row r="11" spans="1:8">
      <c r="A11" s="23"/>
      <c r="B11" s="68" t="s">
        <v>1216</v>
      </c>
      <c r="C11" s="1657">
        <f>(0-C12-C13)*0+627122342.415266/10^5</f>
        <v>6271.2234241526603</v>
      </c>
      <c r="D11" s="1657">
        <f>C11+'F-6'!L29</f>
        <v>6271.2234241526603</v>
      </c>
      <c r="E11" s="1657">
        <f ca="1">D11+'F-6'!P29</f>
        <v>6271.2234241526603</v>
      </c>
      <c r="F11" s="7"/>
      <c r="H11" s="7"/>
    </row>
    <row r="12" spans="1:8">
      <c r="A12" s="23"/>
      <c r="B12" s="68" t="s">
        <v>1217</v>
      </c>
      <c r="C12" s="36">
        <f>996*0</f>
        <v>0</v>
      </c>
      <c r="D12" s="36">
        <f>C12</f>
        <v>0</v>
      </c>
      <c r="E12" s="36">
        <f>D12</f>
        <v>0</v>
      </c>
      <c r="F12" s="7"/>
    </row>
    <row r="13" spans="1:8">
      <c r="A13" s="23"/>
      <c r="B13" s="68" t="s">
        <v>1218</v>
      </c>
      <c r="C13" s="36">
        <f>(4358.99872-996)*0</f>
        <v>0</v>
      </c>
      <c r="D13" s="36">
        <f>C13+'F-23 CASHFLOW'!B12+'F-23 CASHFLOW'!B15</f>
        <v>0</v>
      </c>
      <c r="E13" s="36">
        <f>D13+'F-23 CASHFLOW'!C12+'F-23 CASHFLOW'!C15</f>
        <v>0</v>
      </c>
      <c r="F13" s="7"/>
      <c r="G13" s="7"/>
      <c r="H13" s="7"/>
    </row>
    <row r="14" spans="1:8">
      <c r="A14" s="23"/>
      <c r="B14" s="33" t="s">
        <v>1219</v>
      </c>
      <c r="C14" s="36"/>
      <c r="D14" s="36"/>
      <c r="E14" s="36"/>
    </row>
    <row r="15" spans="1:8">
      <c r="A15" s="23"/>
      <c r="B15" s="68" t="s">
        <v>1220</v>
      </c>
      <c r="C15" s="36">
        <f>'loan&amp;int'!B121</f>
        <v>18024.487054699999</v>
      </c>
      <c r="D15" s="36">
        <f ca="1">C15+SUM('F-23 CASHFLOW'!B11:B20)-'F-23 CASHFLOW'!B12-'F-23 CASHFLOW'!B15-'F-23 CASHFLOW'!B28-'F-23 CASHFLOW'!B32</f>
        <v>57605.35914893444</v>
      </c>
      <c r="E15" s="36">
        <f ca="1">D15+SUM('F-23 CASHFLOW'!C11:C20)-'F-23 CASHFLOW'!C12-'F-23 CASHFLOW'!C15-'F-23 CASHFLOW'!C28-'F-23 CASHFLOW'!C32</f>
        <v>95218.428802516224</v>
      </c>
      <c r="F15" s="7">
        <v>18024.487054699999</v>
      </c>
      <c r="G15" s="7">
        <v>49853.802285162375</v>
      </c>
      <c r="H15" s="7">
        <v>87466.871938744167</v>
      </c>
    </row>
    <row r="16" spans="1:8">
      <c r="A16" s="23"/>
      <c r="B16" s="68" t="s">
        <v>1221</v>
      </c>
      <c r="C16" s="36">
        <v>0</v>
      </c>
      <c r="D16" s="36">
        <v>0</v>
      </c>
      <c r="E16" s="36">
        <v>0</v>
      </c>
      <c r="F16" s="7"/>
      <c r="G16" s="7">
        <f ca="1">D15-G15</f>
        <v>7751.5568637720644</v>
      </c>
      <c r="H16" s="7">
        <f ca="1">H15-E15</f>
        <v>-7751.5568637720571</v>
      </c>
    </row>
    <row r="17" spans="1:8">
      <c r="A17" s="23"/>
      <c r="B17" s="33" t="s">
        <v>1222</v>
      </c>
      <c r="C17" s="36"/>
      <c r="D17" s="36"/>
      <c r="E17" s="36"/>
    </row>
    <row r="18" spans="1:8">
      <c r="A18" s="23"/>
      <c r="B18" s="68" t="s">
        <v>1223</v>
      </c>
      <c r="C18" s="36">
        <f>'loan&amp;int'!B106</f>
        <v>90402.466758899987</v>
      </c>
      <c r="D18" s="36">
        <f>C18+'F-23 CASHFLOW'!B8-'F-23 CASHFLOW'!B31</f>
        <v>106751.49675889999</v>
      </c>
      <c r="E18" s="36">
        <f>D18+'F-23 CASHFLOW'!C8-'F-23 CASHFLOW'!C31</f>
        <v>113251.49675889999</v>
      </c>
      <c r="F18" s="7"/>
      <c r="H18" s="7"/>
    </row>
    <row r="19" spans="1:8" ht="25.5">
      <c r="A19" s="23"/>
      <c r="B19" s="68" t="s">
        <v>1224</v>
      </c>
      <c r="C19" s="36">
        <f>12105839908.39/10^5</f>
        <v>121058.39908389999</v>
      </c>
      <c r="D19" s="36">
        <f>C19+'F-23 CASHFLOW'!B9-DEPCAL!G66</f>
        <v>130737.41908389998</v>
      </c>
      <c r="E19" s="36">
        <f>D19+'F-23 CASHFLOW'!C9-DEPCAL!H66</f>
        <v>136954.5190839</v>
      </c>
      <c r="F19" s="7"/>
      <c r="H19" s="9"/>
    </row>
    <row r="20" spans="1:8">
      <c r="A20" s="23"/>
      <c r="B20" s="33" t="s">
        <v>147</v>
      </c>
      <c r="C20" s="37">
        <f>SUM(C10:C19)</f>
        <v>271753.37632165261</v>
      </c>
      <c r="D20" s="37">
        <f ca="1">SUM(D10:D19)</f>
        <v>352919.20144207467</v>
      </c>
      <c r="E20" s="37">
        <f ca="1">SUM(E10:E19)</f>
        <v>420097.47422046261</v>
      </c>
      <c r="F20" s="7"/>
      <c r="G20" s="7"/>
    </row>
    <row r="21" spans="1:8">
      <c r="A21" s="75" t="s">
        <v>1225</v>
      </c>
      <c r="B21" s="33" t="s">
        <v>1226</v>
      </c>
      <c r="C21" s="36"/>
      <c r="D21" s="36"/>
      <c r="E21" s="36"/>
    </row>
    <row r="22" spans="1:8">
      <c r="A22" s="23"/>
      <c r="B22" s="33" t="s">
        <v>1153</v>
      </c>
      <c r="C22" s="36"/>
      <c r="D22" s="36"/>
      <c r="E22" s="36"/>
    </row>
    <row r="23" spans="1:8" ht="14.25">
      <c r="A23" s="23"/>
      <c r="B23" s="68" t="s">
        <v>1154</v>
      </c>
      <c r="C23" s="36">
        <f>DEPCAL!F42</f>
        <v>235357.59645079999</v>
      </c>
      <c r="D23" s="36">
        <f ca="1">DEPCAL!G42</f>
        <v>300943.90970331046</v>
      </c>
      <c r="E23" s="36">
        <f ca="1">DEPCAL!H42</f>
        <v>382673.56144780596</v>
      </c>
      <c r="F23" s="7"/>
      <c r="G23" s="958">
        <f>17268739625.502/10^5</f>
        <v>172687.39625501999</v>
      </c>
      <c r="H23" s="7">
        <f>C23-G23</f>
        <v>62670.200195779995</v>
      </c>
    </row>
    <row r="24" spans="1:8" ht="14.25">
      <c r="A24" s="23"/>
      <c r="B24" s="68" t="s">
        <v>1227</v>
      </c>
      <c r="C24" s="36">
        <f>DEPCAL!F71</f>
        <v>72421.376974014594</v>
      </c>
      <c r="D24" s="36">
        <f>DEPCAL!G71+DEPCAL!G66</f>
        <v>82037.531039570167</v>
      </c>
      <c r="E24" s="36">
        <f ca="1">DEPCAL!H71+DEPCAL!H66</f>
        <v>97676.635709601265</v>
      </c>
      <c r="F24" s="7"/>
      <c r="G24" s="959">
        <f>975117180.846645/10^5</f>
        <v>9751.1718084664499</v>
      </c>
      <c r="H24" s="7">
        <f>C24-G24</f>
        <v>62670.205165548148</v>
      </c>
    </row>
    <row r="25" spans="1:8">
      <c r="A25" s="23"/>
      <c r="B25" s="1658" t="s">
        <v>1155</v>
      </c>
      <c r="C25" s="36">
        <f>C23-C24</f>
        <v>162936.21947678539</v>
      </c>
      <c r="D25" s="36">
        <f ca="1">D23-D24</f>
        <v>218906.3786637403</v>
      </c>
      <c r="E25" s="36">
        <f ca="1">E23-E24</f>
        <v>284996.92573820468</v>
      </c>
      <c r="F25" s="7"/>
      <c r="H25" s="7"/>
    </row>
    <row r="26" spans="1:8">
      <c r="A26" s="23"/>
      <c r="B26" s="68" t="s">
        <v>1228</v>
      </c>
      <c r="C26" s="354">
        <f>CWIP!L45-CWIP!L43</f>
        <v>4323.9406380999972</v>
      </c>
      <c r="D26" s="36">
        <f ca="1">CWIP!W45-CWIP!W43</f>
        <v>23985.73023128257</v>
      </c>
      <c r="E26" s="36">
        <f ca="1">CWIP!AH45-CWIP!AH43</f>
        <v>34839.603322199997</v>
      </c>
      <c r="H26" s="7"/>
    </row>
    <row r="27" spans="1:8">
      <c r="A27" s="23"/>
      <c r="B27" s="68" t="s">
        <v>1229</v>
      </c>
      <c r="C27" s="36">
        <f>CWIP!L43</f>
        <v>3877.9539799999998</v>
      </c>
      <c r="D27" s="36">
        <f>CWIP!W43</f>
        <v>5525</v>
      </c>
      <c r="E27" s="36">
        <f>CWIP!AH43</f>
        <v>6020</v>
      </c>
    </row>
    <row r="28" spans="1:8">
      <c r="A28" s="23"/>
      <c r="B28" s="1658" t="s">
        <v>1230</v>
      </c>
      <c r="C28" s="36">
        <f>C26+C27</f>
        <v>8201.8946180999974</v>
      </c>
      <c r="D28" s="36">
        <f ca="1">D26+D27</f>
        <v>29510.73023128257</v>
      </c>
      <c r="E28" s="36">
        <f ca="1">E26+E27</f>
        <v>40859.603322199997</v>
      </c>
      <c r="F28" s="7"/>
      <c r="G28" s="7"/>
    </row>
    <row r="29" spans="1:8">
      <c r="A29" s="23"/>
      <c r="B29" s="33" t="s">
        <v>1231</v>
      </c>
      <c r="C29" s="36"/>
      <c r="D29" s="36"/>
      <c r="E29" s="36"/>
      <c r="F29" s="7"/>
    </row>
    <row r="30" spans="1:8" ht="25.5">
      <c r="A30" s="23"/>
      <c r="B30" s="33" t="s">
        <v>1232</v>
      </c>
      <c r="C30" s="36"/>
      <c r="D30" s="36"/>
      <c r="E30" s="36"/>
      <c r="G30" s="7"/>
    </row>
    <row r="31" spans="1:8">
      <c r="A31" s="23"/>
      <c r="B31" s="68" t="s">
        <v>1233</v>
      </c>
      <c r="C31" s="36">
        <f>11337626893.75/10^5</f>
        <v>113376.2689375</v>
      </c>
      <c r="D31" s="36">
        <f>C31+'F-22'!C10-'F-6'!L15-'F-23 CASHFLOW'!B7</f>
        <v>120639.60254585114</v>
      </c>
      <c r="E31" s="36">
        <f>D31+'F-22'!D10-'F-6'!P15-'F-23 CASHFLOW'!C7</f>
        <v>119264.60254585114</v>
      </c>
      <c r="F31" s="7"/>
      <c r="G31" s="7"/>
      <c r="H31" s="9"/>
    </row>
    <row r="32" spans="1:8">
      <c r="A32" s="23"/>
      <c r="B32" s="68" t="s">
        <v>1234</v>
      </c>
      <c r="C32" s="36">
        <f>382107018.78/10^5</f>
        <v>3821.0701877999995</v>
      </c>
      <c r="D32" s="36">
        <f>'F-10'!N32-D27</f>
        <v>7009.6962496654378</v>
      </c>
      <c r="E32" s="36">
        <f>'F-10'!N49-E27</f>
        <v>4236.6962496654269</v>
      </c>
      <c r="F32" s="7"/>
      <c r="G32" s="7">
        <f>36.6495627*100</f>
        <v>3664.9562699999997</v>
      </c>
      <c r="H32" s="9"/>
    </row>
    <row r="33" spans="1:8">
      <c r="A33" s="23"/>
      <c r="B33" s="68" t="s">
        <v>1235</v>
      </c>
      <c r="C33" s="36">
        <f>20021205440.8699/10^5</f>
        <v>200212.05440869898</v>
      </c>
      <c r="D33" s="1659">
        <f ca="1">'F-23 CASHFLOW'!B39</f>
        <v>223829.92835900001</v>
      </c>
      <c r="E33" s="1659">
        <f ca="1">'F-23 CASHFLOW'!C39</f>
        <v>196287.4285296835</v>
      </c>
      <c r="G33" s="7"/>
      <c r="H33" s="9"/>
    </row>
    <row r="34" spans="1:8">
      <c r="A34" s="23"/>
      <c r="B34" s="68" t="s">
        <v>1236</v>
      </c>
      <c r="C34" s="36">
        <f>1084911729.98/10^5</f>
        <v>10849.1172998</v>
      </c>
      <c r="D34" s="36">
        <f>C34+'F-23 CASHFLOW'!B36</f>
        <v>11399.1172998</v>
      </c>
      <c r="E34" s="36">
        <f>D34+'F-23 CASHFLOW'!C36</f>
        <v>12199.1172998</v>
      </c>
      <c r="G34" s="7"/>
      <c r="H34" s="9"/>
    </row>
    <row r="35" spans="1:8">
      <c r="A35" s="23"/>
      <c r="B35" s="68" t="s">
        <v>1237</v>
      </c>
      <c r="C35" s="36">
        <v>0</v>
      </c>
      <c r="D35" s="36">
        <f>C35</f>
        <v>0</v>
      </c>
      <c r="E35" s="36">
        <f>D35</f>
        <v>0</v>
      </c>
      <c r="H35" s="7"/>
    </row>
    <row r="36" spans="1:8" ht="25.5">
      <c r="A36" s="23"/>
      <c r="B36" s="68" t="s">
        <v>1238</v>
      </c>
      <c r="C36" s="36"/>
      <c r="D36" s="36"/>
      <c r="E36" s="36"/>
      <c r="G36" s="7"/>
    </row>
    <row r="37" spans="1:8">
      <c r="A37" s="23"/>
      <c r="B37" s="68" t="s">
        <v>1239</v>
      </c>
      <c r="C37" s="36">
        <v>54499.635356999999</v>
      </c>
      <c r="D37" s="36">
        <f>C37+'F-6'!L9+'F-6'!L10-'F-23 CASHFLOW'!B24</f>
        <v>54499.63535700005</v>
      </c>
      <c r="E37" s="36">
        <f>D37+'F-6'!P9-'F-23 CASHFLOW'!C24</f>
        <v>54499.63535700005</v>
      </c>
      <c r="F37" s="7"/>
      <c r="G37" s="7"/>
    </row>
    <row r="38" spans="1:8">
      <c r="A38" s="23"/>
      <c r="B38" s="68" t="s">
        <v>1240</v>
      </c>
      <c r="C38" s="36">
        <f>227643.1476624-C37</f>
        <v>173143.51230540001</v>
      </c>
      <c r="D38" s="36">
        <f ca="1">C38+'F-22'!C14+'F-22'!C22+'F-22'!C21-'F-6'!L15-'F-23 CASHFLOW'!B25-'F-23 CASHFLOW'!B26-'F-23 CASHFLOW'!B27+D32-C32+CWIP!R45+CWIP!W42-CWIP!L42+CWIP!W43-CWIP!L43-'F-23 CASHFLOW'!B35-'F-23 CASHFLOW'!B29-'F-23 CASHFLOW'!B30-'F-23 CASHFLOW'!B33-'F-23 CASHFLOW'!B34+'F-6'!L17+'F-6'!L18+'F-6'!L19+'F-6'!L22</f>
        <v>184973.74275408994</v>
      </c>
      <c r="E38" s="36">
        <f ca="1">D38+'F-22'!D14+'F-22'!D22+'F-22'!D21+'F-22'!D23-'F-6'!P15-'F-23 CASHFLOW'!C25-'F-23 CASHFLOW'!C26-'F-23 CASHFLOW'!C27-'F-23 CASHFLOW'!C37-'F-23 CASHFLOW'!C34+CWIP!AC45+CWIP!AH42-CWIP!W42+CWIP!AH43-CWIP!W43-'F-23 CASHFLOW'!C35+E32-D32-'F-23 CASHFLOW'!C29-'F-23 CASHFLOW'!C30-'F-23 CASHFLOW'!C33+'F-6'!P17+'F-6'!P18+'F-6'!P19+'F-6'!P22</f>
        <v>195811.73804434857</v>
      </c>
      <c r="F38" s="7"/>
    </row>
    <row r="39" spans="1:8">
      <c r="A39" s="23"/>
      <c r="B39" s="68"/>
      <c r="C39" s="36"/>
      <c r="D39" s="36"/>
      <c r="E39" s="36"/>
      <c r="F39" s="7"/>
      <c r="G39" s="7"/>
      <c r="H39" s="7"/>
    </row>
    <row r="40" spans="1:8">
      <c r="A40" s="23"/>
      <c r="B40" s="68"/>
      <c r="C40" s="36"/>
      <c r="D40" s="36"/>
      <c r="E40" s="36"/>
      <c r="F40" s="7"/>
    </row>
    <row r="41" spans="1:8">
      <c r="A41" s="23"/>
      <c r="B41" s="33" t="s">
        <v>1241</v>
      </c>
      <c r="C41" s="135">
        <f>C31+C32+C33+C34+C35-SUM(C37:C38)</f>
        <v>100615.36317139896</v>
      </c>
      <c r="D41" s="135">
        <f ca="1">D31+D32+D33+D34+D35-SUM(D37:D38)</f>
        <v>123404.96634322661</v>
      </c>
      <c r="E41" s="135">
        <f ca="1">E31+E32+E33+E34+E35-SUM(E37:E38)</f>
        <v>81676.471223651461</v>
      </c>
      <c r="F41" s="77"/>
    </row>
    <row r="42" spans="1:8" ht="25.5">
      <c r="A42" s="23"/>
      <c r="B42" s="68" t="s">
        <v>1242</v>
      </c>
      <c r="C42" s="36"/>
      <c r="D42" s="36"/>
      <c r="E42" s="36"/>
      <c r="F42" s="7"/>
    </row>
    <row r="43" spans="1:8">
      <c r="A43" s="23"/>
      <c r="B43" s="68" t="s">
        <v>1243</v>
      </c>
      <c r="C43" s="36"/>
      <c r="D43" s="36"/>
      <c r="E43" s="36"/>
      <c r="H43" s="1660"/>
    </row>
    <row r="44" spans="1:8">
      <c r="A44" s="23"/>
      <c r="B44" s="68" t="s">
        <v>1244</v>
      </c>
      <c r="C44" s="1657">
        <f>'F-22'!B32*0</f>
        <v>0</v>
      </c>
      <c r="D44" s="1657">
        <f ca="1">'F-22'!C32</f>
        <v>18902.772851543101</v>
      </c>
      <c r="E44" s="1657">
        <f ca="1">'F-22'!D32</f>
        <v>-12564.574881038232</v>
      </c>
      <c r="H44" s="7"/>
    </row>
    <row r="45" spans="1:8" ht="15.75">
      <c r="B45" s="5" t="s">
        <v>1245</v>
      </c>
      <c r="C45" s="116">
        <f>C25+C28+C29+C41-C44</f>
        <v>271753.47726628435</v>
      </c>
      <c r="D45" s="116">
        <f ca="1">D25+D28+D29+D41-D44</f>
        <v>352919.3023867064</v>
      </c>
      <c r="E45" s="116">
        <f ca="1">E25+E28+E29+E41-E44</f>
        <v>420097.5751650944</v>
      </c>
    </row>
    <row r="46" spans="1:8">
      <c r="C46" s="1661">
        <f>C45-C20</f>
        <v>0.10094463173300028</v>
      </c>
      <c r="D46" s="1661">
        <f ca="1">D45-D20</f>
        <v>0.10094463173300028</v>
      </c>
      <c r="E46" s="1661">
        <f ca="1">E45-E20</f>
        <v>0.10094463179120794</v>
      </c>
      <c r="G46" s="506"/>
    </row>
    <row r="47" spans="1:8">
      <c r="D47" s="7"/>
    </row>
    <row r="48" spans="1:8">
      <c r="C48" s="76"/>
      <c r="D48" s="7"/>
      <c r="E48" s="7"/>
    </row>
    <row r="49" spans="3:5">
      <c r="C49" s="7"/>
      <c r="D49" s="7"/>
    </row>
    <row r="50" spans="3:5">
      <c r="C50" s="7"/>
      <c r="D50" s="7"/>
      <c r="E50" s="76"/>
    </row>
    <row r="52" spans="3:5">
      <c r="D52" s="7"/>
    </row>
    <row r="60" spans="3:5" ht="11.25" customHeight="1"/>
  </sheetData>
  <mergeCells count="3">
    <mergeCell ref="E5:E6"/>
    <mergeCell ref="D5:D6"/>
    <mergeCell ref="C5:C6"/>
  </mergeCells>
  <phoneticPr fontId="0" type="noConversion"/>
  <printOptions horizontalCentered="1"/>
  <pageMargins left="0.51181102362204722" right="0.23622047244094491" top="0.51181102362204722" bottom="0.74803149606299213" header="0.51181102362204722" footer="0.51181102362204722"/>
  <pageSetup paperSize="9" scale="110" orientation="portrait" horizontalDpi="300" verticalDpi="300" r:id="rId1"/>
  <headerFooter alignWithMargins="0">
    <oddFooter xml:space="preserve">&amp;R&amp;"Arial,Bold"&amp;12OERC FORM-&amp;A&amp;"Arial,Regular"&amp;10
</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65"/>
  <dimension ref="A1:K43"/>
  <sheetViews>
    <sheetView view="pageBreakPreview" zoomScaleSheetLayoutView="100" workbookViewId="0">
      <pane xSplit="1" ySplit="4" topLeftCell="B28" activePane="bottomRight" state="frozen"/>
      <selection sqref="A1:XFD1048576"/>
      <selection pane="topRight" sqref="A1:XFD1048576"/>
      <selection pane="bottomLeft" sqref="A1:XFD1048576"/>
      <selection pane="bottomRight" activeCell="A11" sqref="A11"/>
    </sheetView>
  </sheetViews>
  <sheetFormatPr defaultColWidth="9.140625" defaultRowHeight="12.75"/>
  <cols>
    <col min="1" max="1" width="38" customWidth="1"/>
    <col min="2" max="2" width="10.140625" customWidth="1"/>
    <col min="3" max="3" width="12" customWidth="1"/>
    <col min="4" max="4" width="11.42578125" bestFit="1" customWidth="1"/>
    <col min="5" max="5" width="9.5703125" bestFit="1" customWidth="1"/>
    <col min="6" max="6" width="17.42578125" bestFit="1" customWidth="1"/>
    <col min="7" max="7" width="9.42578125" customWidth="1"/>
    <col min="8" max="8" width="8.7109375" customWidth="1"/>
    <col min="9" max="9" width="10.28515625" bestFit="1" customWidth="1"/>
  </cols>
  <sheetData>
    <row r="1" spans="1:11">
      <c r="A1" s="20" t="s">
        <v>106</v>
      </c>
      <c r="B1" s="3" t="s">
        <v>0</v>
      </c>
      <c r="C1" s="2" t="s">
        <v>1246</v>
      </c>
      <c r="D1" s="3"/>
    </row>
    <row r="2" spans="1:11" ht="15.75">
      <c r="A2" s="1848" t="s">
        <v>1247</v>
      </c>
      <c r="B2" s="1848"/>
      <c r="C2" s="1848"/>
      <c r="D2" s="1848"/>
    </row>
    <row r="3" spans="1:11">
      <c r="C3" s="2" t="s">
        <v>983</v>
      </c>
    </row>
    <row r="4" spans="1:11" ht="38.25">
      <c r="A4" s="23"/>
      <c r="B4" s="1662" t="s">
        <v>1955</v>
      </c>
      <c r="C4" s="1662" t="s">
        <v>1956</v>
      </c>
      <c r="D4" s="1662" t="s">
        <v>1957</v>
      </c>
    </row>
    <row r="5" spans="1:11" ht="15.95" customHeight="1">
      <c r="A5" s="28" t="s">
        <v>1248</v>
      </c>
      <c r="B5" s="23"/>
      <c r="C5" s="783"/>
      <c r="D5" s="783"/>
      <c r="H5" s="298"/>
    </row>
    <row r="6" spans="1:11" ht="15.95" customHeight="1">
      <c r="A6" s="23" t="s">
        <v>1249</v>
      </c>
      <c r="B6" s="36">
        <f>(4691.852397461-226.261533242)*100-B7</f>
        <v>414234.08642189996</v>
      </c>
      <c r="C6" s="354">
        <f>'T-7 (Curr)'!AL67-'T-7 (Curr)'!AI67+'T-6 (six mth)'!I70-C7</f>
        <v>467685.20046395482</v>
      </c>
      <c r="D6" s="36">
        <f>'T-8'!BQ67-'T-8'!BN67-D7</f>
        <v>479682.38281292061</v>
      </c>
      <c r="E6" s="7"/>
      <c r="F6" s="7"/>
      <c r="H6" s="298"/>
      <c r="J6" s="1583"/>
    </row>
    <row r="7" spans="1:11" ht="15.95" customHeight="1">
      <c r="A7" s="502" t="s">
        <v>1250</v>
      </c>
      <c r="B7" s="36">
        <v>32325</v>
      </c>
      <c r="C7" s="354">
        <f>2100*5.5*10</f>
        <v>115500</v>
      </c>
      <c r="D7" s="354">
        <f>2500*5.5*10</f>
        <v>137500</v>
      </c>
      <c r="E7" s="7"/>
      <c r="F7" s="7"/>
      <c r="H7" s="298"/>
    </row>
    <row r="8" spans="1:11" ht="15.95" customHeight="1">
      <c r="A8" s="23" t="s">
        <v>1251</v>
      </c>
      <c r="B8" s="36">
        <f>150.708104879*100</f>
        <v>15070.810487899998</v>
      </c>
      <c r="C8" s="36">
        <f>'F-6'!V59-C9</f>
        <v>5805.2287102628034</v>
      </c>
      <c r="D8" s="36">
        <f>'F-6'!X59-D9</f>
        <v>6266.7338266666666</v>
      </c>
      <c r="E8" s="7"/>
      <c r="G8" s="77"/>
      <c r="J8" s="1583"/>
    </row>
    <row r="9" spans="1:11" ht="15.95" customHeight="1">
      <c r="A9" s="23" t="s">
        <v>1252</v>
      </c>
      <c r="B9" s="36">
        <f>(83.667290593+226.261533242)*100</f>
        <v>30992.8823835</v>
      </c>
      <c r="C9" s="36">
        <f>'F-6'!V58+'F-6'!V52+'F-6'!V53+'F-6'!V54+'F-6'!V56</f>
        <v>47803.937844400003</v>
      </c>
      <c r="D9" s="36">
        <f>'F-6'!X58+'F-6'!X54+'F-6'!X52+'F-6'!X53+'F-6'!X56</f>
        <v>22666.666666666668</v>
      </c>
      <c r="F9" s="7"/>
      <c r="G9" s="346">
        <f>696.04/1263.19</f>
        <v>0.55101766163443344</v>
      </c>
      <c r="H9" s="7"/>
      <c r="I9" s="7"/>
      <c r="J9" s="1583"/>
      <c r="K9" s="7"/>
    </row>
    <row r="10" spans="1:11" ht="15.95" customHeight="1">
      <c r="A10" s="35" t="s">
        <v>147</v>
      </c>
      <c r="B10" s="37">
        <f>SUM(B6:B9)</f>
        <v>492622.77929329994</v>
      </c>
      <c r="C10" s="37">
        <f>SUM(C6:C9)</f>
        <v>636794.36701861769</v>
      </c>
      <c r="D10" s="37">
        <f>SUM(D6:D9)</f>
        <v>646115.78330625396</v>
      </c>
      <c r="E10" s="7"/>
      <c r="F10" s="1583"/>
    </row>
    <row r="11" spans="1:11" ht="15.95" customHeight="1">
      <c r="A11" s="28" t="s">
        <v>1253</v>
      </c>
      <c r="B11" s="36"/>
      <c r="C11" s="36"/>
      <c r="D11" s="36"/>
      <c r="F11" s="7"/>
      <c r="G11" s="7"/>
    </row>
    <row r="12" spans="1:11" ht="15.95" customHeight="1">
      <c r="A12" s="23" t="s">
        <v>1254</v>
      </c>
      <c r="B12" s="36">
        <f>'F-6'!G9</f>
        <v>333365.76999979204</v>
      </c>
      <c r="C12" s="36">
        <f>'F-6'!L9</f>
        <v>485922.87102627999</v>
      </c>
      <c r="D12" s="36">
        <f>'F-6'!P9</f>
        <v>510006.71600000001</v>
      </c>
      <c r="F12" s="1583"/>
      <c r="G12" s="7"/>
      <c r="H12" s="7"/>
      <c r="I12" s="7"/>
    </row>
    <row r="13" spans="1:11" ht="15.95" customHeight="1">
      <c r="A13" s="502" t="s">
        <v>1255</v>
      </c>
      <c r="B13" s="36"/>
      <c r="C13" s="36">
        <f>'F-6'!L10</f>
        <v>0</v>
      </c>
      <c r="D13" s="36"/>
      <c r="G13" s="7"/>
      <c r="H13" s="7"/>
      <c r="I13" s="7"/>
    </row>
    <row r="14" spans="1:11" ht="25.5">
      <c r="A14" s="68" t="s">
        <v>1256</v>
      </c>
      <c r="B14" s="36">
        <f>'F-12'!I35+'F-13'!C16+'F-14'!D66+'F-6'!G15</f>
        <v>77902.967320399999</v>
      </c>
      <c r="C14" s="36">
        <f>'F-6'!L12+'F-6'!L13+'F-6'!L14+'F-6'!L15-'F-6'!L23</f>
        <v>109914.54413829662</v>
      </c>
      <c r="D14" s="36">
        <f ca="1">'F-6'!P12+'F-6'!P13+'F-6'!P14+'F-6'!P15-'F-6'!P23</f>
        <v>128486.01623710776</v>
      </c>
      <c r="E14" s="7"/>
      <c r="F14" s="893"/>
    </row>
    <row r="15" spans="1:11" ht="17.100000000000001" customHeight="1">
      <c r="A15" s="68" t="s">
        <v>730</v>
      </c>
      <c r="B15" s="36">
        <f>DEPCAL!F67</f>
        <v>2445.257047099999</v>
      </c>
      <c r="C15" s="36">
        <f>DEPCAL!G67</f>
        <v>3790.1740655555832</v>
      </c>
      <c r="D15" s="36">
        <f ca="1">DEPCAL!H67</f>
        <v>9706.2046700311039</v>
      </c>
      <c r="E15" s="7"/>
      <c r="F15" s="1583"/>
      <c r="H15" s="506" t="s">
        <v>103</v>
      </c>
      <c r="I15" s="506" t="s">
        <v>2137</v>
      </c>
      <c r="K15" s="7"/>
    </row>
    <row r="16" spans="1:11" ht="17.100000000000001" customHeight="1">
      <c r="A16" s="68" t="s">
        <v>1257</v>
      </c>
      <c r="B16" s="1657">
        <f>B10-B12-B14-B15</f>
        <v>78908.784926007909</v>
      </c>
      <c r="C16" s="1657">
        <f>C10-C12-C13-C14-C15</f>
        <v>37166.777788485495</v>
      </c>
      <c r="D16" s="1657">
        <f ca="1">D10-D12-D14-D15</f>
        <v>-2083.1536008849216</v>
      </c>
      <c r="G16" t="s">
        <v>1258</v>
      </c>
      <c r="H16" s="1663">
        <f>'F-12'!W35</f>
        <v>56471.184861779308</v>
      </c>
      <c r="I16" s="1663">
        <f>'F-12'!AD35</f>
        <v>61497.403344803795</v>
      </c>
    </row>
    <row r="17" spans="1:9" ht="17.100000000000001" customHeight="1">
      <c r="A17" s="68" t="s">
        <v>1259</v>
      </c>
      <c r="B17" s="36">
        <f>'F-6'!G17+'F-6'!G19</f>
        <v>3829.2756400000003</v>
      </c>
      <c r="C17" s="36">
        <f ca="1">'F-6'!L17+'F-6'!L18+'F-6'!L19</f>
        <v>11888.143408946191</v>
      </c>
      <c r="D17" s="36">
        <f ca="1">'F-6'!P17+'F-6'!P18+'F-6'!P19</f>
        <v>18161.753301295645</v>
      </c>
      <c r="F17" s="1583"/>
      <c r="G17" t="s">
        <v>1034</v>
      </c>
      <c r="H17" s="1663">
        <f ca="1">'F-14'!F66-C22</f>
        <v>14601.386521678869</v>
      </c>
      <c r="I17" s="1663">
        <f ca="1">'F-14'!G66-D22</f>
        <v>22534.45239601209</v>
      </c>
    </row>
    <row r="18" spans="1:9" ht="17.100000000000001" customHeight="1">
      <c r="A18" s="68" t="s">
        <v>1260</v>
      </c>
      <c r="B18" s="36">
        <f>'F-6'!G24</f>
        <v>0</v>
      </c>
      <c r="C18" s="36">
        <f ca="1">'F-6'!L24</f>
        <v>732.09013882838553</v>
      </c>
      <c r="D18" s="36">
        <f ca="1">'F-6'!P24</f>
        <v>1758.5544598578897</v>
      </c>
      <c r="G18" t="s">
        <v>1261</v>
      </c>
      <c r="H18" s="1663">
        <f>'F-13'!E16</f>
        <v>30235.604208343204</v>
      </c>
      <c r="I18" s="1663">
        <f ca="1">'F-13'!F16</f>
        <v>34601.089123978767</v>
      </c>
    </row>
    <row r="19" spans="1:9" ht="17.100000000000001" customHeight="1">
      <c r="A19" s="68" t="s">
        <v>1262</v>
      </c>
      <c r="B19" s="36">
        <f>B17-B18</f>
        <v>3829.2756400000003</v>
      </c>
      <c r="C19" s="36">
        <f ca="1">C17-C18</f>
        <v>11156.053270117805</v>
      </c>
      <c r="D19" s="36">
        <f ca="1">D17-D18</f>
        <v>16403.198841437756</v>
      </c>
      <c r="G19" t="s">
        <v>1263</v>
      </c>
      <c r="I19" s="7"/>
    </row>
    <row r="20" spans="1:9" ht="17.100000000000001" customHeight="1">
      <c r="A20" s="68" t="s">
        <v>1264</v>
      </c>
      <c r="B20" s="1657">
        <f>B16-B19</f>
        <v>75079.509286007902</v>
      </c>
      <c r="C20" s="1657">
        <f ca="1">C16-C19</f>
        <v>26010.72451836769</v>
      </c>
      <c r="D20" s="1657">
        <f ca="1">D16-D19</f>
        <v>-18486.352442322677</v>
      </c>
      <c r="E20" s="7"/>
      <c r="F20" s="905"/>
      <c r="G20" t="s">
        <v>147</v>
      </c>
      <c r="H20" s="1663">
        <f ca="1">SUM(H16:H19)</f>
        <v>101308.17559180138</v>
      </c>
      <c r="I20" s="1663">
        <f ca="1">SUM(I16:I19)</f>
        <v>118632.94486479464</v>
      </c>
    </row>
    <row r="21" spans="1:9" ht="17.100000000000001" customHeight="1">
      <c r="A21" s="68" t="s">
        <v>1265</v>
      </c>
      <c r="B21" s="1657"/>
      <c r="C21" s="1657">
        <f ca="1">'F-6'!L20</f>
        <v>8248.5924841900141</v>
      </c>
      <c r="D21" s="1657">
        <f ca="1">'F-6'!P20</f>
        <v>10944.288984158993</v>
      </c>
      <c r="F21" s="1583"/>
      <c r="H21" s="1663"/>
      <c r="I21" s="1663"/>
    </row>
    <row r="22" spans="1:9" ht="17.100000000000001" customHeight="1">
      <c r="A22" s="68" t="s">
        <v>1266</v>
      </c>
      <c r="B22" s="36">
        <f>(31.6842555122532-10.2394717022511)*100</f>
        <v>2144.47838100021</v>
      </c>
      <c r="C22" s="1657">
        <f ca="1">'F-6'!L21</f>
        <v>2774.5165418557081</v>
      </c>
      <c r="D22" s="1657">
        <f ca="1">'F-6'!P21</f>
        <v>3681.2475441839088</v>
      </c>
      <c r="E22" s="7"/>
      <c r="H22" s="76">
        <f ca="1">H20-C14</f>
        <v>-8606.3685464952432</v>
      </c>
      <c r="I22" s="76">
        <f ca="1">I20-D14</f>
        <v>-9853.0713723131194</v>
      </c>
    </row>
    <row r="23" spans="1:9" ht="25.5">
      <c r="A23" s="68" t="s">
        <v>1267</v>
      </c>
      <c r="B23" s="1664">
        <f>(-599.789940318636*100)-1.15505827125162E-10</f>
        <v>-59978.994031863716</v>
      </c>
      <c r="C23" s="36"/>
      <c r="D23" s="1657"/>
      <c r="E23" s="7"/>
      <c r="H23" s="76"/>
      <c r="I23" s="76"/>
    </row>
    <row r="24" spans="1:9" ht="16.5" customHeight="1">
      <c r="A24" s="68" t="s">
        <v>1268</v>
      </c>
      <c r="B24" s="1657">
        <f>B20-B22+B23</f>
        <v>12956.036873143974</v>
      </c>
      <c r="C24" s="1657">
        <f ca="1">C20-C21-C22-C23</f>
        <v>14987.615492321966</v>
      </c>
      <c r="D24" s="1657">
        <f ca="1">D20-D21-D22-D23</f>
        <v>-33111.888970665575</v>
      </c>
      <c r="E24" s="7"/>
      <c r="H24" s="7">
        <f>'F-6'!L15</f>
        <v>5831.8520046395488</v>
      </c>
      <c r="I24" s="7">
        <f>'F-6'!P15</f>
        <v>6171.823828129206</v>
      </c>
    </row>
    <row r="25" spans="1:9" ht="16.5" customHeight="1">
      <c r="A25" s="68" t="s">
        <v>2283</v>
      </c>
      <c r="B25" s="1657"/>
      <c r="C25" s="36">
        <f>-'F-6'!L22</f>
        <v>3915.1573592211344</v>
      </c>
      <c r="D25" s="36">
        <f ca="1">-'F-6'!P22</f>
        <v>1644.541238084244</v>
      </c>
      <c r="F25" s="1665"/>
      <c r="H25" s="9">
        <f ca="1">H24+H22</f>
        <v>-2774.5165418556944</v>
      </c>
      <c r="I25" s="7">
        <f ca="1">I24+I22</f>
        <v>-3681.2475441839133</v>
      </c>
    </row>
    <row r="26" spans="1:9" ht="25.5">
      <c r="A26" s="68" t="s">
        <v>1269</v>
      </c>
      <c r="B26" s="1657">
        <v>0</v>
      </c>
      <c r="C26" s="1657">
        <f>B32*0</f>
        <v>0</v>
      </c>
      <c r="D26" s="1657">
        <f ca="1">C32</f>
        <v>18902.772851543101</v>
      </c>
    </row>
    <row r="27" spans="1:9" ht="17.45" customHeight="1">
      <c r="A27" s="68" t="s">
        <v>1270</v>
      </c>
      <c r="B27" s="36">
        <f>293.9552*0</f>
        <v>0</v>
      </c>
      <c r="C27" s="36">
        <f>'F-6'!L29</f>
        <v>0</v>
      </c>
      <c r="D27" s="36">
        <f ca="1">'F-6'!P29</f>
        <v>0</v>
      </c>
      <c r="F27" s="7"/>
    </row>
    <row r="28" spans="1:9" ht="25.5">
      <c r="A28" s="68" t="s">
        <v>1271</v>
      </c>
      <c r="B28" s="36"/>
      <c r="C28" s="36"/>
      <c r="D28" s="36"/>
      <c r="F28" s="7"/>
    </row>
    <row r="29" spans="1:9" ht="15.95" customHeight="1">
      <c r="A29" s="68" t="s">
        <v>1272</v>
      </c>
      <c r="B29" s="36">
        <v>0</v>
      </c>
      <c r="C29" s="36">
        <v>0</v>
      </c>
      <c r="D29" s="36">
        <v>0</v>
      </c>
      <c r="F29" s="7"/>
    </row>
    <row r="30" spans="1:9" ht="15.95" customHeight="1">
      <c r="A30" s="68" t="s">
        <v>1273</v>
      </c>
      <c r="B30" s="36">
        <v>0</v>
      </c>
      <c r="C30" s="36">
        <v>0</v>
      </c>
      <c r="D30" s="36">
        <v>0</v>
      </c>
    </row>
    <row r="31" spans="1:9" ht="15.95" customHeight="1">
      <c r="A31" s="68" t="s">
        <v>1274</v>
      </c>
      <c r="B31" s="36">
        <v>0</v>
      </c>
      <c r="C31" s="36">
        <v>0</v>
      </c>
      <c r="D31" s="36">
        <v>0</v>
      </c>
    </row>
    <row r="32" spans="1:9" ht="15.95" customHeight="1">
      <c r="A32" s="68" t="s">
        <v>1275</v>
      </c>
      <c r="B32" s="1657">
        <f>B24+B25+B26-SUM(B27:B31)</f>
        <v>12956.036873143974</v>
      </c>
      <c r="C32" s="1657">
        <f ca="1">C24+C25+C26-SUM(C27:C31)</f>
        <v>18902.772851543101</v>
      </c>
      <c r="D32" s="1657">
        <f ca="1">D24+D25+D26-SUM(D27:D31)</f>
        <v>-12564.574881038232</v>
      </c>
      <c r="F32" s="1666"/>
    </row>
    <row r="33" spans="2:6">
      <c r="B33" s="76"/>
      <c r="C33" s="76"/>
    </row>
    <row r="34" spans="2:6">
      <c r="B34" s="7"/>
      <c r="C34" s="7">
        <f ca="1">-C32-(-C26)</f>
        <v>-18902.772851543101</v>
      </c>
      <c r="D34" s="7">
        <f ca="1">-D32</f>
        <v>12564.574881038232</v>
      </c>
      <c r="F34" s="1666"/>
    </row>
    <row r="35" spans="2:6">
      <c r="B35" s="7"/>
      <c r="C35" s="7">
        <f ca="1">'F-6'!L38</f>
        <v>-18902.772851543035</v>
      </c>
      <c r="D35" s="7">
        <f ca="1">'F-6'!P38</f>
        <v>-39987.872893742053</v>
      </c>
    </row>
    <row r="36" spans="2:6">
      <c r="B36" s="9"/>
      <c r="C36" s="7">
        <f ca="1">C35-C34</f>
        <v>6.5483618527650833E-11</v>
      </c>
      <c r="D36" s="7">
        <f ca="1">D35-D34</f>
        <v>-52552.447774780288</v>
      </c>
    </row>
    <row r="37" spans="2:6">
      <c r="B37" s="7"/>
      <c r="D37" s="7"/>
    </row>
    <row r="38" spans="2:6">
      <c r="D38" s="7"/>
    </row>
    <row r="39" spans="2:6">
      <c r="B39" s="7"/>
    </row>
    <row r="40" spans="2:6">
      <c r="B40" s="76"/>
      <c r="C40" s="76"/>
    </row>
    <row r="43" spans="2:6">
      <c r="D43" s="76"/>
    </row>
  </sheetData>
  <mergeCells count="1">
    <mergeCell ref="A2:D2"/>
  </mergeCells>
  <phoneticPr fontId="0" type="noConversion"/>
  <printOptions horizontalCentered="1" verticalCentered="1" gridLines="1"/>
  <pageMargins left="0.51181102362204722" right="0.19685039370078741" top="1.2598425196850394" bottom="0.74803149606299213" header="0.74803149606299213" footer="0.51181102362204722"/>
  <pageSetup paperSize="9" orientation="portrait" r:id="rId1"/>
  <headerFooter alignWithMargins="0">
    <oddFooter xml:space="preserve">&amp;R&amp;"Arial,Bold"&amp;12OERC FORM-&amp;A&amp;"Arial,Regular"&amp;10
</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72"/>
  <dimension ref="A1:P44"/>
  <sheetViews>
    <sheetView showGridLines="0" view="pageBreakPreview" topLeftCell="A17" zoomScale="85" zoomScaleSheetLayoutView="85" workbookViewId="0">
      <selection activeCell="A48" sqref="A48"/>
    </sheetView>
  </sheetViews>
  <sheetFormatPr defaultRowHeight="12.75"/>
  <cols>
    <col min="1" max="1" width="50.5703125" customWidth="1"/>
    <col min="2" max="2" width="13" bestFit="1" customWidth="1"/>
    <col min="3" max="3" width="13.28515625" bestFit="1" customWidth="1"/>
  </cols>
  <sheetData>
    <row r="1" spans="1:6">
      <c r="A1" s="20" t="s">
        <v>106</v>
      </c>
    </row>
    <row r="2" spans="1:6" ht="15.75">
      <c r="A2" s="1751" t="s">
        <v>1276</v>
      </c>
      <c r="B2" s="1751"/>
      <c r="C2" s="1751"/>
    </row>
    <row r="3" spans="1:6">
      <c r="A3" s="23"/>
      <c r="B3" s="23"/>
      <c r="C3" s="28" t="s">
        <v>1277</v>
      </c>
    </row>
    <row r="4" spans="1:6">
      <c r="A4" s="23"/>
      <c r="B4" s="786" t="s">
        <v>851</v>
      </c>
      <c r="C4" s="786" t="s">
        <v>1959</v>
      </c>
    </row>
    <row r="5" spans="1:6">
      <c r="A5" s="28" t="s">
        <v>1278</v>
      </c>
      <c r="B5" s="23"/>
      <c r="C5" s="23"/>
    </row>
    <row r="6" spans="1:6" ht="25.5">
      <c r="A6" s="509" t="s">
        <v>2472</v>
      </c>
      <c r="B6" s="354">
        <f>'F-21'!C33</f>
        <v>200212.05440869898</v>
      </c>
      <c r="C6" s="354">
        <f ca="1">B39</f>
        <v>223829.92835900001</v>
      </c>
      <c r="F6" s="7"/>
    </row>
    <row r="7" spans="1:6">
      <c r="A7" s="23" t="s">
        <v>1279</v>
      </c>
      <c r="B7" s="36">
        <f>('F-22'!C6*'T-1'!N76)+'F-22'!C7+'F-22'!C8+'F-22'!C9</f>
        <v>623699.18140562694</v>
      </c>
      <c r="C7" s="36">
        <f>('F-22'!D6*'T-1'!S76)+'F-22'!D7+'F-22'!D8+'F-22'!D9</f>
        <v>641318.95947812474</v>
      </c>
    </row>
    <row r="8" spans="1:6">
      <c r="A8" s="23" t="s">
        <v>1280</v>
      </c>
      <c r="B8" s="36">
        <f>14452.16+3500</f>
        <v>17952.16</v>
      </c>
      <c r="C8" s="354">
        <v>9000</v>
      </c>
      <c r="E8">
        <f>139.371170596*100</f>
        <v>13937.117059600001</v>
      </c>
    </row>
    <row r="9" spans="1:6">
      <c r="A9" s="502" t="s">
        <v>2303</v>
      </c>
      <c r="B9" s="36">
        <f>CWIP!M80+CWIP!M81+CWIP!M82+CWIP!M83+CWIP!M84+CWIP!M72</f>
        <v>15505</v>
      </c>
      <c r="C9" s="36">
        <f>CWIP!N80+CWIP!N81+CWIP!N82+CWIP!N83+CWIP!N84+CWIP!N72</f>
        <v>12150</v>
      </c>
      <c r="E9" s="7">
        <f>B9</f>
        <v>15505</v>
      </c>
    </row>
    <row r="10" spans="1:6">
      <c r="A10" s="502" t="s">
        <v>2304</v>
      </c>
      <c r="B10" s="36">
        <f ca="1">SUM(CWIP!U30:V34)*0.3</f>
        <v>15556.903026187583</v>
      </c>
      <c r="C10" s="36">
        <f ca="1">SUM(CWIP!AF30:AG34)*0.3</f>
        <v>16848.103124806134</v>
      </c>
    </row>
    <row r="11" spans="1:6">
      <c r="A11" s="23" t="s">
        <v>1281</v>
      </c>
      <c r="B11" s="36">
        <f>'loan&amp;int'!C39</f>
        <v>0</v>
      </c>
      <c r="C11" s="36">
        <f>'loan&amp;int'!D39</f>
        <v>0</v>
      </c>
      <c r="D11" s="7"/>
    </row>
    <row r="12" spans="1:6">
      <c r="A12" s="23" t="s">
        <v>1282</v>
      </c>
      <c r="B12" s="36">
        <f>'loan&amp;int'!C39/0.7*0.3</f>
        <v>0</v>
      </c>
      <c r="C12" s="36">
        <v>0</v>
      </c>
      <c r="D12" s="7"/>
    </row>
    <row r="13" spans="1:6">
      <c r="A13" s="502" t="s">
        <v>1283</v>
      </c>
      <c r="B13" s="36">
        <f>'loan&amp;int'!C18</f>
        <v>0</v>
      </c>
      <c r="C13" s="36">
        <f>'loan&amp;int'!D18</f>
        <v>0</v>
      </c>
      <c r="D13" s="7"/>
    </row>
    <row r="14" spans="1:6">
      <c r="A14" s="502" t="s">
        <v>1284</v>
      </c>
      <c r="B14" s="36">
        <f>'loan&amp;int'!C29</f>
        <v>0</v>
      </c>
      <c r="C14" s="36">
        <f>'loan&amp;int'!D29</f>
        <v>0</v>
      </c>
      <c r="D14" s="7"/>
    </row>
    <row r="15" spans="1:6">
      <c r="A15" s="23" t="s">
        <v>1285</v>
      </c>
      <c r="B15" s="36">
        <v>0</v>
      </c>
      <c r="C15" s="36">
        <v>0</v>
      </c>
      <c r="D15" s="7"/>
    </row>
    <row r="16" spans="1:6">
      <c r="A16" s="23" t="s">
        <v>1286</v>
      </c>
      <c r="B16" s="36">
        <v>0</v>
      </c>
      <c r="C16" s="36">
        <v>0</v>
      </c>
      <c r="D16" s="7"/>
    </row>
    <row r="17" spans="1:14">
      <c r="A17" s="23" t="s">
        <v>1287</v>
      </c>
      <c r="B17" s="36">
        <v>0</v>
      </c>
      <c r="C17" s="36">
        <v>0</v>
      </c>
      <c r="D17" s="7"/>
    </row>
    <row r="18" spans="1:14">
      <c r="A18" s="23" t="s">
        <v>1288</v>
      </c>
      <c r="B18" s="36">
        <v>0</v>
      </c>
      <c r="C18" s="36">
        <v>0</v>
      </c>
      <c r="D18" s="7"/>
    </row>
    <row r="19" spans="1:14">
      <c r="A19" s="23" t="s">
        <v>1289</v>
      </c>
      <c r="B19" s="36">
        <f ca="1">'loan&amp;int'!C50</f>
        <v>41635.458132420034</v>
      </c>
      <c r="C19" s="36">
        <f ca="1">'loan&amp;int'!D50</f>
        <v>45091.139996356149</v>
      </c>
      <c r="E19" s="7">
        <f ca="1">B19</f>
        <v>41635.458132420034</v>
      </c>
    </row>
    <row r="20" spans="1:14">
      <c r="A20" s="23" t="s">
        <v>1290</v>
      </c>
      <c r="B20" s="36">
        <f>'loan&amp;int'!C95</f>
        <v>0</v>
      </c>
      <c r="C20" s="36">
        <f>'loan&amp;int'!D95</f>
        <v>0</v>
      </c>
      <c r="E20" s="7">
        <f>B20</f>
        <v>0</v>
      </c>
    </row>
    <row r="21" spans="1:14">
      <c r="A21" s="24" t="s">
        <v>147</v>
      </c>
      <c r="B21" s="37">
        <f ca="1">SUM(B6:B20)</f>
        <v>914560.75697293365</v>
      </c>
      <c r="C21" s="37">
        <f ca="1">SUM(C6:C20)</f>
        <v>948238.13095828705</v>
      </c>
      <c r="D21" s="7"/>
      <c r="E21" s="12">
        <f ca="1">SUM(E6:E20)</f>
        <v>71077.575192020042</v>
      </c>
    </row>
    <row r="22" spans="1:14">
      <c r="A22" s="28" t="s">
        <v>1291</v>
      </c>
      <c r="B22" s="36"/>
      <c r="C22" s="36"/>
      <c r="D22" s="7"/>
      <c r="E22" s="7"/>
    </row>
    <row r="23" spans="1:14">
      <c r="A23" s="23"/>
      <c r="B23" s="36"/>
      <c r="C23" s="36"/>
    </row>
    <row r="24" spans="1:14">
      <c r="A24" s="23" t="s">
        <v>1292</v>
      </c>
      <c r="B24" s="36">
        <f>'F-22'!C12+'F-22'!C13</f>
        <v>485922.87102627999</v>
      </c>
      <c r="C24" s="36">
        <f>'F-22'!D12</f>
        <v>510006.71600000001</v>
      </c>
    </row>
    <row r="25" spans="1:14">
      <c r="A25" s="23" t="s">
        <v>1293</v>
      </c>
      <c r="B25" s="36">
        <f>'F-12'!W33</f>
        <v>58368.022321780569</v>
      </c>
      <c r="C25" s="354">
        <f>'F-12'!AD33-C34</f>
        <v>64063.950239203798</v>
      </c>
      <c r="I25" s="327"/>
      <c r="J25" s="7"/>
      <c r="K25" s="7"/>
      <c r="M25" s="7"/>
      <c r="N25" s="7"/>
    </row>
    <row r="26" spans="1:14">
      <c r="A26" s="23" t="s">
        <v>1294</v>
      </c>
      <c r="B26" s="36">
        <f>'F-14'!F66</f>
        <v>17375.903063534577</v>
      </c>
      <c r="C26" s="354">
        <f>'F-14'!G66</f>
        <v>26215.699940195998</v>
      </c>
      <c r="I26" s="327"/>
      <c r="J26" s="7"/>
      <c r="K26" s="7"/>
      <c r="M26" s="7"/>
      <c r="N26" s="7"/>
    </row>
    <row r="27" spans="1:14">
      <c r="A27" s="23" t="s">
        <v>1295</v>
      </c>
      <c r="B27" s="36">
        <f>'F-13'!E16</f>
        <v>30235.604208343204</v>
      </c>
      <c r="C27" s="354">
        <f ca="1">'F-13'!F16</f>
        <v>34601.089123978767</v>
      </c>
      <c r="I27" s="327"/>
      <c r="J27" s="7"/>
      <c r="K27" s="7"/>
      <c r="M27" s="7"/>
      <c r="N27" s="7"/>
    </row>
    <row r="28" spans="1:14">
      <c r="A28" s="23" t="s">
        <v>1296</v>
      </c>
      <c r="B28" s="36">
        <f>'loan&amp;int'!C40+'loan&amp;int'!C74+'loan&amp;int'!C96++'loan&amp;int'!C51</f>
        <v>2054.5860381855859</v>
      </c>
      <c r="C28" s="36">
        <f ca="1">'loan&amp;int'!D40+'loan&amp;int'!D74+'loan&amp;int'!D96++'loan&amp;int'!D51</f>
        <v>7478.0703427743556</v>
      </c>
      <c r="I28" s="327"/>
      <c r="J28" s="7"/>
      <c r="K28" s="7"/>
      <c r="M28" s="7"/>
      <c r="N28" s="7"/>
    </row>
    <row r="29" spans="1:14">
      <c r="A29" s="502" t="s">
        <v>1297</v>
      </c>
      <c r="B29" s="36">
        <f ca="1">(('loan&amp;int'!C14+'loan&amp;int'!C24+'loan&amp;int'!C35+'loan&amp;int'!C68+'loan&amp;int'!C45+'loan&amp;int'!C56))+'loan&amp;int'!C79</f>
        <v>1815.884273971282</v>
      </c>
      <c r="C29" s="354">
        <f ca="1">'loan&amp;int'!D12+'loan&amp;int'!D68+'loan&amp;int'!D79+'loan&amp;int'!D45+'loan&amp;int'!D56+'loan&amp;int'!D90</f>
        <v>7591.4493272218879</v>
      </c>
      <c r="I29" s="327"/>
      <c r="J29" s="7"/>
      <c r="K29" s="7"/>
      <c r="M29" s="7"/>
      <c r="N29" s="7"/>
    </row>
    <row r="30" spans="1:14">
      <c r="A30" s="502" t="s">
        <v>1298</v>
      </c>
      <c r="B30" s="354">
        <f>'loan&amp;int'!C101+'loan&amp;int'!C109</f>
        <v>10072.259134974909</v>
      </c>
      <c r="C30" s="354">
        <f ca="1">'loan&amp;int'!D101+'loan&amp;int'!D109</f>
        <v>10570.303974073757</v>
      </c>
      <c r="H30" s="2"/>
      <c r="I30" s="327"/>
      <c r="J30" s="7"/>
      <c r="K30" s="7"/>
      <c r="M30" s="7"/>
      <c r="N30" s="7"/>
    </row>
    <row r="31" spans="1:14">
      <c r="A31" s="23" t="s">
        <v>1299</v>
      </c>
      <c r="B31" s="36">
        <f>603.13+1000</f>
        <v>1603.13</v>
      </c>
      <c r="C31" s="354">
        <v>2500</v>
      </c>
      <c r="I31" s="327"/>
      <c r="J31" s="7"/>
      <c r="K31" s="7"/>
      <c r="M31" s="7"/>
      <c r="N31" s="7"/>
    </row>
    <row r="32" spans="1:14">
      <c r="A32" s="23" t="s">
        <v>1300</v>
      </c>
      <c r="B32" s="36">
        <v>0</v>
      </c>
      <c r="C32" s="36">
        <v>0</v>
      </c>
      <c r="I32" s="327"/>
      <c r="J32" s="7"/>
      <c r="K32" s="7"/>
      <c r="M32" s="7"/>
      <c r="N32" s="7"/>
    </row>
    <row r="33" spans="1:16">
      <c r="A33" s="23" t="s">
        <v>1301</v>
      </c>
      <c r="B33" s="36"/>
      <c r="C33" s="354"/>
      <c r="D33" s="7"/>
      <c r="I33" s="327"/>
      <c r="J33" s="7"/>
      <c r="K33" s="7"/>
      <c r="M33" s="7"/>
      <c r="N33" s="7"/>
      <c r="P33" s="7"/>
    </row>
    <row r="34" spans="1:16">
      <c r="A34" s="23" t="s">
        <v>1302</v>
      </c>
      <c r="B34" s="36">
        <f>5600*30%*0</f>
        <v>0</v>
      </c>
      <c r="C34" s="36">
        <f>'F-12'!AD12</f>
        <v>0</v>
      </c>
      <c r="D34" s="7"/>
      <c r="I34" s="327"/>
      <c r="J34" s="7"/>
      <c r="K34" s="7"/>
      <c r="M34" s="7"/>
      <c r="N34" s="7"/>
      <c r="P34" s="7"/>
    </row>
    <row r="35" spans="1:16">
      <c r="A35" s="23" t="s">
        <v>1303</v>
      </c>
      <c r="B35" s="36">
        <f ca="1">CWIP!P45</f>
        <v>82732.568546863447</v>
      </c>
      <c r="C35" s="354">
        <f ca="1">CWIP!AA45</f>
        <v>88123.423481155012</v>
      </c>
      <c r="I35" s="327"/>
      <c r="J35" s="7"/>
      <c r="K35" s="7"/>
      <c r="M35" s="7"/>
      <c r="N35" s="7"/>
      <c r="P35" s="7"/>
    </row>
    <row r="36" spans="1:16">
      <c r="A36" s="23" t="s">
        <v>1304</v>
      </c>
      <c r="B36" s="36">
        <v>550</v>
      </c>
      <c r="C36" s="354">
        <v>800</v>
      </c>
      <c r="J36" s="12"/>
      <c r="K36" s="12"/>
      <c r="L36" s="12"/>
      <c r="M36" s="12"/>
      <c r="P36" s="12"/>
    </row>
    <row r="37" spans="1:16">
      <c r="A37" s="23"/>
      <c r="B37" s="36"/>
      <c r="C37" s="36"/>
    </row>
    <row r="38" spans="1:16">
      <c r="A38" s="75" t="s">
        <v>147</v>
      </c>
      <c r="B38" s="37">
        <f ca="1">SUM(B24:B37)</f>
        <v>690730.82861393364</v>
      </c>
      <c r="C38" s="37">
        <f ca="1">SUM(C24:C37)</f>
        <v>751950.70242860354</v>
      </c>
    </row>
    <row r="39" spans="1:16">
      <c r="A39" s="28" t="s">
        <v>1305</v>
      </c>
      <c r="B39" s="135">
        <f ca="1">B21-B38</f>
        <v>223829.92835900001</v>
      </c>
      <c r="C39" s="135">
        <f ca="1">C21-C38</f>
        <v>196287.4285296835</v>
      </c>
    </row>
    <row r="40" spans="1:16" ht="25.5">
      <c r="A40" s="509" t="s">
        <v>1306</v>
      </c>
      <c r="B40" s="36">
        <f>(85725+B8-B31)+29288</f>
        <v>131362.03</v>
      </c>
      <c r="C40" s="36">
        <f>B40+C8-C31</f>
        <v>137862.03</v>
      </c>
    </row>
    <row r="41" spans="1:16">
      <c r="A41" s="23" t="s">
        <v>1307</v>
      </c>
      <c r="B41" s="135">
        <f ca="1">B39-B40</f>
        <v>92467.898359000013</v>
      </c>
      <c r="C41" s="135">
        <f ca="1">C39-C40</f>
        <v>58425.398529683502</v>
      </c>
    </row>
    <row r="42" spans="1:16">
      <c r="B42" s="217"/>
      <c r="C42" s="7"/>
    </row>
    <row r="43" spans="1:16">
      <c r="A43" s="232"/>
      <c r="C43" s="7"/>
    </row>
    <row r="44" spans="1:16">
      <c r="B44" s="76"/>
    </row>
  </sheetData>
  <mergeCells count="1">
    <mergeCell ref="A2:C2"/>
  </mergeCells>
  <phoneticPr fontId="0" type="noConversion"/>
  <printOptions horizontalCentered="1"/>
  <pageMargins left="0.74803149606299213" right="0.51181102362204722" top="0.74803149606299213" bottom="0.51181102362204722" header="0.51181102362204722" footer="0.51181102362204722"/>
  <pageSetup paperSize="9" scale="110" orientation="portrait" r:id="rId1"/>
  <headerFooter alignWithMargins="0">
    <oddFooter>&amp;R&amp;"Arial,Bold"&amp;12&amp;A</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K13"/>
  <sheetViews>
    <sheetView view="pageBreakPreview" zoomScale="84" zoomScaleSheetLayoutView="84" workbookViewId="0">
      <selection activeCell="C13" sqref="C13"/>
    </sheetView>
  </sheetViews>
  <sheetFormatPr defaultColWidth="9.140625" defaultRowHeight="15.75"/>
  <cols>
    <col min="1" max="1" width="5.140625" style="437" customWidth="1"/>
    <col min="2" max="2" width="18.85546875" style="437" bestFit="1" customWidth="1"/>
    <col min="3" max="3" width="12.28515625" style="437" bestFit="1" customWidth="1"/>
    <col min="4" max="4" width="10.85546875" style="437" bestFit="1" customWidth="1"/>
    <col min="5" max="5" width="11" style="437" bestFit="1" customWidth="1"/>
    <col min="6" max="6" width="13.42578125" style="437" bestFit="1" customWidth="1"/>
    <col min="7" max="7" width="12.42578125" style="437" bestFit="1" customWidth="1"/>
    <col min="8" max="8" width="13.7109375" style="437" bestFit="1" customWidth="1"/>
    <col min="9" max="9" width="11.28515625" style="437" bestFit="1" customWidth="1"/>
    <col min="10" max="10" width="10.42578125" style="437" customWidth="1"/>
    <col min="11" max="11" width="9.140625" style="437"/>
    <col min="12" max="12" width="20.42578125" style="437" customWidth="1"/>
    <col min="13" max="16384" width="9.140625" style="437"/>
  </cols>
  <sheetData>
    <row r="1" spans="1:11">
      <c r="A1" s="20" t="s">
        <v>106</v>
      </c>
    </row>
    <row r="2" spans="1:11" ht="15.75" customHeight="1">
      <c r="A2" s="1916" t="s">
        <v>1308</v>
      </c>
      <c r="B2" s="1916"/>
      <c r="C2" s="1916"/>
      <c r="D2" s="1916"/>
      <c r="E2" s="1916"/>
      <c r="F2" s="1916"/>
      <c r="G2" s="1916"/>
      <c r="H2" s="1916"/>
      <c r="I2" s="1916"/>
      <c r="J2" s="1916"/>
    </row>
    <row r="3" spans="1:11" ht="18.75">
      <c r="A3" s="1917" t="s">
        <v>1309</v>
      </c>
      <c r="B3" s="1917"/>
      <c r="C3" s="1917"/>
      <c r="D3" s="1917"/>
      <c r="E3" s="1917"/>
      <c r="F3" s="1917"/>
      <c r="G3" s="1917"/>
      <c r="H3" s="1917"/>
      <c r="I3" s="1917"/>
      <c r="J3" s="1917"/>
    </row>
    <row r="4" spans="1:11" s="447" customFormat="1" ht="81.75" customHeight="1">
      <c r="A4" s="444"/>
      <c r="B4" s="444"/>
      <c r="C4" s="445" t="s">
        <v>2244</v>
      </c>
      <c r="D4" s="445" t="s">
        <v>1310</v>
      </c>
      <c r="E4" s="445" t="s">
        <v>1311</v>
      </c>
      <c r="F4" s="445" t="s">
        <v>1312</v>
      </c>
      <c r="G4" s="445" t="s">
        <v>2245</v>
      </c>
      <c r="H4" s="445" t="s">
        <v>1313</v>
      </c>
      <c r="I4" s="445" t="s">
        <v>1314</v>
      </c>
      <c r="J4" s="445" t="s">
        <v>2246</v>
      </c>
      <c r="K4" s="446"/>
    </row>
    <row r="5" spans="1:11" ht="24.95" customHeight="1">
      <c r="A5" s="438" t="s">
        <v>109</v>
      </c>
      <c r="B5" s="441" t="s">
        <v>1315</v>
      </c>
      <c r="C5" s="439"/>
      <c r="D5" s="439"/>
      <c r="E5" s="439"/>
      <c r="F5" s="439"/>
      <c r="G5" s="439"/>
      <c r="H5" s="439"/>
      <c r="I5" s="439"/>
      <c r="J5" s="439"/>
      <c r="K5" s="440"/>
    </row>
    <row r="6" spans="1:11" ht="24.95" customHeight="1">
      <c r="A6" s="438">
        <v>1</v>
      </c>
      <c r="B6" s="438" t="s">
        <v>1316</v>
      </c>
      <c r="C6" s="442">
        <v>90402.47</v>
      </c>
      <c r="D6" s="442">
        <f>C6*4.75%</f>
        <v>4294.1173250000002</v>
      </c>
      <c r="E6" s="442">
        <f>'F-23 CASHFLOW'!B8</f>
        <v>17952.16</v>
      </c>
      <c r="F6" s="442">
        <f>'F-23 CASHFLOW'!B31</f>
        <v>1603.13</v>
      </c>
      <c r="G6" s="442">
        <f>C6+D6+E6-F6</f>
        <v>111045.617325</v>
      </c>
      <c r="H6" s="442">
        <f>'F-23 CASHFLOW'!C8</f>
        <v>9000</v>
      </c>
      <c r="I6" s="442">
        <f>'F-23 CASHFLOW'!C31</f>
        <v>2500</v>
      </c>
      <c r="J6" s="442">
        <f>G6+H6-I6</f>
        <v>117545.617325</v>
      </c>
    </row>
    <row r="7" spans="1:11" ht="24.95" customHeight="1">
      <c r="A7" s="438">
        <v>2</v>
      </c>
      <c r="B7" s="438" t="s">
        <v>1317</v>
      </c>
      <c r="C7" s="442">
        <v>20950.654999999999</v>
      </c>
      <c r="D7" s="442">
        <f>C7*7.87%</f>
        <v>1648.8165485</v>
      </c>
      <c r="E7" s="442">
        <f>17200</f>
        <v>17200</v>
      </c>
      <c r="F7" s="442">
        <f>'F-12'!W31</f>
        <v>17293.706787700001</v>
      </c>
      <c r="G7" s="442">
        <f>C7+D7+E7-F7</f>
        <v>22505.764760799997</v>
      </c>
      <c r="H7" s="442">
        <v>17800</v>
      </c>
      <c r="I7" s="442">
        <f>'F-12'!AD31</f>
        <v>17812.517991331002</v>
      </c>
      <c r="J7" s="442">
        <f>G7+H7-I7</f>
        <v>22493.246769468995</v>
      </c>
    </row>
    <row r="8" spans="1:11" ht="24.95" customHeight="1">
      <c r="A8" s="438">
        <v>3</v>
      </c>
      <c r="B8" s="438" t="s">
        <v>1318</v>
      </c>
      <c r="C8" s="442">
        <v>4142.5066900000002</v>
      </c>
      <c r="D8" s="442">
        <f>C8*8.28%</f>
        <v>342.99955393200003</v>
      </c>
      <c r="E8" s="442">
        <f>4500</f>
        <v>4500</v>
      </c>
      <c r="F8" s="442">
        <f>'F-12'!W32</f>
        <v>4103.3190050000003</v>
      </c>
      <c r="G8" s="442">
        <f>C8+D8+E8-F8</f>
        <v>4882.1872389319988</v>
      </c>
      <c r="H8" s="442">
        <v>2000</v>
      </c>
      <c r="I8" s="442">
        <f>'F-12'!AD32</f>
        <v>4403.6277993500007</v>
      </c>
      <c r="J8" s="442">
        <f>G8+H8-I8</f>
        <v>2478.559439581998</v>
      </c>
    </row>
    <row r="9" spans="1:11" ht="32.25" customHeight="1">
      <c r="A9" s="438" t="s">
        <v>137</v>
      </c>
      <c r="B9" s="443" t="s">
        <v>2332</v>
      </c>
      <c r="C9" s="784" t="s">
        <v>1319</v>
      </c>
      <c r="D9" s="784" t="s">
        <v>1320</v>
      </c>
      <c r="E9" s="785" t="s">
        <v>1321</v>
      </c>
      <c r="F9" s="785" t="s">
        <v>1322</v>
      </c>
      <c r="G9" s="784" t="s">
        <v>147</v>
      </c>
      <c r="H9" s="438"/>
      <c r="I9" s="438"/>
      <c r="J9" s="438"/>
    </row>
    <row r="10" spans="1:11" ht="24.95" customHeight="1">
      <c r="A10" s="438">
        <v>1</v>
      </c>
      <c r="B10" s="438" t="s">
        <v>1323</v>
      </c>
      <c r="C10" s="1918">
        <f>G10</f>
        <v>90402.47</v>
      </c>
      <c r="D10" s="1919"/>
      <c r="E10" s="438"/>
      <c r="F10" s="438"/>
      <c r="G10" s="442">
        <f>C6</f>
        <v>90402.47</v>
      </c>
      <c r="H10" s="438"/>
      <c r="I10" s="442"/>
      <c r="J10" s="438"/>
    </row>
    <row r="11" spans="1:11" ht="24.95" customHeight="1">
      <c r="A11" s="438">
        <v>2</v>
      </c>
      <c r="B11" s="438" t="s">
        <v>1317</v>
      </c>
      <c r="C11" s="442">
        <v>2100</v>
      </c>
      <c r="D11" s="442">
        <v>7595</v>
      </c>
      <c r="E11" s="442">
        <v>11000</v>
      </c>
      <c r="F11" s="442">
        <f>G11-SUM(C11:E11)</f>
        <v>255.65499999999884</v>
      </c>
      <c r="G11" s="442">
        <f>C7</f>
        <v>20950.654999999999</v>
      </c>
      <c r="H11" s="438"/>
      <c r="I11" s="438"/>
      <c r="J11" s="438"/>
    </row>
    <row r="12" spans="1:11" ht="24.95" customHeight="1">
      <c r="A12" s="438">
        <v>3</v>
      </c>
      <c r="B12" s="438" t="s">
        <v>1318</v>
      </c>
      <c r="C12" s="442">
        <v>42.51</v>
      </c>
      <c r="D12" s="442">
        <v>1730</v>
      </c>
      <c r="E12" s="442">
        <v>2370</v>
      </c>
      <c r="F12" s="442">
        <f>G12-SUM(C12:E12)</f>
        <v>-3.3100000000558794E-3</v>
      </c>
      <c r="G12" s="442">
        <f>C8</f>
        <v>4142.5066900000002</v>
      </c>
      <c r="H12" s="438"/>
      <c r="I12" s="438"/>
      <c r="J12" s="438"/>
    </row>
    <row r="13" spans="1:11">
      <c r="G13" s="475"/>
    </row>
  </sheetData>
  <mergeCells count="3">
    <mergeCell ref="A2:J2"/>
    <mergeCell ref="A3:J3"/>
    <mergeCell ref="C10:D10"/>
  </mergeCells>
  <phoneticPr fontId="84" type="noConversion"/>
  <printOptions gridLines="1"/>
  <pageMargins left="1.1811023622047245" right="0.70866141732283472" top="0.74803149606299213" bottom="0.74803149606299213" header="0.31496062992125984" footer="0.31496062992125984"/>
  <pageSetup scale="99" orientation="landscape" r:id="rId1"/>
  <headerFooter>
    <oddFooter>&amp;R&amp;"Arial,Bold"&amp;12OERC FORM &amp;A</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I40"/>
  <sheetViews>
    <sheetView view="pageBreakPreview" topLeftCell="A19" zoomScale="89" zoomScaleSheetLayoutView="89" workbookViewId="0">
      <selection activeCell="A10" sqref="A10"/>
    </sheetView>
  </sheetViews>
  <sheetFormatPr defaultRowHeight="12.75"/>
  <cols>
    <col min="1" max="1" width="6.140625" customWidth="1"/>
    <col min="2" max="2" width="51.140625" customWidth="1"/>
    <col min="3" max="3" width="13.5703125" bestFit="1" customWidth="1"/>
    <col min="4" max="4" width="13.5703125" hidden="1" customWidth="1"/>
    <col min="5" max="5" width="13.85546875" customWidth="1"/>
    <col min="6" max="6" width="13.28515625" bestFit="1" customWidth="1"/>
    <col min="8" max="9" width="10.5703125" bestFit="1" customWidth="1"/>
    <col min="10" max="10" width="21.140625" customWidth="1"/>
  </cols>
  <sheetData>
    <row r="1" spans="1:9" ht="24" customHeight="1">
      <c r="A1" s="25" t="s">
        <v>106</v>
      </c>
      <c r="E1" s="2" t="s">
        <v>1324</v>
      </c>
    </row>
    <row r="2" spans="1:9" ht="18">
      <c r="A2" s="1667" t="s">
        <v>1325</v>
      </c>
      <c r="F2" t="s">
        <v>1326</v>
      </c>
    </row>
    <row r="3" spans="1:9" ht="38.25">
      <c r="A3" s="1668" t="s">
        <v>551</v>
      </c>
      <c r="B3" s="1668"/>
      <c r="C3" s="72" t="s">
        <v>1327</v>
      </c>
      <c r="D3" s="72" t="s">
        <v>1328</v>
      </c>
      <c r="E3" s="72" t="s">
        <v>1329</v>
      </c>
      <c r="F3" s="72" t="s">
        <v>986</v>
      </c>
    </row>
    <row r="4" spans="1:9" ht="29.25" customHeight="1">
      <c r="A4" s="502"/>
      <c r="B4" s="509" t="s">
        <v>2334</v>
      </c>
      <c r="C4" s="502">
        <f>128844-85725-29288</f>
        <v>13831</v>
      </c>
      <c r="D4" s="354">
        <f>C34</f>
        <v>53274.53622560791</v>
      </c>
      <c r="E4" s="354">
        <f>C34</f>
        <v>53274.53622560791</v>
      </c>
      <c r="F4" s="354">
        <f ca="1">E34</f>
        <v>69133.360537513392</v>
      </c>
    </row>
    <row r="5" spans="1:9" ht="16.5" customHeight="1">
      <c r="A5" s="502" t="s">
        <v>109</v>
      </c>
      <c r="B5" s="1512" t="s">
        <v>1330</v>
      </c>
      <c r="C5" s="502"/>
      <c r="D5" s="502"/>
      <c r="E5" s="502"/>
      <c r="F5" s="502"/>
    </row>
    <row r="6" spans="1:9" ht="16.5" customHeight="1">
      <c r="A6" s="502">
        <v>1</v>
      </c>
      <c r="B6" s="502" t="s">
        <v>1331</v>
      </c>
      <c r="C6" s="1669">
        <v>404956</v>
      </c>
      <c r="D6" s="502"/>
      <c r="E6" s="354">
        <f>('F-22'!C6+'F-22'!C7)*'T-1'!N76</f>
        <v>566856.01485096407</v>
      </c>
      <c r="F6" s="354">
        <f>('F-22'!D6+'F-22'!D7)*'T-1'!S76</f>
        <v>611010.55898479139</v>
      </c>
    </row>
    <row r="7" spans="1:9" ht="16.5" customHeight="1">
      <c r="A7" s="502">
        <v>2</v>
      </c>
      <c r="B7" s="502" t="s">
        <v>1332</v>
      </c>
      <c r="C7" s="7">
        <v>5779.86</v>
      </c>
      <c r="D7" s="502"/>
      <c r="E7" s="354">
        <f>(E12*0)+(E13+E14)*0.02</f>
        <v>685.24359869359989</v>
      </c>
      <c r="F7" s="354">
        <f>(F12*0.01)+(F13+F14)*0.01</f>
        <v>5100.0671599999996</v>
      </c>
    </row>
    <row r="8" spans="1:9" ht="25.5">
      <c r="A8" s="502">
        <v>3</v>
      </c>
      <c r="B8" s="509" t="s">
        <v>1333</v>
      </c>
      <c r="C8" s="1669"/>
      <c r="D8" s="502"/>
      <c r="E8" s="502"/>
      <c r="F8" s="502"/>
    </row>
    <row r="9" spans="1:9" ht="16.5" customHeight="1">
      <c r="A9" s="502">
        <v>4</v>
      </c>
      <c r="B9" s="502" t="s">
        <v>1334</v>
      </c>
      <c r="C9" s="1669">
        <f>46063.7-5779.86</f>
        <v>40283.839999999997</v>
      </c>
      <c r="D9" s="502"/>
      <c r="E9" s="354">
        <f>('F-22'!C8+'F-22'!C9)*'T-1'!N76</f>
        <v>52108.109891132248</v>
      </c>
      <c r="F9" s="354">
        <f>('F-22'!D8+'F-22'!D9)*'T-1'!S76</f>
        <v>28644.0664884</v>
      </c>
    </row>
    <row r="10" spans="1:9" ht="16.5" customHeight="1">
      <c r="A10" s="502"/>
      <c r="B10" s="75" t="s">
        <v>1335</v>
      </c>
      <c r="C10" s="37">
        <f>SUM(C6:C9)</f>
        <v>451019.69999999995</v>
      </c>
      <c r="D10" s="28">
        <f>SUM(D6:D9)</f>
        <v>0</v>
      </c>
      <c r="E10" s="37">
        <f>SUM(E6:E9)</f>
        <v>619649.36834078992</v>
      </c>
      <c r="F10" s="37">
        <f>SUM(F6:F9)</f>
        <v>644754.69263319136</v>
      </c>
    </row>
    <row r="11" spans="1:9" ht="16.5" customHeight="1">
      <c r="A11" s="502" t="s">
        <v>137</v>
      </c>
      <c r="B11" s="1512" t="s">
        <v>1336</v>
      </c>
      <c r="C11" s="502"/>
      <c r="D11" s="502"/>
      <c r="E11" s="502"/>
      <c r="F11" s="502"/>
    </row>
    <row r="12" spans="1:9" ht="16.5" customHeight="1">
      <c r="A12" s="502">
        <v>1</v>
      </c>
      <c r="B12" s="502" t="s">
        <v>1337</v>
      </c>
      <c r="C12" s="354">
        <f>'F-6'!G6</f>
        <v>308424.72017979203</v>
      </c>
      <c r="D12" s="502"/>
      <c r="E12" s="354">
        <f>'F-6'!L9-E13-E14-E15</f>
        <v>451660.69109159999</v>
      </c>
      <c r="F12" s="354">
        <f>'F-6'!P9-F13-F14-F15</f>
        <v>474000</v>
      </c>
      <c r="H12" s="7"/>
      <c r="I12" s="7"/>
    </row>
    <row r="13" spans="1:9" ht="16.5" customHeight="1">
      <c r="A13" s="502">
        <v>2</v>
      </c>
      <c r="B13" s="502" t="s">
        <v>1338</v>
      </c>
      <c r="C13" s="354">
        <f>'F-6'!G7</f>
        <v>24793.895049999999</v>
      </c>
      <c r="D13" s="502"/>
      <c r="E13" s="354">
        <f>'F-6'!L7</f>
        <v>34095.463934679996</v>
      </c>
      <c r="F13" s="354">
        <f>'F-6'!P7</f>
        <v>35840</v>
      </c>
      <c r="H13" s="7"/>
    </row>
    <row r="14" spans="1:9" ht="16.5" customHeight="1">
      <c r="A14" s="502">
        <v>3</v>
      </c>
      <c r="B14" s="502" t="s">
        <v>678</v>
      </c>
      <c r="C14" s="354">
        <f>'F-6'!G8</f>
        <v>147.15476999999998</v>
      </c>
      <c r="D14" s="502"/>
      <c r="E14" s="354">
        <f>'F-6'!L8</f>
        <v>166.71600000000001</v>
      </c>
      <c r="F14" s="354">
        <f>'F-6'!P8</f>
        <v>166.71600000000001</v>
      </c>
    </row>
    <row r="15" spans="1:9" ht="16.5" customHeight="1">
      <c r="A15" s="502">
        <v>4</v>
      </c>
      <c r="B15" s="502" t="s">
        <v>1339</v>
      </c>
      <c r="C15" s="354">
        <v>0</v>
      </c>
      <c r="D15" s="502"/>
      <c r="E15" s="354">
        <f>'F-4'!O49</f>
        <v>0</v>
      </c>
      <c r="F15" s="354">
        <f>'F-4'!M58</f>
        <v>0</v>
      </c>
    </row>
    <row r="16" spans="1:9" ht="16.5" customHeight="1">
      <c r="A16" s="502">
        <v>5</v>
      </c>
      <c r="B16" s="502" t="s">
        <v>624</v>
      </c>
      <c r="C16" s="37">
        <f>SUM(C12:C15)</f>
        <v>333365.76999979204</v>
      </c>
      <c r="D16" s="37">
        <f>SUM(D12:D15)</f>
        <v>0</v>
      </c>
      <c r="E16" s="37">
        <f>SUM(E12:E15)</f>
        <v>485922.87102627999</v>
      </c>
      <c r="F16" s="37">
        <f>SUM(F12:F15)</f>
        <v>510006.71600000001</v>
      </c>
      <c r="H16" s="7"/>
      <c r="I16" s="7"/>
    </row>
    <row r="17" spans="1:9" ht="16.5" customHeight="1">
      <c r="A17" s="502"/>
      <c r="B17" s="502" t="s">
        <v>1001</v>
      </c>
      <c r="C17" s="502"/>
      <c r="D17" s="502"/>
      <c r="E17" s="502"/>
      <c r="F17" s="502"/>
    </row>
    <row r="18" spans="1:9" ht="16.5" customHeight="1">
      <c r="A18" s="502">
        <v>1</v>
      </c>
      <c r="B18" s="502" t="s">
        <v>862</v>
      </c>
      <c r="C18" s="1923">
        <v>11956.599439400001</v>
      </c>
      <c r="D18" s="502"/>
      <c r="E18" s="502"/>
      <c r="F18" s="502"/>
      <c r="H18" s="7"/>
      <c r="I18" s="7"/>
    </row>
    <row r="19" spans="1:9" ht="16.5" customHeight="1">
      <c r="A19" s="502">
        <v>2</v>
      </c>
      <c r="B19" s="502" t="s">
        <v>864</v>
      </c>
      <c r="C19" s="1924"/>
      <c r="D19" s="502"/>
      <c r="E19" s="354">
        <f>'F-12'!W7</f>
        <v>16399.764166666668</v>
      </c>
      <c r="F19" s="354">
        <f>'F-12'!AD7</f>
        <v>20751.814300000005</v>
      </c>
    </row>
    <row r="20" spans="1:9" ht="16.5" customHeight="1">
      <c r="A20" s="502">
        <v>3</v>
      </c>
      <c r="B20" s="502" t="s">
        <v>925</v>
      </c>
      <c r="C20" s="650">
        <f>'F-12'!I9</f>
        <v>2341.5666112999997</v>
      </c>
      <c r="D20" s="502"/>
      <c r="E20" s="354">
        <f>'F-12'!W9</f>
        <v>4975.8606</v>
      </c>
      <c r="F20" s="354">
        <f>'F-12'!AD9</f>
        <v>5984.4604950000012</v>
      </c>
      <c r="H20" s="7"/>
    </row>
    <row r="21" spans="1:9" ht="16.5" customHeight="1">
      <c r="A21" s="502">
        <v>4</v>
      </c>
      <c r="B21" s="502" t="s">
        <v>1340</v>
      </c>
      <c r="C21" s="650">
        <f>'F-12'!I10</f>
        <v>1958.0084331000003</v>
      </c>
      <c r="D21" s="502"/>
      <c r="E21" s="354">
        <f>'F-12'!W10</f>
        <v>2613.4646000000002</v>
      </c>
      <c r="F21" s="354">
        <f>'F-12'!AD10</f>
        <v>2670.7804380000002</v>
      </c>
      <c r="H21" s="7"/>
    </row>
    <row r="22" spans="1:9" ht="16.5" customHeight="1">
      <c r="A22" s="502">
        <v>5</v>
      </c>
      <c r="B22" s="502" t="s">
        <v>1341</v>
      </c>
      <c r="C22" s="650">
        <f>'F-12'!I21</f>
        <v>1038.4918107999999</v>
      </c>
      <c r="D22" s="502"/>
      <c r="E22" s="354">
        <f>'F-12'!W21</f>
        <v>845.14814168400005</v>
      </c>
      <c r="F22" s="354">
        <f>'F-12'!AD21</f>
        <v>1070.6040680187202</v>
      </c>
      <c r="H22" s="7"/>
    </row>
    <row r="23" spans="1:9" ht="16.5" customHeight="1">
      <c r="A23" s="502">
        <v>6</v>
      </c>
      <c r="B23" s="502" t="s">
        <v>870</v>
      </c>
      <c r="C23" s="650">
        <f>'F-12'!I11</f>
        <v>2265.8590807</v>
      </c>
      <c r="D23" s="502"/>
      <c r="E23" s="354">
        <f>'F-12'!W11</f>
        <v>3276.623</v>
      </c>
      <c r="F23" s="354">
        <f>'F-12'!AD11</f>
        <v>3525.2313887961623</v>
      </c>
      <c r="H23" s="7"/>
      <c r="I23" s="7"/>
    </row>
    <row r="24" spans="1:9" ht="27.75" customHeight="1">
      <c r="A24" s="502">
        <v>7</v>
      </c>
      <c r="B24" s="509" t="s">
        <v>2335</v>
      </c>
      <c r="C24" s="1670">
        <v>1313</v>
      </c>
      <c r="D24" s="502"/>
      <c r="E24" s="354">
        <f>'F-12'!W12</f>
        <v>1980</v>
      </c>
      <c r="F24" s="354">
        <f>'F-12'!AD12</f>
        <v>0</v>
      </c>
    </row>
    <row r="25" spans="1:9">
      <c r="A25" s="502">
        <v>8</v>
      </c>
      <c r="B25" s="502" t="s">
        <v>1342</v>
      </c>
      <c r="C25" s="1920">
        <f>('F-12'!I31+'F-12'!I32+'F-12'!I24)</f>
        <v>23337.2032874</v>
      </c>
      <c r="D25" s="1925"/>
      <c r="E25" s="1920">
        <f>'F-12'!W31+'F-12'!W32+'F-12'!W24</f>
        <v>21442.742792700003</v>
      </c>
      <c r="F25" s="1920">
        <f>'F-12'!AD31+'F-12'!AD32+'F-12'!AD24</f>
        <v>22281.145790681003</v>
      </c>
      <c r="H25" s="7"/>
    </row>
    <row r="26" spans="1:9">
      <c r="A26" s="502">
        <v>9</v>
      </c>
      <c r="B26" s="502" t="s">
        <v>1343</v>
      </c>
      <c r="C26" s="1921"/>
      <c r="D26" s="1926"/>
      <c r="E26" s="1921"/>
      <c r="F26" s="1921"/>
    </row>
    <row r="27" spans="1:9">
      <c r="A27" s="502">
        <v>10</v>
      </c>
      <c r="B27" s="502" t="s">
        <v>887</v>
      </c>
      <c r="C27" s="1922"/>
      <c r="D27" s="1927"/>
      <c r="E27" s="1922"/>
      <c r="F27" s="1922"/>
    </row>
    <row r="28" spans="1:9" ht="16.5" customHeight="1">
      <c r="A28" s="502">
        <v>11</v>
      </c>
      <c r="B28" s="502" t="s">
        <v>1344</v>
      </c>
      <c r="C28" s="650">
        <f>'F-12'!I16+'F-12'!I17+'F-12'!I18+'F-12'!I22+'F-12'!I25+'F-12'!I26+'F-12'!I30+'F-12'!I28</f>
        <v>4721.3365630999997</v>
      </c>
      <c r="D28" s="502"/>
      <c r="E28" s="650">
        <f>'F-12'!W16+'F-12'!W17+'F-12'!W18+'F-12'!W22+'F-12'!W25+'F-12'!W26+'F-12'!W27+'F-12'!W28+'F-12'!W30</f>
        <v>6834.4190207298989</v>
      </c>
      <c r="F28" s="650">
        <f>'F-12'!AD16+'F-12'!AD17+'F-12'!AD18+'F-12'!AD22+'F-12'!AD25+'F-12'!AD26+'F-12'!AD27+'F-12'!AD28+'F-12'!AD30+'F-12'!AD13</f>
        <v>7779.9137587078994</v>
      </c>
      <c r="H28" s="7"/>
    </row>
    <row r="29" spans="1:9" ht="16.5" customHeight="1">
      <c r="A29" s="502">
        <v>12</v>
      </c>
      <c r="B29" s="502" t="s">
        <v>1345</v>
      </c>
      <c r="C29" s="37">
        <f>SUM(C18:C28)</f>
        <v>48932.065225799997</v>
      </c>
      <c r="D29" s="502"/>
      <c r="E29" s="37">
        <f>SUM(E18:E28)</f>
        <v>58368.022321780561</v>
      </c>
      <c r="F29" s="37">
        <f>SUM(F18:F28)</f>
        <v>64063.950239203798</v>
      </c>
      <c r="H29" s="7"/>
    </row>
    <row r="30" spans="1:9" ht="16.5" customHeight="1">
      <c r="A30" s="502">
        <v>13</v>
      </c>
      <c r="B30" s="502" t="s">
        <v>1261</v>
      </c>
      <c r="C30" s="354">
        <f>'F-13'!C16</f>
        <v>13705.430551199999</v>
      </c>
      <c r="D30" s="502"/>
      <c r="E30" s="354">
        <f>'F-13'!E16</f>
        <v>30235.604208343204</v>
      </c>
      <c r="F30" s="354">
        <f ca="1">'F-13'!F16</f>
        <v>34601.089123978767</v>
      </c>
    </row>
    <row r="31" spans="1:9" ht="16.5" customHeight="1">
      <c r="A31" s="502">
        <v>14</v>
      </c>
      <c r="B31" s="502" t="s">
        <v>1034</v>
      </c>
      <c r="C31" s="354">
        <f>'F-14'!D66</f>
        <v>11326.648169400003</v>
      </c>
      <c r="D31" s="502"/>
      <c r="E31" s="354">
        <f>'F-14'!F66</f>
        <v>17375.903063534577</v>
      </c>
      <c r="F31" s="354">
        <f>'F-14'!G66</f>
        <v>26215.699940195998</v>
      </c>
    </row>
    <row r="32" spans="1:9" ht="16.5" customHeight="1">
      <c r="A32" s="502">
        <v>15</v>
      </c>
      <c r="B32" s="502" t="s">
        <v>1346</v>
      </c>
      <c r="C32" s="354">
        <f>'loan&amp;int'!B79+'loan&amp;int'!B101+'loan&amp;int'!B109</f>
        <v>4246.2498282000006</v>
      </c>
      <c r="D32" s="502"/>
      <c r="E32" s="354">
        <f ca="1">'loan&amp;int'!C110</f>
        <v>11888.143408946191</v>
      </c>
      <c r="F32" s="354">
        <f ca="1">'loan&amp;int'!D110</f>
        <v>18161.753301295645</v>
      </c>
    </row>
    <row r="33" spans="1:6" ht="16.5" customHeight="1">
      <c r="A33" s="502">
        <v>16</v>
      </c>
      <c r="B33" s="75" t="s">
        <v>1347</v>
      </c>
      <c r="C33" s="37">
        <f>SUM(C29:C32)+C16</f>
        <v>411576.16377439204</v>
      </c>
      <c r="D33" s="37">
        <f>SUM(D29:D32)+D16</f>
        <v>0</v>
      </c>
      <c r="E33" s="37">
        <f ca="1">SUM(E29:E32)+E16</f>
        <v>603790.5440288845</v>
      </c>
      <c r="F33" s="37">
        <f ca="1">SUM(F29:F32)+F16</f>
        <v>653049.2086046742</v>
      </c>
    </row>
    <row r="34" spans="1:6" ht="25.5">
      <c r="A34" s="502">
        <v>17</v>
      </c>
      <c r="B34" s="509" t="s">
        <v>2469</v>
      </c>
      <c r="C34" s="354">
        <f>C4+C10-C33</f>
        <v>53274.53622560791</v>
      </c>
      <c r="D34" s="354">
        <f>D4+D10-D33</f>
        <v>53274.53622560791</v>
      </c>
      <c r="E34" s="354">
        <f ca="1">E4+E10-E33</f>
        <v>69133.360537513392</v>
      </c>
      <c r="F34" s="354">
        <f ca="1">F4+F10-F33</f>
        <v>60838.844566030544</v>
      </c>
    </row>
    <row r="35" spans="1:6">
      <c r="B35" s="1671" t="s">
        <v>1348</v>
      </c>
      <c r="C35" s="7"/>
    </row>
    <row r="36" spans="1:6">
      <c r="C36" s="7"/>
    </row>
    <row r="37" spans="1:6">
      <c r="E37" s="7"/>
    </row>
    <row r="40" spans="1:6">
      <c r="B40">
        <f>85725+29288</f>
        <v>115013</v>
      </c>
    </row>
  </sheetData>
  <mergeCells count="5">
    <mergeCell ref="F25:F27"/>
    <mergeCell ref="C18:C19"/>
    <mergeCell ref="C25:C27"/>
    <mergeCell ref="D25:D27"/>
    <mergeCell ref="E25:E27"/>
  </mergeCells>
  <phoneticPr fontId="0" type="noConversion"/>
  <printOptions horizontalCentered="1"/>
  <pageMargins left="0.35433070866141736" right="0.35433070866141736" top="0.98425196850393704" bottom="0.59055118110236227" header="0.51181102362204722" footer="0.51181102362204722"/>
  <pageSetup paperSize="9" orientation="portrait" r:id="rId1"/>
  <headerFooter alignWithMargins="0">
    <oddFooter>&amp;R&amp;"Arial,Bold"&amp;12OERC FORM &amp;A</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I15"/>
  <sheetViews>
    <sheetView view="pageBreakPreview" zoomScale="85" zoomScaleSheetLayoutView="85" workbookViewId="0">
      <selection activeCell="C5" sqref="C5:F15"/>
    </sheetView>
  </sheetViews>
  <sheetFormatPr defaultColWidth="9.140625" defaultRowHeight="12.75"/>
  <cols>
    <col min="1" max="1" width="5.42578125" style="865" customWidth="1"/>
    <col min="2" max="2" width="51.140625" style="865" customWidth="1"/>
    <col min="3" max="3" width="11.7109375" style="865" bestFit="1" customWidth="1"/>
    <col min="4" max="4" width="12.42578125" style="865" bestFit="1" customWidth="1"/>
    <col min="5" max="5" width="11.28515625" style="865" bestFit="1" customWidth="1"/>
    <col min="6" max="6" width="14" style="865" customWidth="1"/>
    <col min="7" max="16384" width="9.140625" style="865"/>
  </cols>
  <sheetData>
    <row r="1" spans="1:9" ht="15.75">
      <c r="A1" s="25" t="s">
        <v>106</v>
      </c>
    </row>
    <row r="2" spans="1:9" ht="14.25" customHeight="1">
      <c r="A2" s="1928" t="s">
        <v>1349</v>
      </c>
      <c r="B2" s="1929"/>
      <c r="C2" s="1929"/>
      <c r="D2" s="1929"/>
      <c r="E2" s="1929"/>
      <c r="F2" s="1930"/>
      <c r="G2" s="866"/>
      <c r="H2" s="866"/>
      <c r="I2" s="866"/>
    </row>
    <row r="3" spans="1:9" ht="15.75">
      <c r="A3" s="867" t="s">
        <v>1350</v>
      </c>
      <c r="B3" s="868"/>
      <c r="C3" s="868"/>
      <c r="D3" s="868"/>
      <c r="E3" s="868"/>
      <c r="F3" s="869" t="s">
        <v>1277</v>
      </c>
    </row>
    <row r="4" spans="1:9" ht="38.25">
      <c r="A4" s="870" t="s">
        <v>1351</v>
      </c>
      <c r="B4" s="870"/>
      <c r="C4" s="871" t="s">
        <v>1352</v>
      </c>
      <c r="D4" s="871" t="s">
        <v>1353</v>
      </c>
      <c r="E4" s="871" t="s">
        <v>1354</v>
      </c>
      <c r="F4" s="871" t="s">
        <v>1355</v>
      </c>
    </row>
    <row r="5" spans="1:9" ht="31.5">
      <c r="A5" s="872" t="s">
        <v>1356</v>
      </c>
      <c r="B5" s="873" t="s">
        <v>1357</v>
      </c>
      <c r="C5" s="1931" t="s">
        <v>2333</v>
      </c>
      <c r="D5" s="1932"/>
      <c r="E5" s="1932"/>
      <c r="F5" s="1933"/>
      <c r="G5" s="874"/>
    </row>
    <row r="6" spans="1:9" ht="31.5">
      <c r="A6" s="872" t="s">
        <v>137</v>
      </c>
      <c r="B6" s="873" t="s">
        <v>1358</v>
      </c>
      <c r="C6" s="1934"/>
      <c r="D6" s="1935"/>
      <c r="E6" s="1935"/>
      <c r="F6" s="1936"/>
    </row>
    <row r="7" spans="1:9" ht="15.75">
      <c r="A7" s="870"/>
      <c r="B7" s="873" t="s">
        <v>1359</v>
      </c>
      <c r="C7" s="1934"/>
      <c r="D7" s="1935"/>
      <c r="E7" s="1935"/>
      <c r="F7" s="1936"/>
    </row>
    <row r="8" spans="1:9" ht="22.5" customHeight="1">
      <c r="A8" s="870"/>
      <c r="B8" s="873" t="s">
        <v>1360</v>
      </c>
      <c r="C8" s="1934"/>
      <c r="D8" s="1935"/>
      <c r="E8" s="1935"/>
      <c r="F8" s="1936"/>
    </row>
    <row r="9" spans="1:9" ht="19.5" customHeight="1">
      <c r="A9" s="870"/>
      <c r="B9" s="873" t="s">
        <v>1361</v>
      </c>
      <c r="C9" s="1934"/>
      <c r="D9" s="1935"/>
      <c r="E9" s="1935"/>
      <c r="F9" s="1936"/>
    </row>
    <row r="10" spans="1:9" ht="31.5">
      <c r="A10" s="870"/>
      <c r="B10" s="873" t="s">
        <v>1362</v>
      </c>
      <c r="C10" s="1934"/>
      <c r="D10" s="1935"/>
      <c r="E10" s="1935"/>
      <c r="F10" s="1936"/>
    </row>
    <row r="11" spans="1:9" ht="15.75">
      <c r="A11" s="870"/>
      <c r="B11" s="873" t="s">
        <v>1363</v>
      </c>
      <c r="C11" s="1934"/>
      <c r="D11" s="1935"/>
      <c r="E11" s="1935"/>
      <c r="F11" s="1936"/>
    </row>
    <row r="12" spans="1:9" ht="15.75">
      <c r="A12" s="870"/>
      <c r="B12" s="873" t="s">
        <v>1364</v>
      </c>
      <c r="C12" s="1934"/>
      <c r="D12" s="1935"/>
      <c r="E12" s="1935"/>
      <c r="F12" s="1936"/>
    </row>
    <row r="13" spans="1:9" ht="31.5">
      <c r="A13" s="870"/>
      <c r="B13" s="873" t="s">
        <v>1365</v>
      </c>
      <c r="C13" s="1934"/>
      <c r="D13" s="1935"/>
      <c r="E13" s="1935"/>
      <c r="F13" s="1936"/>
    </row>
    <row r="14" spans="1:9" ht="15.75">
      <c r="A14" s="870"/>
      <c r="B14" s="873" t="s">
        <v>1366</v>
      </c>
      <c r="C14" s="1934"/>
      <c r="D14" s="1935"/>
      <c r="E14" s="1935"/>
      <c r="F14" s="1936"/>
    </row>
    <row r="15" spans="1:9" ht="31.5">
      <c r="A15" s="870"/>
      <c r="B15" s="873" t="s">
        <v>1367</v>
      </c>
      <c r="C15" s="1937"/>
      <c r="D15" s="1938"/>
      <c r="E15" s="1938"/>
      <c r="F15" s="1939"/>
    </row>
  </sheetData>
  <mergeCells count="2">
    <mergeCell ref="A2:F2"/>
    <mergeCell ref="C5:F15"/>
  </mergeCells>
  <phoneticPr fontId="90" type="noConversion"/>
  <pageMargins left="0.70866141732283472" right="0.51181102362204722" top="0.74803149606299213" bottom="0.74803149606299213" header="0.31496062992125984" footer="0.51181102362204722"/>
  <pageSetup scale="89" orientation="portrait" r:id="rId1"/>
  <headerFooter>
    <oddFooter>&amp;R&amp;"Arial,Bold"&amp;12OERC FORM &amp;A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F750AF-1D6D-4145-A502-14F2BDF67894}">
  <dimension ref="A1:T51"/>
  <sheetViews>
    <sheetView view="pageBreakPreview" topLeftCell="A21" zoomScale="60" zoomScaleNormal="70" workbookViewId="0">
      <selection activeCell="C3" sqref="C3"/>
    </sheetView>
  </sheetViews>
  <sheetFormatPr defaultColWidth="14.7109375" defaultRowHeight="15"/>
  <cols>
    <col min="1" max="1" width="6" style="513" customWidth="1"/>
    <col min="2" max="2" width="34" style="540" customWidth="1"/>
    <col min="3" max="3" width="15.28515625" style="518" customWidth="1"/>
    <col min="4" max="4" width="13.7109375" style="518" customWidth="1"/>
    <col min="5" max="6" width="12.5703125" style="518" customWidth="1"/>
    <col min="7" max="8" width="11.5703125" style="518" customWidth="1"/>
    <col min="9" max="9" width="14" style="518" customWidth="1"/>
    <col min="10" max="10" width="12.28515625" style="518" customWidth="1"/>
    <col min="11" max="11" width="12.85546875" style="518" customWidth="1"/>
    <col min="12" max="12" width="12.140625" style="518" customWidth="1"/>
    <col min="13" max="13" width="12.5703125" style="518" customWidth="1"/>
    <col min="14" max="14" width="10.7109375" style="518" customWidth="1"/>
    <col min="15" max="15" width="16.28515625" style="518" customWidth="1"/>
    <col min="16" max="256" width="14.7109375" style="518"/>
    <col min="257" max="257" width="6" style="518" customWidth="1"/>
    <col min="258" max="258" width="34" style="518" customWidth="1"/>
    <col min="259" max="259" width="15.28515625" style="518" customWidth="1"/>
    <col min="260" max="260" width="13.7109375" style="518" customWidth="1"/>
    <col min="261" max="262" width="12.5703125" style="518" customWidth="1"/>
    <col min="263" max="265" width="11.5703125" style="518" customWidth="1"/>
    <col min="266" max="266" width="12.28515625" style="518" customWidth="1"/>
    <col min="267" max="267" width="12.85546875" style="518" customWidth="1"/>
    <col min="268" max="268" width="12.140625" style="518" customWidth="1"/>
    <col min="269" max="269" width="12.5703125" style="518" customWidth="1"/>
    <col min="270" max="270" width="10.7109375" style="518" customWidth="1"/>
    <col min="271" max="271" width="16.28515625" style="518" customWidth="1"/>
    <col min="272" max="512" width="14.7109375" style="518"/>
    <col min="513" max="513" width="6" style="518" customWidth="1"/>
    <col min="514" max="514" width="34" style="518" customWidth="1"/>
    <col min="515" max="515" width="15.28515625" style="518" customWidth="1"/>
    <col min="516" max="516" width="13.7109375" style="518" customWidth="1"/>
    <col min="517" max="518" width="12.5703125" style="518" customWidth="1"/>
    <col min="519" max="521" width="11.5703125" style="518" customWidth="1"/>
    <col min="522" max="522" width="12.28515625" style="518" customWidth="1"/>
    <col min="523" max="523" width="12.85546875" style="518" customWidth="1"/>
    <col min="524" max="524" width="12.140625" style="518" customWidth="1"/>
    <col min="525" max="525" width="12.5703125" style="518" customWidth="1"/>
    <col min="526" max="526" width="10.7109375" style="518" customWidth="1"/>
    <col min="527" max="527" width="16.28515625" style="518" customWidth="1"/>
    <col min="528" max="768" width="14.7109375" style="518"/>
    <col min="769" max="769" width="6" style="518" customWidth="1"/>
    <col min="770" max="770" width="34" style="518" customWidth="1"/>
    <col min="771" max="771" width="15.28515625" style="518" customWidth="1"/>
    <col min="772" max="772" width="13.7109375" style="518" customWidth="1"/>
    <col min="773" max="774" width="12.5703125" style="518" customWidth="1"/>
    <col min="775" max="777" width="11.5703125" style="518" customWidth="1"/>
    <col min="778" max="778" width="12.28515625" style="518" customWidth="1"/>
    <col min="779" max="779" width="12.85546875" style="518" customWidth="1"/>
    <col min="780" max="780" width="12.140625" style="518" customWidth="1"/>
    <col min="781" max="781" width="12.5703125" style="518" customWidth="1"/>
    <col min="782" max="782" width="10.7109375" style="518" customWidth="1"/>
    <col min="783" max="783" width="16.28515625" style="518" customWidth="1"/>
    <col min="784" max="1024" width="14.7109375" style="518"/>
    <col min="1025" max="1025" width="6" style="518" customWidth="1"/>
    <col min="1026" max="1026" width="34" style="518" customWidth="1"/>
    <col min="1027" max="1027" width="15.28515625" style="518" customWidth="1"/>
    <col min="1028" max="1028" width="13.7109375" style="518" customWidth="1"/>
    <col min="1029" max="1030" width="12.5703125" style="518" customWidth="1"/>
    <col min="1031" max="1033" width="11.5703125" style="518" customWidth="1"/>
    <col min="1034" max="1034" width="12.28515625" style="518" customWidth="1"/>
    <col min="1035" max="1035" width="12.85546875" style="518" customWidth="1"/>
    <col min="1036" max="1036" width="12.140625" style="518" customWidth="1"/>
    <col min="1037" max="1037" width="12.5703125" style="518" customWidth="1"/>
    <col min="1038" max="1038" width="10.7109375" style="518" customWidth="1"/>
    <col min="1039" max="1039" width="16.28515625" style="518" customWidth="1"/>
    <col min="1040" max="1280" width="14.7109375" style="518"/>
    <col min="1281" max="1281" width="6" style="518" customWidth="1"/>
    <col min="1282" max="1282" width="34" style="518" customWidth="1"/>
    <col min="1283" max="1283" width="15.28515625" style="518" customWidth="1"/>
    <col min="1284" max="1284" width="13.7109375" style="518" customWidth="1"/>
    <col min="1285" max="1286" width="12.5703125" style="518" customWidth="1"/>
    <col min="1287" max="1289" width="11.5703125" style="518" customWidth="1"/>
    <col min="1290" max="1290" width="12.28515625" style="518" customWidth="1"/>
    <col min="1291" max="1291" width="12.85546875" style="518" customWidth="1"/>
    <col min="1292" max="1292" width="12.140625" style="518" customWidth="1"/>
    <col min="1293" max="1293" width="12.5703125" style="518" customWidth="1"/>
    <col min="1294" max="1294" width="10.7109375" style="518" customWidth="1"/>
    <col min="1295" max="1295" width="16.28515625" style="518" customWidth="1"/>
    <col min="1296" max="1536" width="14.7109375" style="518"/>
    <col min="1537" max="1537" width="6" style="518" customWidth="1"/>
    <col min="1538" max="1538" width="34" style="518" customWidth="1"/>
    <col min="1539" max="1539" width="15.28515625" style="518" customWidth="1"/>
    <col min="1540" max="1540" width="13.7109375" style="518" customWidth="1"/>
    <col min="1541" max="1542" width="12.5703125" style="518" customWidth="1"/>
    <col min="1543" max="1545" width="11.5703125" style="518" customWidth="1"/>
    <col min="1546" max="1546" width="12.28515625" style="518" customWidth="1"/>
    <col min="1547" max="1547" width="12.85546875" style="518" customWidth="1"/>
    <col min="1548" max="1548" width="12.140625" style="518" customWidth="1"/>
    <col min="1549" max="1549" width="12.5703125" style="518" customWidth="1"/>
    <col min="1550" max="1550" width="10.7109375" style="518" customWidth="1"/>
    <col min="1551" max="1551" width="16.28515625" style="518" customWidth="1"/>
    <col min="1552" max="1792" width="14.7109375" style="518"/>
    <col min="1793" max="1793" width="6" style="518" customWidth="1"/>
    <col min="1794" max="1794" width="34" style="518" customWidth="1"/>
    <col min="1795" max="1795" width="15.28515625" style="518" customWidth="1"/>
    <col min="1796" max="1796" width="13.7109375" style="518" customWidth="1"/>
    <col min="1797" max="1798" width="12.5703125" style="518" customWidth="1"/>
    <col min="1799" max="1801" width="11.5703125" style="518" customWidth="1"/>
    <col min="1802" max="1802" width="12.28515625" style="518" customWidth="1"/>
    <col min="1803" max="1803" width="12.85546875" style="518" customWidth="1"/>
    <col min="1804" max="1804" width="12.140625" style="518" customWidth="1"/>
    <col min="1805" max="1805" width="12.5703125" style="518" customWidth="1"/>
    <col min="1806" max="1806" width="10.7109375" style="518" customWidth="1"/>
    <col min="1807" max="1807" width="16.28515625" style="518" customWidth="1"/>
    <col min="1808" max="2048" width="14.7109375" style="518"/>
    <col min="2049" max="2049" width="6" style="518" customWidth="1"/>
    <col min="2050" max="2050" width="34" style="518" customWidth="1"/>
    <col min="2051" max="2051" width="15.28515625" style="518" customWidth="1"/>
    <col min="2052" max="2052" width="13.7109375" style="518" customWidth="1"/>
    <col min="2053" max="2054" width="12.5703125" style="518" customWidth="1"/>
    <col min="2055" max="2057" width="11.5703125" style="518" customWidth="1"/>
    <col min="2058" max="2058" width="12.28515625" style="518" customWidth="1"/>
    <col min="2059" max="2059" width="12.85546875" style="518" customWidth="1"/>
    <col min="2060" max="2060" width="12.140625" style="518" customWidth="1"/>
    <col min="2061" max="2061" width="12.5703125" style="518" customWidth="1"/>
    <col min="2062" max="2062" width="10.7109375" style="518" customWidth="1"/>
    <col min="2063" max="2063" width="16.28515625" style="518" customWidth="1"/>
    <col min="2064" max="2304" width="14.7109375" style="518"/>
    <col min="2305" max="2305" width="6" style="518" customWidth="1"/>
    <col min="2306" max="2306" width="34" style="518" customWidth="1"/>
    <col min="2307" max="2307" width="15.28515625" style="518" customWidth="1"/>
    <col min="2308" max="2308" width="13.7109375" style="518" customWidth="1"/>
    <col min="2309" max="2310" width="12.5703125" style="518" customWidth="1"/>
    <col min="2311" max="2313" width="11.5703125" style="518" customWidth="1"/>
    <col min="2314" max="2314" width="12.28515625" style="518" customWidth="1"/>
    <col min="2315" max="2315" width="12.85546875" style="518" customWidth="1"/>
    <col min="2316" max="2316" width="12.140625" style="518" customWidth="1"/>
    <col min="2317" max="2317" width="12.5703125" style="518" customWidth="1"/>
    <col min="2318" max="2318" width="10.7109375" style="518" customWidth="1"/>
    <col min="2319" max="2319" width="16.28515625" style="518" customWidth="1"/>
    <col min="2320" max="2560" width="14.7109375" style="518"/>
    <col min="2561" max="2561" width="6" style="518" customWidth="1"/>
    <col min="2562" max="2562" width="34" style="518" customWidth="1"/>
    <col min="2563" max="2563" width="15.28515625" style="518" customWidth="1"/>
    <col min="2564" max="2564" width="13.7109375" style="518" customWidth="1"/>
    <col min="2565" max="2566" width="12.5703125" style="518" customWidth="1"/>
    <col min="2567" max="2569" width="11.5703125" style="518" customWidth="1"/>
    <col min="2570" max="2570" width="12.28515625" style="518" customWidth="1"/>
    <col min="2571" max="2571" width="12.85546875" style="518" customWidth="1"/>
    <col min="2572" max="2572" width="12.140625" style="518" customWidth="1"/>
    <col min="2573" max="2573" width="12.5703125" style="518" customWidth="1"/>
    <col min="2574" max="2574" width="10.7109375" style="518" customWidth="1"/>
    <col min="2575" max="2575" width="16.28515625" style="518" customWidth="1"/>
    <col min="2576" max="2816" width="14.7109375" style="518"/>
    <col min="2817" max="2817" width="6" style="518" customWidth="1"/>
    <col min="2818" max="2818" width="34" style="518" customWidth="1"/>
    <col min="2819" max="2819" width="15.28515625" style="518" customWidth="1"/>
    <col min="2820" max="2820" width="13.7109375" style="518" customWidth="1"/>
    <col min="2821" max="2822" width="12.5703125" style="518" customWidth="1"/>
    <col min="2823" max="2825" width="11.5703125" style="518" customWidth="1"/>
    <col min="2826" max="2826" width="12.28515625" style="518" customWidth="1"/>
    <col min="2827" max="2827" width="12.85546875" style="518" customWidth="1"/>
    <col min="2828" max="2828" width="12.140625" style="518" customWidth="1"/>
    <col min="2829" max="2829" width="12.5703125" style="518" customWidth="1"/>
    <col min="2830" max="2830" width="10.7109375" style="518" customWidth="1"/>
    <col min="2831" max="2831" width="16.28515625" style="518" customWidth="1"/>
    <col min="2832" max="3072" width="14.7109375" style="518"/>
    <col min="3073" max="3073" width="6" style="518" customWidth="1"/>
    <col min="3074" max="3074" width="34" style="518" customWidth="1"/>
    <col min="3075" max="3075" width="15.28515625" style="518" customWidth="1"/>
    <col min="3076" max="3076" width="13.7109375" style="518" customWidth="1"/>
    <col min="3077" max="3078" width="12.5703125" style="518" customWidth="1"/>
    <col min="3079" max="3081" width="11.5703125" style="518" customWidth="1"/>
    <col min="3082" max="3082" width="12.28515625" style="518" customWidth="1"/>
    <col min="3083" max="3083" width="12.85546875" style="518" customWidth="1"/>
    <col min="3084" max="3084" width="12.140625" style="518" customWidth="1"/>
    <col min="3085" max="3085" width="12.5703125" style="518" customWidth="1"/>
    <col min="3086" max="3086" width="10.7109375" style="518" customWidth="1"/>
    <col min="3087" max="3087" width="16.28515625" style="518" customWidth="1"/>
    <col min="3088" max="3328" width="14.7109375" style="518"/>
    <col min="3329" max="3329" width="6" style="518" customWidth="1"/>
    <col min="3330" max="3330" width="34" style="518" customWidth="1"/>
    <col min="3331" max="3331" width="15.28515625" style="518" customWidth="1"/>
    <col min="3332" max="3332" width="13.7109375" style="518" customWidth="1"/>
    <col min="3333" max="3334" width="12.5703125" style="518" customWidth="1"/>
    <col min="3335" max="3337" width="11.5703125" style="518" customWidth="1"/>
    <col min="3338" max="3338" width="12.28515625" style="518" customWidth="1"/>
    <col min="3339" max="3339" width="12.85546875" style="518" customWidth="1"/>
    <col min="3340" max="3340" width="12.140625" style="518" customWidth="1"/>
    <col min="3341" max="3341" width="12.5703125" style="518" customWidth="1"/>
    <col min="3342" max="3342" width="10.7109375" style="518" customWidth="1"/>
    <col min="3343" max="3343" width="16.28515625" style="518" customWidth="1"/>
    <col min="3344" max="3584" width="14.7109375" style="518"/>
    <col min="3585" max="3585" width="6" style="518" customWidth="1"/>
    <col min="3586" max="3586" width="34" style="518" customWidth="1"/>
    <col min="3587" max="3587" width="15.28515625" style="518" customWidth="1"/>
    <col min="3588" max="3588" width="13.7109375" style="518" customWidth="1"/>
    <col min="3589" max="3590" width="12.5703125" style="518" customWidth="1"/>
    <col min="3591" max="3593" width="11.5703125" style="518" customWidth="1"/>
    <col min="3594" max="3594" width="12.28515625" style="518" customWidth="1"/>
    <col min="3595" max="3595" width="12.85546875" style="518" customWidth="1"/>
    <col min="3596" max="3596" width="12.140625" style="518" customWidth="1"/>
    <col min="3597" max="3597" width="12.5703125" style="518" customWidth="1"/>
    <col min="3598" max="3598" width="10.7109375" style="518" customWidth="1"/>
    <col min="3599" max="3599" width="16.28515625" style="518" customWidth="1"/>
    <col min="3600" max="3840" width="14.7109375" style="518"/>
    <col min="3841" max="3841" width="6" style="518" customWidth="1"/>
    <col min="3842" max="3842" width="34" style="518" customWidth="1"/>
    <col min="3843" max="3843" width="15.28515625" style="518" customWidth="1"/>
    <col min="3844" max="3844" width="13.7109375" style="518" customWidth="1"/>
    <col min="3845" max="3846" width="12.5703125" style="518" customWidth="1"/>
    <col min="3847" max="3849" width="11.5703125" style="518" customWidth="1"/>
    <col min="3850" max="3850" width="12.28515625" style="518" customWidth="1"/>
    <col min="3851" max="3851" width="12.85546875" style="518" customWidth="1"/>
    <col min="3852" max="3852" width="12.140625" style="518" customWidth="1"/>
    <col min="3853" max="3853" width="12.5703125" style="518" customWidth="1"/>
    <col min="3854" max="3854" width="10.7109375" style="518" customWidth="1"/>
    <col min="3855" max="3855" width="16.28515625" style="518" customWidth="1"/>
    <col min="3856" max="4096" width="14.7109375" style="518"/>
    <col min="4097" max="4097" width="6" style="518" customWidth="1"/>
    <col min="4098" max="4098" width="34" style="518" customWidth="1"/>
    <col min="4099" max="4099" width="15.28515625" style="518" customWidth="1"/>
    <col min="4100" max="4100" width="13.7109375" style="518" customWidth="1"/>
    <col min="4101" max="4102" width="12.5703125" style="518" customWidth="1"/>
    <col min="4103" max="4105" width="11.5703125" style="518" customWidth="1"/>
    <col min="4106" max="4106" width="12.28515625" style="518" customWidth="1"/>
    <col min="4107" max="4107" width="12.85546875" style="518" customWidth="1"/>
    <col min="4108" max="4108" width="12.140625" style="518" customWidth="1"/>
    <col min="4109" max="4109" width="12.5703125" style="518" customWidth="1"/>
    <col min="4110" max="4110" width="10.7109375" style="518" customWidth="1"/>
    <col min="4111" max="4111" width="16.28515625" style="518" customWidth="1"/>
    <col min="4112" max="4352" width="14.7109375" style="518"/>
    <col min="4353" max="4353" width="6" style="518" customWidth="1"/>
    <col min="4354" max="4354" width="34" style="518" customWidth="1"/>
    <col min="4355" max="4355" width="15.28515625" style="518" customWidth="1"/>
    <col min="4356" max="4356" width="13.7109375" style="518" customWidth="1"/>
    <col min="4357" max="4358" width="12.5703125" style="518" customWidth="1"/>
    <col min="4359" max="4361" width="11.5703125" style="518" customWidth="1"/>
    <col min="4362" max="4362" width="12.28515625" style="518" customWidth="1"/>
    <col min="4363" max="4363" width="12.85546875" style="518" customWidth="1"/>
    <col min="4364" max="4364" width="12.140625" style="518" customWidth="1"/>
    <col min="4365" max="4365" width="12.5703125" style="518" customWidth="1"/>
    <col min="4366" max="4366" width="10.7109375" style="518" customWidth="1"/>
    <col min="4367" max="4367" width="16.28515625" style="518" customWidth="1"/>
    <col min="4368" max="4608" width="14.7109375" style="518"/>
    <col min="4609" max="4609" width="6" style="518" customWidth="1"/>
    <col min="4610" max="4610" width="34" style="518" customWidth="1"/>
    <col min="4611" max="4611" width="15.28515625" style="518" customWidth="1"/>
    <col min="4612" max="4612" width="13.7109375" style="518" customWidth="1"/>
    <col min="4613" max="4614" width="12.5703125" style="518" customWidth="1"/>
    <col min="4615" max="4617" width="11.5703125" style="518" customWidth="1"/>
    <col min="4618" max="4618" width="12.28515625" style="518" customWidth="1"/>
    <col min="4619" max="4619" width="12.85546875" style="518" customWidth="1"/>
    <col min="4620" max="4620" width="12.140625" style="518" customWidth="1"/>
    <col min="4621" max="4621" width="12.5703125" style="518" customWidth="1"/>
    <col min="4622" max="4622" width="10.7109375" style="518" customWidth="1"/>
    <col min="4623" max="4623" width="16.28515625" style="518" customWidth="1"/>
    <col min="4624" max="4864" width="14.7109375" style="518"/>
    <col min="4865" max="4865" width="6" style="518" customWidth="1"/>
    <col min="4866" max="4866" width="34" style="518" customWidth="1"/>
    <col min="4867" max="4867" width="15.28515625" style="518" customWidth="1"/>
    <col min="4868" max="4868" width="13.7109375" style="518" customWidth="1"/>
    <col min="4869" max="4870" width="12.5703125" style="518" customWidth="1"/>
    <col min="4871" max="4873" width="11.5703125" style="518" customWidth="1"/>
    <col min="4874" max="4874" width="12.28515625" style="518" customWidth="1"/>
    <col min="4875" max="4875" width="12.85546875" style="518" customWidth="1"/>
    <col min="4876" max="4876" width="12.140625" style="518" customWidth="1"/>
    <col min="4877" max="4877" width="12.5703125" style="518" customWidth="1"/>
    <col min="4878" max="4878" width="10.7109375" style="518" customWidth="1"/>
    <col min="4879" max="4879" width="16.28515625" style="518" customWidth="1"/>
    <col min="4880" max="5120" width="14.7109375" style="518"/>
    <col min="5121" max="5121" width="6" style="518" customWidth="1"/>
    <col min="5122" max="5122" width="34" style="518" customWidth="1"/>
    <col min="5123" max="5123" width="15.28515625" style="518" customWidth="1"/>
    <col min="5124" max="5124" width="13.7109375" style="518" customWidth="1"/>
    <col min="5125" max="5126" width="12.5703125" style="518" customWidth="1"/>
    <col min="5127" max="5129" width="11.5703125" style="518" customWidth="1"/>
    <col min="5130" max="5130" width="12.28515625" style="518" customWidth="1"/>
    <col min="5131" max="5131" width="12.85546875" style="518" customWidth="1"/>
    <col min="5132" max="5132" width="12.140625" style="518" customWidth="1"/>
    <col min="5133" max="5133" width="12.5703125" style="518" customWidth="1"/>
    <col min="5134" max="5134" width="10.7109375" style="518" customWidth="1"/>
    <col min="5135" max="5135" width="16.28515625" style="518" customWidth="1"/>
    <col min="5136" max="5376" width="14.7109375" style="518"/>
    <col min="5377" max="5377" width="6" style="518" customWidth="1"/>
    <col min="5378" max="5378" width="34" style="518" customWidth="1"/>
    <col min="5379" max="5379" width="15.28515625" style="518" customWidth="1"/>
    <col min="5380" max="5380" width="13.7109375" style="518" customWidth="1"/>
    <col min="5381" max="5382" width="12.5703125" style="518" customWidth="1"/>
    <col min="5383" max="5385" width="11.5703125" style="518" customWidth="1"/>
    <col min="5386" max="5386" width="12.28515625" style="518" customWidth="1"/>
    <col min="5387" max="5387" width="12.85546875" style="518" customWidth="1"/>
    <col min="5388" max="5388" width="12.140625" style="518" customWidth="1"/>
    <col min="5389" max="5389" width="12.5703125" style="518" customWidth="1"/>
    <col min="5390" max="5390" width="10.7109375" style="518" customWidth="1"/>
    <col min="5391" max="5391" width="16.28515625" style="518" customWidth="1"/>
    <col min="5392" max="5632" width="14.7109375" style="518"/>
    <col min="5633" max="5633" width="6" style="518" customWidth="1"/>
    <col min="5634" max="5634" width="34" style="518" customWidth="1"/>
    <col min="5635" max="5635" width="15.28515625" style="518" customWidth="1"/>
    <col min="5636" max="5636" width="13.7109375" style="518" customWidth="1"/>
    <col min="5637" max="5638" width="12.5703125" style="518" customWidth="1"/>
    <col min="5639" max="5641" width="11.5703125" style="518" customWidth="1"/>
    <col min="5642" max="5642" width="12.28515625" style="518" customWidth="1"/>
    <col min="5643" max="5643" width="12.85546875" style="518" customWidth="1"/>
    <col min="5644" max="5644" width="12.140625" style="518" customWidth="1"/>
    <col min="5645" max="5645" width="12.5703125" style="518" customWidth="1"/>
    <col min="5646" max="5646" width="10.7109375" style="518" customWidth="1"/>
    <col min="5647" max="5647" width="16.28515625" style="518" customWidth="1"/>
    <col min="5648" max="5888" width="14.7109375" style="518"/>
    <col min="5889" max="5889" width="6" style="518" customWidth="1"/>
    <col min="5890" max="5890" width="34" style="518" customWidth="1"/>
    <col min="5891" max="5891" width="15.28515625" style="518" customWidth="1"/>
    <col min="5892" max="5892" width="13.7109375" style="518" customWidth="1"/>
    <col min="5893" max="5894" width="12.5703125" style="518" customWidth="1"/>
    <col min="5895" max="5897" width="11.5703125" style="518" customWidth="1"/>
    <col min="5898" max="5898" width="12.28515625" style="518" customWidth="1"/>
    <col min="5899" max="5899" width="12.85546875" style="518" customWidth="1"/>
    <col min="5900" max="5900" width="12.140625" style="518" customWidth="1"/>
    <col min="5901" max="5901" width="12.5703125" style="518" customWidth="1"/>
    <col min="5902" max="5902" width="10.7109375" style="518" customWidth="1"/>
    <col min="5903" max="5903" width="16.28515625" style="518" customWidth="1"/>
    <col min="5904" max="6144" width="14.7109375" style="518"/>
    <col min="6145" max="6145" width="6" style="518" customWidth="1"/>
    <col min="6146" max="6146" width="34" style="518" customWidth="1"/>
    <col min="6147" max="6147" width="15.28515625" style="518" customWidth="1"/>
    <col min="6148" max="6148" width="13.7109375" style="518" customWidth="1"/>
    <col min="6149" max="6150" width="12.5703125" style="518" customWidth="1"/>
    <col min="6151" max="6153" width="11.5703125" style="518" customWidth="1"/>
    <col min="6154" max="6154" width="12.28515625" style="518" customWidth="1"/>
    <col min="6155" max="6155" width="12.85546875" style="518" customWidth="1"/>
    <col min="6156" max="6156" width="12.140625" style="518" customWidth="1"/>
    <col min="6157" max="6157" width="12.5703125" style="518" customWidth="1"/>
    <col min="6158" max="6158" width="10.7109375" style="518" customWidth="1"/>
    <col min="6159" max="6159" width="16.28515625" style="518" customWidth="1"/>
    <col min="6160" max="6400" width="14.7109375" style="518"/>
    <col min="6401" max="6401" width="6" style="518" customWidth="1"/>
    <col min="6402" max="6402" width="34" style="518" customWidth="1"/>
    <col min="6403" max="6403" width="15.28515625" style="518" customWidth="1"/>
    <col min="6404" max="6404" width="13.7109375" style="518" customWidth="1"/>
    <col min="6405" max="6406" width="12.5703125" style="518" customWidth="1"/>
    <col min="6407" max="6409" width="11.5703125" style="518" customWidth="1"/>
    <col min="6410" max="6410" width="12.28515625" style="518" customWidth="1"/>
    <col min="6411" max="6411" width="12.85546875" style="518" customWidth="1"/>
    <col min="6412" max="6412" width="12.140625" style="518" customWidth="1"/>
    <col min="6413" max="6413" width="12.5703125" style="518" customWidth="1"/>
    <col min="6414" max="6414" width="10.7109375" style="518" customWidth="1"/>
    <col min="6415" max="6415" width="16.28515625" style="518" customWidth="1"/>
    <col min="6416" max="6656" width="14.7109375" style="518"/>
    <col min="6657" max="6657" width="6" style="518" customWidth="1"/>
    <col min="6658" max="6658" width="34" style="518" customWidth="1"/>
    <col min="6659" max="6659" width="15.28515625" style="518" customWidth="1"/>
    <col min="6660" max="6660" width="13.7109375" style="518" customWidth="1"/>
    <col min="6661" max="6662" width="12.5703125" style="518" customWidth="1"/>
    <col min="6663" max="6665" width="11.5703125" style="518" customWidth="1"/>
    <col min="6666" max="6666" width="12.28515625" style="518" customWidth="1"/>
    <col min="6667" max="6667" width="12.85546875" style="518" customWidth="1"/>
    <col min="6668" max="6668" width="12.140625" style="518" customWidth="1"/>
    <col min="6669" max="6669" width="12.5703125" style="518" customWidth="1"/>
    <col min="6670" max="6670" width="10.7109375" style="518" customWidth="1"/>
    <col min="6671" max="6671" width="16.28515625" style="518" customWidth="1"/>
    <col min="6672" max="6912" width="14.7109375" style="518"/>
    <col min="6913" max="6913" width="6" style="518" customWidth="1"/>
    <col min="6914" max="6914" width="34" style="518" customWidth="1"/>
    <col min="6915" max="6915" width="15.28515625" style="518" customWidth="1"/>
    <col min="6916" max="6916" width="13.7109375" style="518" customWidth="1"/>
    <col min="6917" max="6918" width="12.5703125" style="518" customWidth="1"/>
    <col min="6919" max="6921" width="11.5703125" style="518" customWidth="1"/>
    <col min="6922" max="6922" width="12.28515625" style="518" customWidth="1"/>
    <col min="6923" max="6923" width="12.85546875" style="518" customWidth="1"/>
    <col min="6924" max="6924" width="12.140625" style="518" customWidth="1"/>
    <col min="6925" max="6925" width="12.5703125" style="518" customWidth="1"/>
    <col min="6926" max="6926" width="10.7109375" style="518" customWidth="1"/>
    <col min="6927" max="6927" width="16.28515625" style="518" customWidth="1"/>
    <col min="6928" max="7168" width="14.7109375" style="518"/>
    <col min="7169" max="7169" width="6" style="518" customWidth="1"/>
    <col min="7170" max="7170" width="34" style="518" customWidth="1"/>
    <col min="7171" max="7171" width="15.28515625" style="518" customWidth="1"/>
    <col min="7172" max="7172" width="13.7109375" style="518" customWidth="1"/>
    <col min="7173" max="7174" width="12.5703125" style="518" customWidth="1"/>
    <col min="7175" max="7177" width="11.5703125" style="518" customWidth="1"/>
    <col min="7178" max="7178" width="12.28515625" style="518" customWidth="1"/>
    <col min="7179" max="7179" width="12.85546875" style="518" customWidth="1"/>
    <col min="7180" max="7180" width="12.140625" style="518" customWidth="1"/>
    <col min="7181" max="7181" width="12.5703125" style="518" customWidth="1"/>
    <col min="7182" max="7182" width="10.7109375" style="518" customWidth="1"/>
    <col min="7183" max="7183" width="16.28515625" style="518" customWidth="1"/>
    <col min="7184" max="7424" width="14.7109375" style="518"/>
    <col min="7425" max="7425" width="6" style="518" customWidth="1"/>
    <col min="7426" max="7426" width="34" style="518" customWidth="1"/>
    <col min="7427" max="7427" width="15.28515625" style="518" customWidth="1"/>
    <col min="7428" max="7428" width="13.7109375" style="518" customWidth="1"/>
    <col min="7429" max="7430" width="12.5703125" style="518" customWidth="1"/>
    <col min="7431" max="7433" width="11.5703125" style="518" customWidth="1"/>
    <col min="7434" max="7434" width="12.28515625" style="518" customWidth="1"/>
    <col min="7435" max="7435" width="12.85546875" style="518" customWidth="1"/>
    <col min="7436" max="7436" width="12.140625" style="518" customWidth="1"/>
    <col min="7437" max="7437" width="12.5703125" style="518" customWidth="1"/>
    <col min="7438" max="7438" width="10.7109375" style="518" customWidth="1"/>
    <col min="7439" max="7439" width="16.28515625" style="518" customWidth="1"/>
    <col min="7440" max="7680" width="14.7109375" style="518"/>
    <col min="7681" max="7681" width="6" style="518" customWidth="1"/>
    <col min="7682" max="7682" width="34" style="518" customWidth="1"/>
    <col min="7683" max="7683" width="15.28515625" style="518" customWidth="1"/>
    <col min="7684" max="7684" width="13.7109375" style="518" customWidth="1"/>
    <col min="7685" max="7686" width="12.5703125" style="518" customWidth="1"/>
    <col min="7687" max="7689" width="11.5703125" style="518" customWidth="1"/>
    <col min="7690" max="7690" width="12.28515625" style="518" customWidth="1"/>
    <col min="7691" max="7691" width="12.85546875" style="518" customWidth="1"/>
    <col min="7692" max="7692" width="12.140625" style="518" customWidth="1"/>
    <col min="7693" max="7693" width="12.5703125" style="518" customWidth="1"/>
    <col min="7694" max="7694" width="10.7109375" style="518" customWidth="1"/>
    <col min="7695" max="7695" width="16.28515625" style="518" customWidth="1"/>
    <col min="7696" max="7936" width="14.7109375" style="518"/>
    <col min="7937" max="7937" width="6" style="518" customWidth="1"/>
    <col min="7938" max="7938" width="34" style="518" customWidth="1"/>
    <col min="7939" max="7939" width="15.28515625" style="518" customWidth="1"/>
    <col min="7940" max="7940" width="13.7109375" style="518" customWidth="1"/>
    <col min="7941" max="7942" width="12.5703125" style="518" customWidth="1"/>
    <col min="7943" max="7945" width="11.5703125" style="518" customWidth="1"/>
    <col min="7946" max="7946" width="12.28515625" style="518" customWidth="1"/>
    <col min="7947" max="7947" width="12.85546875" style="518" customWidth="1"/>
    <col min="7948" max="7948" width="12.140625" style="518" customWidth="1"/>
    <col min="7949" max="7949" width="12.5703125" style="518" customWidth="1"/>
    <col min="7950" max="7950" width="10.7109375" style="518" customWidth="1"/>
    <col min="7951" max="7951" width="16.28515625" style="518" customWidth="1"/>
    <col min="7952" max="8192" width="14.7109375" style="518"/>
    <col min="8193" max="8193" width="6" style="518" customWidth="1"/>
    <col min="8194" max="8194" width="34" style="518" customWidth="1"/>
    <col min="8195" max="8195" width="15.28515625" style="518" customWidth="1"/>
    <col min="8196" max="8196" width="13.7109375" style="518" customWidth="1"/>
    <col min="8197" max="8198" width="12.5703125" style="518" customWidth="1"/>
    <col min="8199" max="8201" width="11.5703125" style="518" customWidth="1"/>
    <col min="8202" max="8202" width="12.28515625" style="518" customWidth="1"/>
    <col min="8203" max="8203" width="12.85546875" style="518" customWidth="1"/>
    <col min="8204" max="8204" width="12.140625" style="518" customWidth="1"/>
    <col min="8205" max="8205" width="12.5703125" style="518" customWidth="1"/>
    <col min="8206" max="8206" width="10.7109375" style="518" customWidth="1"/>
    <col min="8207" max="8207" width="16.28515625" style="518" customWidth="1"/>
    <col min="8208" max="8448" width="14.7109375" style="518"/>
    <col min="8449" max="8449" width="6" style="518" customWidth="1"/>
    <col min="8450" max="8450" width="34" style="518" customWidth="1"/>
    <col min="8451" max="8451" width="15.28515625" style="518" customWidth="1"/>
    <col min="8452" max="8452" width="13.7109375" style="518" customWidth="1"/>
    <col min="8453" max="8454" width="12.5703125" style="518" customWidth="1"/>
    <col min="8455" max="8457" width="11.5703125" style="518" customWidth="1"/>
    <col min="8458" max="8458" width="12.28515625" style="518" customWidth="1"/>
    <col min="8459" max="8459" width="12.85546875" style="518" customWidth="1"/>
    <col min="8460" max="8460" width="12.140625" style="518" customWidth="1"/>
    <col min="8461" max="8461" width="12.5703125" style="518" customWidth="1"/>
    <col min="8462" max="8462" width="10.7109375" style="518" customWidth="1"/>
    <col min="8463" max="8463" width="16.28515625" style="518" customWidth="1"/>
    <col min="8464" max="8704" width="14.7109375" style="518"/>
    <col min="8705" max="8705" width="6" style="518" customWidth="1"/>
    <col min="8706" max="8706" width="34" style="518" customWidth="1"/>
    <col min="8707" max="8707" width="15.28515625" style="518" customWidth="1"/>
    <col min="8708" max="8708" width="13.7109375" style="518" customWidth="1"/>
    <col min="8709" max="8710" width="12.5703125" style="518" customWidth="1"/>
    <col min="8711" max="8713" width="11.5703125" style="518" customWidth="1"/>
    <col min="8714" max="8714" width="12.28515625" style="518" customWidth="1"/>
    <col min="8715" max="8715" width="12.85546875" style="518" customWidth="1"/>
    <col min="8716" max="8716" width="12.140625" style="518" customWidth="1"/>
    <col min="8717" max="8717" width="12.5703125" style="518" customWidth="1"/>
    <col min="8718" max="8718" width="10.7109375" style="518" customWidth="1"/>
    <col min="8719" max="8719" width="16.28515625" style="518" customWidth="1"/>
    <col min="8720" max="8960" width="14.7109375" style="518"/>
    <col min="8961" max="8961" width="6" style="518" customWidth="1"/>
    <col min="8962" max="8962" width="34" style="518" customWidth="1"/>
    <col min="8963" max="8963" width="15.28515625" style="518" customWidth="1"/>
    <col min="8964" max="8964" width="13.7109375" style="518" customWidth="1"/>
    <col min="8965" max="8966" width="12.5703125" style="518" customWidth="1"/>
    <col min="8967" max="8969" width="11.5703125" style="518" customWidth="1"/>
    <col min="8970" max="8970" width="12.28515625" style="518" customWidth="1"/>
    <col min="8971" max="8971" width="12.85546875" style="518" customWidth="1"/>
    <col min="8972" max="8972" width="12.140625" style="518" customWidth="1"/>
    <col min="8973" max="8973" width="12.5703125" style="518" customWidth="1"/>
    <col min="8974" max="8974" width="10.7109375" style="518" customWidth="1"/>
    <col min="8975" max="8975" width="16.28515625" style="518" customWidth="1"/>
    <col min="8976" max="9216" width="14.7109375" style="518"/>
    <col min="9217" max="9217" width="6" style="518" customWidth="1"/>
    <col min="9218" max="9218" width="34" style="518" customWidth="1"/>
    <col min="9219" max="9219" width="15.28515625" style="518" customWidth="1"/>
    <col min="9220" max="9220" width="13.7109375" style="518" customWidth="1"/>
    <col min="9221" max="9222" width="12.5703125" style="518" customWidth="1"/>
    <col min="9223" max="9225" width="11.5703125" style="518" customWidth="1"/>
    <col min="9226" max="9226" width="12.28515625" style="518" customWidth="1"/>
    <col min="9227" max="9227" width="12.85546875" style="518" customWidth="1"/>
    <col min="9228" max="9228" width="12.140625" style="518" customWidth="1"/>
    <col min="9229" max="9229" width="12.5703125" style="518" customWidth="1"/>
    <col min="9230" max="9230" width="10.7109375" style="518" customWidth="1"/>
    <col min="9231" max="9231" width="16.28515625" style="518" customWidth="1"/>
    <col min="9232" max="9472" width="14.7109375" style="518"/>
    <col min="9473" max="9473" width="6" style="518" customWidth="1"/>
    <col min="9474" max="9474" width="34" style="518" customWidth="1"/>
    <col min="9475" max="9475" width="15.28515625" style="518" customWidth="1"/>
    <col min="9476" max="9476" width="13.7109375" style="518" customWidth="1"/>
    <col min="9477" max="9478" width="12.5703125" style="518" customWidth="1"/>
    <col min="9479" max="9481" width="11.5703125" style="518" customWidth="1"/>
    <col min="9482" max="9482" width="12.28515625" style="518" customWidth="1"/>
    <col min="9483" max="9483" width="12.85546875" style="518" customWidth="1"/>
    <col min="9484" max="9484" width="12.140625" style="518" customWidth="1"/>
    <col min="9485" max="9485" width="12.5703125" style="518" customWidth="1"/>
    <col min="9486" max="9486" width="10.7109375" style="518" customWidth="1"/>
    <col min="9487" max="9487" width="16.28515625" style="518" customWidth="1"/>
    <col min="9488" max="9728" width="14.7109375" style="518"/>
    <col min="9729" max="9729" width="6" style="518" customWidth="1"/>
    <col min="9730" max="9730" width="34" style="518" customWidth="1"/>
    <col min="9731" max="9731" width="15.28515625" style="518" customWidth="1"/>
    <col min="9732" max="9732" width="13.7109375" style="518" customWidth="1"/>
    <col min="9733" max="9734" width="12.5703125" style="518" customWidth="1"/>
    <col min="9735" max="9737" width="11.5703125" style="518" customWidth="1"/>
    <col min="9738" max="9738" width="12.28515625" style="518" customWidth="1"/>
    <col min="9739" max="9739" width="12.85546875" style="518" customWidth="1"/>
    <col min="9740" max="9740" width="12.140625" style="518" customWidth="1"/>
    <col min="9741" max="9741" width="12.5703125" style="518" customWidth="1"/>
    <col min="9742" max="9742" width="10.7109375" style="518" customWidth="1"/>
    <col min="9743" max="9743" width="16.28515625" style="518" customWidth="1"/>
    <col min="9744" max="9984" width="14.7109375" style="518"/>
    <col min="9985" max="9985" width="6" style="518" customWidth="1"/>
    <col min="9986" max="9986" width="34" style="518" customWidth="1"/>
    <col min="9987" max="9987" width="15.28515625" style="518" customWidth="1"/>
    <col min="9988" max="9988" width="13.7109375" style="518" customWidth="1"/>
    <col min="9989" max="9990" width="12.5703125" style="518" customWidth="1"/>
    <col min="9991" max="9993" width="11.5703125" style="518" customWidth="1"/>
    <col min="9994" max="9994" width="12.28515625" style="518" customWidth="1"/>
    <col min="9995" max="9995" width="12.85546875" style="518" customWidth="1"/>
    <col min="9996" max="9996" width="12.140625" style="518" customWidth="1"/>
    <col min="9997" max="9997" width="12.5703125" style="518" customWidth="1"/>
    <col min="9998" max="9998" width="10.7109375" style="518" customWidth="1"/>
    <col min="9999" max="9999" width="16.28515625" style="518" customWidth="1"/>
    <col min="10000" max="10240" width="14.7109375" style="518"/>
    <col min="10241" max="10241" width="6" style="518" customWidth="1"/>
    <col min="10242" max="10242" width="34" style="518" customWidth="1"/>
    <col min="10243" max="10243" width="15.28515625" style="518" customWidth="1"/>
    <col min="10244" max="10244" width="13.7109375" style="518" customWidth="1"/>
    <col min="10245" max="10246" width="12.5703125" style="518" customWidth="1"/>
    <col min="10247" max="10249" width="11.5703125" style="518" customWidth="1"/>
    <col min="10250" max="10250" width="12.28515625" style="518" customWidth="1"/>
    <col min="10251" max="10251" width="12.85546875" style="518" customWidth="1"/>
    <col min="10252" max="10252" width="12.140625" style="518" customWidth="1"/>
    <col min="10253" max="10253" width="12.5703125" style="518" customWidth="1"/>
    <col min="10254" max="10254" width="10.7109375" style="518" customWidth="1"/>
    <col min="10255" max="10255" width="16.28515625" style="518" customWidth="1"/>
    <col min="10256" max="10496" width="14.7109375" style="518"/>
    <col min="10497" max="10497" width="6" style="518" customWidth="1"/>
    <col min="10498" max="10498" width="34" style="518" customWidth="1"/>
    <col min="10499" max="10499" width="15.28515625" style="518" customWidth="1"/>
    <col min="10500" max="10500" width="13.7109375" style="518" customWidth="1"/>
    <col min="10501" max="10502" width="12.5703125" style="518" customWidth="1"/>
    <col min="10503" max="10505" width="11.5703125" style="518" customWidth="1"/>
    <col min="10506" max="10506" width="12.28515625" style="518" customWidth="1"/>
    <col min="10507" max="10507" width="12.85546875" style="518" customWidth="1"/>
    <col min="10508" max="10508" width="12.140625" style="518" customWidth="1"/>
    <col min="10509" max="10509" width="12.5703125" style="518" customWidth="1"/>
    <col min="10510" max="10510" width="10.7109375" style="518" customWidth="1"/>
    <col min="10511" max="10511" width="16.28515625" style="518" customWidth="1"/>
    <col min="10512" max="10752" width="14.7109375" style="518"/>
    <col min="10753" max="10753" width="6" style="518" customWidth="1"/>
    <col min="10754" max="10754" width="34" style="518" customWidth="1"/>
    <col min="10755" max="10755" width="15.28515625" style="518" customWidth="1"/>
    <col min="10756" max="10756" width="13.7109375" style="518" customWidth="1"/>
    <col min="10757" max="10758" width="12.5703125" style="518" customWidth="1"/>
    <col min="10759" max="10761" width="11.5703125" style="518" customWidth="1"/>
    <col min="10762" max="10762" width="12.28515625" style="518" customWidth="1"/>
    <col min="10763" max="10763" width="12.85546875" style="518" customWidth="1"/>
    <col min="10764" max="10764" width="12.140625" style="518" customWidth="1"/>
    <col min="10765" max="10765" width="12.5703125" style="518" customWidth="1"/>
    <col min="10766" max="10766" width="10.7109375" style="518" customWidth="1"/>
    <col min="10767" max="10767" width="16.28515625" style="518" customWidth="1"/>
    <col min="10768" max="11008" width="14.7109375" style="518"/>
    <col min="11009" max="11009" width="6" style="518" customWidth="1"/>
    <col min="11010" max="11010" width="34" style="518" customWidth="1"/>
    <col min="11011" max="11011" width="15.28515625" style="518" customWidth="1"/>
    <col min="11012" max="11012" width="13.7109375" style="518" customWidth="1"/>
    <col min="11013" max="11014" width="12.5703125" style="518" customWidth="1"/>
    <col min="11015" max="11017" width="11.5703125" style="518" customWidth="1"/>
    <col min="11018" max="11018" width="12.28515625" style="518" customWidth="1"/>
    <col min="11019" max="11019" width="12.85546875" style="518" customWidth="1"/>
    <col min="11020" max="11020" width="12.140625" style="518" customWidth="1"/>
    <col min="11021" max="11021" width="12.5703125" style="518" customWidth="1"/>
    <col min="11022" max="11022" width="10.7109375" style="518" customWidth="1"/>
    <col min="11023" max="11023" width="16.28515625" style="518" customWidth="1"/>
    <col min="11024" max="11264" width="14.7109375" style="518"/>
    <col min="11265" max="11265" width="6" style="518" customWidth="1"/>
    <col min="11266" max="11266" width="34" style="518" customWidth="1"/>
    <col min="11267" max="11267" width="15.28515625" style="518" customWidth="1"/>
    <col min="11268" max="11268" width="13.7109375" style="518" customWidth="1"/>
    <col min="11269" max="11270" width="12.5703125" style="518" customWidth="1"/>
    <col min="11271" max="11273" width="11.5703125" style="518" customWidth="1"/>
    <col min="11274" max="11274" width="12.28515625" style="518" customWidth="1"/>
    <col min="11275" max="11275" width="12.85546875" style="518" customWidth="1"/>
    <col min="11276" max="11276" width="12.140625" style="518" customWidth="1"/>
    <col min="11277" max="11277" width="12.5703125" style="518" customWidth="1"/>
    <col min="11278" max="11278" width="10.7109375" style="518" customWidth="1"/>
    <col min="11279" max="11279" width="16.28515625" style="518" customWidth="1"/>
    <col min="11280" max="11520" width="14.7109375" style="518"/>
    <col min="11521" max="11521" width="6" style="518" customWidth="1"/>
    <col min="11522" max="11522" width="34" style="518" customWidth="1"/>
    <col min="11523" max="11523" width="15.28515625" style="518" customWidth="1"/>
    <col min="11524" max="11524" width="13.7109375" style="518" customWidth="1"/>
    <col min="11525" max="11526" width="12.5703125" style="518" customWidth="1"/>
    <col min="11527" max="11529" width="11.5703125" style="518" customWidth="1"/>
    <col min="11530" max="11530" width="12.28515625" style="518" customWidth="1"/>
    <col min="11531" max="11531" width="12.85546875" style="518" customWidth="1"/>
    <col min="11532" max="11532" width="12.140625" style="518" customWidth="1"/>
    <col min="11533" max="11533" width="12.5703125" style="518" customWidth="1"/>
    <col min="11534" max="11534" width="10.7109375" style="518" customWidth="1"/>
    <col min="11535" max="11535" width="16.28515625" style="518" customWidth="1"/>
    <col min="11536" max="11776" width="14.7109375" style="518"/>
    <col min="11777" max="11777" width="6" style="518" customWidth="1"/>
    <col min="11778" max="11778" width="34" style="518" customWidth="1"/>
    <col min="11779" max="11779" width="15.28515625" style="518" customWidth="1"/>
    <col min="11780" max="11780" width="13.7109375" style="518" customWidth="1"/>
    <col min="11781" max="11782" width="12.5703125" style="518" customWidth="1"/>
    <col min="11783" max="11785" width="11.5703125" style="518" customWidth="1"/>
    <col min="11786" max="11786" width="12.28515625" style="518" customWidth="1"/>
    <col min="11787" max="11787" width="12.85546875" style="518" customWidth="1"/>
    <col min="11788" max="11788" width="12.140625" style="518" customWidth="1"/>
    <col min="11789" max="11789" width="12.5703125" style="518" customWidth="1"/>
    <col min="11790" max="11790" width="10.7109375" style="518" customWidth="1"/>
    <col min="11791" max="11791" width="16.28515625" style="518" customWidth="1"/>
    <col min="11792" max="12032" width="14.7109375" style="518"/>
    <col min="12033" max="12033" width="6" style="518" customWidth="1"/>
    <col min="12034" max="12034" width="34" style="518" customWidth="1"/>
    <col min="12035" max="12035" width="15.28515625" style="518" customWidth="1"/>
    <col min="12036" max="12036" width="13.7109375" style="518" customWidth="1"/>
    <col min="12037" max="12038" width="12.5703125" style="518" customWidth="1"/>
    <col min="12039" max="12041" width="11.5703125" style="518" customWidth="1"/>
    <col min="12042" max="12042" width="12.28515625" style="518" customWidth="1"/>
    <col min="12043" max="12043" width="12.85546875" style="518" customWidth="1"/>
    <col min="12044" max="12044" width="12.140625" style="518" customWidth="1"/>
    <col min="12045" max="12045" width="12.5703125" style="518" customWidth="1"/>
    <col min="12046" max="12046" width="10.7109375" style="518" customWidth="1"/>
    <col min="12047" max="12047" width="16.28515625" style="518" customWidth="1"/>
    <col min="12048" max="12288" width="14.7109375" style="518"/>
    <col min="12289" max="12289" width="6" style="518" customWidth="1"/>
    <col min="12290" max="12290" width="34" style="518" customWidth="1"/>
    <col min="12291" max="12291" width="15.28515625" style="518" customWidth="1"/>
    <col min="12292" max="12292" width="13.7109375" style="518" customWidth="1"/>
    <col min="12293" max="12294" width="12.5703125" style="518" customWidth="1"/>
    <col min="12295" max="12297" width="11.5703125" style="518" customWidth="1"/>
    <col min="12298" max="12298" width="12.28515625" style="518" customWidth="1"/>
    <col min="12299" max="12299" width="12.85546875" style="518" customWidth="1"/>
    <col min="12300" max="12300" width="12.140625" style="518" customWidth="1"/>
    <col min="12301" max="12301" width="12.5703125" style="518" customWidth="1"/>
    <col min="12302" max="12302" width="10.7109375" style="518" customWidth="1"/>
    <col min="12303" max="12303" width="16.28515625" style="518" customWidth="1"/>
    <col min="12304" max="12544" width="14.7109375" style="518"/>
    <col min="12545" max="12545" width="6" style="518" customWidth="1"/>
    <col min="12546" max="12546" width="34" style="518" customWidth="1"/>
    <col min="12547" max="12547" width="15.28515625" style="518" customWidth="1"/>
    <col min="12548" max="12548" width="13.7109375" style="518" customWidth="1"/>
    <col min="12549" max="12550" width="12.5703125" style="518" customWidth="1"/>
    <col min="12551" max="12553" width="11.5703125" style="518" customWidth="1"/>
    <col min="12554" max="12554" width="12.28515625" style="518" customWidth="1"/>
    <col min="12555" max="12555" width="12.85546875" style="518" customWidth="1"/>
    <col min="12556" max="12556" width="12.140625" style="518" customWidth="1"/>
    <col min="12557" max="12557" width="12.5703125" style="518" customWidth="1"/>
    <col min="12558" max="12558" width="10.7109375" style="518" customWidth="1"/>
    <col min="12559" max="12559" width="16.28515625" style="518" customWidth="1"/>
    <col min="12560" max="12800" width="14.7109375" style="518"/>
    <col min="12801" max="12801" width="6" style="518" customWidth="1"/>
    <col min="12802" max="12802" width="34" style="518" customWidth="1"/>
    <col min="12803" max="12803" width="15.28515625" style="518" customWidth="1"/>
    <col min="12804" max="12804" width="13.7109375" style="518" customWidth="1"/>
    <col min="12805" max="12806" width="12.5703125" style="518" customWidth="1"/>
    <col min="12807" max="12809" width="11.5703125" style="518" customWidth="1"/>
    <col min="12810" max="12810" width="12.28515625" style="518" customWidth="1"/>
    <col min="12811" max="12811" width="12.85546875" style="518" customWidth="1"/>
    <col min="12812" max="12812" width="12.140625" style="518" customWidth="1"/>
    <col min="12813" max="12813" width="12.5703125" style="518" customWidth="1"/>
    <col min="12814" max="12814" width="10.7109375" style="518" customWidth="1"/>
    <col min="12815" max="12815" width="16.28515625" style="518" customWidth="1"/>
    <col min="12816" max="13056" width="14.7109375" style="518"/>
    <col min="13057" max="13057" width="6" style="518" customWidth="1"/>
    <col min="13058" max="13058" width="34" style="518" customWidth="1"/>
    <col min="13059" max="13059" width="15.28515625" style="518" customWidth="1"/>
    <col min="13060" max="13060" width="13.7109375" style="518" customWidth="1"/>
    <col min="13061" max="13062" width="12.5703125" style="518" customWidth="1"/>
    <col min="13063" max="13065" width="11.5703125" style="518" customWidth="1"/>
    <col min="13066" max="13066" width="12.28515625" style="518" customWidth="1"/>
    <col min="13067" max="13067" width="12.85546875" style="518" customWidth="1"/>
    <col min="13068" max="13068" width="12.140625" style="518" customWidth="1"/>
    <col min="13069" max="13069" width="12.5703125" style="518" customWidth="1"/>
    <col min="13070" max="13070" width="10.7109375" style="518" customWidth="1"/>
    <col min="13071" max="13071" width="16.28515625" style="518" customWidth="1"/>
    <col min="13072" max="13312" width="14.7109375" style="518"/>
    <col min="13313" max="13313" width="6" style="518" customWidth="1"/>
    <col min="13314" max="13314" width="34" style="518" customWidth="1"/>
    <col min="13315" max="13315" width="15.28515625" style="518" customWidth="1"/>
    <col min="13316" max="13316" width="13.7109375" style="518" customWidth="1"/>
    <col min="13317" max="13318" width="12.5703125" style="518" customWidth="1"/>
    <col min="13319" max="13321" width="11.5703125" style="518" customWidth="1"/>
    <col min="13322" max="13322" width="12.28515625" style="518" customWidth="1"/>
    <col min="13323" max="13323" width="12.85546875" style="518" customWidth="1"/>
    <col min="13324" max="13324" width="12.140625" style="518" customWidth="1"/>
    <col min="13325" max="13325" width="12.5703125" style="518" customWidth="1"/>
    <col min="13326" max="13326" width="10.7109375" style="518" customWidth="1"/>
    <col min="13327" max="13327" width="16.28515625" style="518" customWidth="1"/>
    <col min="13328" max="13568" width="14.7109375" style="518"/>
    <col min="13569" max="13569" width="6" style="518" customWidth="1"/>
    <col min="13570" max="13570" width="34" style="518" customWidth="1"/>
    <col min="13571" max="13571" width="15.28515625" style="518" customWidth="1"/>
    <col min="13572" max="13572" width="13.7109375" style="518" customWidth="1"/>
    <col min="13573" max="13574" width="12.5703125" style="518" customWidth="1"/>
    <col min="13575" max="13577" width="11.5703125" style="518" customWidth="1"/>
    <col min="13578" max="13578" width="12.28515625" style="518" customWidth="1"/>
    <col min="13579" max="13579" width="12.85546875" style="518" customWidth="1"/>
    <col min="13580" max="13580" width="12.140625" style="518" customWidth="1"/>
    <col min="13581" max="13581" width="12.5703125" style="518" customWidth="1"/>
    <col min="13582" max="13582" width="10.7109375" style="518" customWidth="1"/>
    <col min="13583" max="13583" width="16.28515625" style="518" customWidth="1"/>
    <col min="13584" max="13824" width="14.7109375" style="518"/>
    <col min="13825" max="13825" width="6" style="518" customWidth="1"/>
    <col min="13826" max="13826" width="34" style="518" customWidth="1"/>
    <col min="13827" max="13827" width="15.28515625" style="518" customWidth="1"/>
    <col min="13828" max="13828" width="13.7109375" style="518" customWidth="1"/>
    <col min="13829" max="13830" width="12.5703125" style="518" customWidth="1"/>
    <col min="13831" max="13833" width="11.5703125" style="518" customWidth="1"/>
    <col min="13834" max="13834" width="12.28515625" style="518" customWidth="1"/>
    <col min="13835" max="13835" width="12.85546875" style="518" customWidth="1"/>
    <col min="13836" max="13836" width="12.140625" style="518" customWidth="1"/>
    <col min="13837" max="13837" width="12.5703125" style="518" customWidth="1"/>
    <col min="13838" max="13838" width="10.7109375" style="518" customWidth="1"/>
    <col min="13839" max="13839" width="16.28515625" style="518" customWidth="1"/>
    <col min="13840" max="14080" width="14.7109375" style="518"/>
    <col min="14081" max="14081" width="6" style="518" customWidth="1"/>
    <col min="14082" max="14082" width="34" style="518" customWidth="1"/>
    <col min="14083" max="14083" width="15.28515625" style="518" customWidth="1"/>
    <col min="14084" max="14084" width="13.7109375" style="518" customWidth="1"/>
    <col min="14085" max="14086" width="12.5703125" style="518" customWidth="1"/>
    <col min="14087" max="14089" width="11.5703125" style="518" customWidth="1"/>
    <col min="14090" max="14090" width="12.28515625" style="518" customWidth="1"/>
    <col min="14091" max="14091" width="12.85546875" style="518" customWidth="1"/>
    <col min="14092" max="14092" width="12.140625" style="518" customWidth="1"/>
    <col min="14093" max="14093" width="12.5703125" style="518" customWidth="1"/>
    <col min="14094" max="14094" width="10.7109375" style="518" customWidth="1"/>
    <col min="14095" max="14095" width="16.28515625" style="518" customWidth="1"/>
    <col min="14096" max="14336" width="14.7109375" style="518"/>
    <col min="14337" max="14337" width="6" style="518" customWidth="1"/>
    <col min="14338" max="14338" width="34" style="518" customWidth="1"/>
    <col min="14339" max="14339" width="15.28515625" style="518" customWidth="1"/>
    <col min="14340" max="14340" width="13.7109375" style="518" customWidth="1"/>
    <col min="14341" max="14342" width="12.5703125" style="518" customWidth="1"/>
    <col min="14343" max="14345" width="11.5703125" style="518" customWidth="1"/>
    <col min="14346" max="14346" width="12.28515625" style="518" customWidth="1"/>
    <col min="14347" max="14347" width="12.85546875" style="518" customWidth="1"/>
    <col min="14348" max="14348" width="12.140625" style="518" customWidth="1"/>
    <col min="14349" max="14349" width="12.5703125" style="518" customWidth="1"/>
    <col min="14350" max="14350" width="10.7109375" style="518" customWidth="1"/>
    <col min="14351" max="14351" width="16.28515625" style="518" customWidth="1"/>
    <col min="14352" max="14592" width="14.7109375" style="518"/>
    <col min="14593" max="14593" width="6" style="518" customWidth="1"/>
    <col min="14594" max="14594" width="34" style="518" customWidth="1"/>
    <col min="14595" max="14595" width="15.28515625" style="518" customWidth="1"/>
    <col min="14596" max="14596" width="13.7109375" style="518" customWidth="1"/>
    <col min="14597" max="14598" width="12.5703125" style="518" customWidth="1"/>
    <col min="14599" max="14601" width="11.5703125" style="518" customWidth="1"/>
    <col min="14602" max="14602" width="12.28515625" style="518" customWidth="1"/>
    <col min="14603" max="14603" width="12.85546875" style="518" customWidth="1"/>
    <col min="14604" max="14604" width="12.140625" style="518" customWidth="1"/>
    <col min="14605" max="14605" width="12.5703125" style="518" customWidth="1"/>
    <col min="14606" max="14606" width="10.7109375" style="518" customWidth="1"/>
    <col min="14607" max="14607" width="16.28515625" style="518" customWidth="1"/>
    <col min="14608" max="14848" width="14.7109375" style="518"/>
    <col min="14849" max="14849" width="6" style="518" customWidth="1"/>
    <col min="14850" max="14850" width="34" style="518" customWidth="1"/>
    <col min="14851" max="14851" width="15.28515625" style="518" customWidth="1"/>
    <col min="14852" max="14852" width="13.7109375" style="518" customWidth="1"/>
    <col min="14853" max="14854" width="12.5703125" style="518" customWidth="1"/>
    <col min="14855" max="14857" width="11.5703125" style="518" customWidth="1"/>
    <col min="14858" max="14858" width="12.28515625" style="518" customWidth="1"/>
    <col min="14859" max="14859" width="12.85546875" style="518" customWidth="1"/>
    <col min="14860" max="14860" width="12.140625" style="518" customWidth="1"/>
    <col min="14861" max="14861" width="12.5703125" style="518" customWidth="1"/>
    <col min="14862" max="14862" width="10.7109375" style="518" customWidth="1"/>
    <col min="14863" max="14863" width="16.28515625" style="518" customWidth="1"/>
    <col min="14864" max="15104" width="14.7109375" style="518"/>
    <col min="15105" max="15105" width="6" style="518" customWidth="1"/>
    <col min="15106" max="15106" width="34" style="518" customWidth="1"/>
    <col min="15107" max="15107" width="15.28515625" style="518" customWidth="1"/>
    <col min="15108" max="15108" width="13.7109375" style="518" customWidth="1"/>
    <col min="15109" max="15110" width="12.5703125" style="518" customWidth="1"/>
    <col min="15111" max="15113" width="11.5703125" style="518" customWidth="1"/>
    <col min="15114" max="15114" width="12.28515625" style="518" customWidth="1"/>
    <col min="15115" max="15115" width="12.85546875" style="518" customWidth="1"/>
    <col min="15116" max="15116" width="12.140625" style="518" customWidth="1"/>
    <col min="15117" max="15117" width="12.5703125" style="518" customWidth="1"/>
    <col min="15118" max="15118" width="10.7109375" style="518" customWidth="1"/>
    <col min="15119" max="15119" width="16.28515625" style="518" customWidth="1"/>
    <col min="15120" max="15360" width="14.7109375" style="518"/>
    <col min="15361" max="15361" width="6" style="518" customWidth="1"/>
    <col min="15362" max="15362" width="34" style="518" customWidth="1"/>
    <col min="15363" max="15363" width="15.28515625" style="518" customWidth="1"/>
    <col min="15364" max="15364" width="13.7109375" style="518" customWidth="1"/>
    <col min="15365" max="15366" width="12.5703125" style="518" customWidth="1"/>
    <col min="15367" max="15369" width="11.5703125" style="518" customWidth="1"/>
    <col min="15370" max="15370" width="12.28515625" style="518" customWidth="1"/>
    <col min="15371" max="15371" width="12.85546875" style="518" customWidth="1"/>
    <col min="15372" max="15372" width="12.140625" style="518" customWidth="1"/>
    <col min="15373" max="15373" width="12.5703125" style="518" customWidth="1"/>
    <col min="15374" max="15374" width="10.7109375" style="518" customWidth="1"/>
    <col min="15375" max="15375" width="16.28515625" style="518" customWidth="1"/>
    <col min="15376" max="15616" width="14.7109375" style="518"/>
    <col min="15617" max="15617" width="6" style="518" customWidth="1"/>
    <col min="15618" max="15618" width="34" style="518" customWidth="1"/>
    <col min="15619" max="15619" width="15.28515625" style="518" customWidth="1"/>
    <col min="15620" max="15620" width="13.7109375" style="518" customWidth="1"/>
    <col min="15621" max="15622" width="12.5703125" style="518" customWidth="1"/>
    <col min="15623" max="15625" width="11.5703125" style="518" customWidth="1"/>
    <col min="15626" max="15626" width="12.28515625" style="518" customWidth="1"/>
    <col min="15627" max="15627" width="12.85546875" style="518" customWidth="1"/>
    <col min="15628" max="15628" width="12.140625" style="518" customWidth="1"/>
    <col min="15629" max="15629" width="12.5703125" style="518" customWidth="1"/>
    <col min="15630" max="15630" width="10.7109375" style="518" customWidth="1"/>
    <col min="15631" max="15631" width="16.28515625" style="518" customWidth="1"/>
    <col min="15632" max="15872" width="14.7109375" style="518"/>
    <col min="15873" max="15873" width="6" style="518" customWidth="1"/>
    <col min="15874" max="15874" width="34" style="518" customWidth="1"/>
    <col min="15875" max="15875" width="15.28515625" style="518" customWidth="1"/>
    <col min="15876" max="15876" width="13.7109375" style="518" customWidth="1"/>
    <col min="15877" max="15878" width="12.5703125" style="518" customWidth="1"/>
    <col min="15879" max="15881" width="11.5703125" style="518" customWidth="1"/>
    <col min="15882" max="15882" width="12.28515625" style="518" customWidth="1"/>
    <col min="15883" max="15883" width="12.85546875" style="518" customWidth="1"/>
    <col min="15884" max="15884" width="12.140625" style="518" customWidth="1"/>
    <col min="15885" max="15885" width="12.5703125" style="518" customWidth="1"/>
    <col min="15886" max="15886" width="10.7109375" style="518" customWidth="1"/>
    <col min="15887" max="15887" width="16.28515625" style="518" customWidth="1"/>
    <col min="15888" max="16128" width="14.7109375" style="518"/>
    <col min="16129" max="16129" width="6" style="518" customWidth="1"/>
    <col min="16130" max="16130" width="34" style="518" customWidth="1"/>
    <col min="16131" max="16131" width="15.28515625" style="518" customWidth="1"/>
    <col min="16132" max="16132" width="13.7109375" style="518" customWidth="1"/>
    <col min="16133" max="16134" width="12.5703125" style="518" customWidth="1"/>
    <col min="16135" max="16137" width="11.5703125" style="518" customWidth="1"/>
    <col min="16138" max="16138" width="12.28515625" style="518" customWidth="1"/>
    <col min="16139" max="16139" width="12.85546875" style="518" customWidth="1"/>
    <col min="16140" max="16140" width="12.140625" style="518" customWidth="1"/>
    <col min="16141" max="16141" width="12.5703125" style="518" customWidth="1"/>
    <col min="16142" max="16142" width="10.7109375" style="518" customWidth="1"/>
    <col min="16143" max="16143" width="16.28515625" style="518" customWidth="1"/>
    <col min="16144" max="16384" width="14.7109375" style="518"/>
  </cols>
  <sheetData>
    <row r="1" spans="1:14" ht="18">
      <c r="B1" s="514" t="s">
        <v>106</v>
      </c>
      <c r="C1" s="515"/>
      <c r="D1" s="515"/>
      <c r="E1" s="515"/>
      <c r="F1" s="515"/>
      <c r="G1" s="515"/>
      <c r="H1" s="515"/>
      <c r="I1" s="516" t="s">
        <v>0</v>
      </c>
      <c r="J1" s="517" t="s">
        <v>149</v>
      </c>
    </row>
    <row r="2" spans="1:14" s="541" customFormat="1" ht="21.75" customHeight="1">
      <c r="B2" s="1778" t="s">
        <v>150</v>
      </c>
      <c r="C2" s="1778"/>
      <c r="D2" s="1778"/>
      <c r="E2" s="1778"/>
      <c r="F2" s="1778"/>
      <c r="G2" s="1778"/>
      <c r="H2" s="1778"/>
      <c r="I2" s="1778"/>
      <c r="J2" s="1778"/>
    </row>
    <row r="3" spans="1:14" ht="18">
      <c r="A3" s="533" t="s">
        <v>109</v>
      </c>
      <c r="B3" s="543" t="s">
        <v>151</v>
      </c>
      <c r="C3" s="519" t="s">
        <v>111</v>
      </c>
      <c r="D3" s="515"/>
      <c r="F3" s="515"/>
      <c r="G3" s="515"/>
      <c r="H3" s="515"/>
      <c r="I3" s="515"/>
      <c r="J3" s="515"/>
    </row>
    <row r="4" spans="1:14" ht="18.75" thickBot="1">
      <c r="B4" s="515"/>
      <c r="C4" s="520"/>
      <c r="D4" s="515"/>
      <c r="E4" s="1780" t="s">
        <v>112</v>
      </c>
      <c r="F4" s="1780"/>
      <c r="G4" s="1780"/>
      <c r="H4" s="515"/>
      <c r="I4" s="515"/>
      <c r="J4" s="515"/>
    </row>
    <row r="5" spans="1:14" ht="18">
      <c r="A5" s="1763"/>
      <c r="B5" s="1758" t="s">
        <v>114</v>
      </c>
      <c r="C5" s="1758" t="s">
        <v>115</v>
      </c>
      <c r="D5" s="1766" t="s">
        <v>116</v>
      </c>
      <c r="E5" s="1128" t="s">
        <v>117</v>
      </c>
      <c r="F5" s="1099"/>
      <c r="G5" s="1099"/>
      <c r="H5" s="1100"/>
      <c r="I5" s="1122"/>
      <c r="J5" s="1100"/>
    </row>
    <row r="6" spans="1:14" s="526" customFormat="1" ht="78.75" customHeight="1" thickBot="1">
      <c r="A6" s="1764"/>
      <c r="B6" s="1765"/>
      <c r="C6" s="1765"/>
      <c r="D6" s="1767"/>
      <c r="E6" s="1129" t="s">
        <v>59</v>
      </c>
      <c r="F6" s="1115" t="s">
        <v>152</v>
      </c>
      <c r="G6" s="1115" t="s">
        <v>153</v>
      </c>
      <c r="H6" s="1116" t="s">
        <v>123</v>
      </c>
      <c r="I6" s="1123" t="s">
        <v>124</v>
      </c>
      <c r="J6" s="1116" t="s">
        <v>125</v>
      </c>
    </row>
    <row r="7" spans="1:14" ht="18">
      <c r="A7" s="1110"/>
      <c r="B7" s="1111" t="s">
        <v>126</v>
      </c>
      <c r="C7" s="1112"/>
      <c r="D7" s="1117"/>
      <c r="E7" s="1130"/>
      <c r="F7" s="1112"/>
      <c r="G7" s="1112"/>
      <c r="H7" s="1131"/>
      <c r="I7" s="1167"/>
      <c r="J7" s="1114"/>
    </row>
    <row r="8" spans="1:14" ht="18">
      <c r="A8" s="1101">
        <v>1</v>
      </c>
      <c r="B8" s="528" t="s">
        <v>127</v>
      </c>
      <c r="C8" s="982">
        <v>26146</v>
      </c>
      <c r="D8" s="1118">
        <v>18879.509999999998</v>
      </c>
      <c r="E8" s="1171">
        <v>8.2714282380622777</v>
      </c>
      <c r="F8" s="529">
        <v>13.703041299984488</v>
      </c>
      <c r="G8" s="529">
        <v>8.5336859299198995</v>
      </c>
      <c r="H8" s="1133">
        <f>E8+F8+G8</f>
        <v>30.508155467966667</v>
      </c>
      <c r="I8" s="1168">
        <v>1961.3178137309617</v>
      </c>
      <c r="J8" s="1102">
        <v>1273.7136261999999</v>
      </c>
      <c r="K8" s="545"/>
      <c r="L8" s="535"/>
    </row>
    <row r="9" spans="1:14" ht="18">
      <c r="A9" s="1101">
        <v>2</v>
      </c>
      <c r="B9" s="528" t="s">
        <v>128</v>
      </c>
      <c r="C9" s="982">
        <v>8615</v>
      </c>
      <c r="D9" s="1118">
        <v>15595.84</v>
      </c>
      <c r="E9" s="1171">
        <v>2.2314246350210656</v>
      </c>
      <c r="F9" s="529">
        <v>6.0517947684632132</v>
      </c>
      <c r="G9" s="529">
        <v>9.3685452745948492</v>
      </c>
      <c r="H9" s="1133">
        <f>E9+F9+G9</f>
        <v>17.651764678079125</v>
      </c>
      <c r="I9" s="1168">
        <v>1167.880093507245</v>
      </c>
      <c r="J9" s="1102">
        <v>729.79137939999998</v>
      </c>
      <c r="K9" s="545"/>
      <c r="L9" s="535"/>
    </row>
    <row r="10" spans="1:14" ht="18">
      <c r="A10" s="1101">
        <v>3</v>
      </c>
      <c r="B10" s="528" t="s">
        <v>129</v>
      </c>
      <c r="C10" s="982">
        <v>4641</v>
      </c>
      <c r="D10" s="1118">
        <v>13014.210000000001</v>
      </c>
      <c r="E10" s="1171">
        <v>1.0019730477334119</v>
      </c>
      <c r="F10" s="529">
        <v>3.5139767882796611</v>
      </c>
      <c r="G10" s="529">
        <v>9.1771087609732476</v>
      </c>
      <c r="H10" s="1133">
        <f>E10+F10+G10</f>
        <v>13.693058596986321</v>
      </c>
      <c r="I10" s="1168">
        <v>923.0459417667962</v>
      </c>
      <c r="J10" s="1102">
        <v>670.35449019999999</v>
      </c>
      <c r="K10" s="545"/>
      <c r="L10" s="535"/>
    </row>
    <row r="11" spans="1:14" ht="18">
      <c r="A11" s="1101">
        <v>4</v>
      </c>
      <c r="B11" s="528">
        <v>4</v>
      </c>
      <c r="C11" s="982">
        <v>1858</v>
      </c>
      <c r="D11" s="1118">
        <v>7028.99</v>
      </c>
      <c r="E11" s="1171">
        <v>0.33725894956919006</v>
      </c>
      <c r="F11" s="529">
        <v>1.4938610039017071</v>
      </c>
      <c r="G11" s="529">
        <v>5.3386286725627166</v>
      </c>
      <c r="H11" s="1133">
        <f>E11+F11+G11</f>
        <v>7.1697486260336136</v>
      </c>
      <c r="I11" s="1168">
        <v>491.16520396224655</v>
      </c>
      <c r="J11" s="1102">
        <v>353.60118069999999</v>
      </c>
      <c r="K11" s="545"/>
      <c r="L11" s="535"/>
    </row>
    <row r="12" spans="1:14" ht="18">
      <c r="A12" s="1101">
        <v>5</v>
      </c>
      <c r="B12" s="531" t="s">
        <v>130</v>
      </c>
      <c r="C12" s="982">
        <v>7190</v>
      </c>
      <c r="D12" s="1118">
        <v>96521.72</v>
      </c>
      <c r="E12" s="1171">
        <v>0.483686368785261</v>
      </c>
      <c r="F12" s="529">
        <v>3.0116146251201927</v>
      </c>
      <c r="G12" s="529">
        <v>126.1925416892518</v>
      </c>
      <c r="H12" s="1133">
        <f>E12+F12+G12</f>
        <v>129.68784268315724</v>
      </c>
      <c r="I12" s="1168">
        <v>10130.553030881631</v>
      </c>
      <c r="J12" s="1102">
        <v>8374.1168015000021</v>
      </c>
      <c r="K12" s="545"/>
      <c r="L12" s="535"/>
    </row>
    <row r="13" spans="1:14" ht="18">
      <c r="A13" s="1161">
        <v>6</v>
      </c>
      <c r="B13" s="534" t="s">
        <v>131</v>
      </c>
      <c r="C13" s="962">
        <f>SUM(C8:C12)</f>
        <v>48450</v>
      </c>
      <c r="D13" s="1119">
        <f t="shared" ref="D13:J13" si="0">SUM(D8:D12)</f>
        <v>151040.26999999999</v>
      </c>
      <c r="E13" s="1141">
        <f t="shared" si="0"/>
        <v>12.325771239171205</v>
      </c>
      <c r="F13" s="960">
        <f t="shared" si="0"/>
        <v>27.77428848574926</v>
      </c>
      <c r="G13" s="960">
        <f t="shared" si="0"/>
        <v>158.61051032730251</v>
      </c>
      <c r="H13" s="1135">
        <f t="shared" si="0"/>
        <v>198.71057005222298</v>
      </c>
      <c r="I13" s="1169">
        <f t="shared" si="0"/>
        <v>14673.962083848881</v>
      </c>
      <c r="J13" s="1103">
        <f t="shared" si="0"/>
        <v>11401.577478000003</v>
      </c>
      <c r="L13" s="535"/>
    </row>
    <row r="14" spans="1:14" ht="36">
      <c r="A14" s="1101">
        <v>7</v>
      </c>
      <c r="B14" s="544" t="s">
        <v>154</v>
      </c>
      <c r="C14" s="529"/>
      <c r="D14" s="1166"/>
      <c r="E14" s="1171"/>
      <c r="F14" s="529"/>
      <c r="G14" s="529"/>
      <c r="H14" s="1133"/>
      <c r="I14" s="1168"/>
      <c r="J14" s="1102"/>
      <c r="L14" s="535"/>
      <c r="M14" s="535"/>
      <c r="N14" s="545"/>
    </row>
    <row r="15" spans="1:14" ht="18">
      <c r="A15" s="1161">
        <v>8</v>
      </c>
      <c r="B15" s="534" t="s">
        <v>131</v>
      </c>
      <c r="C15" s="525">
        <f>C14</f>
        <v>0</v>
      </c>
      <c r="D15" s="1163">
        <f t="shared" ref="D15:J15" si="1">D14</f>
        <v>0</v>
      </c>
      <c r="E15" s="1141">
        <f t="shared" si="1"/>
        <v>0</v>
      </c>
      <c r="F15" s="960">
        <f t="shared" si="1"/>
        <v>0</v>
      </c>
      <c r="G15" s="960">
        <f t="shared" si="1"/>
        <v>0</v>
      </c>
      <c r="H15" s="1135">
        <f t="shared" si="1"/>
        <v>0</v>
      </c>
      <c r="I15" s="1169">
        <f t="shared" si="1"/>
        <v>0</v>
      </c>
      <c r="J15" s="1103">
        <f t="shared" si="1"/>
        <v>0</v>
      </c>
    </row>
    <row r="16" spans="1:14" ht="18.75" thickBot="1">
      <c r="A16" s="1146">
        <v>9</v>
      </c>
      <c r="B16" s="1105" t="s">
        <v>136</v>
      </c>
      <c r="C16" s="1106">
        <f>C13+C15</f>
        <v>48450</v>
      </c>
      <c r="D16" s="1121">
        <f t="shared" ref="D16:J16" si="2">D13+D15</f>
        <v>151040.26999999999</v>
      </c>
      <c r="E16" s="1144">
        <f t="shared" si="2"/>
        <v>12.325771239171205</v>
      </c>
      <c r="F16" s="1107">
        <f t="shared" si="2"/>
        <v>27.77428848574926</v>
      </c>
      <c r="G16" s="1107">
        <f t="shared" si="2"/>
        <v>158.61051032730251</v>
      </c>
      <c r="H16" s="1137">
        <f t="shared" si="2"/>
        <v>198.71057005222298</v>
      </c>
      <c r="I16" s="1170">
        <f t="shared" si="2"/>
        <v>14673.962083848881</v>
      </c>
      <c r="J16" s="1156">
        <f t="shared" si="2"/>
        <v>11401.577478000003</v>
      </c>
    </row>
    <row r="17" spans="1:12" ht="18">
      <c r="B17" s="532"/>
      <c r="C17" s="965"/>
      <c r="D17" s="965"/>
      <c r="E17" s="965"/>
      <c r="F17" s="965"/>
      <c r="G17" s="965"/>
      <c r="H17" s="965"/>
      <c r="I17" s="965"/>
      <c r="J17" s="965"/>
    </row>
    <row r="18" spans="1:12" ht="18">
      <c r="A18" s="533" t="s">
        <v>137</v>
      </c>
      <c r="B18" s="543" t="s">
        <v>151</v>
      </c>
      <c r="C18" s="519" t="s">
        <v>138</v>
      </c>
      <c r="D18" s="515"/>
      <c r="F18" s="515"/>
      <c r="G18" s="515"/>
      <c r="H18" s="515"/>
      <c r="I18" s="515"/>
      <c r="J18" s="515"/>
    </row>
    <row r="19" spans="1:12" ht="18.75" thickBot="1">
      <c r="B19" s="532"/>
      <c r="C19" s="520"/>
      <c r="D19" s="515"/>
      <c r="E19" s="1780" t="s">
        <v>112</v>
      </c>
      <c r="F19" s="1780"/>
      <c r="G19" s="1780"/>
      <c r="H19" s="515"/>
      <c r="I19" s="515"/>
      <c r="J19" s="515"/>
    </row>
    <row r="20" spans="1:12" ht="18">
      <c r="A20" s="1763"/>
      <c r="B20" s="1758" t="s">
        <v>114</v>
      </c>
      <c r="C20" s="1758" t="s">
        <v>115</v>
      </c>
      <c r="D20" s="1766" t="s">
        <v>116</v>
      </c>
      <c r="E20" s="1128" t="s">
        <v>117</v>
      </c>
      <c r="F20" s="1099"/>
      <c r="G20" s="1099"/>
      <c r="H20" s="1100"/>
      <c r="I20" s="1122"/>
      <c r="J20" s="1100"/>
    </row>
    <row r="21" spans="1:12" s="526" customFormat="1" ht="73.5" customHeight="1" thickBot="1">
      <c r="A21" s="1764"/>
      <c r="B21" s="1765"/>
      <c r="C21" s="1765"/>
      <c r="D21" s="1767"/>
      <c r="E21" s="1129" t="s">
        <v>59</v>
      </c>
      <c r="F21" s="1115" t="s">
        <v>152</v>
      </c>
      <c r="G21" s="1115" t="s">
        <v>153</v>
      </c>
      <c r="H21" s="1116" t="s">
        <v>123</v>
      </c>
      <c r="I21" s="1123" t="s">
        <v>124</v>
      </c>
      <c r="J21" s="1116" t="s">
        <v>125</v>
      </c>
    </row>
    <row r="22" spans="1:12" ht="18">
      <c r="A22" s="1110"/>
      <c r="B22" s="1111" t="s">
        <v>126</v>
      </c>
      <c r="C22" s="1112"/>
      <c r="D22" s="1117"/>
      <c r="E22" s="1130"/>
      <c r="F22" s="1112"/>
      <c r="G22" s="1112"/>
      <c r="H22" s="1131"/>
      <c r="I22" s="1167"/>
      <c r="J22" s="1114"/>
    </row>
    <row r="23" spans="1:12" ht="18">
      <c r="A23" s="1101">
        <v>1</v>
      </c>
      <c r="B23" s="528" t="s">
        <v>127</v>
      </c>
      <c r="C23" s="524">
        <v>16693</v>
      </c>
      <c r="D23" s="1118">
        <v>13444.949999999999</v>
      </c>
      <c r="E23" s="1171">
        <v>5.2772756581368077</v>
      </c>
      <c r="F23" s="529">
        <v>10.094780001164967</v>
      </c>
      <c r="G23" s="529">
        <v>6.0953459885284609</v>
      </c>
      <c r="H23" s="1133">
        <f>E23+F23+G23</f>
        <v>21.467401647830236</v>
      </c>
      <c r="I23" s="1168">
        <v>1542.1964356084061</v>
      </c>
      <c r="J23" s="1102">
        <v>721.29933089999986</v>
      </c>
      <c r="K23" s="545"/>
      <c r="L23" s="535"/>
    </row>
    <row r="24" spans="1:12" ht="18">
      <c r="A24" s="1101">
        <v>2</v>
      </c>
      <c r="B24" s="528" t="s">
        <v>128</v>
      </c>
      <c r="C24" s="524">
        <v>5971</v>
      </c>
      <c r="D24" s="1118">
        <v>10796.33</v>
      </c>
      <c r="E24" s="1171">
        <v>1.5111876125292969</v>
      </c>
      <c r="F24" s="529">
        <v>4.2705657838368847</v>
      </c>
      <c r="G24" s="529">
        <v>7.0790554101936971</v>
      </c>
      <c r="H24" s="1133">
        <f>E24+F24+G24</f>
        <v>12.860808806559879</v>
      </c>
      <c r="I24" s="1168">
        <v>980.61956734656837</v>
      </c>
      <c r="J24" s="1102">
        <v>440.31824299999994</v>
      </c>
      <c r="K24" s="545"/>
      <c r="L24" s="535"/>
    </row>
    <row r="25" spans="1:12" ht="18">
      <c r="A25" s="1101">
        <v>3</v>
      </c>
      <c r="B25" s="528" t="s">
        <v>129</v>
      </c>
      <c r="C25" s="524">
        <v>2488</v>
      </c>
      <c r="D25" s="1118">
        <v>6844.27</v>
      </c>
      <c r="E25" s="1171">
        <v>0.51847133977092863</v>
      </c>
      <c r="F25" s="529">
        <v>1.8159278131646184</v>
      </c>
      <c r="G25" s="529">
        <v>6.2958084960092782</v>
      </c>
      <c r="H25" s="1133">
        <f>E25+F25+G25</f>
        <v>8.6302076489448254</v>
      </c>
      <c r="I25" s="1168">
        <v>669.61700099253051</v>
      </c>
      <c r="J25" s="1102">
        <v>305.52887950000007</v>
      </c>
      <c r="K25" s="545"/>
      <c r="L25" s="535"/>
    </row>
    <row r="26" spans="1:12" ht="18">
      <c r="A26" s="1101">
        <v>4</v>
      </c>
      <c r="B26" s="528">
        <v>4</v>
      </c>
      <c r="C26" s="524">
        <v>961</v>
      </c>
      <c r="D26" s="1118">
        <v>3528.8599999999997</v>
      </c>
      <c r="E26" s="1171">
        <v>0.17723857952006905</v>
      </c>
      <c r="F26" s="529">
        <v>0.69914895015394074</v>
      </c>
      <c r="G26" s="529">
        <v>3.3436747866677266</v>
      </c>
      <c r="H26" s="1133">
        <f>E26+F26+G26</f>
        <v>4.2200623163417363</v>
      </c>
      <c r="I26" s="1168">
        <v>323.04520666313886</v>
      </c>
      <c r="J26" s="1102">
        <v>181.31256269999994</v>
      </c>
      <c r="K26" s="545"/>
      <c r="L26" s="535"/>
    </row>
    <row r="27" spans="1:12" ht="18">
      <c r="A27" s="1101">
        <v>5</v>
      </c>
      <c r="B27" s="531" t="s">
        <v>130</v>
      </c>
      <c r="C27" s="524">
        <v>6668</v>
      </c>
      <c r="D27" s="1118">
        <v>76599.17</v>
      </c>
      <c r="E27" s="1171">
        <v>0.37568079659615577</v>
      </c>
      <c r="F27" s="529">
        <v>2.1914742510970489</v>
      </c>
      <c r="G27" s="529">
        <f>129.991207558888+0.105+0.0025869215191392</f>
        <v>130.09879448040712</v>
      </c>
      <c r="H27" s="1133">
        <f>E27+F27+G27</f>
        <v>132.66594952810033</v>
      </c>
      <c r="I27" s="1168">
        <f>9966.64009584205+56.12</f>
        <v>10022.760095842052</v>
      </c>
      <c r="J27" s="1102">
        <v>8511.0787755999972</v>
      </c>
      <c r="K27" s="545"/>
      <c r="L27" s="535"/>
    </row>
    <row r="28" spans="1:12" ht="18">
      <c r="A28" s="1161">
        <v>6</v>
      </c>
      <c r="B28" s="534" t="s">
        <v>131</v>
      </c>
      <c r="C28" s="525">
        <f>SUM(C23:C27)</f>
        <v>32781</v>
      </c>
      <c r="D28" s="1119">
        <f t="shared" ref="D28:J28" si="3">SUM(D23:D27)</f>
        <v>111213.57999999999</v>
      </c>
      <c r="E28" s="1141">
        <f t="shared" si="3"/>
        <v>7.8598539865532588</v>
      </c>
      <c r="F28" s="960">
        <f t="shared" si="3"/>
        <v>19.071896799417459</v>
      </c>
      <c r="G28" s="960">
        <f t="shared" si="3"/>
        <v>152.9126791618063</v>
      </c>
      <c r="H28" s="1135">
        <f t="shared" si="3"/>
        <v>179.844429947777</v>
      </c>
      <c r="I28" s="1169">
        <f>SUM(I23:I27)</f>
        <v>13538.238306452695</v>
      </c>
      <c r="J28" s="1103">
        <f t="shared" si="3"/>
        <v>10159.537791699997</v>
      </c>
      <c r="L28" s="535"/>
    </row>
    <row r="29" spans="1:12" ht="39" customHeight="1">
      <c r="A29" s="1101">
        <v>7</v>
      </c>
      <c r="B29" s="544" t="s">
        <v>154</v>
      </c>
      <c r="C29" s="524"/>
      <c r="D29" s="1118"/>
      <c r="E29" s="1171"/>
      <c r="F29" s="529"/>
      <c r="G29" s="529"/>
      <c r="H29" s="1133"/>
      <c r="I29" s="1168"/>
      <c r="J29" s="1102"/>
    </row>
    <row r="30" spans="1:12" ht="18">
      <c r="A30" s="1161">
        <v>8</v>
      </c>
      <c r="B30" s="534" t="s">
        <v>131</v>
      </c>
      <c r="C30" s="525">
        <f>C29</f>
        <v>0</v>
      </c>
      <c r="D30" s="1119">
        <f t="shared" ref="D30:G30" si="4">D29</f>
        <v>0</v>
      </c>
      <c r="E30" s="1141">
        <f t="shared" si="4"/>
        <v>0</v>
      </c>
      <c r="F30" s="960">
        <f t="shared" si="4"/>
        <v>0</v>
      </c>
      <c r="G30" s="960">
        <f t="shared" si="4"/>
        <v>0</v>
      </c>
      <c r="H30" s="1135">
        <f>H29</f>
        <v>0</v>
      </c>
      <c r="I30" s="1169">
        <f t="shared" ref="I30" si="5">I29</f>
        <v>0</v>
      </c>
      <c r="J30" s="1103">
        <f t="shared" ref="J30" si="6">J29</f>
        <v>0</v>
      </c>
      <c r="K30" s="517"/>
    </row>
    <row r="31" spans="1:12" ht="18">
      <c r="A31" s="1101"/>
      <c r="B31" s="531"/>
      <c r="C31" s="524"/>
      <c r="D31" s="1118"/>
      <c r="E31" s="1171"/>
      <c r="F31" s="529"/>
      <c r="G31" s="529"/>
      <c r="H31" s="1133"/>
      <c r="I31" s="1153"/>
      <c r="J31" s="1155"/>
    </row>
    <row r="32" spans="1:12" ht="18">
      <c r="A32" s="1161">
        <v>9</v>
      </c>
      <c r="B32" s="534" t="s">
        <v>139</v>
      </c>
      <c r="C32" s="525">
        <f>C28+C30</f>
        <v>32781</v>
      </c>
      <c r="D32" s="1119">
        <f t="shared" ref="D32:J32" si="7">D28+D30</f>
        <v>111213.57999999999</v>
      </c>
      <c r="E32" s="1141">
        <f t="shared" si="7"/>
        <v>7.8598539865532588</v>
      </c>
      <c r="F32" s="960">
        <f t="shared" si="7"/>
        <v>19.071896799417459</v>
      </c>
      <c r="G32" s="960">
        <f t="shared" si="7"/>
        <v>152.9126791618063</v>
      </c>
      <c r="H32" s="1135">
        <f t="shared" si="7"/>
        <v>179.844429947777</v>
      </c>
      <c r="I32" s="1169">
        <f t="shared" si="7"/>
        <v>13538.238306452695</v>
      </c>
      <c r="J32" s="1172">
        <f t="shared" si="7"/>
        <v>10159.537791699997</v>
      </c>
    </row>
    <row r="33" spans="1:20" ht="18.75" thickBot="1">
      <c r="A33" s="1104"/>
      <c r="B33" s="1105" t="s">
        <v>140</v>
      </c>
      <c r="C33" s="1106">
        <f>C16+C32</f>
        <v>81231</v>
      </c>
      <c r="D33" s="1121">
        <f t="shared" ref="D33:J33" si="8">D16+D32</f>
        <v>262253.84999999998</v>
      </c>
      <c r="E33" s="1144">
        <f t="shared" si="8"/>
        <v>20.185625225724465</v>
      </c>
      <c r="F33" s="1107">
        <f t="shared" si="8"/>
        <v>46.846185285166719</v>
      </c>
      <c r="G33" s="1107">
        <f t="shared" si="8"/>
        <v>311.5231894891088</v>
      </c>
      <c r="H33" s="1137">
        <f t="shared" si="8"/>
        <v>378.55499999999995</v>
      </c>
      <c r="I33" s="1170">
        <f t="shared" si="8"/>
        <v>28212.200390301576</v>
      </c>
      <c r="J33" s="1156">
        <f t="shared" si="8"/>
        <v>21561.1152697</v>
      </c>
      <c r="L33" s="535"/>
      <c r="M33" s="972"/>
    </row>
    <row r="34" spans="1:20" ht="18" customHeight="1" thickBot="1">
      <c r="B34" s="519" t="s">
        <v>155</v>
      </c>
      <c r="C34" s="520"/>
      <c r="D34" s="520"/>
      <c r="E34" s="515"/>
      <c r="F34" s="515"/>
      <c r="G34" s="515"/>
      <c r="H34" s="578"/>
      <c r="I34" s="577"/>
      <c r="J34" s="515"/>
    </row>
    <row r="35" spans="1:20" ht="54" customHeight="1">
      <c r="A35" s="1145"/>
      <c r="B35" s="1147"/>
      <c r="C35" s="1770" t="s">
        <v>142</v>
      </c>
      <c r="D35" s="1771"/>
      <c r="E35" s="1771"/>
      <c r="F35" s="1772"/>
      <c r="G35" s="1779" t="s">
        <v>143</v>
      </c>
      <c r="H35" s="1758"/>
      <c r="I35" s="1758"/>
      <c r="J35" s="1766"/>
      <c r="K35" s="1757" t="s">
        <v>144</v>
      </c>
      <c r="L35" s="1758"/>
      <c r="M35" s="1758"/>
      <c r="N35" s="1759"/>
    </row>
    <row r="36" spans="1:20" ht="18">
      <c r="A36" s="1101"/>
      <c r="B36" s="1149"/>
      <c r="C36" s="1773" t="s">
        <v>111</v>
      </c>
      <c r="D36" s="1774"/>
      <c r="E36" s="1775" t="s">
        <v>138</v>
      </c>
      <c r="F36" s="1776"/>
      <c r="G36" s="1777" t="s">
        <v>111</v>
      </c>
      <c r="H36" s="1774"/>
      <c r="I36" s="1775" t="s">
        <v>138</v>
      </c>
      <c r="J36" s="1777"/>
      <c r="K36" s="1773" t="s">
        <v>111</v>
      </c>
      <c r="L36" s="1774"/>
      <c r="M36" s="1775" t="s">
        <v>138</v>
      </c>
      <c r="N36" s="1776"/>
    </row>
    <row r="37" spans="1:20" ht="54.75" thickBot="1">
      <c r="A37" s="1104"/>
      <c r="B37" s="1184" t="s">
        <v>126</v>
      </c>
      <c r="C37" s="1129" t="s">
        <v>145</v>
      </c>
      <c r="D37" s="1115" t="s">
        <v>27</v>
      </c>
      <c r="E37" s="1115" t="s">
        <v>145</v>
      </c>
      <c r="F37" s="1116" t="s">
        <v>27</v>
      </c>
      <c r="G37" s="1123" t="s">
        <v>145</v>
      </c>
      <c r="H37" s="1115" t="s">
        <v>27</v>
      </c>
      <c r="I37" s="1115" t="s">
        <v>145</v>
      </c>
      <c r="J37" s="1164" t="s">
        <v>27</v>
      </c>
      <c r="K37" s="1129" t="s">
        <v>145</v>
      </c>
      <c r="L37" s="1115" t="s">
        <v>27</v>
      </c>
      <c r="M37" s="1115" t="s">
        <v>145</v>
      </c>
      <c r="N37" s="1116" t="s">
        <v>27</v>
      </c>
    </row>
    <row r="38" spans="1:20" ht="18">
      <c r="A38" s="1110">
        <v>1</v>
      </c>
      <c r="B38" s="1177" t="s">
        <v>127</v>
      </c>
      <c r="C38" s="1178">
        <v>24756</v>
      </c>
      <c r="D38" s="1179">
        <v>20.545893371161103</v>
      </c>
      <c r="E38" s="1180">
        <v>13997</v>
      </c>
      <c r="F38" s="1181">
        <v>14.4914757138783</v>
      </c>
      <c r="G38" s="1124"/>
      <c r="H38" s="1112"/>
      <c r="I38" s="1112"/>
      <c r="J38" s="1117"/>
      <c r="K38" s="1130">
        <v>3928</v>
      </c>
      <c r="L38" s="1158">
        <v>11.589201838127195</v>
      </c>
      <c r="M38" s="1182">
        <v>3859</v>
      </c>
      <c r="N38" s="1183">
        <f>12.1754466383435-5.199521</f>
        <v>6.9759256383435</v>
      </c>
      <c r="O38" s="545"/>
      <c r="P38" s="545"/>
      <c r="R38" s="545"/>
      <c r="S38" s="545"/>
      <c r="T38" s="980"/>
    </row>
    <row r="39" spans="1:20" ht="18">
      <c r="A39" s="1101">
        <v>2</v>
      </c>
      <c r="B39" s="1151" t="s">
        <v>128</v>
      </c>
      <c r="C39" s="1175">
        <v>6521</v>
      </c>
      <c r="D39" s="968">
        <v>10.751442544700575</v>
      </c>
      <c r="E39" s="967">
        <v>4316</v>
      </c>
      <c r="F39" s="1176">
        <v>7.6719832835319144</v>
      </c>
      <c r="G39" s="1153"/>
      <c r="H39" s="524"/>
      <c r="I39" s="524"/>
      <c r="J39" s="1162"/>
      <c r="K39" s="1132">
        <v>1311</v>
      </c>
      <c r="L39" s="529">
        <v>7.8494509206894572</v>
      </c>
      <c r="M39" s="537">
        <v>1385</v>
      </c>
      <c r="N39" s="1173">
        <f>8.24651879914061-3.057693</f>
        <v>5.1888257991406093</v>
      </c>
      <c r="O39" s="545"/>
      <c r="P39" s="545"/>
      <c r="R39" s="545"/>
      <c r="S39" s="545"/>
      <c r="T39" s="980"/>
    </row>
    <row r="40" spans="1:20" ht="18">
      <c r="A40" s="1101">
        <v>3</v>
      </c>
      <c r="B40" s="1151" t="s">
        <v>129</v>
      </c>
      <c r="C40" s="1175">
        <v>3480</v>
      </c>
      <c r="D40" s="968">
        <v>8.817283770355445</v>
      </c>
      <c r="E40" s="967">
        <v>1837</v>
      </c>
      <c r="F40" s="1176">
        <v>4.7768193633147771</v>
      </c>
      <c r="G40" s="1153"/>
      <c r="H40" s="524"/>
      <c r="I40" s="527"/>
      <c r="J40" s="1174"/>
      <c r="K40" s="1132">
        <v>581</v>
      </c>
      <c r="L40" s="529">
        <v>5.3965578939242684</v>
      </c>
      <c r="M40" s="537">
        <v>492</v>
      </c>
      <c r="N40" s="1173">
        <f>5.66954511500891-1.816157</f>
        <v>3.8533881150089102</v>
      </c>
      <c r="O40" s="545"/>
      <c r="P40" s="545"/>
      <c r="R40" s="545"/>
      <c r="S40" s="545"/>
      <c r="T40" s="980"/>
    </row>
    <row r="41" spans="1:20" ht="18">
      <c r="A41" s="1101">
        <v>4</v>
      </c>
      <c r="B41" s="1151">
        <v>4</v>
      </c>
      <c r="C41" s="1175">
        <v>1443</v>
      </c>
      <c r="D41" s="968">
        <v>4.5619813645501539</v>
      </c>
      <c r="E41" s="967">
        <v>730</v>
      </c>
      <c r="F41" s="1176">
        <v>2.4850527069511661</v>
      </c>
      <c r="G41" s="1153"/>
      <c r="H41" s="524"/>
      <c r="I41" s="527"/>
      <c r="J41" s="1174"/>
      <c r="K41" s="1132">
        <v>215</v>
      </c>
      <c r="L41" s="529">
        <v>2.7848520787162001</v>
      </c>
      <c r="M41" s="537">
        <v>153</v>
      </c>
      <c r="N41" s="1173">
        <f>2.92572502866758-1.190715</f>
        <v>1.7350100286675803</v>
      </c>
      <c r="O41" s="545"/>
      <c r="P41" s="545"/>
      <c r="R41" s="545"/>
      <c r="S41" s="545"/>
      <c r="T41" s="980"/>
    </row>
    <row r="42" spans="1:20" ht="18">
      <c r="A42" s="1101">
        <v>5</v>
      </c>
      <c r="B42" s="1149" t="s">
        <v>130</v>
      </c>
      <c r="C42" s="1175">
        <v>5686</v>
      </c>
      <c r="D42" s="968">
        <v>102.60399685136485</v>
      </c>
      <c r="E42" s="967">
        <v>5215</v>
      </c>
      <c r="F42" s="1176">
        <v>96.279932366547342</v>
      </c>
      <c r="G42" s="1153"/>
      <c r="H42" s="524"/>
      <c r="I42" s="524"/>
      <c r="J42" s="1162"/>
      <c r="K42" s="1132">
        <v>529</v>
      </c>
      <c r="L42" s="529">
        <v>23.809909418633737</v>
      </c>
      <c r="M42" s="537">
        <v>797</v>
      </c>
      <c r="N42" s="1173">
        <f>25.0143440108741+11.371673</f>
        <v>36.386017010874099</v>
      </c>
      <c r="O42" s="545"/>
      <c r="P42" s="545"/>
      <c r="R42" s="545"/>
      <c r="S42" s="545"/>
      <c r="T42" s="980"/>
    </row>
    <row r="43" spans="1:20" ht="18.75" thickBot="1">
      <c r="A43" s="1146">
        <v>6</v>
      </c>
      <c r="B43" s="1152" t="s">
        <v>147</v>
      </c>
      <c r="C43" s="1136">
        <f>SUM(C38:C42)</f>
        <v>41886</v>
      </c>
      <c r="D43" s="1107">
        <f t="shared" ref="D43:M43" si="9">SUM(D38:D42)</f>
        <v>147.28059790213214</v>
      </c>
      <c r="E43" s="1106">
        <f t="shared" si="9"/>
        <v>26095</v>
      </c>
      <c r="F43" s="1137">
        <f t="shared" si="9"/>
        <v>125.7052634342235</v>
      </c>
      <c r="G43" s="1154"/>
      <c r="H43" s="1106"/>
      <c r="I43" s="1106"/>
      <c r="J43" s="1165"/>
      <c r="K43" s="1136">
        <f t="shared" si="9"/>
        <v>6564</v>
      </c>
      <c r="L43" s="1107">
        <f t="shared" si="9"/>
        <v>51.429972150090855</v>
      </c>
      <c r="M43" s="1106">
        <f t="shared" si="9"/>
        <v>6686</v>
      </c>
      <c r="N43" s="1137">
        <f>SUM(N38:N42)</f>
        <v>54.139166592034698</v>
      </c>
      <c r="O43" s="979"/>
      <c r="P43" s="979"/>
      <c r="R43" s="979"/>
      <c r="S43" s="979"/>
      <c r="T43" s="545"/>
    </row>
    <row r="44" spans="1:20" ht="18">
      <c r="A44" s="539"/>
      <c r="B44" s="532"/>
      <c r="C44" s="515"/>
      <c r="D44" s="515"/>
      <c r="F44" s="515"/>
      <c r="G44" s="515"/>
      <c r="H44" s="515"/>
      <c r="I44" s="515"/>
      <c r="J44" s="515"/>
    </row>
    <row r="45" spans="1:20">
      <c r="M45" s="545"/>
    </row>
    <row r="46" spans="1:20">
      <c r="M46" s="545"/>
      <c r="N46" s="545"/>
    </row>
    <row r="47" spans="1:20">
      <c r="M47" s="545"/>
      <c r="O47" s="974"/>
    </row>
    <row r="48" spans="1:20">
      <c r="L48" s="969"/>
      <c r="M48" s="971"/>
    </row>
    <row r="49" spans="3:13">
      <c r="L49" s="969"/>
      <c r="M49" s="971"/>
    </row>
    <row r="50" spans="3:13">
      <c r="I50" s="545"/>
      <c r="L50" s="969"/>
      <c r="M50" s="971"/>
    </row>
    <row r="51" spans="3:13" ht="15.75">
      <c r="C51" s="517"/>
      <c r="D51" s="517"/>
    </row>
  </sheetData>
  <mergeCells count="20">
    <mergeCell ref="A5:A6"/>
    <mergeCell ref="B5:B6"/>
    <mergeCell ref="C5:C6"/>
    <mergeCell ref="D5:D6"/>
    <mergeCell ref="A20:A21"/>
    <mergeCell ref="B20:B21"/>
    <mergeCell ref="C20:C21"/>
    <mergeCell ref="D20:D21"/>
    <mergeCell ref="C35:F35"/>
    <mergeCell ref="B2:J2"/>
    <mergeCell ref="K35:N35"/>
    <mergeCell ref="C36:D36"/>
    <mergeCell ref="E36:F36"/>
    <mergeCell ref="G36:H36"/>
    <mergeCell ref="I36:J36"/>
    <mergeCell ref="K36:L36"/>
    <mergeCell ref="M36:N36"/>
    <mergeCell ref="G35:J35"/>
    <mergeCell ref="E19:G19"/>
    <mergeCell ref="E4:G4"/>
  </mergeCells>
  <printOptions horizontalCentered="1"/>
  <pageMargins left="0.39370078740157483" right="0" top="0.39370078740157483" bottom="0" header="0.11811023622047245" footer="0.11811023622047245"/>
  <pageSetup paperSize="9" scale="70" orientation="landscape" errors="blank" r:id="rId1"/>
  <headerFooter alignWithMargins="0">
    <oddFooter>&amp;R&amp;"Arial,Bold"&amp;12OERC FORM &amp;A</oddFooter>
  </headerFooter>
  <rowBreaks count="1" manualBreakCount="1">
    <brk id="34" max="1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T43"/>
  <sheetViews>
    <sheetView view="pageBreakPreview" topLeftCell="A13" zoomScale="80" zoomScaleSheetLayoutView="80" workbookViewId="0">
      <selection activeCell="E5" sqref="E5"/>
    </sheetView>
  </sheetViews>
  <sheetFormatPr defaultColWidth="9.140625" defaultRowHeight="12.75"/>
  <cols>
    <col min="1" max="1" width="3.85546875" style="876" customWidth="1"/>
    <col min="2" max="2" width="33.140625" style="876" customWidth="1"/>
    <col min="3" max="3" width="5.140625" style="876" customWidth="1"/>
    <col min="4" max="4" width="14.5703125" style="876" customWidth="1"/>
    <col min="5" max="5" width="9.28515625" style="876" customWidth="1"/>
    <col min="6" max="6" width="9.5703125" style="876" customWidth="1"/>
    <col min="7" max="7" width="9.7109375" style="876" customWidth="1"/>
    <col min="8" max="8" width="8.5703125" style="876" customWidth="1"/>
    <col min="9" max="9" width="9.28515625" style="876" customWidth="1"/>
    <col min="10" max="10" width="9" style="876" customWidth="1"/>
    <col min="11" max="11" width="9.7109375" style="876" customWidth="1"/>
    <col min="12" max="16" width="8.5703125" style="876" customWidth="1"/>
    <col min="17" max="17" width="12" style="876" customWidth="1"/>
    <col min="18" max="19" width="9.140625" style="876"/>
    <col min="20" max="20" width="9.85546875" style="876" bestFit="1" customWidth="1"/>
    <col min="21" max="16384" width="9.140625" style="876"/>
  </cols>
  <sheetData>
    <row r="1" spans="1:20">
      <c r="A1" s="875" t="s">
        <v>1368</v>
      </c>
    </row>
    <row r="2" spans="1:20">
      <c r="A2" s="1940" t="s">
        <v>1369</v>
      </c>
      <c r="B2" s="1941"/>
      <c r="C2" s="1941"/>
      <c r="D2" s="1941"/>
      <c r="E2" s="1941"/>
      <c r="F2" s="1941"/>
      <c r="G2" s="1941"/>
      <c r="H2" s="1941"/>
      <c r="I2" s="1941"/>
      <c r="J2" s="1941"/>
      <c r="K2" s="1941"/>
      <c r="L2" s="1941"/>
      <c r="M2" s="1941"/>
      <c r="N2" s="1941"/>
      <c r="O2" s="1941"/>
      <c r="P2" s="1942"/>
    </row>
    <row r="3" spans="1:20" ht="18" customHeight="1">
      <c r="A3" s="1943" t="s">
        <v>1403</v>
      </c>
      <c r="B3" s="1944"/>
      <c r="C3" s="1944"/>
      <c r="D3" s="1944"/>
      <c r="E3" s="1944"/>
      <c r="F3" s="1944"/>
      <c r="G3" s="1944"/>
      <c r="H3" s="1944"/>
      <c r="I3" s="1944"/>
      <c r="J3" s="1944"/>
      <c r="K3" s="1944"/>
      <c r="L3" s="1944"/>
      <c r="M3" s="1944"/>
      <c r="N3" s="1944"/>
      <c r="O3" s="1944"/>
      <c r="P3" s="1945"/>
    </row>
    <row r="4" spans="1:20" ht="24.95" customHeight="1">
      <c r="A4" s="964" t="s">
        <v>790</v>
      </c>
      <c r="B4" s="964" t="s">
        <v>1370</v>
      </c>
      <c r="C4" s="1672" t="s">
        <v>1371</v>
      </c>
      <c r="D4" s="964" t="s">
        <v>1372</v>
      </c>
      <c r="E4" s="1673">
        <v>44287</v>
      </c>
      <c r="F4" s="1674">
        <v>44317</v>
      </c>
      <c r="G4" s="1673">
        <v>44348</v>
      </c>
      <c r="H4" s="1674">
        <v>44378</v>
      </c>
      <c r="I4" s="1673">
        <v>44409</v>
      </c>
      <c r="J4" s="1674">
        <v>44440</v>
      </c>
      <c r="K4" s="1673">
        <v>44470</v>
      </c>
      <c r="L4" s="1674">
        <v>44501</v>
      </c>
      <c r="M4" s="1673">
        <v>44531</v>
      </c>
      <c r="N4" s="1674">
        <v>44562</v>
      </c>
      <c r="O4" s="1673">
        <v>44593</v>
      </c>
      <c r="P4" s="1674">
        <v>44621</v>
      </c>
      <c r="Q4" s="1672" t="s">
        <v>147</v>
      </c>
    </row>
    <row r="5" spans="1:20" ht="24.95" customHeight="1">
      <c r="A5" s="1675">
        <v>1</v>
      </c>
      <c r="B5" s="1676" t="s">
        <v>1373</v>
      </c>
      <c r="C5" s="877" t="s">
        <v>286</v>
      </c>
      <c r="D5" s="877"/>
      <c r="E5" s="1677">
        <v>634.02499999999998</v>
      </c>
      <c r="F5" s="1677">
        <v>579.11500000000001</v>
      </c>
      <c r="G5" s="1677">
        <v>546.702</v>
      </c>
      <c r="H5" s="1677">
        <v>574.66200000000003</v>
      </c>
      <c r="I5" s="1677">
        <v>647.45000000000005</v>
      </c>
      <c r="J5" s="1677">
        <v>554.34100000000001</v>
      </c>
      <c r="K5" s="1677">
        <v>720.40800000000002</v>
      </c>
      <c r="L5" s="1677">
        <v>500.41500000000002</v>
      </c>
      <c r="M5" s="1677">
        <v>460.40199999999999</v>
      </c>
      <c r="N5" s="1677">
        <v>498.07400000000001</v>
      </c>
      <c r="O5" s="1677">
        <v>319.27100000000002</v>
      </c>
      <c r="P5" s="1677">
        <v>632.79100000000005</v>
      </c>
      <c r="Q5" s="1678">
        <f>SUM(E5:P5)</f>
        <v>6667.655999999999</v>
      </c>
    </row>
    <row r="6" spans="1:20" ht="24.95" customHeight="1">
      <c r="A6" s="1675">
        <v>2</v>
      </c>
      <c r="B6" s="1676" t="s">
        <v>1374</v>
      </c>
      <c r="C6" s="877" t="s">
        <v>286</v>
      </c>
      <c r="D6" s="877"/>
      <c r="E6" s="1677"/>
      <c r="F6" s="1677"/>
      <c r="G6" s="1677"/>
      <c r="H6" s="1677"/>
      <c r="I6" s="1677"/>
      <c r="J6" s="1677"/>
      <c r="K6" s="1677"/>
      <c r="L6" s="1677"/>
      <c r="M6" s="1677"/>
      <c r="N6" s="1677"/>
      <c r="O6" s="1677"/>
      <c r="P6" s="1677"/>
      <c r="Q6" s="1678">
        <f>SUM(E6:P6)</f>
        <v>0</v>
      </c>
    </row>
    <row r="7" spans="1:20">
      <c r="A7" s="1675">
        <v>3</v>
      </c>
      <c r="B7" s="1676" t="s">
        <v>1375</v>
      </c>
      <c r="C7" s="877" t="s">
        <v>286</v>
      </c>
      <c r="D7" s="877"/>
      <c r="E7" s="1677">
        <v>147.18700000000001</v>
      </c>
      <c r="F7" s="1677">
        <v>135.37100000000001</v>
      </c>
      <c r="G7" s="1677">
        <v>130.37299999999999</v>
      </c>
      <c r="H7" s="1677">
        <v>123.88800000000001</v>
      </c>
      <c r="I7" s="1677">
        <v>118.621</v>
      </c>
      <c r="J7" s="1677">
        <v>121.592</v>
      </c>
      <c r="K7" s="1677">
        <v>124.24834668</v>
      </c>
      <c r="L7" s="1677">
        <v>130.39989357799999</v>
      </c>
      <c r="M7" s="1677">
        <v>119.995317028</v>
      </c>
      <c r="N7" s="1677">
        <v>104.30969681400001</v>
      </c>
      <c r="O7" s="1677">
        <v>121.192001604</v>
      </c>
      <c r="P7" s="1677">
        <v>112.04500806999999</v>
      </c>
      <c r="Q7" s="1678">
        <f>SUM(E7:P7)</f>
        <v>1489.2222637740001</v>
      </c>
      <c r="T7" s="876">
        <v>1000000</v>
      </c>
    </row>
    <row r="8" spans="1:20" ht="24.95" customHeight="1">
      <c r="A8" s="1675">
        <v>4</v>
      </c>
      <c r="B8" s="1676" t="s">
        <v>1376</v>
      </c>
      <c r="C8" s="877" t="s">
        <v>286</v>
      </c>
      <c r="D8" s="877"/>
      <c r="E8" s="1677">
        <v>448.79649999999992</v>
      </c>
      <c r="F8" s="1677">
        <v>408.99710000000005</v>
      </c>
      <c r="G8" s="1677">
        <v>383.52687999999995</v>
      </c>
      <c r="H8" s="1677">
        <v>416.29427999999996</v>
      </c>
      <c r="I8" s="1677">
        <v>489.98199999999997</v>
      </c>
      <c r="J8" s="1677">
        <v>399.48853999999994</v>
      </c>
      <c r="K8" s="1677">
        <v>552.93517331999988</v>
      </c>
      <c r="L8" s="1677">
        <v>339.99020642200003</v>
      </c>
      <c r="M8" s="1677">
        <v>312.78256297199999</v>
      </c>
      <c r="N8" s="1677">
        <v>363.87986318599997</v>
      </c>
      <c r="O8" s="1677">
        <v>178.922738396</v>
      </c>
      <c r="P8" s="1677">
        <v>482.77853192999999</v>
      </c>
      <c r="Q8" s="1678">
        <f>SUM(E8:P8)</f>
        <v>4778.3743762259992</v>
      </c>
    </row>
    <row r="9" spans="1:20" ht="24.95" customHeight="1">
      <c r="A9" s="1675">
        <v>5</v>
      </c>
      <c r="B9" s="1676" t="s">
        <v>1377</v>
      </c>
      <c r="C9" s="877" t="s">
        <v>286</v>
      </c>
      <c r="D9" s="1679" t="s">
        <v>1378</v>
      </c>
      <c r="E9" s="1677">
        <f t="shared" ref="E9:P9" si="0">E5+E6-E7-E8</f>
        <v>38.041500000000042</v>
      </c>
      <c r="F9" s="1677">
        <f t="shared" si="0"/>
        <v>34.746899999999982</v>
      </c>
      <c r="G9" s="1677">
        <f t="shared" si="0"/>
        <v>32.802120000000059</v>
      </c>
      <c r="H9" s="1677">
        <f t="shared" si="0"/>
        <v>34.479720000000043</v>
      </c>
      <c r="I9" s="1677">
        <f t="shared" si="0"/>
        <v>38.847000000000094</v>
      </c>
      <c r="J9" s="1677">
        <f t="shared" si="0"/>
        <v>33.26046000000008</v>
      </c>
      <c r="K9" s="1677">
        <f t="shared" si="0"/>
        <v>43.224480000000085</v>
      </c>
      <c r="L9" s="1677">
        <f t="shared" si="0"/>
        <v>30.024900000000002</v>
      </c>
      <c r="M9" s="1677">
        <f t="shared" si="0"/>
        <v>27.624120000000005</v>
      </c>
      <c r="N9" s="1677">
        <f t="shared" si="0"/>
        <v>29.884440000000041</v>
      </c>
      <c r="O9" s="1677">
        <f t="shared" si="0"/>
        <v>19.156260000000032</v>
      </c>
      <c r="P9" s="1677">
        <f t="shared" si="0"/>
        <v>37.967460000000074</v>
      </c>
      <c r="Q9" s="1678">
        <f>Q5+Q6-Q7-Q8</f>
        <v>400.0593600000002</v>
      </c>
    </row>
    <row r="10" spans="1:20" ht="24.95" customHeight="1">
      <c r="A10" s="1675">
        <v>6</v>
      </c>
      <c r="B10" s="1676" t="s">
        <v>1379</v>
      </c>
      <c r="C10" s="877" t="s">
        <v>387</v>
      </c>
      <c r="D10" s="1680" t="s">
        <v>1380</v>
      </c>
      <c r="E10" s="878">
        <f t="shared" ref="E10:P10" si="1">(E9/(E5+E6))</f>
        <v>6.0000000000000067E-2</v>
      </c>
      <c r="F10" s="878">
        <f t="shared" si="1"/>
        <v>5.999999999999997E-2</v>
      </c>
      <c r="G10" s="878">
        <f t="shared" si="1"/>
        <v>6.0000000000000109E-2</v>
      </c>
      <c r="H10" s="878">
        <f t="shared" si="1"/>
        <v>6.0000000000000074E-2</v>
      </c>
      <c r="I10" s="878">
        <f t="shared" si="1"/>
        <v>6.0000000000000143E-2</v>
      </c>
      <c r="J10" s="878">
        <f t="shared" si="1"/>
        <v>6.0000000000000143E-2</v>
      </c>
      <c r="K10" s="878">
        <f t="shared" si="1"/>
        <v>6.0000000000000116E-2</v>
      </c>
      <c r="L10" s="878">
        <f t="shared" si="1"/>
        <v>6.0000000000000005E-2</v>
      </c>
      <c r="M10" s="878">
        <f t="shared" si="1"/>
        <v>6.0000000000000012E-2</v>
      </c>
      <c r="N10" s="878">
        <f t="shared" si="1"/>
        <v>6.0000000000000081E-2</v>
      </c>
      <c r="O10" s="878">
        <f t="shared" si="1"/>
        <v>6.0000000000000095E-2</v>
      </c>
      <c r="P10" s="878">
        <f t="shared" si="1"/>
        <v>6.0000000000000109E-2</v>
      </c>
      <c r="Q10" s="879">
        <f>(Q9/(Q5+Q6))</f>
        <v>6.0000000000000039E-2</v>
      </c>
    </row>
    <row r="11" spans="1:20" ht="24.95" customHeight="1">
      <c r="A11" s="1675">
        <v>7</v>
      </c>
      <c r="B11" s="1676" t="s">
        <v>1381</v>
      </c>
      <c r="C11" s="877" t="s">
        <v>286</v>
      </c>
      <c r="D11" s="877"/>
      <c r="E11" s="1677"/>
      <c r="F11" s="1677"/>
      <c r="G11" s="1677"/>
      <c r="H11" s="1677"/>
      <c r="I11" s="1677"/>
      <c r="J11" s="1677"/>
      <c r="K11" s="877"/>
      <c r="L11" s="877"/>
      <c r="M11" s="877"/>
      <c r="N11" s="877"/>
      <c r="O11" s="877"/>
      <c r="P11" s="877"/>
      <c r="Q11" s="1678">
        <f>SUM(E11:P11)</f>
        <v>0</v>
      </c>
    </row>
    <row r="12" spans="1:20" ht="24.95" customHeight="1">
      <c r="A12" s="1675">
        <v>8</v>
      </c>
      <c r="B12" s="1676" t="s">
        <v>1382</v>
      </c>
      <c r="C12" s="877" t="s">
        <v>286</v>
      </c>
      <c r="D12" s="1679" t="s">
        <v>1383</v>
      </c>
      <c r="E12" s="1677">
        <v>36.578000000000003</v>
      </c>
      <c r="F12" s="1677">
        <v>28.04</v>
      </c>
      <c r="G12" s="1677">
        <v>27.989000000000001</v>
      </c>
      <c r="H12" s="1677">
        <v>28.268000000000001</v>
      </c>
      <c r="I12" s="1677">
        <v>29.613</v>
      </c>
      <c r="J12" s="1677">
        <v>31.67</v>
      </c>
      <c r="K12" s="1677">
        <v>29.200817700000002</v>
      </c>
      <c r="L12" s="1677">
        <v>31.348287620000001</v>
      </c>
      <c r="M12" s="1677">
        <v>27.073480839999998</v>
      </c>
      <c r="N12" s="1677">
        <v>22.155027260000001</v>
      </c>
      <c r="O12" s="1677">
        <v>26.83035864</v>
      </c>
      <c r="P12" s="1677">
        <v>26.078405870000001</v>
      </c>
      <c r="Q12" s="1678">
        <f>Q13+Q14</f>
        <v>344.84437793000001</v>
      </c>
    </row>
    <row r="13" spans="1:20" ht="24.95" customHeight="1">
      <c r="A13" s="1681" t="s">
        <v>1384</v>
      </c>
      <c r="B13" s="1676" t="s">
        <v>1385</v>
      </c>
      <c r="C13" s="877"/>
      <c r="D13" s="877"/>
      <c r="E13" s="1677">
        <f>E12</f>
        <v>36.578000000000003</v>
      </c>
      <c r="F13" s="1677">
        <f t="shared" ref="F13:P13" si="2">F12</f>
        <v>28.04</v>
      </c>
      <c r="G13" s="1677">
        <f t="shared" si="2"/>
        <v>27.989000000000001</v>
      </c>
      <c r="H13" s="1677">
        <f t="shared" si="2"/>
        <v>28.268000000000001</v>
      </c>
      <c r="I13" s="1677">
        <f t="shared" si="2"/>
        <v>29.613</v>
      </c>
      <c r="J13" s="1677">
        <f t="shared" si="2"/>
        <v>31.67</v>
      </c>
      <c r="K13" s="1677">
        <f t="shared" si="2"/>
        <v>29.200817700000002</v>
      </c>
      <c r="L13" s="1677">
        <f t="shared" si="2"/>
        <v>31.348287620000001</v>
      </c>
      <c r="M13" s="1677">
        <f t="shared" si="2"/>
        <v>27.073480839999998</v>
      </c>
      <c r="N13" s="1677">
        <f t="shared" si="2"/>
        <v>22.155027260000001</v>
      </c>
      <c r="O13" s="1677">
        <f t="shared" si="2"/>
        <v>26.83035864</v>
      </c>
      <c r="P13" s="1677">
        <f t="shared" si="2"/>
        <v>26.078405870000001</v>
      </c>
      <c r="Q13" s="1678">
        <f>SUM(E13:P13)</f>
        <v>344.84437793000001</v>
      </c>
    </row>
    <row r="14" spans="1:20" ht="24.95" customHeight="1">
      <c r="A14" s="1681" t="s">
        <v>1386</v>
      </c>
      <c r="B14" s="1676" t="s">
        <v>1387</v>
      </c>
      <c r="C14" s="877"/>
      <c r="D14" s="877"/>
      <c r="E14" s="1677">
        <v>0</v>
      </c>
      <c r="F14" s="1677">
        <v>0</v>
      </c>
      <c r="G14" s="1677">
        <v>0</v>
      </c>
      <c r="H14" s="1677">
        <v>0</v>
      </c>
      <c r="I14" s="1677">
        <v>0</v>
      </c>
      <c r="J14" s="1677">
        <v>0</v>
      </c>
      <c r="K14" s="1677">
        <v>0</v>
      </c>
      <c r="L14" s="1677">
        <v>0</v>
      </c>
      <c r="M14" s="1677">
        <v>0</v>
      </c>
      <c r="N14" s="1677">
        <v>0</v>
      </c>
      <c r="O14" s="1677">
        <v>0</v>
      </c>
      <c r="P14" s="1677">
        <v>0</v>
      </c>
      <c r="Q14" s="1678">
        <f>SUM(E14:P14)</f>
        <v>0</v>
      </c>
    </row>
    <row r="15" spans="1:20" ht="24.95" customHeight="1">
      <c r="A15" s="1681"/>
      <c r="B15" s="1676" t="s">
        <v>1388</v>
      </c>
      <c r="C15" s="877"/>
      <c r="D15" s="877"/>
      <c r="E15" s="1677">
        <v>1.472</v>
      </c>
      <c r="F15" s="1677">
        <v>0</v>
      </c>
      <c r="G15" s="1677">
        <v>0</v>
      </c>
      <c r="H15" s="1677">
        <v>0</v>
      </c>
      <c r="I15" s="1677">
        <v>0</v>
      </c>
      <c r="J15" s="1677">
        <v>0</v>
      </c>
      <c r="K15" s="1677">
        <v>0</v>
      </c>
      <c r="L15" s="1677">
        <v>0</v>
      </c>
      <c r="M15" s="1677">
        <v>0</v>
      </c>
      <c r="N15" s="1677">
        <v>0</v>
      </c>
      <c r="O15" s="1677">
        <v>0</v>
      </c>
      <c r="P15" s="1677">
        <v>0</v>
      </c>
      <c r="Q15" s="1678">
        <f>SUM(E15:P15)</f>
        <v>1.472</v>
      </c>
    </row>
    <row r="16" spans="1:20" ht="24.95" customHeight="1">
      <c r="A16" s="1675">
        <v>9</v>
      </c>
      <c r="B16" s="1676" t="s">
        <v>1389</v>
      </c>
      <c r="C16" s="877" t="s">
        <v>286</v>
      </c>
      <c r="D16" s="1679" t="s">
        <v>1390</v>
      </c>
      <c r="E16" s="1677">
        <f t="shared" ref="E16:P16" si="3">E8-E9+E11-E12</f>
        <v>374.17699999999991</v>
      </c>
      <c r="F16" s="1677">
        <f t="shared" si="3"/>
        <v>346.21020000000004</v>
      </c>
      <c r="G16" s="1677">
        <f t="shared" si="3"/>
        <v>322.73575999999991</v>
      </c>
      <c r="H16" s="1677">
        <f t="shared" si="3"/>
        <v>353.54655999999989</v>
      </c>
      <c r="I16" s="1677">
        <f t="shared" si="3"/>
        <v>421.52199999999988</v>
      </c>
      <c r="J16" s="1677">
        <f t="shared" si="3"/>
        <v>334.55807999999985</v>
      </c>
      <c r="K16" s="1677">
        <f t="shared" si="3"/>
        <v>480.50987561999978</v>
      </c>
      <c r="L16" s="1677">
        <f t="shared" si="3"/>
        <v>278.61701880200002</v>
      </c>
      <c r="M16" s="1677">
        <f t="shared" si="3"/>
        <v>258.08496213199999</v>
      </c>
      <c r="N16" s="1677">
        <f t="shared" si="3"/>
        <v>311.84039592599993</v>
      </c>
      <c r="O16" s="1677">
        <f t="shared" si="3"/>
        <v>132.93611975599998</v>
      </c>
      <c r="P16" s="1677">
        <f t="shared" si="3"/>
        <v>418.73266605999993</v>
      </c>
      <c r="Q16" s="1678">
        <f>SUM(E16:P16)</f>
        <v>4033.4706382959985</v>
      </c>
    </row>
    <row r="17" spans="1:17" ht="24.95" customHeight="1">
      <c r="A17" s="1675">
        <v>10</v>
      </c>
      <c r="B17" s="1676" t="s">
        <v>1391</v>
      </c>
      <c r="C17" s="877" t="s">
        <v>286</v>
      </c>
      <c r="D17" s="1679" t="s">
        <v>1392</v>
      </c>
      <c r="E17" s="1677">
        <f t="shared" ref="E17:P17" si="4">E8+E11-E12-E16</f>
        <v>38.041500000000042</v>
      </c>
      <c r="F17" s="1677">
        <f t="shared" si="4"/>
        <v>34.746899999999982</v>
      </c>
      <c r="G17" s="1677">
        <f t="shared" si="4"/>
        <v>32.802120000000059</v>
      </c>
      <c r="H17" s="1677">
        <f t="shared" si="4"/>
        <v>34.479720000000043</v>
      </c>
      <c r="I17" s="1677">
        <f t="shared" si="4"/>
        <v>38.847000000000094</v>
      </c>
      <c r="J17" s="1677">
        <f t="shared" si="4"/>
        <v>33.26046000000008</v>
      </c>
      <c r="K17" s="1677">
        <f t="shared" si="4"/>
        <v>43.224480000000085</v>
      </c>
      <c r="L17" s="1677">
        <f t="shared" si="4"/>
        <v>30.024900000000002</v>
      </c>
      <c r="M17" s="1677">
        <f t="shared" si="4"/>
        <v>27.624120000000005</v>
      </c>
      <c r="N17" s="1677">
        <f t="shared" si="4"/>
        <v>29.884440000000041</v>
      </c>
      <c r="O17" s="1677">
        <f t="shared" si="4"/>
        <v>19.156260000000032</v>
      </c>
      <c r="P17" s="1677">
        <f t="shared" si="4"/>
        <v>37.967460000000074</v>
      </c>
      <c r="Q17" s="1678">
        <f>Q8+Q11-Q12-Q16</f>
        <v>400.05936000000111</v>
      </c>
    </row>
    <row r="18" spans="1:17" ht="24.95" customHeight="1">
      <c r="A18" s="1675">
        <v>11</v>
      </c>
      <c r="B18" s="1676" t="s">
        <v>1393</v>
      </c>
      <c r="C18" s="877" t="s">
        <v>387</v>
      </c>
      <c r="D18" s="1680" t="s">
        <v>1394</v>
      </c>
      <c r="E18" s="880">
        <f t="shared" ref="E18:P18" si="5">(E17/(E8+E11))</f>
        <v>8.4763361568105031E-2</v>
      </c>
      <c r="F18" s="880">
        <f t="shared" si="5"/>
        <v>8.4956348101245652E-2</v>
      </c>
      <c r="G18" s="880">
        <f t="shared" si="5"/>
        <v>8.5527564586868235E-2</v>
      </c>
      <c r="H18" s="880">
        <f t="shared" si="5"/>
        <v>8.2825351335598568E-2</v>
      </c>
      <c r="I18" s="880">
        <f t="shared" si="5"/>
        <v>7.9282504255258554E-2</v>
      </c>
      <c r="J18" s="880">
        <f t="shared" si="5"/>
        <v>8.325760733962502E-2</v>
      </c>
      <c r="K18" s="878">
        <f t="shared" si="5"/>
        <v>7.8172780618144547E-2</v>
      </c>
      <c r="L18" s="878">
        <f t="shared" si="5"/>
        <v>8.8311073180539573E-2</v>
      </c>
      <c r="M18" s="878">
        <f t="shared" si="5"/>
        <v>8.8317327339225399E-2</v>
      </c>
      <c r="N18" s="878">
        <f t="shared" si="5"/>
        <v>8.2127215664925049E-2</v>
      </c>
      <c r="O18" s="878">
        <f t="shared" si="5"/>
        <v>0.10706442440872171</v>
      </c>
      <c r="P18" s="878">
        <f t="shared" si="5"/>
        <v>7.8643637794368892E-2</v>
      </c>
      <c r="Q18" s="879">
        <f>(Q17/(Q8+Q11))</f>
        <v>8.372289998674641E-2</v>
      </c>
    </row>
    <row r="19" spans="1:17" ht="24.95" customHeight="1">
      <c r="A19" s="1675">
        <v>12</v>
      </c>
      <c r="B19" s="1676" t="s">
        <v>1395</v>
      </c>
      <c r="C19" s="877" t="s">
        <v>286</v>
      </c>
      <c r="D19" s="1682"/>
      <c r="E19" s="1677"/>
      <c r="F19" s="1677"/>
      <c r="G19" s="1677"/>
      <c r="H19" s="1677"/>
      <c r="I19" s="1677"/>
      <c r="J19" s="1677"/>
      <c r="K19" s="877"/>
      <c r="L19" s="877"/>
      <c r="M19" s="877"/>
      <c r="N19" s="877"/>
      <c r="O19" s="877"/>
      <c r="P19" s="877"/>
      <c r="Q19" s="1678">
        <f>SUM(E19:P19)</f>
        <v>0</v>
      </c>
    </row>
    <row r="20" spans="1:17">
      <c r="A20" s="1675">
        <v>13</v>
      </c>
      <c r="B20" s="1676" t="s">
        <v>1396</v>
      </c>
      <c r="C20" s="877" t="s">
        <v>286</v>
      </c>
      <c r="D20" s="1679" t="s">
        <v>1397</v>
      </c>
      <c r="E20" s="1677">
        <v>241.06200000000001</v>
      </c>
      <c r="F20" s="1677">
        <v>251.71700000000001</v>
      </c>
      <c r="G20" s="1677">
        <v>280.69499999999999</v>
      </c>
      <c r="H20" s="1677">
        <v>246.86600000000001</v>
      </c>
      <c r="I20" s="1677">
        <v>272.327</v>
      </c>
      <c r="J20" s="1677">
        <v>290.55900000000003</v>
      </c>
      <c r="K20" s="1677">
        <v>245.49590363850004</v>
      </c>
      <c r="L20" s="1677">
        <v>240.93181332009991</v>
      </c>
      <c r="M20" s="1677">
        <v>196.29293314999975</v>
      </c>
      <c r="N20" s="1677">
        <v>208.38883116213421</v>
      </c>
      <c r="O20" s="1677">
        <v>191.87595181330164</v>
      </c>
      <c r="P20" s="1677">
        <v>206.16706901432096</v>
      </c>
      <c r="Q20" s="1678">
        <f>SUM(E20:P20)</f>
        <v>2872.3785020983564</v>
      </c>
    </row>
    <row r="21" spans="1:17" ht="21.75" customHeight="1">
      <c r="A21" s="1681" t="s">
        <v>1384</v>
      </c>
      <c r="B21" s="1676" t="s">
        <v>1385</v>
      </c>
      <c r="C21" s="877"/>
      <c r="D21" s="877"/>
      <c r="E21" s="1677">
        <v>172.234128</v>
      </c>
      <c r="F21" s="1677">
        <v>175.55548300000001</v>
      </c>
      <c r="G21" s="1677">
        <v>153.902637</v>
      </c>
      <c r="H21" s="1677">
        <v>147.45825099999999</v>
      </c>
      <c r="I21" s="1677">
        <v>160.151962</v>
      </c>
      <c r="J21" s="1677">
        <v>158.92110299999999</v>
      </c>
      <c r="K21" s="1677">
        <v>125.51306563849998</v>
      </c>
      <c r="L21" s="1677">
        <v>103.92499752169996</v>
      </c>
      <c r="M21" s="1677">
        <v>88.499475943900094</v>
      </c>
      <c r="N21" s="1677">
        <v>98.210124166230145</v>
      </c>
      <c r="O21" s="1677">
        <v>88.787870686100007</v>
      </c>
      <c r="P21" s="1677">
        <v>97.262354827199999</v>
      </c>
      <c r="Q21" s="1678">
        <f>SUM(E21:P21)</f>
        <v>1570.42145278363</v>
      </c>
    </row>
    <row r="22" spans="1:17" ht="16.5" customHeight="1">
      <c r="A22" s="1681" t="s">
        <v>1386</v>
      </c>
      <c r="B22" s="1676" t="s">
        <v>1387</v>
      </c>
      <c r="C22" s="877"/>
      <c r="D22" s="877"/>
      <c r="E22" s="1677">
        <f>E20-E21</f>
        <v>68.827872000000013</v>
      </c>
      <c r="F22" s="1677">
        <f t="shared" ref="F22:P22" si="6">F20-F21</f>
        <v>76.161517000000003</v>
      </c>
      <c r="G22" s="1677">
        <f t="shared" si="6"/>
        <v>126.79236299999999</v>
      </c>
      <c r="H22" s="1677">
        <f t="shared" si="6"/>
        <v>99.407749000000024</v>
      </c>
      <c r="I22" s="1677">
        <f t="shared" si="6"/>
        <v>112.175038</v>
      </c>
      <c r="J22" s="1677">
        <f t="shared" si="6"/>
        <v>131.63789700000004</v>
      </c>
      <c r="K22" s="1677">
        <f t="shared" si="6"/>
        <v>119.98283800000006</v>
      </c>
      <c r="L22" s="1677">
        <f t="shared" si="6"/>
        <v>137.00681579839994</v>
      </c>
      <c r="M22" s="1677">
        <f t="shared" si="6"/>
        <v>107.79345720609966</v>
      </c>
      <c r="N22" s="1677">
        <f t="shared" si="6"/>
        <v>110.17870699590407</v>
      </c>
      <c r="O22" s="1677">
        <f t="shared" si="6"/>
        <v>103.08808112720163</v>
      </c>
      <c r="P22" s="1677">
        <f t="shared" si="6"/>
        <v>108.90471418712096</v>
      </c>
      <c r="Q22" s="1678">
        <f>SUM(E22:P22)</f>
        <v>1301.9570493147264</v>
      </c>
    </row>
    <row r="23" spans="1:17" ht="21" customHeight="1">
      <c r="A23" s="1675">
        <v>14</v>
      </c>
      <c r="B23" s="1676" t="s">
        <v>1398</v>
      </c>
      <c r="C23" s="877" t="s">
        <v>286</v>
      </c>
      <c r="D23" s="1679" t="s">
        <v>1399</v>
      </c>
      <c r="E23" s="1677">
        <f t="shared" ref="E23:P23" si="7">E16+E19-E20</f>
        <v>133.1149999999999</v>
      </c>
      <c r="F23" s="1677">
        <f t="shared" si="7"/>
        <v>94.49320000000003</v>
      </c>
      <c r="G23" s="1677">
        <f t="shared" si="7"/>
        <v>42.040759999999921</v>
      </c>
      <c r="H23" s="1677">
        <f t="shared" si="7"/>
        <v>106.68055999999987</v>
      </c>
      <c r="I23" s="1677">
        <f t="shared" si="7"/>
        <v>149.19499999999988</v>
      </c>
      <c r="J23" s="1677">
        <f t="shared" si="7"/>
        <v>43.999079999999822</v>
      </c>
      <c r="K23" s="1677">
        <f t="shared" si="7"/>
        <v>235.01397198149974</v>
      </c>
      <c r="L23" s="1677">
        <f t="shared" si="7"/>
        <v>37.685205481900113</v>
      </c>
      <c r="M23" s="1677">
        <f t="shared" si="7"/>
        <v>61.792028982000232</v>
      </c>
      <c r="N23" s="1677">
        <f t="shared" si="7"/>
        <v>103.45156476386572</v>
      </c>
      <c r="O23" s="1677">
        <f t="shared" si="7"/>
        <v>-58.939832057301658</v>
      </c>
      <c r="P23" s="1677">
        <f t="shared" si="7"/>
        <v>212.56559704567897</v>
      </c>
      <c r="Q23" s="1678">
        <f>Q16+Q19-Q20</f>
        <v>1161.092136197642</v>
      </c>
    </row>
    <row r="24" spans="1:17" ht="24.95" customHeight="1">
      <c r="A24" s="1675">
        <v>15</v>
      </c>
      <c r="B24" s="1676" t="s">
        <v>1400</v>
      </c>
      <c r="C24" s="877" t="s">
        <v>387</v>
      </c>
      <c r="D24" s="1680" t="s">
        <v>1401</v>
      </c>
      <c r="E24" s="878">
        <f t="shared" ref="E24:P24" si="8">(E23/(E16+E19))</f>
        <v>0.35575409498713156</v>
      </c>
      <c r="F24" s="878">
        <f t="shared" si="8"/>
        <v>0.27293592158752117</v>
      </c>
      <c r="G24" s="878">
        <f t="shared" si="8"/>
        <v>0.13026371790966063</v>
      </c>
      <c r="H24" s="878">
        <f t="shared" si="8"/>
        <v>0.30174401923186556</v>
      </c>
      <c r="I24" s="878">
        <f t="shared" si="8"/>
        <v>0.35394356640934499</v>
      </c>
      <c r="J24" s="878">
        <f t="shared" si="8"/>
        <v>0.13151402590545666</v>
      </c>
      <c r="K24" s="878">
        <f t="shared" si="8"/>
        <v>0.48909290715047687</v>
      </c>
      <c r="L24" s="878">
        <f t="shared" si="8"/>
        <v>0.13525808884159088</v>
      </c>
      <c r="M24" s="878">
        <f t="shared" si="8"/>
        <v>0.23942514306740628</v>
      </c>
      <c r="N24" s="878">
        <f t="shared" si="8"/>
        <v>0.33174523286718405</v>
      </c>
      <c r="O24" s="878">
        <f t="shared" si="8"/>
        <v>-0.44336958356753486</v>
      </c>
      <c r="P24" s="878">
        <f t="shared" si="8"/>
        <v>0.50764034973861005</v>
      </c>
      <c r="Q24" s="879">
        <f>(Q23/(Q16+Q19))</f>
        <v>0.28786428371973055</v>
      </c>
    </row>
    <row r="25" spans="1:17" ht="20.100000000000001" customHeight="1">
      <c r="A25" s="875" t="s">
        <v>1402</v>
      </c>
    </row>
    <row r="26" spans="1:17" ht="20.100000000000001" customHeight="1">
      <c r="E26" s="881"/>
      <c r="F26" s="881"/>
      <c r="G26" s="881"/>
      <c r="H26" s="881"/>
      <c r="I26" s="881"/>
      <c r="J26" s="881"/>
    </row>
    <row r="27" spans="1:17" ht="20.100000000000001" customHeight="1">
      <c r="K27" s="875"/>
    </row>
    <row r="28" spans="1:17">
      <c r="E28" s="882"/>
      <c r="F28" s="882"/>
      <c r="G28" s="882"/>
      <c r="H28" s="882"/>
      <c r="I28" s="882"/>
      <c r="J28" s="882"/>
      <c r="K28" s="882"/>
      <c r="L28" s="882"/>
      <c r="M28" s="882"/>
      <c r="N28" s="882"/>
      <c r="O28" s="882"/>
      <c r="P28" s="882"/>
      <c r="Q28" s="882"/>
    </row>
    <row r="29" spans="1:17">
      <c r="E29" s="881"/>
      <c r="F29" s="881"/>
      <c r="G29" s="881"/>
      <c r="H29" s="881"/>
      <c r="I29" s="881"/>
      <c r="J29" s="881"/>
    </row>
    <row r="30" spans="1:17">
      <c r="E30" s="881"/>
      <c r="F30" s="881"/>
      <c r="G30" s="881"/>
      <c r="H30" s="881"/>
      <c r="I30" s="881"/>
      <c r="J30" s="881"/>
    </row>
    <row r="39" spans="5:10">
      <c r="E39" s="881"/>
      <c r="F39" s="881"/>
      <c r="G39" s="881"/>
      <c r="H39" s="881"/>
      <c r="I39" s="881"/>
      <c r="J39" s="881"/>
    </row>
    <row r="41" spans="5:10">
      <c r="E41" s="881"/>
      <c r="F41" s="881"/>
      <c r="G41" s="881"/>
      <c r="H41" s="881"/>
      <c r="I41" s="881"/>
      <c r="J41" s="881"/>
    </row>
    <row r="43" spans="5:10">
      <c r="E43" s="881"/>
      <c r="F43" s="881"/>
      <c r="G43" s="881"/>
      <c r="H43" s="881"/>
      <c r="I43" s="881"/>
      <c r="J43" s="881"/>
    </row>
  </sheetData>
  <mergeCells count="2">
    <mergeCell ref="A2:P2"/>
    <mergeCell ref="A3:P3"/>
  </mergeCells>
  <printOptions horizontalCentered="1" gridLines="1"/>
  <pageMargins left="0.11811023622047245" right="0" top="0.19685039370078741" bottom="0.39370078740157483" header="0" footer="0.2"/>
  <pageSetup paperSize="9" scale="80" orientation="landscape" blackAndWhite="1" r:id="rId1"/>
  <headerFooter>
    <oddFooter>&amp;R&amp;"Arial,Bold"&amp;12OERC FORM &amp;A</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T43"/>
  <sheetViews>
    <sheetView view="pageBreakPreview" topLeftCell="A11" zoomScale="90" zoomScaleSheetLayoutView="90" workbookViewId="0">
      <selection activeCell="F6" sqref="F6"/>
    </sheetView>
  </sheetViews>
  <sheetFormatPr defaultColWidth="9.140625" defaultRowHeight="12.75"/>
  <cols>
    <col min="1" max="1" width="4" style="876" customWidth="1"/>
    <col min="2" max="2" width="32.85546875" style="876" customWidth="1"/>
    <col min="3" max="3" width="5.140625" style="876" customWidth="1"/>
    <col min="4" max="4" width="14.28515625" style="876" customWidth="1"/>
    <col min="5" max="5" width="9.140625" style="876" bestFit="1" customWidth="1"/>
    <col min="6" max="6" width="8.7109375" style="876" bestFit="1" customWidth="1"/>
    <col min="7" max="8" width="9.140625" style="876" bestFit="1" customWidth="1"/>
    <col min="9" max="9" width="8.42578125" style="876" bestFit="1" customWidth="1"/>
    <col min="10" max="10" width="9.140625" style="876" bestFit="1" customWidth="1"/>
    <col min="11" max="15" width="9" style="876" bestFit="1" customWidth="1"/>
    <col min="16" max="16" width="8.7109375" style="876" customWidth="1"/>
    <col min="17" max="17" width="12.28515625" style="876" bestFit="1" customWidth="1"/>
    <col min="18" max="19" width="9.140625" style="876"/>
    <col min="20" max="20" width="9.85546875" style="876" bestFit="1" customWidth="1"/>
    <col min="21" max="16384" width="9.140625" style="876"/>
  </cols>
  <sheetData>
    <row r="1" spans="1:17">
      <c r="A1" s="875" t="s">
        <v>1368</v>
      </c>
    </row>
    <row r="2" spans="1:17">
      <c r="A2" s="1940" t="s">
        <v>1369</v>
      </c>
      <c r="B2" s="1941"/>
      <c r="C2" s="1941"/>
      <c r="D2" s="1941"/>
      <c r="E2" s="1941"/>
      <c r="F2" s="1941"/>
      <c r="G2" s="1941"/>
      <c r="H2" s="1941"/>
      <c r="I2" s="1941"/>
      <c r="J2" s="1941"/>
      <c r="K2" s="1941"/>
      <c r="L2" s="1941"/>
      <c r="M2" s="1941"/>
      <c r="N2" s="1941"/>
      <c r="O2" s="1941"/>
      <c r="P2" s="1942"/>
    </row>
    <row r="3" spans="1:17" ht="18" customHeight="1">
      <c r="A3" s="1943" t="s">
        <v>2470</v>
      </c>
      <c r="B3" s="1944"/>
      <c r="C3" s="1944"/>
      <c r="D3" s="1944"/>
      <c r="E3" s="1944"/>
      <c r="F3" s="1944"/>
      <c r="G3" s="1944"/>
      <c r="H3" s="1944"/>
      <c r="I3" s="1944"/>
      <c r="J3" s="1944"/>
      <c r="K3" s="1944"/>
      <c r="L3" s="1944"/>
      <c r="M3" s="1944"/>
      <c r="N3" s="1944"/>
      <c r="O3" s="1944"/>
      <c r="P3" s="1945"/>
    </row>
    <row r="4" spans="1:17" ht="24.95" customHeight="1">
      <c r="A4" s="964" t="s">
        <v>790</v>
      </c>
      <c r="B4" s="964" t="s">
        <v>1370</v>
      </c>
      <c r="C4" s="1672" t="s">
        <v>1371</v>
      </c>
      <c r="D4" s="964" t="s">
        <v>1372</v>
      </c>
      <c r="E4" s="1673">
        <v>44652</v>
      </c>
      <c r="F4" s="1674">
        <v>44682</v>
      </c>
      <c r="G4" s="1673">
        <v>44713</v>
      </c>
      <c r="H4" s="1674">
        <v>44743</v>
      </c>
      <c r="I4" s="1673">
        <v>44774</v>
      </c>
      <c r="J4" s="1674">
        <v>44805</v>
      </c>
      <c r="K4" s="1673">
        <v>44835</v>
      </c>
      <c r="L4" s="1674">
        <v>44866</v>
      </c>
      <c r="M4" s="1673">
        <v>44896</v>
      </c>
      <c r="N4" s="1674">
        <v>44927</v>
      </c>
      <c r="O4" s="1673">
        <v>44958</v>
      </c>
      <c r="P4" s="1674">
        <v>44986</v>
      </c>
      <c r="Q4" s="1683" t="s">
        <v>147</v>
      </c>
    </row>
    <row r="5" spans="1:17" ht="24.95" customHeight="1">
      <c r="A5" s="1675">
        <v>1</v>
      </c>
      <c r="B5" s="1676" t="s">
        <v>1373</v>
      </c>
      <c r="C5" s="877" t="s">
        <v>286</v>
      </c>
      <c r="D5" s="877"/>
      <c r="E5" s="1677">
        <v>781.43799999999999</v>
      </c>
      <c r="F5" s="1677">
        <v>714.73599999999999</v>
      </c>
      <c r="G5" s="1677">
        <v>643.39499999999998</v>
      </c>
      <c r="H5" s="1677">
        <v>709.48400000000004</v>
      </c>
      <c r="I5" s="1677">
        <v>644.11099999999999</v>
      </c>
      <c r="J5" s="1677">
        <v>722.64400000000001</v>
      </c>
      <c r="K5" s="877"/>
      <c r="L5" s="877"/>
      <c r="M5" s="877"/>
      <c r="N5" s="877"/>
      <c r="O5" s="877"/>
      <c r="P5" s="1677"/>
      <c r="Q5" s="1678">
        <f>SUM(E5:P5)</f>
        <v>4215.808</v>
      </c>
    </row>
    <row r="6" spans="1:17" ht="24.95" customHeight="1">
      <c r="A6" s="1675">
        <v>2</v>
      </c>
      <c r="B6" s="1676" t="s">
        <v>1374</v>
      </c>
      <c r="C6" s="877" t="s">
        <v>286</v>
      </c>
      <c r="D6" s="877"/>
      <c r="E6" s="1677"/>
      <c r="F6" s="1677"/>
      <c r="G6" s="1677"/>
      <c r="H6" s="1677"/>
      <c r="I6" s="1677"/>
      <c r="J6" s="1677"/>
      <c r="K6" s="877"/>
      <c r="L6" s="877"/>
      <c r="M6" s="877"/>
      <c r="N6" s="877"/>
      <c r="O6" s="877"/>
      <c r="P6" s="877"/>
      <c r="Q6" s="1678">
        <f>SUM(E6:P6)</f>
        <v>0</v>
      </c>
    </row>
    <row r="7" spans="1:17" ht="24.95" customHeight="1">
      <c r="A7" s="1675">
        <v>3</v>
      </c>
      <c r="B7" s="1676" t="s">
        <v>1375</v>
      </c>
      <c r="C7" s="877" t="s">
        <v>286</v>
      </c>
      <c r="D7" s="877"/>
      <c r="E7" s="1677">
        <v>128.48262935000005</v>
      </c>
      <c r="F7" s="1677">
        <v>133.11154572499998</v>
      </c>
      <c r="G7" s="1677">
        <v>140.10112707830896</v>
      </c>
      <c r="H7" s="1677">
        <v>130.89947182199992</v>
      </c>
      <c r="I7" s="1677">
        <v>152.13925799999993</v>
      </c>
      <c r="J7" s="1677">
        <v>147.38893312999997</v>
      </c>
      <c r="K7" s="877"/>
      <c r="L7" s="877"/>
      <c r="M7" s="877"/>
      <c r="N7" s="877"/>
      <c r="O7" s="877"/>
      <c r="P7" s="877"/>
      <c r="Q7" s="1678">
        <f>SUM(E7:P7)</f>
        <v>832.12296510530882</v>
      </c>
    </row>
    <row r="8" spans="1:17" ht="24.95" customHeight="1">
      <c r="A8" s="1675">
        <v>4</v>
      </c>
      <c r="B8" s="1676" t="s">
        <v>1376</v>
      </c>
      <c r="C8" s="877" t="s">
        <v>286</v>
      </c>
      <c r="D8" s="877"/>
      <c r="E8" s="1677">
        <f t="shared" ref="E8:P8" si="0">((E5+E6)*0.94)-(E7)</f>
        <v>606.06909064999991</v>
      </c>
      <c r="F8" s="1677">
        <f t="shared" si="0"/>
        <v>538.740294275</v>
      </c>
      <c r="G8" s="1677">
        <f t="shared" si="0"/>
        <v>464.69017292169099</v>
      </c>
      <c r="H8" s="1677">
        <f t="shared" si="0"/>
        <v>536.01548817800006</v>
      </c>
      <c r="I8" s="1677">
        <f t="shared" si="0"/>
        <v>453.32508200000007</v>
      </c>
      <c r="J8" s="1677">
        <f t="shared" si="0"/>
        <v>531.89642687000003</v>
      </c>
      <c r="K8" s="1677">
        <f t="shared" si="0"/>
        <v>0</v>
      </c>
      <c r="L8" s="1677">
        <f t="shared" si="0"/>
        <v>0</v>
      </c>
      <c r="M8" s="1677">
        <f t="shared" si="0"/>
        <v>0</v>
      </c>
      <c r="N8" s="1677">
        <f t="shared" si="0"/>
        <v>0</v>
      </c>
      <c r="O8" s="1677">
        <f t="shared" si="0"/>
        <v>0</v>
      </c>
      <c r="P8" s="1677">
        <f t="shared" si="0"/>
        <v>0</v>
      </c>
      <c r="Q8" s="1678">
        <f>SUM(E8:P8)</f>
        <v>3130.7365548946909</v>
      </c>
    </row>
    <row r="9" spans="1:17" ht="24.95" customHeight="1">
      <c r="A9" s="1675">
        <v>5</v>
      </c>
      <c r="B9" s="1676" t="s">
        <v>1377</v>
      </c>
      <c r="C9" s="877" t="s">
        <v>286</v>
      </c>
      <c r="D9" s="1679" t="s">
        <v>1378</v>
      </c>
      <c r="E9" s="1677">
        <f t="shared" ref="E9:P9" si="1">E5+E6-E7-E8</f>
        <v>46.886280000000056</v>
      </c>
      <c r="F9" s="1677">
        <f t="shared" si="1"/>
        <v>42.884160000000065</v>
      </c>
      <c r="G9" s="1677">
        <f t="shared" si="1"/>
        <v>38.603700000000003</v>
      </c>
      <c r="H9" s="1677">
        <f t="shared" si="1"/>
        <v>42.569040000000086</v>
      </c>
      <c r="I9" s="1677">
        <f t="shared" si="1"/>
        <v>38.646659999999997</v>
      </c>
      <c r="J9" s="1677">
        <f t="shared" si="1"/>
        <v>43.358640000000037</v>
      </c>
      <c r="K9" s="1677">
        <f t="shared" si="1"/>
        <v>0</v>
      </c>
      <c r="L9" s="1677">
        <f t="shared" si="1"/>
        <v>0</v>
      </c>
      <c r="M9" s="1677">
        <f t="shared" si="1"/>
        <v>0</v>
      </c>
      <c r="N9" s="1677">
        <f t="shared" si="1"/>
        <v>0</v>
      </c>
      <c r="O9" s="1677">
        <f t="shared" si="1"/>
        <v>0</v>
      </c>
      <c r="P9" s="1677">
        <f t="shared" si="1"/>
        <v>0</v>
      </c>
      <c r="Q9" s="1678">
        <f>Q5+Q6-Q7-Q8</f>
        <v>252.94848000000002</v>
      </c>
    </row>
    <row r="10" spans="1:17" ht="24.95" customHeight="1">
      <c r="A10" s="1675">
        <v>6</v>
      </c>
      <c r="B10" s="1676" t="s">
        <v>1379</v>
      </c>
      <c r="C10" s="877" t="s">
        <v>387</v>
      </c>
      <c r="D10" s="1680" t="s">
        <v>1380</v>
      </c>
      <c r="E10" s="878">
        <f t="shared" ref="E10:P10" si="2">(E9/(E5+E6))</f>
        <v>6.0000000000000074E-2</v>
      </c>
      <c r="F10" s="878">
        <f t="shared" si="2"/>
        <v>6.0000000000000095E-2</v>
      </c>
      <c r="G10" s="878">
        <f t="shared" si="2"/>
        <v>6.0000000000000005E-2</v>
      </c>
      <c r="H10" s="878">
        <f t="shared" si="2"/>
        <v>6.0000000000000116E-2</v>
      </c>
      <c r="I10" s="878">
        <f t="shared" si="2"/>
        <v>0.06</v>
      </c>
      <c r="J10" s="878">
        <f t="shared" si="2"/>
        <v>6.0000000000000053E-2</v>
      </c>
      <c r="K10" s="878" t="e">
        <f t="shared" si="2"/>
        <v>#DIV/0!</v>
      </c>
      <c r="L10" s="878" t="e">
        <f t="shared" si="2"/>
        <v>#DIV/0!</v>
      </c>
      <c r="M10" s="878" t="e">
        <f t="shared" si="2"/>
        <v>#DIV/0!</v>
      </c>
      <c r="N10" s="878" t="e">
        <f t="shared" si="2"/>
        <v>#DIV/0!</v>
      </c>
      <c r="O10" s="878" t="e">
        <f t="shared" si="2"/>
        <v>#DIV/0!</v>
      </c>
      <c r="P10" s="878" t="e">
        <f t="shared" si="2"/>
        <v>#DIV/0!</v>
      </c>
      <c r="Q10" s="879">
        <f>(Q9/(Q5+Q6))</f>
        <v>6.0000000000000005E-2</v>
      </c>
    </row>
    <row r="11" spans="1:17" ht="24.95" customHeight="1">
      <c r="A11" s="1675">
        <v>7</v>
      </c>
      <c r="B11" s="1676" t="s">
        <v>1381</v>
      </c>
      <c r="C11" s="877" t="s">
        <v>286</v>
      </c>
      <c r="D11" s="877"/>
      <c r="E11" s="1677"/>
      <c r="F11" s="1677"/>
      <c r="G11" s="1677"/>
      <c r="H11" s="1677"/>
      <c r="I11" s="1677"/>
      <c r="J11" s="1677"/>
      <c r="K11" s="877"/>
      <c r="L11" s="877"/>
      <c r="M11" s="877"/>
      <c r="N11" s="877"/>
      <c r="O11" s="877"/>
      <c r="P11" s="877"/>
      <c r="Q11" s="1678">
        <f>SUM(E11:P11)</f>
        <v>0</v>
      </c>
    </row>
    <row r="12" spans="1:17" ht="24.95" customHeight="1">
      <c r="A12" s="1675">
        <v>8</v>
      </c>
      <c r="B12" s="1676" t="s">
        <v>1382</v>
      </c>
      <c r="C12" s="877" t="s">
        <v>286</v>
      </c>
      <c r="D12" s="1679" t="s">
        <v>1383</v>
      </c>
      <c r="E12" s="1677">
        <v>60.601308063099985</v>
      </c>
      <c r="F12" s="1677">
        <v>60.098936430199977</v>
      </c>
      <c r="G12" s="1677">
        <v>62.88560595042</v>
      </c>
      <c r="H12" s="1677">
        <v>58.177237838599886</v>
      </c>
      <c r="I12" s="1677">
        <v>50.899692303500089</v>
      </c>
      <c r="J12" s="1677">
        <v>52.167137408220078</v>
      </c>
      <c r="K12" s="877"/>
      <c r="L12" s="877"/>
      <c r="M12" s="877"/>
      <c r="N12" s="877"/>
      <c r="O12" s="877"/>
      <c r="P12" s="877"/>
      <c r="Q12" s="1678">
        <f>Q13+Q14</f>
        <v>344.82991799403999</v>
      </c>
    </row>
    <row r="13" spans="1:17" ht="24.95" customHeight="1">
      <c r="A13" s="1681" t="s">
        <v>1384</v>
      </c>
      <c r="B13" s="1676" t="s">
        <v>1385</v>
      </c>
      <c r="C13" s="877"/>
      <c r="D13" s="877"/>
      <c r="E13" s="1677">
        <f>E12</f>
        <v>60.601308063099985</v>
      </c>
      <c r="F13" s="1677">
        <f t="shared" ref="F13:J13" si="3">F12</f>
        <v>60.098936430199977</v>
      </c>
      <c r="G13" s="1677">
        <f t="shared" si="3"/>
        <v>62.88560595042</v>
      </c>
      <c r="H13" s="1677">
        <f t="shared" si="3"/>
        <v>58.177237838599886</v>
      </c>
      <c r="I13" s="1677">
        <f t="shared" si="3"/>
        <v>50.899692303500089</v>
      </c>
      <c r="J13" s="1677">
        <f t="shared" si="3"/>
        <v>52.167137408220078</v>
      </c>
      <c r="K13" s="877"/>
      <c r="L13" s="877"/>
      <c r="M13" s="877"/>
      <c r="N13" s="877"/>
      <c r="O13" s="877"/>
      <c r="P13" s="877"/>
      <c r="Q13" s="1678">
        <f>SUM(E13:P13)</f>
        <v>344.82991799403999</v>
      </c>
    </row>
    <row r="14" spans="1:17" ht="24.95" customHeight="1">
      <c r="A14" s="1681" t="s">
        <v>1386</v>
      </c>
      <c r="B14" s="1676" t="s">
        <v>1387</v>
      </c>
      <c r="C14" s="877"/>
      <c r="D14" s="877"/>
      <c r="E14" s="1677">
        <v>0</v>
      </c>
      <c r="F14" s="1677">
        <v>0</v>
      </c>
      <c r="G14" s="1677">
        <v>0</v>
      </c>
      <c r="H14" s="1677">
        <v>0</v>
      </c>
      <c r="I14" s="1677">
        <v>0</v>
      </c>
      <c r="J14" s="1677">
        <v>0</v>
      </c>
      <c r="K14" s="877"/>
      <c r="L14" s="877"/>
      <c r="M14" s="877"/>
      <c r="N14" s="877"/>
      <c r="O14" s="877"/>
      <c r="P14" s="877"/>
      <c r="Q14" s="1678">
        <f>SUM(E14:P14)</f>
        <v>0</v>
      </c>
    </row>
    <row r="15" spans="1:17" ht="24.95" customHeight="1">
      <c r="A15" s="1681"/>
      <c r="B15" s="1676" t="s">
        <v>1388</v>
      </c>
      <c r="C15" s="877"/>
      <c r="D15" s="877"/>
      <c r="E15" s="1677">
        <v>0</v>
      </c>
      <c r="F15" s="1677">
        <v>0</v>
      </c>
      <c r="G15" s="1677">
        <v>0</v>
      </c>
      <c r="H15" s="1677">
        <v>0</v>
      </c>
      <c r="I15" s="1677">
        <v>0</v>
      </c>
      <c r="J15" s="1677">
        <v>0</v>
      </c>
      <c r="K15" s="877"/>
      <c r="L15" s="877"/>
      <c r="M15" s="877"/>
      <c r="N15" s="877"/>
      <c r="O15" s="877"/>
      <c r="P15" s="877"/>
      <c r="Q15" s="1678">
        <f>SUM(E15:P15)</f>
        <v>0</v>
      </c>
    </row>
    <row r="16" spans="1:17" ht="24.95" customHeight="1">
      <c r="A16" s="1675">
        <v>9</v>
      </c>
      <c r="B16" s="1676" t="s">
        <v>1389</v>
      </c>
      <c r="C16" s="877" t="s">
        <v>286</v>
      </c>
      <c r="D16" s="1679" t="s">
        <v>1390</v>
      </c>
      <c r="E16" s="1677">
        <f t="shared" ref="E16:P16" si="4">E8-E9+E11-E12</f>
        <v>498.58150258689989</v>
      </c>
      <c r="F16" s="1677">
        <f t="shared" si="4"/>
        <v>435.75719784479998</v>
      </c>
      <c r="G16" s="1677">
        <f t="shared" si="4"/>
        <v>363.20086697127101</v>
      </c>
      <c r="H16" s="1677">
        <f t="shared" si="4"/>
        <v>435.2692103394001</v>
      </c>
      <c r="I16" s="1677">
        <f t="shared" si="4"/>
        <v>363.77872969649997</v>
      </c>
      <c r="J16" s="1677">
        <f t="shared" si="4"/>
        <v>436.37064946177992</v>
      </c>
      <c r="K16" s="1677">
        <f t="shared" si="4"/>
        <v>0</v>
      </c>
      <c r="L16" s="1677">
        <f t="shared" si="4"/>
        <v>0</v>
      </c>
      <c r="M16" s="1677">
        <f t="shared" si="4"/>
        <v>0</v>
      </c>
      <c r="N16" s="1677">
        <f t="shared" si="4"/>
        <v>0</v>
      </c>
      <c r="O16" s="1677">
        <f t="shared" si="4"/>
        <v>0</v>
      </c>
      <c r="P16" s="1677">
        <f t="shared" si="4"/>
        <v>0</v>
      </c>
      <c r="Q16" s="1678">
        <f>SUM(E16:P16)</f>
        <v>2532.9581569006509</v>
      </c>
    </row>
    <row r="17" spans="1:20" ht="24.95" customHeight="1">
      <c r="A17" s="1675">
        <v>10</v>
      </c>
      <c r="B17" s="1676" t="s">
        <v>1391</v>
      </c>
      <c r="C17" s="877" t="s">
        <v>286</v>
      </c>
      <c r="D17" s="1679" t="s">
        <v>1392</v>
      </c>
      <c r="E17" s="1677">
        <f t="shared" ref="E17:P17" si="5">E8+E11-E12-E16</f>
        <v>46.886280000000056</v>
      </c>
      <c r="F17" s="1677">
        <f t="shared" si="5"/>
        <v>42.884160000000065</v>
      </c>
      <c r="G17" s="1677">
        <f t="shared" si="5"/>
        <v>38.603700000000003</v>
      </c>
      <c r="H17" s="1677">
        <f t="shared" si="5"/>
        <v>42.569040000000086</v>
      </c>
      <c r="I17" s="1677">
        <f t="shared" si="5"/>
        <v>38.646659999999997</v>
      </c>
      <c r="J17" s="1677">
        <f t="shared" si="5"/>
        <v>43.358640000000037</v>
      </c>
      <c r="K17" s="1677">
        <f t="shared" si="5"/>
        <v>0</v>
      </c>
      <c r="L17" s="1677">
        <f t="shared" si="5"/>
        <v>0</v>
      </c>
      <c r="M17" s="1677">
        <f t="shared" si="5"/>
        <v>0</v>
      </c>
      <c r="N17" s="1677">
        <f t="shared" si="5"/>
        <v>0</v>
      </c>
      <c r="O17" s="1677">
        <f t="shared" si="5"/>
        <v>0</v>
      </c>
      <c r="P17" s="1677">
        <f t="shared" si="5"/>
        <v>0</v>
      </c>
      <c r="Q17" s="1678">
        <f>Q8+Q11-Q12-Q16</f>
        <v>252.94848000000002</v>
      </c>
      <c r="T17" s="876">
        <v>1000000</v>
      </c>
    </row>
    <row r="18" spans="1:20" ht="24.95" customHeight="1">
      <c r="A18" s="1675">
        <v>11</v>
      </c>
      <c r="B18" s="1676" t="s">
        <v>1393</v>
      </c>
      <c r="C18" s="877" t="s">
        <v>387</v>
      </c>
      <c r="D18" s="1680" t="s">
        <v>1394</v>
      </c>
      <c r="E18" s="880">
        <f t="shared" ref="E18:P18" si="6">(E17/(E8+E11))</f>
        <v>7.7361278975166398E-2</v>
      </c>
      <c r="F18" s="880">
        <f t="shared" si="6"/>
        <v>7.9600802939217022E-2</v>
      </c>
      <c r="G18" s="880">
        <f t="shared" si="6"/>
        <v>8.3074061491946918E-2</v>
      </c>
      <c r="H18" s="880">
        <f t="shared" si="6"/>
        <v>7.9417555908130322E-2</v>
      </c>
      <c r="I18" s="880">
        <f t="shared" si="6"/>
        <v>8.5251536997460894E-2</v>
      </c>
      <c r="J18" s="880">
        <f t="shared" si="6"/>
        <v>8.1517073267719564E-2</v>
      </c>
      <c r="K18" s="878" t="e">
        <f t="shared" si="6"/>
        <v>#DIV/0!</v>
      </c>
      <c r="L18" s="878" t="e">
        <f t="shared" si="6"/>
        <v>#DIV/0!</v>
      </c>
      <c r="M18" s="878" t="e">
        <f t="shared" si="6"/>
        <v>#DIV/0!</v>
      </c>
      <c r="N18" s="878" t="e">
        <f t="shared" si="6"/>
        <v>#DIV/0!</v>
      </c>
      <c r="O18" s="878" t="e">
        <f t="shared" si="6"/>
        <v>#DIV/0!</v>
      </c>
      <c r="P18" s="878" t="e">
        <f t="shared" si="6"/>
        <v>#DIV/0!</v>
      </c>
      <c r="Q18" s="879">
        <f>(Q17/(Q8+Q11))</f>
        <v>8.0795198051567929E-2</v>
      </c>
    </row>
    <row r="19" spans="1:20" ht="24.95" customHeight="1">
      <c r="A19" s="1675">
        <v>12</v>
      </c>
      <c r="B19" s="1676" t="s">
        <v>1395</v>
      </c>
      <c r="C19" s="877" t="s">
        <v>286</v>
      </c>
      <c r="D19" s="1682"/>
      <c r="E19" s="1677"/>
      <c r="F19" s="1677"/>
      <c r="G19" s="1677"/>
      <c r="H19" s="1677"/>
      <c r="I19" s="1677"/>
      <c r="J19" s="1677"/>
      <c r="K19" s="877"/>
      <c r="L19" s="877"/>
      <c r="M19" s="877"/>
      <c r="N19" s="877"/>
      <c r="O19" s="877"/>
      <c r="P19" s="877"/>
      <c r="Q19" s="1678">
        <f>SUM(E19:P19)</f>
        <v>0</v>
      </c>
    </row>
    <row r="20" spans="1:20" ht="24.95" customHeight="1">
      <c r="A20" s="1675">
        <v>13</v>
      </c>
      <c r="B20" s="1676" t="s">
        <v>1396</v>
      </c>
      <c r="C20" s="877" t="s">
        <v>286</v>
      </c>
      <c r="D20" s="1679" t="s">
        <v>1397</v>
      </c>
      <c r="E20" s="1677">
        <v>236.04399942500038</v>
      </c>
      <c r="F20" s="1677">
        <v>252.89486923450045</v>
      </c>
      <c r="G20" s="1677">
        <v>299.60664422708072</v>
      </c>
      <c r="H20" s="1677">
        <v>267.1648945383202</v>
      </c>
      <c r="I20" s="1677">
        <v>229.33654073309978</v>
      </c>
      <c r="J20" s="1677">
        <v>224.11615687792002</v>
      </c>
      <c r="K20" s="1677"/>
      <c r="L20" s="1677"/>
      <c r="M20" s="1677"/>
      <c r="N20" s="1677"/>
      <c r="O20" s="1677"/>
      <c r="P20" s="1677"/>
      <c r="Q20" s="1678">
        <f>SUM(E20:P20)</f>
        <v>1509.1631050359215</v>
      </c>
    </row>
    <row r="21" spans="1:20" ht="24.95" customHeight="1">
      <c r="A21" s="1681" t="s">
        <v>1384</v>
      </c>
      <c r="B21" s="1676" t="s">
        <v>1385</v>
      </c>
      <c r="C21" s="877"/>
      <c r="D21" s="877"/>
      <c r="E21" s="1677">
        <v>161.49420321910003</v>
      </c>
      <c r="F21" s="1677">
        <v>176.88889136950033</v>
      </c>
      <c r="G21" s="1677">
        <v>190.35402689137982</v>
      </c>
      <c r="H21" s="1677">
        <v>170.24046700892021</v>
      </c>
      <c r="I21" s="1677">
        <v>148.69065740069934</v>
      </c>
      <c r="J21" s="1677">
        <v>158.62831726950006</v>
      </c>
      <c r="K21" s="877"/>
      <c r="L21" s="877"/>
      <c r="M21" s="877"/>
      <c r="N21" s="877"/>
      <c r="O21" s="877"/>
      <c r="P21" s="877"/>
      <c r="Q21" s="1678">
        <f>SUM(E21:P21)</f>
        <v>1006.2965631590997</v>
      </c>
    </row>
    <row r="22" spans="1:20" ht="24.95" customHeight="1">
      <c r="A22" s="1681" t="s">
        <v>1386</v>
      </c>
      <c r="B22" s="1676" t="s">
        <v>1387</v>
      </c>
      <c r="C22" s="877"/>
      <c r="D22" s="877"/>
      <c r="E22" s="1677">
        <f>E20-E21</f>
        <v>74.54979620590035</v>
      </c>
      <c r="F22" s="1677">
        <f t="shared" ref="F22:J22" si="7">F20-F21</f>
        <v>76.005977865000119</v>
      </c>
      <c r="G22" s="1677">
        <f t="shared" si="7"/>
        <v>109.2526173357009</v>
      </c>
      <c r="H22" s="1677">
        <f t="shared" si="7"/>
        <v>96.924427529399992</v>
      </c>
      <c r="I22" s="1677">
        <f t="shared" si="7"/>
        <v>80.645883332400444</v>
      </c>
      <c r="J22" s="1677">
        <f t="shared" si="7"/>
        <v>65.487839608419961</v>
      </c>
      <c r="K22" s="877"/>
      <c r="L22" s="877"/>
      <c r="M22" s="877"/>
      <c r="N22" s="877"/>
      <c r="O22" s="877"/>
      <c r="P22" s="877"/>
      <c r="Q22" s="1678">
        <f>SUM(E22:P22)</f>
        <v>502.86654187682171</v>
      </c>
    </row>
    <row r="23" spans="1:20" ht="24.95" customHeight="1">
      <c r="A23" s="1675">
        <v>14</v>
      </c>
      <c r="B23" s="1676" t="s">
        <v>1398</v>
      </c>
      <c r="C23" s="877" t="s">
        <v>286</v>
      </c>
      <c r="D23" s="1679" t="s">
        <v>1399</v>
      </c>
      <c r="E23" s="1677">
        <f t="shared" ref="E23:J23" si="8">E16+E19-E20</f>
        <v>262.53750316189951</v>
      </c>
      <c r="F23" s="1677">
        <f t="shared" si="8"/>
        <v>182.86232861029953</v>
      </c>
      <c r="G23" s="1677">
        <f t="shared" si="8"/>
        <v>63.59422274419029</v>
      </c>
      <c r="H23" s="1677">
        <f t="shared" si="8"/>
        <v>168.10431580107991</v>
      </c>
      <c r="I23" s="1677">
        <f t="shared" si="8"/>
        <v>134.44218896340018</v>
      </c>
      <c r="J23" s="1677">
        <f t="shared" si="8"/>
        <v>212.2544925838599</v>
      </c>
      <c r="K23" s="877"/>
      <c r="L23" s="877"/>
      <c r="M23" s="877"/>
      <c r="N23" s="877"/>
      <c r="O23" s="877"/>
      <c r="P23" s="877"/>
      <c r="Q23" s="1678">
        <f>Q16+Q19-Q20</f>
        <v>1023.7950518647294</v>
      </c>
    </row>
    <row r="24" spans="1:20" ht="24.95" customHeight="1">
      <c r="A24" s="1675">
        <v>15</v>
      </c>
      <c r="B24" s="1676" t="s">
        <v>1400</v>
      </c>
      <c r="C24" s="877" t="s">
        <v>387</v>
      </c>
      <c r="D24" s="1680" t="s">
        <v>1401</v>
      </c>
      <c r="E24" s="878">
        <f t="shared" ref="E24:P24" si="9">(E23/(E16+E19))</f>
        <v>0.52656887951060871</v>
      </c>
      <c r="F24" s="878">
        <f t="shared" si="9"/>
        <v>0.41964270358519262</v>
      </c>
      <c r="G24" s="878">
        <f t="shared" si="9"/>
        <v>0.17509380766214019</v>
      </c>
      <c r="H24" s="878">
        <f t="shared" si="9"/>
        <v>0.38620768896104773</v>
      </c>
      <c r="I24" s="878">
        <f t="shared" si="9"/>
        <v>0.36957133001032</v>
      </c>
      <c r="J24" s="878">
        <f t="shared" si="9"/>
        <v>0.48640872809767305</v>
      </c>
      <c r="K24" s="878" t="e">
        <f t="shared" si="9"/>
        <v>#DIV/0!</v>
      </c>
      <c r="L24" s="878" t="e">
        <f t="shared" si="9"/>
        <v>#DIV/0!</v>
      </c>
      <c r="M24" s="878" t="e">
        <f t="shared" si="9"/>
        <v>#DIV/0!</v>
      </c>
      <c r="N24" s="878" t="e">
        <f t="shared" si="9"/>
        <v>#DIV/0!</v>
      </c>
      <c r="O24" s="878" t="e">
        <f t="shared" si="9"/>
        <v>#DIV/0!</v>
      </c>
      <c r="P24" s="878" t="e">
        <f t="shared" si="9"/>
        <v>#DIV/0!</v>
      </c>
      <c r="Q24" s="879">
        <f>(Q23/(Q16+Q19))</f>
        <v>0.40418948456592496</v>
      </c>
    </row>
    <row r="25" spans="1:20" ht="20.100000000000001" customHeight="1">
      <c r="A25" s="875" t="s">
        <v>1402</v>
      </c>
    </row>
    <row r="26" spans="1:20" ht="20.100000000000001" customHeight="1">
      <c r="E26" s="881"/>
      <c r="F26" s="881"/>
      <c r="G26" s="881"/>
      <c r="H26" s="881"/>
      <c r="I26" s="881"/>
      <c r="J26" s="881"/>
    </row>
    <row r="27" spans="1:20" ht="20.100000000000001" customHeight="1">
      <c r="K27" s="875"/>
    </row>
    <row r="28" spans="1:20">
      <c r="E28" s="881"/>
      <c r="F28" s="881"/>
      <c r="G28" s="881"/>
      <c r="H28" s="881"/>
      <c r="I28" s="881"/>
      <c r="J28" s="881"/>
    </row>
    <row r="29" spans="1:20">
      <c r="E29" s="881"/>
      <c r="F29" s="881"/>
      <c r="G29" s="881"/>
      <c r="H29" s="881"/>
      <c r="I29" s="881"/>
      <c r="J29" s="881"/>
    </row>
    <row r="30" spans="1:20">
      <c r="E30" s="881"/>
      <c r="F30" s="881"/>
      <c r="G30" s="881"/>
      <c r="H30" s="881"/>
      <c r="I30" s="881"/>
      <c r="J30" s="881"/>
    </row>
    <row r="39" spans="5:10">
      <c r="E39" s="881"/>
      <c r="F39" s="881"/>
      <c r="G39" s="881"/>
      <c r="H39" s="881"/>
      <c r="I39" s="881"/>
      <c r="J39" s="881"/>
    </row>
    <row r="41" spans="5:10">
      <c r="E41" s="881"/>
      <c r="F41" s="881"/>
      <c r="G41" s="881"/>
      <c r="H41" s="881"/>
      <c r="I41" s="881"/>
      <c r="J41" s="881"/>
    </row>
    <row r="43" spans="5:10">
      <c r="E43" s="881"/>
      <c r="F43" s="881"/>
      <c r="G43" s="881"/>
      <c r="H43" s="881"/>
      <c r="I43" s="881"/>
      <c r="J43" s="881"/>
    </row>
  </sheetData>
  <mergeCells count="2">
    <mergeCell ref="A2:P2"/>
    <mergeCell ref="A3:P3"/>
  </mergeCells>
  <printOptions horizontalCentered="1" verticalCentered="1" gridLines="1"/>
  <pageMargins left="0" right="0" top="0.19685039370078741" bottom="0.19685039370078741" header="0" footer="0.24"/>
  <pageSetup paperSize="9" scale="80" orientation="landscape" blackAndWhite="1" r:id="rId1"/>
  <headerFooter>
    <oddFooter>&amp;R&amp;"Arial,Bold"&amp;14OERC FORM &amp;A</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J29"/>
  <sheetViews>
    <sheetView tabSelected="1" topLeftCell="A4" workbookViewId="0">
      <selection activeCell="F25" sqref="F25"/>
    </sheetView>
  </sheetViews>
  <sheetFormatPr defaultRowHeight="12.75"/>
  <cols>
    <col min="1" max="1" width="6.140625" customWidth="1"/>
    <col min="2" max="2" width="32.42578125" customWidth="1"/>
    <col min="3" max="3" width="11.140625" customWidth="1"/>
    <col min="4" max="4" width="15.42578125" customWidth="1"/>
    <col min="5" max="5" width="15.7109375" customWidth="1"/>
    <col min="6" max="6" width="12" bestFit="1" customWidth="1"/>
    <col min="7" max="7" width="11.5703125" customWidth="1"/>
  </cols>
  <sheetData>
    <row r="1" spans="1:7" ht="15">
      <c r="A1" s="458" t="s">
        <v>389</v>
      </c>
    </row>
    <row r="2" spans="1:7" ht="15.75">
      <c r="A2" s="5" t="s">
        <v>1826</v>
      </c>
      <c r="F2" s="2" t="s">
        <v>1827</v>
      </c>
    </row>
    <row r="3" spans="1:7" ht="75">
      <c r="A3" s="459" t="s">
        <v>551</v>
      </c>
      <c r="B3" s="459" t="s">
        <v>1828</v>
      </c>
      <c r="C3" s="460" t="s">
        <v>2415</v>
      </c>
      <c r="D3" s="460" t="s">
        <v>1829</v>
      </c>
      <c r="E3" s="460" t="s">
        <v>1830</v>
      </c>
      <c r="F3" s="460" t="s">
        <v>2413</v>
      </c>
      <c r="G3" s="460" t="s">
        <v>2414</v>
      </c>
    </row>
    <row r="4" spans="1:7">
      <c r="A4" s="23">
        <v>1</v>
      </c>
      <c r="B4" s="23" t="s">
        <v>676</v>
      </c>
      <c r="C4" s="36">
        <f>'F-6'!P6</f>
        <v>474000</v>
      </c>
      <c r="D4" s="461">
        <v>0</v>
      </c>
      <c r="E4" s="461">
        <v>1</v>
      </c>
      <c r="F4" s="36">
        <f>('T-1'!S73-'T-1'!S70)*8%*360/10</f>
        <v>22334.400000000001</v>
      </c>
      <c r="G4" s="36">
        <f>C4-F4</f>
        <v>451665.6</v>
      </c>
    </row>
    <row r="5" spans="1:7">
      <c r="A5" s="23">
        <v>2</v>
      </c>
      <c r="B5" s="23" t="s">
        <v>1831</v>
      </c>
      <c r="C5" s="36">
        <f>'F-6'!P7</f>
        <v>35840</v>
      </c>
      <c r="D5" s="461">
        <v>0</v>
      </c>
      <c r="E5" s="461">
        <v>1</v>
      </c>
      <c r="F5" s="36">
        <f>('T-1'!S73-'T-1'!S70)*8%*28/10</f>
        <v>1737.1200000000001</v>
      </c>
      <c r="G5" s="36">
        <f>C5-F5</f>
        <v>34102.879999999997</v>
      </c>
    </row>
    <row r="6" spans="1:7">
      <c r="A6" s="23">
        <v>3</v>
      </c>
      <c r="B6" s="23" t="s">
        <v>678</v>
      </c>
      <c r="C6" s="36">
        <f>'F-6'!P8</f>
        <v>166.71600000000001</v>
      </c>
      <c r="D6" s="461">
        <v>0</v>
      </c>
      <c r="E6" s="461">
        <v>1</v>
      </c>
      <c r="F6" s="36">
        <f>C6</f>
        <v>166.71600000000001</v>
      </c>
      <c r="G6" s="36">
        <f>C6-F6</f>
        <v>0</v>
      </c>
    </row>
    <row r="7" spans="1:7">
      <c r="A7" s="23"/>
      <c r="B7" s="436" t="s">
        <v>1832</v>
      </c>
      <c r="C7" s="37">
        <f>SUM(C4:C6)</f>
        <v>510006.71600000001</v>
      </c>
      <c r="D7" s="461"/>
      <c r="E7" s="461"/>
      <c r="F7" s="37">
        <f>SUM(F4:F6)</f>
        <v>24238.236000000001</v>
      </c>
      <c r="G7" s="37">
        <f>SUM(G4:G6)</f>
        <v>485768.48</v>
      </c>
    </row>
    <row r="8" spans="1:7" ht="15">
      <c r="A8" s="23"/>
      <c r="B8" s="462" t="s">
        <v>1833</v>
      </c>
      <c r="C8" s="465"/>
      <c r="D8" s="29"/>
      <c r="E8" s="29"/>
      <c r="F8" s="36"/>
      <c r="G8" s="36"/>
    </row>
    <row r="9" spans="1:7">
      <c r="A9" s="23">
        <v>4</v>
      </c>
      <c r="B9" s="23" t="s">
        <v>1812</v>
      </c>
      <c r="C9" s="36">
        <f>'F-6'!P12-'F-6'!P23</f>
        <v>61497.403344803795</v>
      </c>
      <c r="D9" s="461">
        <v>0.6</v>
      </c>
      <c r="E9" s="461">
        <v>0.4</v>
      </c>
      <c r="F9" s="36">
        <f>C9*D9</f>
        <v>36898.442006882273</v>
      </c>
      <c r="G9" s="36">
        <f>C9-F9</f>
        <v>24598.961337921522</v>
      </c>
    </row>
    <row r="10" spans="1:7">
      <c r="A10" s="23">
        <v>5</v>
      </c>
      <c r="B10" s="23" t="s">
        <v>1834</v>
      </c>
      <c r="C10" s="36">
        <f ca="1">'F-6'!P13</f>
        <v>34601.089123978767</v>
      </c>
      <c r="D10" s="461">
        <v>0.9</v>
      </c>
      <c r="E10" s="461">
        <v>0.1</v>
      </c>
      <c r="F10" s="36">
        <f t="shared" ref="F10:F24" ca="1" si="0">C10*D10</f>
        <v>31140.980211580893</v>
      </c>
      <c r="G10" s="36">
        <f t="shared" ref="G10:G24" ca="1" si="1">C10-F10</f>
        <v>3460.1089123978745</v>
      </c>
    </row>
    <row r="11" spans="1:7">
      <c r="A11" s="23">
        <v>6</v>
      </c>
      <c r="B11" s="23" t="s">
        <v>1835</v>
      </c>
      <c r="C11" s="36">
        <f>'F-6'!P14</f>
        <v>26215.699940195998</v>
      </c>
      <c r="D11" s="461">
        <v>0.5</v>
      </c>
      <c r="E11" s="461">
        <v>0.5</v>
      </c>
      <c r="F11" s="36">
        <f t="shared" si="0"/>
        <v>13107.849970097999</v>
      </c>
      <c r="G11" s="36">
        <f t="shared" si="1"/>
        <v>13107.849970097999</v>
      </c>
    </row>
    <row r="12" spans="1:7">
      <c r="A12" s="23">
        <v>7</v>
      </c>
      <c r="B12" s="23" t="s">
        <v>1836</v>
      </c>
      <c r="C12" s="36">
        <f>'F-6'!P15</f>
        <v>6171.823828129206</v>
      </c>
      <c r="D12" s="461">
        <v>0</v>
      </c>
      <c r="E12" s="461">
        <v>1</v>
      </c>
      <c r="F12" s="36">
        <f t="shared" si="0"/>
        <v>0</v>
      </c>
      <c r="G12" s="36">
        <f t="shared" si="1"/>
        <v>6171.823828129206</v>
      </c>
    </row>
    <row r="13" spans="1:7">
      <c r="A13" s="23">
        <v>8</v>
      </c>
      <c r="B13" s="23" t="s">
        <v>730</v>
      </c>
      <c r="C13" s="36">
        <f ca="1">'F-6'!P16</f>
        <v>9706.2046700311039</v>
      </c>
      <c r="D13" s="461">
        <v>0.9</v>
      </c>
      <c r="E13" s="461">
        <v>0.1</v>
      </c>
      <c r="F13" s="36">
        <f t="shared" ca="1" si="0"/>
        <v>8735.5842030279946</v>
      </c>
      <c r="G13" s="36">
        <f t="shared" ca="1" si="1"/>
        <v>970.6204670031093</v>
      </c>
    </row>
    <row r="14" spans="1:7" ht="15">
      <c r="A14" s="23"/>
      <c r="B14" s="462" t="s">
        <v>1837</v>
      </c>
      <c r="C14" s="465"/>
      <c r="D14" s="29"/>
      <c r="E14" s="29"/>
      <c r="F14" s="36"/>
      <c r="G14" s="36"/>
    </row>
    <row r="15" spans="1:7">
      <c r="A15" s="23">
        <v>9</v>
      </c>
      <c r="B15" s="23" t="s">
        <v>2438</v>
      </c>
      <c r="C15" s="36">
        <f ca="1">'F-6'!P17-'F-6'!P24</f>
        <v>5832.8948673639979</v>
      </c>
      <c r="D15" s="461">
        <v>0.9</v>
      </c>
      <c r="E15" s="461">
        <v>0.1</v>
      </c>
      <c r="F15" s="36">
        <f t="shared" ca="1" si="0"/>
        <v>5249.6053806275986</v>
      </c>
      <c r="G15" s="36">
        <f t="shared" ca="1" si="1"/>
        <v>583.28948673639934</v>
      </c>
    </row>
    <row r="16" spans="1:7">
      <c r="A16" s="23">
        <v>10</v>
      </c>
      <c r="B16" s="23" t="s">
        <v>1838</v>
      </c>
      <c r="C16" s="36">
        <f ca="1">'F-6'!P18</f>
        <v>5895.2403618205071</v>
      </c>
      <c r="D16" s="461">
        <v>0.1</v>
      </c>
      <c r="E16" s="461">
        <v>0.9</v>
      </c>
      <c r="F16" s="36">
        <f t="shared" ca="1" si="0"/>
        <v>589.52403618205074</v>
      </c>
      <c r="G16" s="36">
        <f t="shared" ca="1" si="1"/>
        <v>5305.7163256384565</v>
      </c>
    </row>
    <row r="17" spans="1:10">
      <c r="A17" s="23">
        <v>11</v>
      </c>
      <c r="B17" s="23" t="s">
        <v>1839</v>
      </c>
      <c r="C17" s="36">
        <f>'F-6'!P19</f>
        <v>4675.0636122532496</v>
      </c>
      <c r="D17" s="461">
        <v>0</v>
      </c>
      <c r="E17" s="461">
        <v>1</v>
      </c>
      <c r="F17" s="36">
        <f t="shared" si="0"/>
        <v>0</v>
      </c>
      <c r="G17" s="36">
        <f t="shared" si="1"/>
        <v>4675.0636122532496</v>
      </c>
    </row>
    <row r="18" spans="1:10">
      <c r="A18" s="23">
        <v>12</v>
      </c>
      <c r="B18" s="23" t="s">
        <v>1817</v>
      </c>
      <c r="C18" s="36">
        <f ca="1">'F-6'!P20</f>
        <v>10944.288984158993</v>
      </c>
      <c r="D18" s="461">
        <v>0.9</v>
      </c>
      <c r="E18" s="461">
        <v>0.1</v>
      </c>
      <c r="F18" s="36">
        <f t="shared" ca="1" si="0"/>
        <v>9849.8600857430938</v>
      </c>
      <c r="G18" s="36">
        <f t="shared" ca="1" si="1"/>
        <v>1094.4288984158993</v>
      </c>
    </row>
    <row r="19" spans="1:10">
      <c r="A19" s="23">
        <v>13</v>
      </c>
      <c r="B19" s="23" t="s">
        <v>1840</v>
      </c>
      <c r="C19" s="36">
        <f ca="1">'F-6'!P21</f>
        <v>3681.2475441839088</v>
      </c>
      <c r="D19" s="461">
        <v>0.9</v>
      </c>
      <c r="E19" s="461">
        <v>0.1</v>
      </c>
      <c r="F19" s="36">
        <f ca="1">C19*D19</f>
        <v>3313.1227897655181</v>
      </c>
      <c r="G19" s="36">
        <f ca="1">C19-F19</f>
        <v>368.12475441839069</v>
      </c>
    </row>
    <row r="20" spans="1:10" ht="25.5">
      <c r="A20" s="23">
        <v>14</v>
      </c>
      <c r="B20" s="68" t="s">
        <v>1841</v>
      </c>
      <c r="C20" s="36">
        <f ca="1">'F-6'!P22</f>
        <v>-1644.541238084244</v>
      </c>
      <c r="D20" s="461">
        <v>0.9</v>
      </c>
      <c r="E20" s="461">
        <v>0.9</v>
      </c>
      <c r="F20" s="36">
        <f ca="1">C20*D20</f>
        <v>-1480.0871142758197</v>
      </c>
      <c r="G20" s="36">
        <f ca="1">C20-F20</f>
        <v>-164.45412380842436</v>
      </c>
    </row>
    <row r="21" spans="1:10" ht="15">
      <c r="A21" s="23"/>
      <c r="B21" s="462" t="s">
        <v>1842</v>
      </c>
      <c r="C21" s="465"/>
      <c r="D21" s="29"/>
      <c r="E21" s="29"/>
      <c r="F21" s="36"/>
      <c r="G21" s="36"/>
    </row>
    <row r="22" spans="1:10">
      <c r="A22" s="23">
        <v>15</v>
      </c>
      <c r="B22" s="23" t="s">
        <v>1843</v>
      </c>
      <c r="C22" s="36">
        <f>'F-6'!P27</f>
        <v>0</v>
      </c>
      <c r="D22" s="461">
        <v>0.25</v>
      </c>
      <c r="E22" s="461">
        <v>0.75</v>
      </c>
      <c r="F22" s="36">
        <f t="shared" si="0"/>
        <v>0</v>
      </c>
      <c r="G22" s="36">
        <f t="shared" si="1"/>
        <v>0</v>
      </c>
    </row>
    <row r="23" spans="1:10">
      <c r="A23" s="23">
        <v>16</v>
      </c>
      <c r="B23" s="23" t="s">
        <v>1844</v>
      </c>
      <c r="C23" s="36">
        <f ca="1">'F-6'!P28</f>
        <v>-71455.220626323367</v>
      </c>
      <c r="D23" s="461">
        <v>0.25</v>
      </c>
      <c r="E23" s="461">
        <v>0.75</v>
      </c>
      <c r="F23" s="36">
        <f t="shared" ca="1" si="0"/>
        <v>-17863.805156580842</v>
      </c>
      <c r="G23" s="36">
        <f t="shared" ca="1" si="1"/>
        <v>-53591.415469742526</v>
      </c>
    </row>
    <row r="24" spans="1:10">
      <c r="A24" s="23">
        <v>17</v>
      </c>
      <c r="B24" s="23" t="s">
        <v>1845</v>
      </c>
      <c r="C24" s="36">
        <f ca="1">'F-6'!P29</f>
        <v>0</v>
      </c>
      <c r="D24" s="461">
        <v>0.9</v>
      </c>
      <c r="E24" s="461">
        <v>0.1</v>
      </c>
      <c r="F24" s="36">
        <f t="shared" ca="1" si="0"/>
        <v>0</v>
      </c>
      <c r="G24" s="36">
        <f t="shared" ca="1" si="1"/>
        <v>0</v>
      </c>
    </row>
    <row r="25" spans="1:10">
      <c r="A25" s="23"/>
      <c r="B25" s="75" t="s">
        <v>1132</v>
      </c>
      <c r="C25" s="37">
        <f ca="1">SUM(C7:C24)</f>
        <v>606127.91041251202</v>
      </c>
      <c r="D25" s="461"/>
      <c r="E25" s="461"/>
      <c r="F25" s="37">
        <f ca="1">SUM(F7:F24)</f>
        <v>113779.31241305073</v>
      </c>
      <c r="G25" s="37">
        <f ca="1">SUM(G7:G24)</f>
        <v>492348.59799946111</v>
      </c>
      <c r="J25" s="7"/>
    </row>
    <row r="26" spans="1:10" ht="15">
      <c r="A26" s="23"/>
      <c r="B26" s="462" t="s">
        <v>1846</v>
      </c>
      <c r="C26" s="465"/>
      <c r="D26" s="29"/>
      <c r="E26" s="29"/>
      <c r="F26" s="23"/>
      <c r="G26" s="23"/>
    </row>
    <row r="27" spans="1:10" ht="30">
      <c r="A27" s="23">
        <v>18</v>
      </c>
      <c r="B27" s="23" t="s">
        <v>1847</v>
      </c>
      <c r="C27" s="36"/>
      <c r="D27" s="682" t="s">
        <v>1848</v>
      </c>
      <c r="E27" s="682" t="s">
        <v>1848</v>
      </c>
      <c r="F27" s="23"/>
      <c r="G27" s="23"/>
    </row>
    <row r="28" spans="1:10" ht="30">
      <c r="A28" s="23">
        <v>19</v>
      </c>
      <c r="B28" s="23" t="s">
        <v>1849</v>
      </c>
      <c r="C28" s="36">
        <f>'F-6'!P33</f>
        <v>28933.400493333334</v>
      </c>
      <c r="D28" s="682" t="s">
        <v>1848</v>
      </c>
      <c r="E28" s="682" t="s">
        <v>1848</v>
      </c>
      <c r="F28" s="23"/>
      <c r="G28" s="23"/>
    </row>
    <row r="29" spans="1:10">
      <c r="A29" s="340" t="s">
        <v>1850</v>
      </c>
    </row>
  </sheetData>
  <printOptions horizontalCentered="1"/>
  <pageMargins left="0.19685039370078741" right="0" top="0.19685039370078741" bottom="0" header="0" footer="0"/>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197FB2-E2FA-4C9D-AD53-0A9771960314}">
  <sheetPr>
    <tabColor rgb="FFFF0000"/>
    <pageSetUpPr fitToPage="1"/>
  </sheetPr>
  <dimension ref="A1:N19"/>
  <sheetViews>
    <sheetView view="pageBreakPreview" zoomScale="110" zoomScaleSheetLayoutView="110" workbookViewId="0">
      <selection activeCell="C19" sqref="C19"/>
    </sheetView>
  </sheetViews>
  <sheetFormatPr defaultColWidth="14.7109375" defaultRowHeight="12.75"/>
  <cols>
    <col min="1" max="1" width="7.28515625" style="703" customWidth="1"/>
    <col min="2" max="2" width="31.42578125" style="1299" customWidth="1"/>
    <col min="3" max="3" width="14.7109375" style="703" customWidth="1"/>
    <col min="4" max="4" width="14.85546875" style="703" customWidth="1"/>
    <col min="5" max="5" width="16.85546875" style="703" bestFit="1" customWidth="1"/>
    <col min="6" max="13" width="14.7109375" customWidth="1"/>
    <col min="14" max="14" width="14.7109375" hidden="1" customWidth="1"/>
  </cols>
  <sheetData>
    <row r="1" spans="1:5">
      <c r="A1" s="1303" t="s">
        <v>106</v>
      </c>
      <c r="E1" s="1095" t="s">
        <v>2348</v>
      </c>
    </row>
    <row r="2" spans="1:5" ht="15">
      <c r="A2" s="1304" t="s">
        <v>525</v>
      </c>
      <c r="B2" s="1300"/>
      <c r="C2" s="1302"/>
      <c r="D2" s="1302"/>
    </row>
    <row r="3" spans="1:5">
      <c r="E3" s="1095" t="s">
        <v>526</v>
      </c>
    </row>
    <row r="4" spans="1:5" ht="15.6" customHeight="1">
      <c r="A4" s="1946" t="s">
        <v>2350</v>
      </c>
      <c r="B4" s="1946"/>
      <c r="C4" s="1946"/>
      <c r="D4" s="1946"/>
      <c r="E4" s="1946"/>
    </row>
    <row r="5" spans="1:5">
      <c r="A5" s="945" t="s">
        <v>2235</v>
      </c>
      <c r="B5" s="1305" t="s">
        <v>791</v>
      </c>
      <c r="C5" s="945" t="s">
        <v>984</v>
      </c>
      <c r="D5" s="945" t="s">
        <v>160</v>
      </c>
      <c r="E5" s="945" t="s">
        <v>986</v>
      </c>
    </row>
    <row r="6" spans="1:5">
      <c r="A6" s="945"/>
      <c r="B6" s="1305" t="s">
        <v>2457</v>
      </c>
      <c r="C6" s="945">
        <v>46262</v>
      </c>
      <c r="D6" s="945">
        <v>58218</v>
      </c>
      <c r="E6" s="945">
        <v>51639</v>
      </c>
    </row>
    <row r="7" spans="1:5">
      <c r="A7" s="1306">
        <v>1</v>
      </c>
      <c r="B7" s="1307" t="s">
        <v>2458</v>
      </c>
      <c r="C7" s="1308">
        <v>33313</v>
      </c>
      <c r="D7" s="1306">
        <v>47772</v>
      </c>
      <c r="E7" s="945"/>
    </row>
    <row r="8" spans="1:5">
      <c r="A8" s="1306">
        <v>2</v>
      </c>
      <c r="B8" s="1274" t="s">
        <v>2351</v>
      </c>
      <c r="C8" s="1309">
        <f>SUM(CWIP!K30:K34)</f>
        <v>11738.614558468471</v>
      </c>
      <c r="D8" s="1067">
        <f ca="1">SUM(CWIP!U30:V34)</f>
        <v>51856.343420625279</v>
      </c>
      <c r="E8" s="1309">
        <f ca="1">SUM(CWIP!AF30:AG34)</f>
        <v>56160.343749353779</v>
      </c>
    </row>
    <row r="9" spans="1:5" ht="15.95" customHeight="1">
      <c r="A9" s="1306">
        <v>3</v>
      </c>
      <c r="B9" s="1274" t="s">
        <v>2352</v>
      </c>
      <c r="C9" s="1309">
        <f>SUM(CWIP!L30:L34)</f>
        <v>3115.6471974999986</v>
      </c>
      <c r="D9" s="1309">
        <f ca="1">SUM(CWIP!W30:W34)</f>
        <v>12941.209689495901</v>
      </c>
      <c r="E9" s="1309">
        <f ca="1">SUM(CWIP!AH30:AH34)</f>
        <v>27640.386399999999</v>
      </c>
    </row>
    <row r="10" spans="1:5">
      <c r="A10" s="1306"/>
      <c r="B10" s="1305" t="s">
        <v>2459</v>
      </c>
      <c r="C10" s="1306"/>
      <c r="D10" s="1309"/>
      <c r="E10" s="1309"/>
    </row>
    <row r="11" spans="1:5">
      <c r="A11" s="1306">
        <v>4</v>
      </c>
      <c r="B11" s="1274" t="s">
        <v>2464</v>
      </c>
      <c r="C11" s="696">
        <f>'loan&amp;int'!B50</f>
        <v>5000</v>
      </c>
      <c r="D11" s="1351">
        <f ca="1">'loan&amp;int'!C50</f>
        <v>41635.458132420034</v>
      </c>
      <c r="E11" s="1351">
        <f ca="1">'loan&amp;int'!D50</f>
        <v>45091.139996356149</v>
      </c>
    </row>
    <row r="12" spans="1:5">
      <c r="A12" s="1306">
        <v>5</v>
      </c>
      <c r="B12" s="697" t="s">
        <v>2460</v>
      </c>
      <c r="C12" s="696">
        <v>3000</v>
      </c>
      <c r="D12" s="1351">
        <f ca="1">'F-23 CASHFLOW'!B10*0.51</f>
        <v>7934.0205433556675</v>
      </c>
      <c r="E12" s="1351">
        <f ca="1">'F-23 CASHFLOW'!C10*0.51</f>
        <v>8592.532593651129</v>
      </c>
    </row>
    <row r="13" spans="1:5">
      <c r="A13" s="1306">
        <v>6</v>
      </c>
      <c r="B13" s="1274" t="s">
        <v>2465</v>
      </c>
      <c r="C13" s="696">
        <v>2900</v>
      </c>
      <c r="D13" s="1351">
        <f ca="1">'F-23 CASHFLOW'!B10*0.49</f>
        <v>7622.8824828319157</v>
      </c>
      <c r="E13" s="1351">
        <f ca="1">'F-23 CASHFLOW'!C10*0.49</f>
        <v>8255.5705311550046</v>
      </c>
    </row>
    <row r="14" spans="1:5">
      <c r="A14" s="1306">
        <v>7</v>
      </c>
      <c r="B14" s="697" t="s">
        <v>2349</v>
      </c>
      <c r="C14" s="696"/>
      <c r="D14" s="1351"/>
      <c r="E14" s="1351">
        <v>2700</v>
      </c>
    </row>
    <row r="15" spans="1:5">
      <c r="A15" s="1306">
        <v>8</v>
      </c>
      <c r="B15" s="697" t="s">
        <v>2353</v>
      </c>
      <c r="C15" s="696">
        <f>SUM(C11:C14)</f>
        <v>10900</v>
      </c>
      <c r="D15" s="1351">
        <f ca="1">SUM(D11:D14)</f>
        <v>57192.361158607615</v>
      </c>
      <c r="E15" s="1351">
        <f ca="1">SUM(E11:E14)</f>
        <v>64639.243121162282</v>
      </c>
    </row>
    <row r="16" spans="1:5" ht="15.75">
      <c r="B16" s="1301"/>
      <c r="C16" s="957"/>
      <c r="D16" s="957"/>
      <c r="E16" s="957"/>
    </row>
    <row r="17" spans="3:3">
      <c r="C17" s="957"/>
    </row>
    <row r="18" spans="3:3">
      <c r="C18" s="957"/>
    </row>
    <row r="19" spans="3:3">
      <c r="C19" s="957"/>
    </row>
  </sheetData>
  <mergeCells count="1">
    <mergeCell ref="A4:E4"/>
  </mergeCells>
  <printOptions horizontalCentered="1" gridLines="1"/>
  <pageMargins left="0.74803149606299213" right="0.74803149606299213" top="1.2598425196850394" bottom="1.2598425196850394" header="0.51181102362204722" footer="0.51181102362204722"/>
  <pageSetup paperSize="9" orientation="portrait" r:id="rId1"/>
  <headerFooter alignWithMargins="0">
    <oddFooter>&amp;ROERC FORM-&amp;A</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0B67B-BFA9-44BC-AF13-9981093A8973}">
  <sheetPr>
    <tabColor rgb="FFFF0000"/>
  </sheetPr>
  <dimension ref="A1:CK157"/>
  <sheetViews>
    <sheetView view="pageBreakPreview" zoomScale="85" zoomScaleNormal="75" zoomScaleSheetLayoutView="80" workbookViewId="0">
      <pane xSplit="2" ySplit="4" topLeftCell="C58" activePane="bottomRight" state="frozen"/>
      <selection activeCell="Y7" sqref="Y7"/>
      <selection pane="topRight" activeCell="Y7" sqref="Y7"/>
      <selection pane="bottomLeft" activeCell="Y7" sqref="Y7"/>
      <selection pane="bottomRight" activeCell="E62" sqref="E62"/>
    </sheetView>
  </sheetViews>
  <sheetFormatPr defaultColWidth="14.7109375" defaultRowHeight="25.5"/>
  <cols>
    <col min="1" max="1" width="6.42578125" style="38" customWidth="1"/>
    <col min="2" max="2" width="35.85546875" style="38" customWidth="1"/>
    <col min="3" max="3" width="12.5703125" style="64" customWidth="1"/>
    <col min="4" max="5" width="12.85546875" style="38" customWidth="1"/>
    <col min="6" max="6" width="10" style="38" customWidth="1"/>
    <col min="7" max="7" width="13" style="38" customWidth="1"/>
    <col min="8" max="8" width="10.42578125" style="38" customWidth="1"/>
    <col min="9" max="9" width="12.5703125" style="38" customWidth="1"/>
    <col min="10" max="10" width="9.42578125" style="38" customWidth="1"/>
    <col min="11" max="11" width="14.7109375" style="218" customWidth="1"/>
    <col min="12" max="16384" width="14.7109375" style="38"/>
  </cols>
  <sheetData>
    <row r="1" spans="1:89" ht="16.5" customHeight="1">
      <c r="B1" s="61" t="s">
        <v>106</v>
      </c>
      <c r="C1" s="398"/>
    </row>
    <row r="2" spans="1:89" ht="21" customHeight="1">
      <c r="B2" s="426" t="s">
        <v>605</v>
      </c>
      <c r="C2" s="410"/>
      <c r="I2" s="3" t="s">
        <v>2354</v>
      </c>
      <c r="J2" s="40"/>
    </row>
    <row r="3" spans="1:89" ht="52.5" customHeight="1">
      <c r="A3" s="1312" t="s">
        <v>2235</v>
      </c>
      <c r="B3" s="1313" t="s">
        <v>791</v>
      </c>
      <c r="C3" s="1947" t="s">
        <v>159</v>
      </c>
      <c r="D3" s="1947"/>
      <c r="E3" s="1947" t="s">
        <v>607</v>
      </c>
      <c r="F3" s="1947"/>
      <c r="G3" s="1947" t="s">
        <v>608</v>
      </c>
      <c r="H3" s="1947"/>
      <c r="I3" s="1947" t="s">
        <v>609</v>
      </c>
      <c r="J3" s="1947"/>
      <c r="L3" s="505"/>
      <c r="M3" s="505"/>
      <c r="N3" s="505"/>
      <c r="O3" s="505"/>
      <c r="P3" s="505"/>
      <c r="Q3" s="505"/>
      <c r="R3" s="505"/>
      <c r="S3" s="505"/>
      <c r="T3" s="505"/>
      <c r="U3" s="505"/>
      <c r="V3" s="505"/>
      <c r="W3" s="505"/>
      <c r="X3" s="505"/>
      <c r="Y3" s="505"/>
      <c r="Z3" s="505"/>
      <c r="AA3" s="505"/>
      <c r="AB3" s="505"/>
      <c r="AC3" s="505"/>
      <c r="AD3" s="505"/>
      <c r="AE3" s="505"/>
      <c r="AF3" s="505"/>
      <c r="AG3" s="505"/>
      <c r="AH3" s="505"/>
      <c r="AI3" s="505"/>
      <c r="AJ3" s="505"/>
      <c r="AK3" s="505"/>
      <c r="AL3" s="505"/>
      <c r="AM3" s="505"/>
      <c r="AN3" s="505"/>
      <c r="AO3" s="505"/>
      <c r="AP3" s="505"/>
      <c r="AQ3" s="505"/>
      <c r="AR3" s="505"/>
      <c r="AS3" s="505"/>
      <c r="AT3" s="505"/>
      <c r="AU3" s="505"/>
      <c r="AV3" s="505"/>
      <c r="AW3" s="505"/>
      <c r="AX3" s="505"/>
      <c r="AY3" s="505"/>
      <c r="AZ3" s="505"/>
      <c r="BA3" s="505"/>
      <c r="BB3" s="505"/>
      <c r="BC3" s="505"/>
      <c r="BD3" s="505"/>
      <c r="BE3" s="505"/>
      <c r="BF3" s="505"/>
      <c r="BG3" s="505"/>
      <c r="BH3" s="505"/>
      <c r="BI3" s="505"/>
      <c r="BJ3" s="505"/>
      <c r="BK3" s="505"/>
      <c r="BL3" s="505"/>
      <c r="BM3" s="505"/>
      <c r="BN3" s="505"/>
      <c r="BO3" s="505"/>
      <c r="BP3" s="505"/>
      <c r="BQ3" s="505"/>
      <c r="BR3" s="505"/>
      <c r="BS3" s="505"/>
      <c r="BT3" s="505"/>
      <c r="BU3" s="505"/>
      <c r="BV3" s="505"/>
      <c r="BW3" s="505"/>
      <c r="BX3" s="505"/>
      <c r="BY3" s="505"/>
      <c r="BZ3" s="505"/>
      <c r="CA3" s="505"/>
      <c r="CB3" s="505"/>
      <c r="CC3" s="505"/>
      <c r="CD3" s="505"/>
      <c r="CE3" s="505"/>
      <c r="CF3" s="505"/>
      <c r="CG3" s="505"/>
      <c r="CH3" s="505"/>
      <c r="CI3" s="505"/>
      <c r="CJ3" s="505"/>
      <c r="CK3" s="505"/>
    </row>
    <row r="4" spans="1:89" ht="18.75" customHeight="1">
      <c r="A4" s="1314"/>
      <c r="B4" s="404"/>
      <c r="C4" s="404" t="s">
        <v>286</v>
      </c>
      <c r="D4" s="288" t="s">
        <v>387</v>
      </c>
      <c r="E4" s="404" t="s">
        <v>286</v>
      </c>
      <c r="F4" s="288" t="s">
        <v>387</v>
      </c>
      <c r="G4" s="404" t="s">
        <v>286</v>
      </c>
      <c r="H4" s="288" t="s">
        <v>387</v>
      </c>
      <c r="I4" s="404" t="s">
        <v>286</v>
      </c>
      <c r="J4" s="288" t="s">
        <v>387</v>
      </c>
      <c r="L4" s="505"/>
      <c r="M4" s="505"/>
      <c r="N4" s="505"/>
      <c r="O4" s="505"/>
      <c r="P4" s="505"/>
      <c r="Q4" s="505"/>
      <c r="R4" s="505"/>
      <c r="S4" s="505"/>
      <c r="T4" s="505"/>
      <c r="U4" s="505"/>
      <c r="V4" s="505"/>
      <c r="W4" s="505"/>
      <c r="X4" s="505"/>
      <c r="Y4" s="505"/>
      <c r="Z4" s="505"/>
      <c r="AA4" s="505"/>
      <c r="AB4" s="505"/>
      <c r="AC4" s="505"/>
      <c r="AD4" s="505"/>
      <c r="AE4" s="505"/>
      <c r="AF4" s="505"/>
      <c r="AG4" s="505"/>
      <c r="AH4" s="505"/>
      <c r="AI4" s="505"/>
      <c r="AJ4" s="505"/>
      <c r="AK4" s="505"/>
      <c r="AL4" s="505"/>
      <c r="AM4" s="505"/>
      <c r="AN4" s="505"/>
      <c r="AO4" s="505"/>
      <c r="AP4" s="505"/>
      <c r="AQ4" s="505"/>
      <c r="AR4" s="505"/>
      <c r="AS4" s="505"/>
      <c r="AT4" s="505"/>
      <c r="AU4" s="505"/>
      <c r="AV4" s="505"/>
      <c r="AW4" s="505"/>
      <c r="AX4" s="505"/>
      <c r="AY4" s="505"/>
      <c r="AZ4" s="505"/>
      <c r="BA4" s="505"/>
      <c r="BB4" s="505"/>
      <c r="BC4" s="505"/>
      <c r="BD4" s="505"/>
      <c r="BE4" s="505"/>
      <c r="BF4" s="505"/>
      <c r="BG4" s="505"/>
      <c r="BH4" s="505"/>
      <c r="BI4" s="505"/>
      <c r="BJ4" s="505"/>
      <c r="BK4" s="505"/>
      <c r="BL4" s="505"/>
      <c r="BM4" s="505"/>
      <c r="BN4" s="505"/>
      <c r="BO4" s="505"/>
      <c r="BP4" s="505"/>
      <c r="BQ4" s="505"/>
      <c r="BR4" s="505"/>
      <c r="BS4" s="505"/>
      <c r="BT4" s="505"/>
      <c r="BU4" s="505"/>
      <c r="BV4" s="505"/>
      <c r="BW4" s="505"/>
      <c r="BX4" s="505"/>
      <c r="BY4" s="505"/>
      <c r="BZ4" s="505"/>
      <c r="CA4" s="505"/>
      <c r="CB4" s="505"/>
      <c r="CC4" s="505"/>
      <c r="CD4" s="505"/>
      <c r="CE4" s="505"/>
      <c r="CF4" s="505"/>
      <c r="CG4" s="505"/>
      <c r="CH4" s="505"/>
      <c r="CI4" s="505"/>
      <c r="CJ4" s="505"/>
      <c r="CK4" s="505"/>
    </row>
    <row r="5" spans="1:89" ht="18.75" customHeight="1">
      <c r="A5" s="1314"/>
      <c r="B5" s="404" t="s">
        <v>42</v>
      </c>
      <c r="C5" s="404"/>
      <c r="D5" s="288"/>
      <c r="E5" s="288"/>
      <c r="F5" s="1314"/>
      <c r="G5" s="1314"/>
      <c r="H5" s="1314"/>
      <c r="I5" s="1314"/>
      <c r="J5" s="404"/>
      <c r="L5" s="505"/>
      <c r="M5" s="505"/>
      <c r="N5" s="505"/>
      <c r="O5" s="505"/>
      <c r="P5" s="505"/>
      <c r="Q5" s="505"/>
      <c r="R5" s="505"/>
      <c r="S5" s="505"/>
      <c r="T5" s="505"/>
      <c r="U5" s="505"/>
      <c r="V5" s="505"/>
      <c r="W5" s="505"/>
      <c r="X5" s="505"/>
      <c r="Y5" s="505"/>
      <c r="Z5" s="505"/>
      <c r="AA5" s="505"/>
      <c r="AB5" s="505"/>
      <c r="AC5" s="505"/>
      <c r="AD5" s="505"/>
      <c r="AE5" s="505"/>
      <c r="AF5" s="505"/>
      <c r="AG5" s="505"/>
      <c r="AH5" s="505"/>
      <c r="AI5" s="505"/>
      <c r="AJ5" s="505"/>
      <c r="AK5" s="505"/>
      <c r="AL5" s="505"/>
      <c r="AM5" s="505"/>
      <c r="AN5" s="505"/>
      <c r="AO5" s="505"/>
      <c r="AP5" s="505"/>
      <c r="AQ5" s="505"/>
      <c r="AR5" s="505"/>
      <c r="AS5" s="505"/>
      <c r="AT5" s="505"/>
      <c r="AU5" s="505"/>
      <c r="AV5" s="505"/>
      <c r="AW5" s="505"/>
      <c r="AX5" s="505"/>
      <c r="AY5" s="505"/>
      <c r="AZ5" s="505"/>
      <c r="BA5" s="505"/>
      <c r="BB5" s="505"/>
      <c r="BC5" s="505"/>
      <c r="BD5" s="505"/>
      <c r="BE5" s="505"/>
      <c r="BF5" s="505"/>
      <c r="BG5" s="505"/>
      <c r="BH5" s="505"/>
      <c r="BI5" s="505"/>
      <c r="BJ5" s="505"/>
      <c r="BK5" s="505"/>
      <c r="BL5" s="505"/>
      <c r="BM5" s="505"/>
      <c r="BN5" s="505"/>
      <c r="BO5" s="505"/>
      <c r="BP5" s="505"/>
      <c r="BQ5" s="505"/>
      <c r="BR5" s="505"/>
      <c r="BS5" s="505"/>
      <c r="BT5" s="505"/>
      <c r="BU5" s="505"/>
      <c r="BV5" s="505"/>
      <c r="BW5" s="505"/>
      <c r="BX5" s="505"/>
      <c r="BY5" s="505"/>
      <c r="BZ5" s="505"/>
      <c r="CA5" s="505"/>
      <c r="CB5" s="505"/>
      <c r="CC5" s="505"/>
      <c r="CD5" s="505"/>
      <c r="CE5" s="505"/>
      <c r="CF5" s="505"/>
      <c r="CG5" s="505"/>
      <c r="CH5" s="505"/>
      <c r="CI5" s="505"/>
      <c r="CJ5" s="505"/>
      <c r="CK5" s="505"/>
    </row>
    <row r="6" spans="1:89" ht="20.100000000000001" customHeight="1">
      <c r="A6" s="400">
        <v>1</v>
      </c>
      <c r="B6" s="62" t="s">
        <v>44</v>
      </c>
      <c r="C6" s="428"/>
      <c r="D6" s="430"/>
      <c r="E6" s="428"/>
      <c r="F6" s="430"/>
      <c r="G6" s="428"/>
      <c r="H6" s="430"/>
      <c r="I6" s="428"/>
      <c r="J6" s="430"/>
      <c r="L6" s="505"/>
      <c r="M6" s="505"/>
      <c r="N6" s="505"/>
      <c r="O6" s="505"/>
      <c r="P6" s="505"/>
      <c r="Q6" s="505"/>
      <c r="R6" s="505"/>
      <c r="S6" s="505"/>
      <c r="T6" s="505"/>
      <c r="U6" s="505"/>
      <c r="V6" s="505"/>
      <c r="W6" s="505"/>
      <c r="X6" s="505"/>
      <c r="Y6" s="505"/>
      <c r="Z6" s="505"/>
      <c r="AA6" s="505"/>
      <c r="AB6" s="505"/>
      <c r="AC6" s="505"/>
      <c r="AD6" s="505"/>
      <c r="AE6" s="505"/>
      <c r="AF6" s="505"/>
      <c r="AG6" s="505"/>
      <c r="AH6" s="505"/>
      <c r="AI6" s="505"/>
      <c r="AJ6" s="505"/>
      <c r="AK6" s="505"/>
      <c r="AL6" s="505"/>
      <c r="AM6" s="505"/>
      <c r="AN6" s="505"/>
      <c r="AO6" s="505"/>
      <c r="AP6" s="505"/>
      <c r="AQ6" s="505"/>
      <c r="AR6" s="505"/>
      <c r="AS6" s="505"/>
      <c r="AT6" s="505"/>
      <c r="AU6" s="505"/>
      <c r="AV6" s="505"/>
      <c r="AW6" s="505"/>
      <c r="AX6" s="505"/>
      <c r="AY6" s="505"/>
      <c r="AZ6" s="505"/>
      <c r="BA6" s="505"/>
      <c r="BB6" s="505"/>
      <c r="BC6" s="505"/>
      <c r="BD6" s="505"/>
      <c r="BE6" s="505"/>
      <c r="BF6" s="505"/>
      <c r="BG6" s="505"/>
      <c r="BH6" s="505"/>
      <c r="BI6" s="505"/>
      <c r="BJ6" s="505"/>
      <c r="BK6" s="505"/>
      <c r="BL6" s="505"/>
      <c r="BM6" s="505"/>
      <c r="BN6" s="505"/>
      <c r="BO6" s="505"/>
      <c r="BP6" s="505"/>
      <c r="BQ6" s="505"/>
      <c r="BR6" s="505"/>
      <c r="BS6" s="505"/>
      <c r="BT6" s="505"/>
      <c r="BU6" s="505"/>
      <c r="BV6" s="505"/>
      <c r="BW6" s="505"/>
      <c r="BX6" s="505"/>
      <c r="BY6" s="505"/>
      <c r="BZ6" s="505"/>
      <c r="CA6" s="505"/>
      <c r="CB6" s="505"/>
      <c r="CC6" s="505"/>
      <c r="CD6" s="505"/>
      <c r="CE6" s="505"/>
      <c r="CF6" s="505"/>
      <c r="CG6" s="505"/>
      <c r="CH6" s="505"/>
      <c r="CI6" s="505"/>
      <c r="CJ6" s="505"/>
      <c r="CK6" s="505"/>
    </row>
    <row r="7" spans="1:89" ht="20.100000000000001" customHeight="1">
      <c r="A7" s="400" t="s">
        <v>46</v>
      </c>
      <c r="B7" s="380" t="s">
        <v>47</v>
      </c>
      <c r="C7" s="428">
        <f>'T-1'!G14</f>
        <v>45.554000000000002</v>
      </c>
      <c r="D7" s="1315">
        <f>C7/$C$62</f>
        <v>6.1929363546314523E-3</v>
      </c>
      <c r="E7" s="428">
        <f>'T-1'!K14</f>
        <v>13.637372999999998</v>
      </c>
      <c r="F7" s="1315">
        <f>E7/$E$62</f>
        <v>2.8308085476938085E-3</v>
      </c>
      <c r="G7" s="428">
        <f>'T-1'!N14</f>
        <v>26</v>
      </c>
      <c r="H7" s="1315">
        <f>G7/$G$62</f>
        <v>2.5816701419918574E-3</v>
      </c>
      <c r="I7" s="428">
        <f>'T-1'!S14</f>
        <v>30</v>
      </c>
      <c r="J7" s="1315">
        <f>I7/$I$62</f>
        <v>2.8620492267006207E-3</v>
      </c>
      <c r="K7" s="306"/>
      <c r="L7" s="505"/>
      <c r="M7" s="505"/>
      <c r="N7" s="505"/>
      <c r="O7" s="505"/>
      <c r="P7" s="505"/>
      <c r="Q7" s="505"/>
      <c r="R7" s="505"/>
      <c r="S7" s="505"/>
      <c r="T7" s="505"/>
      <c r="U7" s="505"/>
      <c r="V7" s="505"/>
      <c r="W7" s="505"/>
      <c r="X7" s="505"/>
      <c r="Y7" s="505"/>
      <c r="Z7" s="505"/>
      <c r="AA7" s="505"/>
      <c r="AB7" s="505"/>
      <c r="AC7" s="505"/>
      <c r="AD7" s="505"/>
      <c r="AE7" s="505"/>
      <c r="AF7" s="505"/>
      <c r="AG7" s="505"/>
      <c r="AH7" s="505"/>
      <c r="AI7" s="505"/>
      <c r="AJ7" s="505"/>
      <c r="AK7" s="505"/>
      <c r="AL7" s="505"/>
      <c r="AM7" s="505"/>
      <c r="AN7" s="505"/>
      <c r="AO7" s="505"/>
      <c r="AP7" s="505"/>
      <c r="AQ7" s="505"/>
      <c r="AR7" s="505"/>
      <c r="AS7" s="505"/>
      <c r="AT7" s="505"/>
      <c r="AU7" s="505"/>
      <c r="AV7" s="505"/>
      <c r="AW7" s="505"/>
      <c r="AX7" s="505"/>
      <c r="AY7" s="505"/>
      <c r="AZ7" s="505"/>
      <c r="BA7" s="505"/>
      <c r="BB7" s="505"/>
      <c r="BC7" s="505"/>
      <c r="BD7" s="505"/>
      <c r="BE7" s="505"/>
      <c r="BF7" s="505"/>
      <c r="BG7" s="505"/>
      <c r="BH7" s="505"/>
      <c r="BI7" s="505"/>
      <c r="BJ7" s="505"/>
      <c r="BK7" s="505"/>
      <c r="BL7" s="505"/>
      <c r="BM7" s="505"/>
      <c r="BN7" s="505"/>
      <c r="BO7" s="505"/>
      <c r="BP7" s="505"/>
      <c r="BQ7" s="505"/>
      <c r="BR7" s="505"/>
      <c r="BS7" s="505"/>
      <c r="BT7" s="505"/>
      <c r="BU7" s="505"/>
      <c r="BV7" s="505"/>
      <c r="BW7" s="505"/>
      <c r="BX7" s="505"/>
      <c r="BY7" s="505"/>
      <c r="BZ7" s="505"/>
      <c r="CA7" s="505"/>
      <c r="CB7" s="505"/>
      <c r="CC7" s="505"/>
      <c r="CD7" s="505"/>
      <c r="CE7" s="505"/>
      <c r="CF7" s="505"/>
      <c r="CG7" s="505"/>
      <c r="CH7" s="505"/>
      <c r="CI7" s="505"/>
      <c r="CJ7" s="505"/>
      <c r="CK7" s="505"/>
    </row>
    <row r="8" spans="1:89" ht="20.100000000000001" customHeight="1">
      <c r="A8" s="400" t="s">
        <v>49</v>
      </c>
      <c r="B8" s="380" t="s">
        <v>50</v>
      </c>
      <c r="C8" s="428"/>
      <c r="D8" s="1315"/>
      <c r="E8" s="428"/>
      <c r="F8" s="1315"/>
      <c r="G8" s="428"/>
      <c r="H8" s="1315"/>
      <c r="I8" s="428"/>
      <c r="J8" s="1315"/>
      <c r="K8" s="306"/>
      <c r="L8" s="505"/>
      <c r="M8" s="505"/>
      <c r="N8" s="505"/>
      <c r="O8" s="505"/>
      <c r="P8" s="505"/>
      <c r="Q8" s="505"/>
      <c r="R8" s="505"/>
      <c r="S8" s="505"/>
      <c r="T8" s="505"/>
      <c r="U8" s="505"/>
      <c r="V8" s="505"/>
      <c r="W8" s="505"/>
      <c r="X8" s="505"/>
      <c r="Y8" s="505"/>
      <c r="Z8" s="505"/>
      <c r="AA8" s="505"/>
      <c r="AB8" s="505"/>
      <c r="AC8" s="505"/>
      <c r="AD8" s="505"/>
      <c r="AE8" s="505"/>
      <c r="AF8" s="505"/>
      <c r="AG8" s="505"/>
      <c r="AH8" s="505"/>
      <c r="AI8" s="505"/>
      <c r="AJ8" s="505"/>
      <c r="AK8" s="505"/>
      <c r="AL8" s="505"/>
      <c r="AM8" s="505"/>
      <c r="AN8" s="505"/>
      <c r="AO8" s="505"/>
      <c r="AP8" s="505"/>
      <c r="AQ8" s="505"/>
      <c r="AR8" s="505"/>
      <c r="AS8" s="505"/>
      <c r="AT8" s="505"/>
      <c r="AU8" s="505"/>
      <c r="AV8" s="505"/>
      <c r="AW8" s="505"/>
      <c r="AX8" s="505"/>
      <c r="AY8" s="505"/>
      <c r="AZ8" s="505"/>
      <c r="BA8" s="505"/>
      <c r="BB8" s="505"/>
      <c r="BC8" s="505"/>
      <c r="BD8" s="505"/>
      <c r="BE8" s="505"/>
      <c r="BF8" s="505"/>
      <c r="BG8" s="505"/>
      <c r="BH8" s="505"/>
      <c r="BI8" s="505"/>
      <c r="BJ8" s="505"/>
      <c r="BK8" s="505"/>
      <c r="BL8" s="505"/>
      <c r="BM8" s="505"/>
      <c r="BN8" s="505"/>
      <c r="BO8" s="505"/>
      <c r="BP8" s="505"/>
      <c r="BQ8" s="505"/>
      <c r="BR8" s="505"/>
      <c r="BS8" s="505"/>
      <c r="BT8" s="505"/>
      <c r="BU8" s="505"/>
      <c r="BV8" s="505"/>
      <c r="BW8" s="505"/>
      <c r="BX8" s="505"/>
      <c r="BY8" s="505"/>
      <c r="BZ8" s="505"/>
      <c r="CA8" s="505"/>
      <c r="CB8" s="505"/>
      <c r="CC8" s="505"/>
      <c r="CD8" s="505"/>
      <c r="CE8" s="505"/>
      <c r="CF8" s="505"/>
      <c r="CG8" s="505"/>
      <c r="CH8" s="505"/>
      <c r="CI8" s="505"/>
      <c r="CJ8" s="505"/>
      <c r="CK8" s="505"/>
    </row>
    <row r="9" spans="1:89" ht="20.100000000000001" customHeight="1">
      <c r="A9" s="400"/>
      <c r="B9" s="380" t="s">
        <v>51</v>
      </c>
      <c r="C9" s="428">
        <f>'T-1'!G16</f>
        <v>202.21553669089846</v>
      </c>
      <c r="D9" s="1315">
        <f t="shared" ref="D9:D61" si="0">C9/$C$62</f>
        <v>2.7490625381840789E-2</v>
      </c>
      <c r="E9" s="428">
        <f>'T-1'!K16</f>
        <v>98.769559344578553</v>
      </c>
      <c r="F9" s="1315">
        <f t="shared" ref="F9:F61" si="1">E9/$E$62</f>
        <v>2.050231469393584E-2</v>
      </c>
      <c r="G9" s="428">
        <f>'T-1'!N16</f>
        <v>177.90609977175356</v>
      </c>
      <c r="H9" s="1315">
        <f t="shared" ref="H9:H61" si="2">G9/$G$62</f>
        <v>1.7665187148421559E-2</v>
      </c>
      <c r="I9" s="428">
        <f>'T-1'!S16</f>
        <v>234.28108676308557</v>
      </c>
      <c r="J9" s="1315">
        <f t="shared" ref="J9:J61" si="3">I9/$I$62</f>
        <v>2.2350800106695667E-2</v>
      </c>
      <c r="K9" s="306"/>
      <c r="L9" s="505"/>
      <c r="M9" s="505"/>
      <c r="N9" s="505"/>
      <c r="O9" s="505"/>
      <c r="P9" s="505"/>
      <c r="Q9" s="505"/>
      <c r="R9" s="505"/>
      <c r="S9" s="505"/>
      <c r="T9" s="505"/>
      <c r="U9" s="505"/>
      <c r="V9" s="505"/>
      <c r="W9" s="505"/>
      <c r="X9" s="505"/>
      <c r="Y9" s="505"/>
      <c r="Z9" s="505"/>
      <c r="AA9" s="505"/>
      <c r="AB9" s="505"/>
      <c r="AC9" s="505"/>
      <c r="AD9" s="505"/>
      <c r="AE9" s="505"/>
      <c r="AF9" s="505"/>
      <c r="AG9" s="505"/>
      <c r="AH9" s="505"/>
      <c r="AI9" s="505"/>
      <c r="AJ9" s="505"/>
      <c r="AK9" s="505"/>
      <c r="AL9" s="505"/>
      <c r="AM9" s="505"/>
      <c r="AN9" s="505"/>
      <c r="AO9" s="505"/>
      <c r="AP9" s="505"/>
      <c r="AQ9" s="505"/>
      <c r="AR9" s="505"/>
      <c r="AS9" s="505"/>
      <c r="AT9" s="505"/>
      <c r="AU9" s="505"/>
      <c r="AV9" s="505"/>
      <c r="AW9" s="505"/>
      <c r="AX9" s="505"/>
      <c r="AY9" s="505"/>
      <c r="AZ9" s="505"/>
      <c r="BA9" s="505"/>
      <c r="BB9" s="505"/>
      <c r="BC9" s="505"/>
      <c r="BD9" s="505"/>
      <c r="BE9" s="505"/>
      <c r="BF9" s="505"/>
      <c r="BG9" s="505"/>
      <c r="BH9" s="505"/>
      <c r="BI9" s="505"/>
      <c r="BJ9" s="505"/>
      <c r="BK9" s="505"/>
      <c r="BL9" s="505"/>
      <c r="BM9" s="505"/>
      <c r="BN9" s="505"/>
      <c r="BO9" s="505"/>
      <c r="BP9" s="505"/>
      <c r="BQ9" s="505"/>
      <c r="BR9" s="505"/>
      <c r="BS9" s="505"/>
      <c r="BT9" s="505"/>
      <c r="BU9" s="505"/>
      <c r="BV9" s="505"/>
      <c r="BW9" s="505"/>
      <c r="BX9" s="505"/>
      <c r="BY9" s="505"/>
      <c r="BZ9" s="505"/>
      <c r="CA9" s="505"/>
      <c r="CB9" s="505"/>
      <c r="CC9" s="505"/>
      <c r="CD9" s="505"/>
      <c r="CE9" s="505"/>
      <c r="CF9" s="505"/>
      <c r="CG9" s="505"/>
      <c r="CH9" s="505"/>
      <c r="CI9" s="505"/>
      <c r="CJ9" s="505"/>
      <c r="CK9" s="505"/>
    </row>
    <row r="10" spans="1:89" ht="20.100000000000001" customHeight="1">
      <c r="A10" s="400"/>
      <c r="B10" s="380" t="s">
        <v>53</v>
      </c>
      <c r="C10" s="428">
        <f>'T-1'!G17</f>
        <v>679.77886340303871</v>
      </c>
      <c r="D10" s="1315">
        <f t="shared" si="0"/>
        <v>9.24139973718823E-2</v>
      </c>
      <c r="E10" s="428">
        <f>'T-1'!K17</f>
        <v>392.55492581902934</v>
      </c>
      <c r="F10" s="1315">
        <f t="shared" si="1"/>
        <v>8.1485476671190063E-2</v>
      </c>
      <c r="G10" s="428">
        <f>'T-1'!N17</f>
        <v>707.0793497722226</v>
      </c>
      <c r="H10" s="1315">
        <f t="shared" si="2"/>
        <v>7.0209447897152472E-2</v>
      </c>
      <c r="I10" s="428">
        <f>'T-1'!S17</f>
        <v>802.16095838043941</v>
      </c>
      <c r="J10" s="1315">
        <f t="shared" si="3"/>
        <v>7.6527471687405507E-2</v>
      </c>
      <c r="K10" s="306"/>
      <c r="L10" s="505"/>
      <c r="M10" s="505"/>
      <c r="N10" s="505"/>
      <c r="O10" s="505"/>
      <c r="P10" s="505"/>
      <c r="Q10" s="505"/>
      <c r="R10" s="505"/>
      <c r="S10" s="505"/>
      <c r="T10" s="505"/>
      <c r="U10" s="505"/>
      <c r="V10" s="505"/>
      <c r="W10" s="505"/>
      <c r="X10" s="505"/>
      <c r="Y10" s="505"/>
      <c r="Z10" s="505"/>
      <c r="AA10" s="505"/>
      <c r="AB10" s="505"/>
      <c r="AC10" s="505"/>
      <c r="AD10" s="505"/>
      <c r="AE10" s="505"/>
      <c r="AF10" s="505"/>
      <c r="AG10" s="505"/>
      <c r="AH10" s="505"/>
      <c r="AI10" s="505"/>
      <c r="AJ10" s="505"/>
      <c r="AK10" s="505"/>
      <c r="AL10" s="505"/>
      <c r="AM10" s="505"/>
      <c r="AN10" s="505"/>
      <c r="AO10" s="505"/>
      <c r="AP10" s="505"/>
      <c r="AQ10" s="505"/>
      <c r="AR10" s="505"/>
      <c r="AS10" s="505"/>
      <c r="AT10" s="505"/>
      <c r="AU10" s="505"/>
      <c r="AV10" s="505"/>
      <c r="AW10" s="505"/>
      <c r="AX10" s="505"/>
      <c r="AY10" s="505"/>
      <c r="AZ10" s="505"/>
      <c r="BA10" s="505"/>
      <c r="BB10" s="505"/>
      <c r="BC10" s="505"/>
      <c r="BD10" s="505"/>
      <c r="BE10" s="505"/>
      <c r="BF10" s="505"/>
      <c r="BG10" s="505"/>
      <c r="BH10" s="505"/>
      <c r="BI10" s="505"/>
      <c r="BJ10" s="505"/>
      <c r="BK10" s="505"/>
      <c r="BL10" s="505"/>
      <c r="BM10" s="505"/>
      <c r="BN10" s="505"/>
      <c r="BO10" s="505"/>
      <c r="BP10" s="505"/>
      <c r="BQ10" s="505"/>
      <c r="BR10" s="505"/>
      <c r="BS10" s="505"/>
      <c r="BT10" s="505"/>
      <c r="BU10" s="505"/>
      <c r="BV10" s="505"/>
      <c r="BW10" s="505"/>
      <c r="BX10" s="505"/>
      <c r="BY10" s="505"/>
      <c r="BZ10" s="505"/>
      <c r="CA10" s="505"/>
      <c r="CB10" s="505"/>
      <c r="CC10" s="505"/>
      <c r="CD10" s="505"/>
      <c r="CE10" s="505"/>
      <c r="CF10" s="505"/>
      <c r="CG10" s="505"/>
      <c r="CH10" s="505"/>
      <c r="CI10" s="505"/>
      <c r="CJ10" s="505"/>
      <c r="CK10" s="505"/>
    </row>
    <row r="11" spans="1:89" ht="20.100000000000001" customHeight="1">
      <c r="A11" s="400"/>
      <c r="B11" s="380" t="s">
        <v>54</v>
      </c>
      <c r="C11" s="428">
        <f>'T-1'!G18</f>
        <v>422.08107321732939</v>
      </c>
      <c r="D11" s="1315">
        <f t="shared" si="0"/>
        <v>5.7380717893696684E-2</v>
      </c>
      <c r="E11" s="428">
        <f>'T-1'!K18</f>
        <v>263.33051871335692</v>
      </c>
      <c r="F11" s="1315">
        <f t="shared" si="1"/>
        <v>5.4661428065538378E-2</v>
      </c>
      <c r="G11" s="428">
        <f>'T-1'!N18</f>
        <v>474.31724760182988</v>
      </c>
      <c r="H11" s="1315">
        <f t="shared" si="2"/>
        <v>4.7097333690977045E-2</v>
      </c>
      <c r="I11" s="428">
        <f>'T-1'!S18</f>
        <v>487.97476563639441</v>
      </c>
      <c r="J11" s="1315">
        <f t="shared" si="3"/>
        <v>4.6553593354635305E-2</v>
      </c>
      <c r="K11" s="306"/>
      <c r="L11" s="505"/>
      <c r="M11" s="505"/>
      <c r="N11" s="505"/>
      <c r="O11" s="505"/>
      <c r="P11" s="505"/>
      <c r="Q11" s="505"/>
      <c r="R11" s="505"/>
      <c r="S11" s="505"/>
      <c r="T11" s="505"/>
      <c r="U11" s="505"/>
      <c r="V11" s="505"/>
      <c r="W11" s="505"/>
      <c r="X11" s="505"/>
      <c r="Y11" s="505"/>
      <c r="Z11" s="505"/>
      <c r="AA11" s="505"/>
      <c r="AB11" s="505"/>
      <c r="AC11" s="505"/>
      <c r="AD11" s="505"/>
      <c r="AE11" s="505"/>
      <c r="AF11" s="505"/>
      <c r="AG11" s="505"/>
      <c r="AH11" s="505"/>
      <c r="AI11" s="505"/>
      <c r="AJ11" s="505"/>
      <c r="AK11" s="505"/>
      <c r="AL11" s="505"/>
      <c r="AM11" s="505"/>
      <c r="AN11" s="505"/>
      <c r="AO11" s="505"/>
      <c r="AP11" s="505"/>
      <c r="AQ11" s="505"/>
      <c r="AR11" s="505"/>
      <c r="AS11" s="505"/>
      <c r="AT11" s="505"/>
      <c r="AU11" s="505"/>
      <c r="AV11" s="505"/>
      <c r="AW11" s="505"/>
      <c r="AX11" s="505"/>
      <c r="AY11" s="505"/>
      <c r="AZ11" s="505"/>
      <c r="BA11" s="505"/>
      <c r="BB11" s="505"/>
      <c r="BC11" s="505"/>
      <c r="BD11" s="505"/>
      <c r="BE11" s="505"/>
      <c r="BF11" s="505"/>
      <c r="BG11" s="505"/>
      <c r="BH11" s="505"/>
      <c r="BI11" s="505"/>
      <c r="BJ11" s="505"/>
      <c r="BK11" s="505"/>
      <c r="BL11" s="505"/>
      <c r="BM11" s="505"/>
      <c r="BN11" s="505"/>
      <c r="BO11" s="505"/>
      <c r="BP11" s="505"/>
      <c r="BQ11" s="505"/>
      <c r="BR11" s="505"/>
      <c r="BS11" s="505"/>
      <c r="BT11" s="505"/>
      <c r="BU11" s="505"/>
      <c r="BV11" s="505"/>
      <c r="BW11" s="505"/>
      <c r="BX11" s="505"/>
      <c r="BY11" s="505"/>
      <c r="BZ11" s="505"/>
      <c r="CA11" s="505"/>
      <c r="CB11" s="505"/>
      <c r="CC11" s="505"/>
      <c r="CD11" s="505"/>
      <c r="CE11" s="505"/>
      <c r="CF11" s="505"/>
      <c r="CG11" s="505"/>
      <c r="CH11" s="505"/>
      <c r="CI11" s="505"/>
      <c r="CJ11" s="505"/>
      <c r="CK11" s="505"/>
    </row>
    <row r="12" spans="1:89" ht="20.100000000000001" customHeight="1">
      <c r="A12" s="400"/>
      <c r="B12" s="380" t="s">
        <v>55</v>
      </c>
      <c r="C12" s="428">
        <f>'T-1'!G19</f>
        <v>479.42052668542442</v>
      </c>
      <c r="D12" s="1315">
        <f t="shared" si="0"/>
        <v>6.5175853028641234E-2</v>
      </c>
      <c r="E12" s="428">
        <f>'T-1'!K19</f>
        <v>300.18326752273612</v>
      </c>
      <c r="F12" s="1315">
        <f t="shared" si="1"/>
        <v>6.2311220759160776E-2</v>
      </c>
      <c r="G12" s="428">
        <f>'T-1'!N19</f>
        <v>549.04730285419407</v>
      </c>
      <c r="H12" s="1315">
        <f t="shared" si="2"/>
        <v>5.4517654935378211E-2</v>
      </c>
      <c r="I12" s="428">
        <f>'T-1'!S19</f>
        <v>559.58318922008027</v>
      </c>
      <c r="J12" s="1315">
        <f t="shared" si="3"/>
        <v>5.3385154466066592E-2</v>
      </c>
      <c r="K12" s="306"/>
      <c r="L12" s="505"/>
      <c r="M12" s="505"/>
      <c r="N12" s="505"/>
      <c r="O12" s="505"/>
      <c r="P12" s="505"/>
      <c r="Q12" s="505"/>
      <c r="R12" s="505"/>
      <c r="S12" s="505"/>
      <c r="T12" s="505"/>
      <c r="U12" s="505"/>
      <c r="V12" s="505"/>
      <c r="W12" s="505"/>
      <c r="X12" s="505"/>
      <c r="Y12" s="505"/>
      <c r="Z12" s="505"/>
      <c r="AA12" s="505"/>
      <c r="AB12" s="505"/>
      <c r="AC12" s="505"/>
      <c r="AD12" s="505"/>
      <c r="AE12" s="505"/>
      <c r="AF12" s="505"/>
      <c r="AG12" s="505"/>
      <c r="AH12" s="505"/>
      <c r="AI12" s="505"/>
      <c r="AJ12" s="505"/>
      <c r="AK12" s="505"/>
      <c r="AL12" s="505"/>
      <c r="AM12" s="505"/>
      <c r="AN12" s="505"/>
      <c r="AO12" s="505"/>
      <c r="AP12" s="505"/>
      <c r="AQ12" s="505"/>
      <c r="AR12" s="505"/>
      <c r="AS12" s="505"/>
      <c r="AT12" s="505"/>
      <c r="AU12" s="505"/>
      <c r="AV12" s="505"/>
      <c r="AW12" s="505"/>
      <c r="AX12" s="505"/>
      <c r="AY12" s="505"/>
      <c r="AZ12" s="505"/>
      <c r="BA12" s="505"/>
      <c r="BB12" s="505"/>
      <c r="BC12" s="505"/>
      <c r="BD12" s="505"/>
      <c r="BE12" s="505"/>
      <c r="BF12" s="505"/>
      <c r="BG12" s="505"/>
      <c r="BH12" s="505"/>
      <c r="BI12" s="505"/>
      <c r="BJ12" s="505"/>
      <c r="BK12" s="505"/>
      <c r="BL12" s="505"/>
      <c r="BM12" s="505"/>
      <c r="BN12" s="505"/>
      <c r="BO12" s="505"/>
      <c r="BP12" s="505"/>
      <c r="BQ12" s="505"/>
      <c r="BR12" s="505"/>
      <c r="BS12" s="505"/>
      <c r="BT12" s="505"/>
      <c r="BU12" s="505"/>
      <c r="BV12" s="505"/>
      <c r="BW12" s="505"/>
      <c r="BX12" s="505"/>
      <c r="BY12" s="505"/>
      <c r="BZ12" s="505"/>
      <c r="CA12" s="505"/>
      <c r="CB12" s="505"/>
      <c r="CC12" s="505"/>
      <c r="CD12" s="505"/>
      <c r="CE12" s="505"/>
      <c r="CF12" s="505"/>
      <c r="CG12" s="505"/>
      <c r="CH12" s="505"/>
      <c r="CI12" s="505"/>
      <c r="CJ12" s="505"/>
      <c r="CK12" s="505"/>
    </row>
    <row r="13" spans="1:89" ht="20.100000000000001" customHeight="1">
      <c r="A13" s="400"/>
      <c r="B13" s="288" t="s">
        <v>56</v>
      </c>
      <c r="C13" s="344">
        <f>SUM(C7:C12)</f>
        <v>1829.049999996691</v>
      </c>
      <c r="D13" s="415">
        <f t="shared" si="0"/>
        <v>0.24865413003069245</v>
      </c>
      <c r="E13" s="344">
        <f>SUM(E7:E12)</f>
        <v>1068.475644399701</v>
      </c>
      <c r="F13" s="415">
        <f t="shared" si="1"/>
        <v>0.22179124873751888</v>
      </c>
      <c r="G13" s="344">
        <f>SUM(G7:G12)</f>
        <v>1934.3500000000004</v>
      </c>
      <c r="H13" s="415">
        <f t="shared" si="2"/>
        <v>0.19207129381392116</v>
      </c>
      <c r="I13" s="344">
        <f>SUM(I7:I12)</f>
        <v>2113.9999999999995</v>
      </c>
      <c r="J13" s="415">
        <f t="shared" si="3"/>
        <v>0.20167906884150369</v>
      </c>
      <c r="K13" s="306"/>
      <c r="L13" s="505"/>
      <c r="M13" s="505"/>
      <c r="N13" s="505"/>
      <c r="O13" s="505"/>
      <c r="P13" s="505"/>
      <c r="Q13" s="505"/>
      <c r="R13" s="505"/>
      <c r="S13" s="505"/>
      <c r="T13" s="505"/>
      <c r="U13" s="505"/>
      <c r="V13" s="505"/>
      <c r="W13" s="505"/>
      <c r="X13" s="505"/>
      <c r="Y13" s="505"/>
      <c r="Z13" s="505"/>
      <c r="AA13" s="505"/>
      <c r="AB13" s="505"/>
      <c r="AC13" s="505"/>
      <c r="AD13" s="505"/>
      <c r="AE13" s="505"/>
      <c r="AF13" s="505"/>
      <c r="AG13" s="505"/>
      <c r="AH13" s="505"/>
      <c r="AI13" s="505"/>
      <c r="AJ13" s="505"/>
      <c r="AK13" s="505"/>
      <c r="AL13" s="505"/>
      <c r="AM13" s="505"/>
      <c r="AN13" s="505"/>
      <c r="AO13" s="505"/>
      <c r="AP13" s="505"/>
      <c r="AQ13" s="505"/>
      <c r="AR13" s="505"/>
      <c r="AS13" s="505"/>
      <c r="AT13" s="505"/>
      <c r="AU13" s="505"/>
      <c r="AV13" s="505"/>
      <c r="AW13" s="505"/>
      <c r="AX13" s="505"/>
      <c r="AY13" s="505"/>
      <c r="AZ13" s="505"/>
      <c r="BA13" s="505"/>
      <c r="BB13" s="505"/>
      <c r="BC13" s="505"/>
      <c r="BD13" s="505"/>
      <c r="BE13" s="505"/>
      <c r="BF13" s="505"/>
      <c r="BG13" s="505"/>
      <c r="BH13" s="505"/>
      <c r="BI13" s="505"/>
      <c r="BJ13" s="505"/>
      <c r="BK13" s="505"/>
      <c r="BL13" s="505"/>
      <c r="BM13" s="505"/>
      <c r="BN13" s="505"/>
      <c r="BO13" s="505"/>
      <c r="BP13" s="505"/>
      <c r="BQ13" s="505"/>
      <c r="BR13" s="505"/>
      <c r="BS13" s="505"/>
      <c r="BT13" s="505"/>
      <c r="BU13" s="505"/>
      <c r="BV13" s="505"/>
      <c r="BW13" s="505"/>
      <c r="BX13" s="505"/>
      <c r="BY13" s="505"/>
      <c r="BZ13" s="505"/>
      <c r="CA13" s="505"/>
      <c r="CB13" s="505"/>
      <c r="CC13" s="505"/>
      <c r="CD13" s="505"/>
      <c r="CE13" s="505"/>
      <c r="CF13" s="505"/>
      <c r="CG13" s="505"/>
      <c r="CH13" s="505"/>
      <c r="CI13" s="505"/>
      <c r="CJ13" s="505"/>
      <c r="CK13" s="505"/>
    </row>
    <row r="14" spans="1:89" ht="20.100000000000001" customHeight="1">
      <c r="A14" s="400">
        <v>2</v>
      </c>
      <c r="B14" s="62" t="s">
        <v>57</v>
      </c>
      <c r="C14" s="428"/>
      <c r="D14" s="1315"/>
      <c r="E14" s="428"/>
      <c r="F14" s="1315"/>
      <c r="G14" s="428"/>
      <c r="H14" s="1315"/>
      <c r="I14" s="428"/>
      <c r="J14" s="1315"/>
      <c r="K14" s="306"/>
      <c r="L14" s="505"/>
      <c r="M14" s="505"/>
      <c r="N14" s="505"/>
      <c r="O14" s="505"/>
      <c r="P14" s="505"/>
      <c r="Q14" s="505"/>
      <c r="R14" s="505"/>
      <c r="S14" s="505"/>
      <c r="T14" s="505"/>
      <c r="U14" s="505"/>
      <c r="V14" s="505"/>
      <c r="W14" s="505"/>
      <c r="X14" s="505"/>
      <c r="Y14" s="505"/>
      <c r="Z14" s="505"/>
      <c r="AA14" s="505"/>
      <c r="AB14" s="505"/>
      <c r="AC14" s="505"/>
      <c r="AD14" s="505"/>
      <c r="AE14" s="505"/>
      <c r="AF14" s="505"/>
      <c r="AG14" s="505"/>
      <c r="AH14" s="505"/>
      <c r="AI14" s="505"/>
      <c r="AJ14" s="505"/>
      <c r="AK14" s="505"/>
      <c r="AL14" s="505"/>
      <c r="AM14" s="505"/>
      <c r="AN14" s="505"/>
      <c r="AO14" s="505"/>
      <c r="AP14" s="505"/>
      <c r="AQ14" s="505"/>
      <c r="AR14" s="505"/>
      <c r="AS14" s="505"/>
      <c r="AT14" s="505"/>
      <c r="AU14" s="505"/>
      <c r="AV14" s="505"/>
      <c r="AW14" s="505"/>
      <c r="AX14" s="505"/>
      <c r="AY14" s="505"/>
      <c r="AZ14" s="505"/>
      <c r="BA14" s="505"/>
      <c r="BB14" s="505"/>
      <c r="BC14" s="505"/>
      <c r="BD14" s="505"/>
      <c r="BE14" s="505"/>
      <c r="BF14" s="505"/>
      <c r="BG14" s="505"/>
      <c r="BH14" s="505"/>
      <c r="BI14" s="505"/>
      <c r="BJ14" s="505"/>
      <c r="BK14" s="505"/>
      <c r="BL14" s="505"/>
      <c r="BM14" s="505"/>
      <c r="BN14" s="505"/>
      <c r="BO14" s="505"/>
      <c r="BP14" s="505"/>
      <c r="BQ14" s="505"/>
      <c r="BR14" s="505"/>
      <c r="BS14" s="505"/>
      <c r="BT14" s="505"/>
      <c r="BU14" s="505"/>
      <c r="BV14" s="505"/>
      <c r="BW14" s="505"/>
      <c r="BX14" s="505"/>
      <c r="BY14" s="505"/>
      <c r="BZ14" s="505"/>
      <c r="CA14" s="505"/>
      <c r="CB14" s="505"/>
      <c r="CC14" s="505"/>
      <c r="CD14" s="505"/>
      <c r="CE14" s="505"/>
      <c r="CF14" s="505"/>
      <c r="CG14" s="505"/>
      <c r="CH14" s="505"/>
      <c r="CI14" s="505"/>
      <c r="CJ14" s="505"/>
      <c r="CK14" s="505"/>
    </row>
    <row r="15" spans="1:89" ht="20.100000000000001" customHeight="1">
      <c r="A15" s="400"/>
      <c r="B15" s="380" t="s">
        <v>58</v>
      </c>
      <c r="C15" s="428"/>
      <c r="D15" s="1315"/>
      <c r="E15" s="428"/>
      <c r="F15" s="1315"/>
      <c r="G15" s="428"/>
      <c r="H15" s="1315"/>
      <c r="I15" s="428"/>
      <c r="J15" s="1315"/>
      <c r="K15" s="306"/>
      <c r="L15" s="505"/>
      <c r="M15" s="505"/>
      <c r="N15" s="505"/>
      <c r="O15" s="505"/>
      <c r="P15" s="505"/>
      <c r="Q15" s="505"/>
      <c r="R15" s="505"/>
      <c r="S15" s="505"/>
      <c r="T15" s="505"/>
      <c r="U15" s="505"/>
      <c r="V15" s="505"/>
      <c r="W15" s="505"/>
      <c r="X15" s="505"/>
      <c r="Y15" s="505"/>
      <c r="Z15" s="505"/>
      <c r="AA15" s="505"/>
      <c r="AB15" s="505"/>
      <c r="AC15" s="505"/>
      <c r="AD15" s="505"/>
      <c r="AE15" s="505"/>
      <c r="AF15" s="505"/>
      <c r="AG15" s="505"/>
      <c r="AH15" s="505"/>
      <c r="AI15" s="505"/>
      <c r="AJ15" s="505"/>
      <c r="AK15" s="505"/>
      <c r="AL15" s="505"/>
      <c r="AM15" s="505"/>
      <c r="AN15" s="505"/>
      <c r="AO15" s="505"/>
      <c r="AP15" s="505"/>
      <c r="AQ15" s="505"/>
      <c r="AR15" s="505"/>
      <c r="AS15" s="505"/>
      <c r="AT15" s="505"/>
      <c r="AU15" s="505"/>
      <c r="AV15" s="505"/>
      <c r="AW15" s="505"/>
      <c r="AX15" s="505"/>
      <c r="AY15" s="505"/>
      <c r="AZ15" s="505"/>
      <c r="BA15" s="505"/>
      <c r="BB15" s="505"/>
      <c r="BC15" s="505"/>
      <c r="BD15" s="505"/>
      <c r="BE15" s="505"/>
      <c r="BF15" s="505"/>
      <c r="BG15" s="505"/>
      <c r="BH15" s="505"/>
      <c r="BI15" s="505"/>
      <c r="BJ15" s="505"/>
      <c r="BK15" s="505"/>
      <c r="BL15" s="505"/>
      <c r="BM15" s="505"/>
      <c r="BN15" s="505"/>
      <c r="BO15" s="505"/>
      <c r="BP15" s="505"/>
      <c r="BQ15" s="505"/>
      <c r="BR15" s="505"/>
      <c r="BS15" s="505"/>
      <c r="BT15" s="505"/>
      <c r="BU15" s="505"/>
      <c r="BV15" s="505"/>
      <c r="BW15" s="505"/>
      <c r="BX15" s="505"/>
      <c r="BY15" s="505"/>
      <c r="BZ15" s="505"/>
      <c r="CA15" s="505"/>
      <c r="CB15" s="505"/>
      <c r="CC15" s="505"/>
      <c r="CD15" s="505"/>
      <c r="CE15" s="505"/>
      <c r="CF15" s="505"/>
      <c r="CG15" s="505"/>
      <c r="CH15" s="505"/>
      <c r="CI15" s="505"/>
      <c r="CJ15" s="505"/>
      <c r="CK15" s="505"/>
    </row>
    <row r="16" spans="1:89" ht="20.100000000000001" customHeight="1">
      <c r="A16" s="400"/>
      <c r="B16" s="380" t="s">
        <v>59</v>
      </c>
      <c r="C16" s="428">
        <f>'T-1'!G23</f>
        <v>20.185625225724465</v>
      </c>
      <c r="D16" s="1315">
        <f t="shared" si="0"/>
        <v>2.7441781687964776E-3</v>
      </c>
      <c r="E16" s="428">
        <f>'T-1'!K23</f>
        <v>9.2851830427775113</v>
      </c>
      <c r="F16" s="1315">
        <f t="shared" si="1"/>
        <v>1.9273928728352732E-3</v>
      </c>
      <c r="G16" s="428">
        <f>'T-1'!N23</f>
        <v>17.624128173881967</v>
      </c>
      <c r="H16" s="1315">
        <f t="shared" si="2"/>
        <v>1.7499879032749444E-3</v>
      </c>
      <c r="I16" s="428">
        <f>'T-1'!S23</f>
        <v>18.211599113011367</v>
      </c>
      <c r="J16" s="1315">
        <f t="shared" si="3"/>
        <v>1.7374164386125296E-3</v>
      </c>
      <c r="K16" s="306"/>
      <c r="L16" s="505"/>
      <c r="M16" s="505"/>
      <c r="N16" s="505"/>
      <c r="O16" s="505"/>
      <c r="P16" s="505"/>
      <c r="Q16" s="505"/>
      <c r="R16" s="505"/>
      <c r="S16" s="505"/>
      <c r="T16" s="505"/>
      <c r="U16" s="505"/>
      <c r="V16" s="505"/>
      <c r="W16" s="505"/>
      <c r="X16" s="505"/>
      <c r="Y16" s="505"/>
      <c r="Z16" s="505"/>
      <c r="AA16" s="505"/>
      <c r="AB16" s="505"/>
      <c r="AC16" s="505"/>
      <c r="AD16" s="505"/>
      <c r="AE16" s="505"/>
      <c r="AF16" s="505"/>
      <c r="AG16" s="505"/>
      <c r="AH16" s="505"/>
      <c r="AI16" s="505"/>
      <c r="AJ16" s="505"/>
      <c r="AK16" s="505"/>
      <c r="AL16" s="505"/>
      <c r="AM16" s="505"/>
      <c r="AN16" s="505"/>
      <c r="AO16" s="505"/>
      <c r="AP16" s="505"/>
      <c r="AQ16" s="505"/>
      <c r="AR16" s="505"/>
      <c r="AS16" s="505"/>
      <c r="AT16" s="505"/>
      <c r="AU16" s="505"/>
      <c r="AV16" s="505"/>
      <c r="AW16" s="505"/>
      <c r="AX16" s="505"/>
      <c r="AY16" s="505"/>
      <c r="AZ16" s="505"/>
      <c r="BA16" s="505"/>
      <c r="BB16" s="505"/>
      <c r="BC16" s="505"/>
      <c r="BD16" s="505"/>
      <c r="BE16" s="505"/>
      <c r="BF16" s="505"/>
      <c r="BG16" s="505"/>
      <c r="BH16" s="505"/>
      <c r="BI16" s="505"/>
      <c r="BJ16" s="505"/>
      <c r="BK16" s="505"/>
      <c r="BL16" s="505"/>
      <c r="BM16" s="505"/>
      <c r="BN16" s="505"/>
      <c r="BO16" s="505"/>
      <c r="BP16" s="505"/>
      <c r="BQ16" s="505"/>
      <c r="BR16" s="505"/>
      <c r="BS16" s="505"/>
      <c r="BT16" s="505"/>
      <c r="BU16" s="505"/>
      <c r="BV16" s="505"/>
      <c r="BW16" s="505"/>
      <c r="BX16" s="505"/>
      <c r="BY16" s="505"/>
      <c r="BZ16" s="505"/>
      <c r="CA16" s="505"/>
      <c r="CB16" s="505"/>
      <c r="CC16" s="505"/>
      <c r="CD16" s="505"/>
      <c r="CE16" s="505"/>
      <c r="CF16" s="505"/>
      <c r="CG16" s="505"/>
      <c r="CH16" s="505"/>
      <c r="CI16" s="505"/>
      <c r="CJ16" s="505"/>
      <c r="CK16" s="505"/>
    </row>
    <row r="17" spans="1:89" ht="20.100000000000001" customHeight="1">
      <c r="A17" s="400"/>
      <c r="B17" s="380" t="s">
        <v>60</v>
      </c>
      <c r="C17" s="428">
        <f>'T-1'!G24</f>
        <v>46.846185285166719</v>
      </c>
      <c r="D17" s="1315">
        <f t="shared" si="0"/>
        <v>6.3686052581180558E-3</v>
      </c>
      <c r="E17" s="428">
        <f>'T-1'!K24</f>
        <v>26.650537796502679</v>
      </c>
      <c r="F17" s="1315">
        <f t="shared" si="1"/>
        <v>5.5320456656114568E-3</v>
      </c>
      <c r="G17" s="428">
        <f>'T-1'!N24</f>
        <v>50.585162604177185</v>
      </c>
      <c r="H17" s="1315">
        <f t="shared" si="2"/>
        <v>5.0228539970387422E-3</v>
      </c>
      <c r="I17" s="428">
        <f>'T-1'!S24</f>
        <v>52.271334690983096</v>
      </c>
      <c r="J17" s="1315">
        <f t="shared" si="3"/>
        <v>4.9867711010312494E-3</v>
      </c>
      <c r="K17" s="306"/>
      <c r="L17" s="505"/>
      <c r="M17" s="505"/>
      <c r="N17" s="505"/>
      <c r="O17" s="505"/>
      <c r="P17" s="505"/>
      <c r="Q17" s="505"/>
      <c r="R17" s="505"/>
      <c r="S17" s="505"/>
      <c r="T17" s="505"/>
      <c r="U17" s="505"/>
      <c r="V17" s="505"/>
      <c r="W17" s="505"/>
      <c r="X17" s="505"/>
      <c r="Y17" s="505"/>
      <c r="Z17" s="505"/>
      <c r="AA17" s="505"/>
      <c r="AB17" s="505"/>
      <c r="AC17" s="505"/>
      <c r="AD17" s="505"/>
      <c r="AE17" s="505"/>
      <c r="AF17" s="505"/>
      <c r="AG17" s="505"/>
      <c r="AH17" s="505"/>
      <c r="AI17" s="505"/>
      <c r="AJ17" s="505"/>
      <c r="AK17" s="505"/>
      <c r="AL17" s="505"/>
      <c r="AM17" s="505"/>
      <c r="AN17" s="505"/>
      <c r="AO17" s="505"/>
      <c r="AP17" s="505"/>
      <c r="AQ17" s="505"/>
      <c r="AR17" s="505"/>
      <c r="AS17" s="505"/>
      <c r="AT17" s="505"/>
      <c r="AU17" s="505"/>
      <c r="AV17" s="505"/>
      <c r="AW17" s="505"/>
      <c r="AX17" s="505"/>
      <c r="AY17" s="505"/>
      <c r="AZ17" s="505"/>
      <c r="BA17" s="505"/>
      <c r="BB17" s="505"/>
      <c r="BC17" s="505"/>
      <c r="BD17" s="505"/>
      <c r="BE17" s="505"/>
      <c r="BF17" s="505"/>
      <c r="BG17" s="505"/>
      <c r="BH17" s="505"/>
      <c r="BI17" s="505"/>
      <c r="BJ17" s="505"/>
      <c r="BK17" s="505"/>
      <c r="BL17" s="505"/>
      <c r="BM17" s="505"/>
      <c r="BN17" s="505"/>
      <c r="BO17" s="505"/>
      <c r="BP17" s="505"/>
      <c r="BQ17" s="505"/>
      <c r="BR17" s="505"/>
      <c r="BS17" s="505"/>
      <c r="BT17" s="505"/>
      <c r="BU17" s="505"/>
      <c r="BV17" s="505"/>
      <c r="BW17" s="505"/>
      <c r="BX17" s="505"/>
      <c r="BY17" s="505"/>
      <c r="BZ17" s="505"/>
      <c r="CA17" s="505"/>
      <c r="CB17" s="505"/>
      <c r="CC17" s="505"/>
      <c r="CD17" s="505"/>
      <c r="CE17" s="505"/>
      <c r="CF17" s="505"/>
      <c r="CG17" s="505"/>
      <c r="CH17" s="505"/>
      <c r="CI17" s="505"/>
      <c r="CJ17" s="505"/>
      <c r="CK17" s="505"/>
    </row>
    <row r="18" spans="1:89" ht="20.100000000000001" customHeight="1">
      <c r="A18" s="400"/>
      <c r="B18" s="380" t="s">
        <v>61</v>
      </c>
      <c r="C18" s="428">
        <f>'T-1'!G25</f>
        <v>311.5231894891088</v>
      </c>
      <c r="D18" s="1315">
        <f t="shared" si="0"/>
        <v>4.2350688973478608E-2</v>
      </c>
      <c r="E18" s="428">
        <f>'T-1'!K25</f>
        <v>201.14450962806001</v>
      </c>
      <c r="F18" s="1315">
        <f t="shared" si="1"/>
        <v>4.1753026567271562E-2</v>
      </c>
      <c r="G18" s="428">
        <f>'T-1'!N25</f>
        <v>381.79070922194086</v>
      </c>
      <c r="H18" s="1315">
        <f t="shared" si="2"/>
        <v>3.7909910557237692E-2</v>
      </c>
      <c r="I18" s="428">
        <f>'T-1'!S25</f>
        <v>394.5170661960056</v>
      </c>
      <c r="J18" s="1315">
        <f t="shared" si="3"/>
        <v>3.7637575474215847E-2</v>
      </c>
      <c r="K18" s="306"/>
      <c r="L18" s="505"/>
      <c r="M18" s="505"/>
      <c r="N18" s="505"/>
      <c r="O18" s="505"/>
      <c r="P18" s="505"/>
      <c r="Q18" s="505"/>
      <c r="R18" s="505"/>
      <c r="S18" s="505"/>
      <c r="T18" s="505"/>
      <c r="U18" s="505"/>
      <c r="V18" s="505"/>
      <c r="W18" s="505"/>
      <c r="X18" s="505"/>
      <c r="Y18" s="505"/>
      <c r="Z18" s="505"/>
      <c r="AA18" s="505"/>
      <c r="AB18" s="505"/>
      <c r="AC18" s="505"/>
      <c r="AD18" s="505"/>
      <c r="AE18" s="505"/>
      <c r="AF18" s="505"/>
      <c r="AG18" s="505"/>
      <c r="AH18" s="505"/>
      <c r="AI18" s="505"/>
      <c r="AJ18" s="505"/>
      <c r="AK18" s="505"/>
      <c r="AL18" s="505"/>
      <c r="AM18" s="505"/>
      <c r="AN18" s="505"/>
      <c r="AO18" s="505"/>
      <c r="AP18" s="505"/>
      <c r="AQ18" s="505"/>
      <c r="AR18" s="505"/>
      <c r="AS18" s="505"/>
      <c r="AT18" s="505"/>
      <c r="AU18" s="505"/>
      <c r="AV18" s="505"/>
      <c r="AW18" s="505"/>
      <c r="AX18" s="505"/>
      <c r="AY18" s="505"/>
      <c r="AZ18" s="505"/>
      <c r="BA18" s="505"/>
      <c r="BB18" s="505"/>
      <c r="BC18" s="505"/>
      <c r="BD18" s="505"/>
      <c r="BE18" s="505"/>
      <c r="BF18" s="505"/>
      <c r="BG18" s="505"/>
      <c r="BH18" s="505"/>
      <c r="BI18" s="505"/>
      <c r="BJ18" s="505"/>
      <c r="BK18" s="505"/>
      <c r="BL18" s="505"/>
      <c r="BM18" s="505"/>
      <c r="BN18" s="505"/>
      <c r="BO18" s="505"/>
      <c r="BP18" s="505"/>
      <c r="BQ18" s="505"/>
      <c r="BR18" s="505"/>
      <c r="BS18" s="505"/>
      <c r="BT18" s="505"/>
      <c r="BU18" s="505"/>
      <c r="BV18" s="505"/>
      <c r="BW18" s="505"/>
      <c r="BX18" s="505"/>
      <c r="BY18" s="505"/>
      <c r="BZ18" s="505"/>
      <c r="CA18" s="505"/>
      <c r="CB18" s="505"/>
      <c r="CC18" s="505"/>
      <c r="CD18" s="505"/>
      <c r="CE18" s="505"/>
      <c r="CF18" s="505"/>
      <c r="CG18" s="505"/>
      <c r="CH18" s="505"/>
      <c r="CI18" s="505"/>
      <c r="CJ18" s="505"/>
      <c r="CK18" s="505"/>
    </row>
    <row r="19" spans="1:89" ht="20.100000000000001" customHeight="1">
      <c r="A19" s="400"/>
      <c r="B19" s="62" t="s">
        <v>62</v>
      </c>
      <c r="C19" s="344">
        <f>SUM(C16:C18)</f>
        <v>378.55499999999995</v>
      </c>
      <c r="D19" s="415">
        <f t="shared" si="0"/>
        <v>5.1463472400393138E-2</v>
      </c>
      <c r="E19" s="344">
        <f>SUM(E16:E18)</f>
        <v>237.08023046734019</v>
      </c>
      <c r="F19" s="415">
        <f t="shared" si="1"/>
        <v>4.9212465105718292E-2</v>
      </c>
      <c r="G19" s="344">
        <f>SUM(G16:G18)</f>
        <v>450</v>
      </c>
      <c r="H19" s="415">
        <f t="shared" si="2"/>
        <v>4.4682752457551378E-2</v>
      </c>
      <c r="I19" s="344">
        <f>SUM(I16:I18)</f>
        <v>465.00000000000006</v>
      </c>
      <c r="J19" s="415">
        <f t="shared" si="3"/>
        <v>4.4361763013859627E-2</v>
      </c>
      <c r="K19" s="306"/>
      <c r="L19" s="505"/>
      <c r="M19" s="505"/>
      <c r="N19" s="505"/>
      <c r="O19" s="505"/>
      <c r="P19" s="505"/>
      <c r="Q19" s="505"/>
      <c r="R19" s="505"/>
      <c r="S19" s="505"/>
      <c r="T19" s="505"/>
      <c r="U19" s="505"/>
      <c r="V19" s="505"/>
      <c r="W19" s="505"/>
      <c r="X19" s="505"/>
      <c r="Y19" s="505"/>
      <c r="Z19" s="505"/>
      <c r="AA19" s="505"/>
      <c r="AB19" s="505"/>
      <c r="AC19" s="505"/>
      <c r="AD19" s="505"/>
      <c r="AE19" s="505"/>
      <c r="AF19" s="505"/>
      <c r="AG19" s="505"/>
      <c r="AH19" s="505"/>
      <c r="AI19" s="505"/>
      <c r="AJ19" s="505"/>
      <c r="AK19" s="505"/>
      <c r="AL19" s="505"/>
      <c r="AM19" s="505"/>
      <c r="AN19" s="505"/>
      <c r="AO19" s="505"/>
      <c r="AP19" s="505"/>
      <c r="AQ19" s="505"/>
      <c r="AR19" s="505"/>
      <c r="AS19" s="505"/>
      <c r="AT19" s="505"/>
      <c r="AU19" s="505"/>
      <c r="AV19" s="505"/>
      <c r="AW19" s="505"/>
      <c r="AX19" s="505"/>
      <c r="AY19" s="505"/>
      <c r="AZ19" s="505"/>
      <c r="BA19" s="505"/>
      <c r="BB19" s="505"/>
      <c r="BC19" s="505"/>
      <c r="BD19" s="505"/>
      <c r="BE19" s="505"/>
      <c r="BF19" s="505"/>
      <c r="BG19" s="505"/>
      <c r="BH19" s="505"/>
      <c r="BI19" s="505"/>
      <c r="BJ19" s="505"/>
      <c r="BK19" s="505"/>
      <c r="BL19" s="505"/>
      <c r="BM19" s="505"/>
      <c r="BN19" s="505"/>
      <c r="BO19" s="505"/>
      <c r="BP19" s="505"/>
      <c r="BQ19" s="505"/>
      <c r="BR19" s="505"/>
      <c r="BS19" s="505"/>
      <c r="BT19" s="505"/>
      <c r="BU19" s="505"/>
      <c r="BV19" s="505"/>
      <c r="BW19" s="505"/>
      <c r="BX19" s="505"/>
      <c r="BY19" s="505"/>
      <c r="BZ19" s="505"/>
      <c r="CA19" s="505"/>
      <c r="CB19" s="505"/>
      <c r="CC19" s="505"/>
      <c r="CD19" s="505"/>
      <c r="CE19" s="505"/>
      <c r="CF19" s="505"/>
      <c r="CG19" s="505"/>
      <c r="CH19" s="505"/>
      <c r="CI19" s="505"/>
      <c r="CJ19" s="505"/>
      <c r="CK19" s="505"/>
    </row>
    <row r="20" spans="1:89" ht="20.100000000000001" customHeight="1">
      <c r="A20" s="400">
        <v>3</v>
      </c>
      <c r="B20" s="62" t="s">
        <v>63</v>
      </c>
      <c r="C20" s="428">
        <f>'T-1'!G27</f>
        <v>420.245</v>
      </c>
      <c r="D20" s="1315">
        <f t="shared" si="0"/>
        <v>5.7131108977303738E-2</v>
      </c>
      <c r="E20" s="428">
        <f>'T-1'!K27</f>
        <v>217.92254337056002</v>
      </c>
      <c r="F20" s="1315">
        <f t="shared" si="1"/>
        <v>4.5235764872644905E-2</v>
      </c>
      <c r="G20" s="428">
        <f>'T-1'!N27</f>
        <v>425</v>
      </c>
      <c r="H20" s="1315">
        <f t="shared" si="2"/>
        <v>4.2200377321020742E-2</v>
      </c>
      <c r="I20" s="428">
        <f>'T-1'!S27</f>
        <v>449.84899999999999</v>
      </c>
      <c r="J20" s="1315">
        <f t="shared" si="3"/>
        <v>4.2916332752734918E-2</v>
      </c>
      <c r="K20" s="306"/>
      <c r="L20" s="505"/>
      <c r="M20" s="505"/>
      <c r="N20" s="505"/>
      <c r="O20" s="505"/>
      <c r="P20" s="505"/>
      <c r="Q20" s="505"/>
      <c r="R20" s="505"/>
      <c r="S20" s="505"/>
      <c r="T20" s="505"/>
      <c r="U20" s="505"/>
      <c r="V20" s="505"/>
      <c r="W20" s="505"/>
      <c r="X20" s="505"/>
      <c r="Y20" s="505"/>
      <c r="Z20" s="505"/>
      <c r="AA20" s="505"/>
      <c r="AB20" s="505"/>
      <c r="AC20" s="505"/>
      <c r="AD20" s="505"/>
      <c r="AE20" s="505"/>
      <c r="AF20" s="505"/>
      <c r="AG20" s="505"/>
      <c r="AH20" s="505"/>
      <c r="AI20" s="505"/>
      <c r="AJ20" s="505"/>
      <c r="AK20" s="505"/>
      <c r="AL20" s="505"/>
      <c r="AM20" s="505"/>
      <c r="AN20" s="505"/>
      <c r="AO20" s="505"/>
      <c r="AP20" s="505"/>
      <c r="AQ20" s="505"/>
      <c r="AR20" s="505"/>
      <c r="AS20" s="505"/>
      <c r="AT20" s="505"/>
      <c r="AU20" s="505"/>
      <c r="AV20" s="505"/>
      <c r="AW20" s="505"/>
      <c r="AX20" s="505"/>
      <c r="AY20" s="505"/>
      <c r="AZ20" s="505"/>
      <c r="BA20" s="505"/>
      <c r="BB20" s="505"/>
      <c r="BC20" s="505"/>
      <c r="BD20" s="505"/>
      <c r="BE20" s="505"/>
      <c r="BF20" s="505"/>
      <c r="BG20" s="505"/>
      <c r="BH20" s="505"/>
      <c r="BI20" s="505"/>
      <c r="BJ20" s="505"/>
      <c r="BK20" s="505"/>
      <c r="BL20" s="505"/>
      <c r="BM20" s="505"/>
      <c r="BN20" s="505"/>
      <c r="BO20" s="505"/>
      <c r="BP20" s="505"/>
      <c r="BQ20" s="505"/>
      <c r="BR20" s="505"/>
      <c r="BS20" s="505"/>
      <c r="BT20" s="505"/>
      <c r="BU20" s="505"/>
      <c r="BV20" s="505"/>
      <c r="BW20" s="505"/>
      <c r="BX20" s="505"/>
      <c r="BY20" s="505"/>
      <c r="BZ20" s="505"/>
      <c r="CA20" s="505"/>
      <c r="CB20" s="505"/>
      <c r="CC20" s="505"/>
      <c r="CD20" s="505"/>
      <c r="CE20" s="505"/>
      <c r="CF20" s="505"/>
      <c r="CG20" s="505"/>
      <c r="CH20" s="505"/>
      <c r="CI20" s="505"/>
      <c r="CJ20" s="505"/>
      <c r="CK20" s="505"/>
    </row>
    <row r="21" spans="1:89" ht="20.100000000000001" customHeight="1">
      <c r="A21" s="400">
        <v>4</v>
      </c>
      <c r="B21" s="62" t="s">
        <v>64</v>
      </c>
      <c r="C21" s="428">
        <f>'T-1'!G28</f>
        <v>6.7868290478100004</v>
      </c>
      <c r="D21" s="1315">
        <f t="shared" si="0"/>
        <v>9.226500492350027E-4</v>
      </c>
      <c r="E21" s="428">
        <f>'T-1'!K28</f>
        <v>4.9057478157600016</v>
      </c>
      <c r="F21" s="1315">
        <f t="shared" si="1"/>
        <v>1.0183216994712726E-3</v>
      </c>
      <c r="G21" s="428">
        <f>'T-1'!N28</f>
        <v>7</v>
      </c>
      <c r="H21" s="1315">
        <f t="shared" si="2"/>
        <v>6.9506503822857702E-4</v>
      </c>
      <c r="I21" s="428">
        <f>'T-1'!S28</f>
        <v>7.2</v>
      </c>
      <c r="J21" s="1315">
        <f t="shared" si="3"/>
        <v>6.868918144081489E-4</v>
      </c>
      <c r="K21" s="306"/>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5"/>
      <c r="AY21" s="505"/>
      <c r="AZ21" s="505"/>
      <c r="BA21" s="505"/>
      <c r="BB21" s="505"/>
      <c r="BC21" s="505"/>
      <c r="BD21" s="505"/>
      <c r="BE21" s="505"/>
      <c r="BF21" s="505"/>
      <c r="BG21" s="505"/>
      <c r="BH21" s="505"/>
      <c r="BI21" s="505"/>
      <c r="BJ21" s="505"/>
      <c r="BK21" s="505"/>
      <c r="BL21" s="505"/>
      <c r="BM21" s="505"/>
      <c r="BN21" s="505"/>
      <c r="BO21" s="505"/>
      <c r="BP21" s="505"/>
      <c r="BQ21" s="505"/>
      <c r="BR21" s="505"/>
      <c r="BS21" s="505"/>
      <c r="BT21" s="505"/>
      <c r="BU21" s="505"/>
      <c r="BV21" s="505"/>
      <c r="BW21" s="505"/>
      <c r="BX21" s="505"/>
      <c r="BY21" s="505"/>
      <c r="BZ21" s="505"/>
      <c r="CA21" s="505"/>
      <c r="CB21" s="505"/>
      <c r="CC21" s="505"/>
      <c r="CD21" s="505"/>
      <c r="CE21" s="505"/>
      <c r="CF21" s="505"/>
      <c r="CG21" s="505"/>
      <c r="CH21" s="505"/>
      <c r="CI21" s="505"/>
      <c r="CJ21" s="505"/>
      <c r="CK21" s="505"/>
    </row>
    <row r="22" spans="1:89" ht="20.100000000000001" customHeight="1">
      <c r="A22" s="400">
        <v>5</v>
      </c>
      <c r="B22" s="62" t="s">
        <v>65</v>
      </c>
      <c r="C22" s="428">
        <f>'T-1'!G29</f>
        <v>3.3409455852000005</v>
      </c>
      <c r="D22" s="1315">
        <f t="shared" si="0"/>
        <v>4.5419202207117997E-4</v>
      </c>
      <c r="E22" s="428">
        <f>'T-1'!K29</f>
        <v>1.6572514690000002</v>
      </c>
      <c r="F22" s="1315">
        <f t="shared" si="1"/>
        <v>3.4400772231743765E-4</v>
      </c>
      <c r="G22" s="428">
        <f>'T-1'!N29</f>
        <v>3.5</v>
      </c>
      <c r="H22" s="1315">
        <f t="shared" si="2"/>
        <v>3.4753251911428851E-4</v>
      </c>
      <c r="I22" s="428">
        <f>'T-1'!S29</f>
        <v>3.6</v>
      </c>
      <c r="J22" s="1315">
        <f t="shared" si="3"/>
        <v>3.4344590720407445E-4</v>
      </c>
      <c r="K22" s="306"/>
      <c r="L22" s="505"/>
      <c r="M22" s="505"/>
      <c r="N22" s="505"/>
      <c r="O22" s="505"/>
      <c r="P22" s="505"/>
      <c r="Q22" s="505"/>
      <c r="R22" s="505"/>
      <c r="S22" s="505"/>
      <c r="T22" s="505"/>
      <c r="U22" s="505"/>
      <c r="V22" s="505"/>
      <c r="W22" s="505"/>
      <c r="X22" s="505"/>
      <c r="Y22" s="505"/>
      <c r="Z22" s="505"/>
      <c r="AA22" s="505"/>
      <c r="AB22" s="505"/>
      <c r="AC22" s="505"/>
      <c r="AD22" s="505"/>
      <c r="AE22" s="505"/>
      <c r="AF22" s="505"/>
      <c r="AG22" s="505"/>
      <c r="AH22" s="505"/>
      <c r="AI22" s="505"/>
      <c r="AJ22" s="505"/>
      <c r="AK22" s="505"/>
      <c r="AL22" s="505"/>
      <c r="AM22" s="505"/>
      <c r="AN22" s="505"/>
      <c r="AO22" s="505"/>
      <c r="AP22" s="505"/>
      <c r="AQ22" s="505"/>
      <c r="AR22" s="505"/>
      <c r="AS22" s="505"/>
      <c r="AT22" s="505"/>
      <c r="AU22" s="505"/>
      <c r="AV22" s="505"/>
      <c r="AW22" s="505"/>
      <c r="AX22" s="505"/>
      <c r="AY22" s="505"/>
      <c r="AZ22" s="505"/>
      <c r="BA22" s="505"/>
      <c r="BB22" s="505"/>
      <c r="BC22" s="505"/>
      <c r="BD22" s="505"/>
      <c r="BE22" s="505"/>
      <c r="BF22" s="505"/>
      <c r="BG22" s="505"/>
      <c r="BH22" s="505"/>
      <c r="BI22" s="505"/>
      <c r="BJ22" s="505"/>
      <c r="BK22" s="505"/>
      <c r="BL22" s="505"/>
      <c r="BM22" s="505"/>
      <c r="BN22" s="505"/>
      <c r="BO22" s="505"/>
      <c r="BP22" s="505"/>
      <c r="BQ22" s="505"/>
      <c r="BR22" s="505"/>
      <c r="BS22" s="505"/>
      <c r="BT22" s="505"/>
      <c r="BU22" s="505"/>
      <c r="BV22" s="505"/>
      <c r="BW22" s="505"/>
      <c r="BX22" s="505"/>
      <c r="BY22" s="505"/>
      <c r="BZ22" s="505"/>
      <c r="CA22" s="505"/>
      <c r="CB22" s="505"/>
      <c r="CC22" s="505"/>
      <c r="CD22" s="505"/>
      <c r="CE22" s="505"/>
      <c r="CF22" s="505"/>
      <c r="CG22" s="505"/>
      <c r="CH22" s="505"/>
      <c r="CI22" s="505"/>
      <c r="CJ22" s="505"/>
      <c r="CK22" s="505"/>
    </row>
    <row r="23" spans="1:89" ht="20.100000000000001" customHeight="1">
      <c r="A23" s="400">
        <v>6</v>
      </c>
      <c r="B23" s="62" t="s">
        <v>66</v>
      </c>
      <c r="C23" s="428">
        <f>'T-1'!G30</f>
        <v>39.306094843999993</v>
      </c>
      <c r="D23" s="1315">
        <f t="shared" si="0"/>
        <v>5.3435514711770516E-3</v>
      </c>
      <c r="E23" s="428">
        <f>'T-1'!K30</f>
        <v>24.53305513399998</v>
      </c>
      <c r="F23" s="1315">
        <f t="shared" si="1"/>
        <v>5.0925044122772491E-3</v>
      </c>
      <c r="G23" s="428">
        <f>'T-1'!N30</f>
        <v>44</v>
      </c>
      <c r="H23" s="1315">
        <f t="shared" si="2"/>
        <v>4.3689802402939121E-3</v>
      </c>
      <c r="I23" s="428">
        <f>'T-1'!S30</f>
        <v>45</v>
      </c>
      <c r="J23" s="1315">
        <f t="shared" si="3"/>
        <v>4.2930738400509313E-3</v>
      </c>
      <c r="K23" s="306"/>
      <c r="L23" s="505"/>
      <c r="M23" s="505"/>
      <c r="N23" s="505"/>
      <c r="O23" s="505"/>
      <c r="P23" s="505"/>
      <c r="Q23" s="505"/>
      <c r="R23" s="505"/>
      <c r="S23" s="505"/>
      <c r="T23" s="505"/>
      <c r="U23" s="505"/>
      <c r="V23" s="505"/>
      <c r="W23" s="505"/>
      <c r="X23" s="505"/>
      <c r="Y23" s="505"/>
      <c r="Z23" s="505"/>
      <c r="AA23" s="505"/>
      <c r="AB23" s="505"/>
      <c r="AC23" s="505"/>
      <c r="AD23" s="505"/>
      <c r="AE23" s="505"/>
      <c r="AF23" s="505"/>
      <c r="AG23" s="505"/>
      <c r="AH23" s="505"/>
      <c r="AI23" s="505"/>
      <c r="AJ23" s="505"/>
      <c r="AK23" s="505"/>
      <c r="AL23" s="505"/>
      <c r="AM23" s="505"/>
      <c r="AN23" s="505"/>
      <c r="AO23" s="505"/>
      <c r="AP23" s="505"/>
      <c r="AQ23" s="505"/>
      <c r="AR23" s="505"/>
      <c r="AS23" s="505"/>
      <c r="AT23" s="505"/>
      <c r="AU23" s="505"/>
      <c r="AV23" s="505"/>
      <c r="AW23" s="505"/>
      <c r="AX23" s="505"/>
      <c r="AY23" s="505"/>
      <c r="AZ23" s="505"/>
      <c r="BA23" s="505"/>
      <c r="BB23" s="505"/>
      <c r="BC23" s="505"/>
      <c r="BD23" s="505"/>
      <c r="BE23" s="505"/>
      <c r="BF23" s="505"/>
      <c r="BG23" s="505"/>
      <c r="BH23" s="505"/>
      <c r="BI23" s="505"/>
      <c r="BJ23" s="505"/>
      <c r="BK23" s="505"/>
      <c r="BL23" s="505"/>
      <c r="BM23" s="505"/>
      <c r="BN23" s="505"/>
      <c r="BO23" s="505"/>
      <c r="BP23" s="505"/>
      <c r="BQ23" s="505"/>
      <c r="BR23" s="505"/>
      <c r="BS23" s="505"/>
      <c r="BT23" s="505"/>
      <c r="BU23" s="505"/>
      <c r="BV23" s="505"/>
      <c r="BW23" s="505"/>
      <c r="BX23" s="505"/>
      <c r="BY23" s="505"/>
      <c r="BZ23" s="505"/>
      <c r="CA23" s="505"/>
      <c r="CB23" s="505"/>
      <c r="CC23" s="505"/>
      <c r="CD23" s="505"/>
      <c r="CE23" s="505"/>
      <c r="CF23" s="505"/>
      <c r="CG23" s="505"/>
      <c r="CH23" s="505"/>
      <c r="CI23" s="505"/>
      <c r="CJ23" s="505"/>
      <c r="CK23" s="505"/>
    </row>
    <row r="24" spans="1:89" ht="20.100000000000001" customHeight="1">
      <c r="A24" s="400">
        <v>7</v>
      </c>
      <c r="B24" s="62" t="s">
        <v>67</v>
      </c>
      <c r="C24" s="428">
        <f>'T-1'!G31</f>
        <v>19.478136199400002</v>
      </c>
      <c r="D24" s="1315">
        <f t="shared" si="0"/>
        <v>2.6479970538202391E-3</v>
      </c>
      <c r="E24" s="428">
        <f>'T-1'!K31</f>
        <v>11.0749201874</v>
      </c>
      <c r="F24" s="1315">
        <f t="shared" si="1"/>
        <v>2.2989016089476058E-3</v>
      </c>
      <c r="G24" s="428">
        <f>'T-1'!N31</f>
        <v>21</v>
      </c>
      <c r="H24" s="1315">
        <f t="shared" si="2"/>
        <v>2.0851951146857307E-3</v>
      </c>
      <c r="I24" s="428">
        <f>'T-1'!S31</f>
        <v>22</v>
      </c>
      <c r="J24" s="1315">
        <f t="shared" si="3"/>
        <v>2.0988360995804552E-3</v>
      </c>
      <c r="K24" s="306"/>
      <c r="L24" s="505"/>
      <c r="M24" s="505"/>
      <c r="N24" s="505"/>
      <c r="O24" s="505"/>
      <c r="P24" s="505"/>
      <c r="Q24" s="505"/>
      <c r="R24" s="505"/>
      <c r="S24" s="505"/>
      <c r="T24" s="505"/>
      <c r="U24" s="505"/>
      <c r="V24" s="505"/>
      <c r="W24" s="505"/>
      <c r="X24" s="505"/>
      <c r="Y24" s="505"/>
      <c r="Z24" s="505"/>
      <c r="AA24" s="505"/>
      <c r="AB24" s="505"/>
      <c r="AC24" s="505"/>
      <c r="AD24" s="505"/>
      <c r="AE24" s="505"/>
      <c r="AF24" s="505"/>
      <c r="AG24" s="505"/>
      <c r="AH24" s="505"/>
      <c r="AI24" s="505"/>
      <c r="AJ24" s="505"/>
      <c r="AK24" s="505"/>
      <c r="AL24" s="505"/>
      <c r="AM24" s="505"/>
      <c r="AN24" s="505"/>
      <c r="AO24" s="505"/>
      <c r="AP24" s="505"/>
      <c r="AQ24" s="505"/>
      <c r="AR24" s="505"/>
      <c r="AS24" s="505"/>
      <c r="AT24" s="505"/>
      <c r="AU24" s="505"/>
      <c r="AV24" s="505"/>
      <c r="AW24" s="505"/>
      <c r="AX24" s="505"/>
      <c r="AY24" s="505"/>
      <c r="AZ24" s="505"/>
      <c r="BA24" s="505"/>
      <c r="BB24" s="505"/>
      <c r="BC24" s="505"/>
      <c r="BD24" s="505"/>
      <c r="BE24" s="505"/>
      <c r="BF24" s="505"/>
      <c r="BG24" s="505"/>
      <c r="BH24" s="505"/>
      <c r="BI24" s="505"/>
      <c r="BJ24" s="505"/>
      <c r="BK24" s="505"/>
      <c r="BL24" s="505"/>
      <c r="BM24" s="505"/>
      <c r="BN24" s="505"/>
      <c r="BO24" s="505"/>
      <c r="BP24" s="505"/>
      <c r="BQ24" s="505"/>
      <c r="BR24" s="505"/>
      <c r="BS24" s="505"/>
      <c r="BT24" s="505"/>
      <c r="BU24" s="505"/>
      <c r="BV24" s="505"/>
      <c r="BW24" s="505"/>
      <c r="BX24" s="505"/>
      <c r="BY24" s="505"/>
      <c r="BZ24" s="505"/>
      <c r="CA24" s="505"/>
      <c r="CB24" s="505"/>
      <c r="CC24" s="505"/>
      <c r="CD24" s="505"/>
      <c r="CE24" s="505"/>
      <c r="CF24" s="505"/>
      <c r="CG24" s="505"/>
      <c r="CH24" s="505"/>
      <c r="CI24" s="505"/>
      <c r="CJ24" s="505"/>
      <c r="CK24" s="505"/>
    </row>
    <row r="25" spans="1:89" ht="20.100000000000001" customHeight="1">
      <c r="A25" s="400">
        <v>8</v>
      </c>
      <c r="B25" s="62" t="s">
        <v>68</v>
      </c>
      <c r="C25" s="428">
        <f>'T-1'!G32</f>
        <v>66.355309008039995</v>
      </c>
      <c r="D25" s="1315">
        <f t="shared" si="0"/>
        <v>9.0208149773608193E-3</v>
      </c>
      <c r="E25" s="428">
        <f>'T-1'!K32</f>
        <v>33.326433995999999</v>
      </c>
      <c r="F25" s="1315">
        <f t="shared" si="1"/>
        <v>6.9178099198452907E-3</v>
      </c>
      <c r="G25" s="428">
        <f>'T-1'!N32</f>
        <v>67</v>
      </c>
      <c r="H25" s="1315">
        <f t="shared" si="2"/>
        <v>6.6527653659020939E-3</v>
      </c>
      <c r="I25" s="428">
        <f>'T-1'!S32</f>
        <v>69</v>
      </c>
      <c r="J25" s="1315">
        <f t="shared" si="3"/>
        <v>6.582713221411427E-3</v>
      </c>
      <c r="K25" s="306"/>
      <c r="L25" s="505"/>
      <c r="M25" s="505"/>
      <c r="N25" s="505"/>
      <c r="O25" s="505"/>
      <c r="P25" s="505"/>
      <c r="Q25" s="505"/>
      <c r="R25" s="505"/>
      <c r="S25" s="505"/>
      <c r="T25" s="505"/>
      <c r="U25" s="505"/>
      <c r="V25" s="505"/>
      <c r="W25" s="505"/>
      <c r="X25" s="505"/>
      <c r="Y25" s="505"/>
      <c r="Z25" s="505"/>
      <c r="AA25" s="505"/>
      <c r="AB25" s="505"/>
      <c r="AC25" s="505"/>
      <c r="AD25" s="505"/>
      <c r="AE25" s="505"/>
      <c r="AF25" s="505"/>
      <c r="AG25" s="505"/>
      <c r="AH25" s="505"/>
      <c r="AI25" s="505"/>
      <c r="AJ25" s="505"/>
      <c r="AK25" s="505"/>
      <c r="AL25" s="505"/>
      <c r="AM25" s="505"/>
      <c r="AN25" s="505"/>
      <c r="AO25" s="505"/>
      <c r="AP25" s="505"/>
      <c r="AQ25" s="505"/>
      <c r="AR25" s="505"/>
      <c r="AS25" s="505"/>
      <c r="AT25" s="505"/>
      <c r="AU25" s="505"/>
      <c r="AV25" s="505"/>
      <c r="AW25" s="505"/>
      <c r="AX25" s="505"/>
      <c r="AY25" s="505"/>
      <c r="AZ25" s="505"/>
      <c r="BA25" s="505"/>
      <c r="BB25" s="505"/>
      <c r="BC25" s="505"/>
      <c r="BD25" s="505"/>
      <c r="BE25" s="505"/>
      <c r="BF25" s="505"/>
      <c r="BG25" s="505"/>
      <c r="BH25" s="505"/>
      <c r="BI25" s="505"/>
      <c r="BJ25" s="505"/>
      <c r="BK25" s="505"/>
      <c r="BL25" s="505"/>
      <c r="BM25" s="505"/>
      <c r="BN25" s="505"/>
      <c r="BO25" s="505"/>
      <c r="BP25" s="505"/>
      <c r="BQ25" s="505"/>
      <c r="BR25" s="505"/>
      <c r="BS25" s="505"/>
      <c r="BT25" s="505"/>
      <c r="BU25" s="505"/>
      <c r="BV25" s="505"/>
      <c r="BW25" s="505"/>
      <c r="BX25" s="505"/>
      <c r="BY25" s="505"/>
      <c r="BZ25" s="505"/>
      <c r="CA25" s="505"/>
      <c r="CB25" s="505"/>
      <c r="CC25" s="505"/>
      <c r="CD25" s="505"/>
      <c r="CE25" s="505"/>
      <c r="CF25" s="505"/>
      <c r="CG25" s="505"/>
      <c r="CH25" s="505"/>
      <c r="CI25" s="505"/>
      <c r="CJ25" s="505"/>
      <c r="CK25" s="505"/>
    </row>
    <row r="26" spans="1:89" ht="20.100000000000001" customHeight="1">
      <c r="A26" s="400">
        <v>9</v>
      </c>
      <c r="B26" s="62" t="s">
        <v>69</v>
      </c>
      <c r="C26" s="428">
        <f>'T-1'!G33</f>
        <v>43.302907612370007</v>
      </c>
      <c r="D26" s="1315">
        <f t="shared" si="0"/>
        <v>5.8869067659018583E-3</v>
      </c>
      <c r="E26" s="428">
        <f>'T-1'!K33</f>
        <v>32.95766824719999</v>
      </c>
      <c r="F26" s="1315">
        <f t="shared" si="1"/>
        <v>6.8412625354040369E-3</v>
      </c>
      <c r="G26" s="428">
        <f>'T-1'!N33</f>
        <v>65</v>
      </c>
      <c r="H26" s="1315">
        <f t="shared" si="2"/>
        <v>6.4541753549796433E-3</v>
      </c>
      <c r="I26" s="428">
        <f>'T-1'!S33</f>
        <v>68</v>
      </c>
      <c r="J26" s="1315">
        <f t="shared" si="3"/>
        <v>6.4873115805214069E-3</v>
      </c>
      <c r="K26" s="306"/>
      <c r="L26" s="505"/>
      <c r="M26" s="505"/>
      <c r="N26" s="505"/>
      <c r="O26" s="505"/>
      <c r="P26" s="505"/>
      <c r="Q26" s="505"/>
      <c r="R26" s="505"/>
      <c r="S26" s="505"/>
      <c r="T26" s="505"/>
      <c r="U26" s="505"/>
      <c r="V26" s="505"/>
      <c r="W26" s="505"/>
      <c r="X26" s="505"/>
      <c r="Y26" s="505"/>
      <c r="Z26" s="505"/>
      <c r="AA26" s="505"/>
      <c r="AB26" s="505"/>
      <c r="AC26" s="505"/>
      <c r="AD26" s="505"/>
      <c r="AE26" s="505"/>
      <c r="AF26" s="505"/>
      <c r="AG26" s="505"/>
      <c r="AH26" s="505"/>
      <c r="AI26" s="505"/>
      <c r="AJ26" s="505"/>
      <c r="AK26" s="505"/>
      <c r="AL26" s="505"/>
      <c r="AM26" s="505"/>
      <c r="AN26" s="505"/>
      <c r="AO26" s="505"/>
      <c r="AP26" s="505"/>
      <c r="AQ26" s="505"/>
      <c r="AR26" s="505"/>
      <c r="AS26" s="505"/>
      <c r="AT26" s="505"/>
      <c r="AU26" s="505"/>
      <c r="AV26" s="505"/>
      <c r="AW26" s="505"/>
      <c r="AX26" s="505"/>
      <c r="AY26" s="505"/>
      <c r="AZ26" s="505"/>
      <c r="BA26" s="505"/>
      <c r="BB26" s="505"/>
      <c r="BC26" s="505"/>
      <c r="BD26" s="505"/>
      <c r="BE26" s="505"/>
      <c r="BF26" s="505"/>
      <c r="BG26" s="505"/>
      <c r="BH26" s="505"/>
      <c r="BI26" s="505"/>
      <c r="BJ26" s="505"/>
      <c r="BK26" s="505"/>
      <c r="BL26" s="505"/>
      <c r="BM26" s="505"/>
      <c r="BN26" s="505"/>
      <c r="BO26" s="505"/>
      <c r="BP26" s="505"/>
      <c r="BQ26" s="505"/>
      <c r="BR26" s="505"/>
      <c r="BS26" s="505"/>
      <c r="BT26" s="505"/>
      <c r="BU26" s="505"/>
      <c r="BV26" s="505"/>
      <c r="BW26" s="505"/>
      <c r="BX26" s="505"/>
      <c r="BY26" s="505"/>
      <c r="BZ26" s="505"/>
      <c r="CA26" s="505"/>
      <c r="CB26" s="505"/>
      <c r="CC26" s="505"/>
      <c r="CD26" s="505"/>
      <c r="CE26" s="505"/>
      <c r="CF26" s="505"/>
      <c r="CG26" s="505"/>
      <c r="CH26" s="505"/>
      <c r="CI26" s="505"/>
      <c r="CJ26" s="505"/>
      <c r="CK26" s="505"/>
    </row>
    <row r="27" spans="1:89" ht="20.100000000000001" customHeight="1">
      <c r="A27" s="400">
        <v>10</v>
      </c>
      <c r="B27" s="62" t="s">
        <v>70</v>
      </c>
      <c r="C27" s="428">
        <f>'T-1'!G34</f>
        <v>62.260673613220007</v>
      </c>
      <c r="D27" s="1315">
        <f t="shared" si="0"/>
        <v>8.464160975614728E-3</v>
      </c>
      <c r="E27" s="428">
        <f>'T-1'!K34</f>
        <v>30.505790763300006</v>
      </c>
      <c r="F27" s="1315">
        <f t="shared" si="1"/>
        <v>6.3323085206299264E-3</v>
      </c>
      <c r="G27" s="428">
        <f>'T-1'!N34</f>
        <v>63</v>
      </c>
      <c r="H27" s="1315">
        <f t="shared" si="2"/>
        <v>6.2555853440571926E-3</v>
      </c>
      <c r="I27" s="428">
        <f>'T-1'!S34</f>
        <v>65</v>
      </c>
      <c r="J27" s="1315">
        <f t="shared" si="3"/>
        <v>6.2011066578513442E-3</v>
      </c>
      <c r="K27" s="306"/>
      <c r="L27" s="505"/>
      <c r="M27" s="505"/>
      <c r="N27" s="505"/>
      <c r="O27" s="505"/>
      <c r="P27" s="505"/>
      <c r="Q27" s="505"/>
      <c r="R27" s="505"/>
      <c r="S27" s="505"/>
      <c r="T27" s="505"/>
      <c r="U27" s="505"/>
      <c r="V27" s="505"/>
      <c r="W27" s="505"/>
      <c r="X27" s="505"/>
      <c r="Y27" s="505"/>
      <c r="Z27" s="505"/>
      <c r="AA27" s="505"/>
      <c r="AB27" s="505"/>
      <c r="AC27" s="505"/>
      <c r="AD27" s="505"/>
      <c r="AE27" s="505"/>
      <c r="AF27" s="505"/>
      <c r="AG27" s="505"/>
      <c r="AH27" s="505"/>
      <c r="AI27" s="505"/>
      <c r="AJ27" s="505"/>
      <c r="AK27" s="505"/>
      <c r="AL27" s="505"/>
      <c r="AM27" s="505"/>
      <c r="AN27" s="505"/>
      <c r="AO27" s="505"/>
      <c r="AP27" s="505"/>
      <c r="AQ27" s="505"/>
      <c r="AR27" s="505"/>
      <c r="AS27" s="505"/>
      <c r="AT27" s="505"/>
      <c r="AU27" s="505"/>
      <c r="AV27" s="505"/>
      <c r="AW27" s="505"/>
      <c r="AX27" s="505"/>
      <c r="AY27" s="505"/>
      <c r="AZ27" s="505"/>
      <c r="BA27" s="505"/>
      <c r="BB27" s="505"/>
      <c r="BC27" s="505"/>
      <c r="BD27" s="505"/>
      <c r="BE27" s="505"/>
      <c r="BF27" s="505"/>
      <c r="BG27" s="505"/>
      <c r="BH27" s="505"/>
      <c r="BI27" s="505"/>
      <c r="BJ27" s="505"/>
      <c r="BK27" s="505"/>
      <c r="BL27" s="505"/>
      <c r="BM27" s="505"/>
      <c r="BN27" s="505"/>
      <c r="BO27" s="505"/>
      <c r="BP27" s="505"/>
      <c r="BQ27" s="505"/>
      <c r="BR27" s="505"/>
      <c r="BS27" s="505"/>
      <c r="BT27" s="505"/>
      <c r="BU27" s="505"/>
      <c r="BV27" s="505"/>
      <c r="BW27" s="505"/>
      <c r="BX27" s="505"/>
      <c r="BY27" s="505"/>
      <c r="BZ27" s="505"/>
      <c r="CA27" s="505"/>
      <c r="CB27" s="505"/>
      <c r="CC27" s="505"/>
      <c r="CD27" s="505"/>
      <c r="CE27" s="505"/>
      <c r="CF27" s="505"/>
      <c r="CG27" s="505"/>
      <c r="CH27" s="505"/>
      <c r="CI27" s="505"/>
      <c r="CJ27" s="505"/>
      <c r="CK27" s="505"/>
    </row>
    <row r="28" spans="1:89" ht="20.100000000000001" customHeight="1">
      <c r="A28" s="400">
        <v>11</v>
      </c>
      <c r="B28" s="62" t="s">
        <v>71</v>
      </c>
      <c r="C28" s="428">
        <f>'T-1'!G35</f>
        <v>4.8841861899999994</v>
      </c>
      <c r="D28" s="1315">
        <f t="shared" si="0"/>
        <v>6.6399118011239132E-4</v>
      </c>
      <c r="E28" s="428">
        <f>'T-1'!K35</f>
        <v>3.2366949000000003</v>
      </c>
      <c r="F28" s="1315">
        <f t="shared" si="1"/>
        <v>6.7186426514820406E-4</v>
      </c>
      <c r="G28" s="428">
        <f>'T-1'!N35</f>
        <v>5</v>
      </c>
      <c r="H28" s="1315">
        <f t="shared" si="2"/>
        <v>4.9647502730612646E-4</v>
      </c>
      <c r="I28" s="428">
        <f>'T-1'!S35</f>
        <v>5.2</v>
      </c>
      <c r="J28" s="1315">
        <f t="shared" si="3"/>
        <v>4.9608853262810763E-4</v>
      </c>
      <c r="K28" s="306"/>
      <c r="L28" s="505"/>
      <c r="M28" s="505"/>
      <c r="N28" s="505"/>
      <c r="O28" s="505"/>
      <c r="P28" s="505"/>
      <c r="Q28" s="505"/>
      <c r="R28" s="505"/>
      <c r="S28" s="505"/>
      <c r="T28" s="505"/>
      <c r="U28" s="505"/>
      <c r="V28" s="505"/>
      <c r="W28" s="505"/>
      <c r="X28" s="505"/>
      <c r="Y28" s="505"/>
      <c r="Z28" s="505"/>
      <c r="AA28" s="505"/>
      <c r="AB28" s="505"/>
      <c r="AC28" s="505"/>
      <c r="AD28" s="505"/>
      <c r="AE28" s="505"/>
      <c r="AF28" s="505"/>
      <c r="AG28" s="505"/>
      <c r="AH28" s="505"/>
      <c r="AI28" s="505"/>
      <c r="AJ28" s="505"/>
      <c r="AK28" s="505"/>
      <c r="AL28" s="505"/>
      <c r="AM28" s="505"/>
      <c r="AN28" s="505"/>
      <c r="AO28" s="505"/>
      <c r="AP28" s="505"/>
      <c r="AQ28" s="505"/>
      <c r="AR28" s="505"/>
      <c r="AS28" s="505"/>
      <c r="AT28" s="505"/>
      <c r="AU28" s="505"/>
      <c r="AV28" s="505"/>
      <c r="AW28" s="505"/>
      <c r="AX28" s="505"/>
      <c r="AY28" s="505"/>
      <c r="AZ28" s="505"/>
      <c r="BA28" s="505"/>
      <c r="BB28" s="505"/>
      <c r="BC28" s="505"/>
      <c r="BD28" s="505"/>
      <c r="BE28" s="505"/>
      <c r="BF28" s="505"/>
      <c r="BG28" s="505"/>
      <c r="BH28" s="505"/>
      <c r="BI28" s="505"/>
      <c r="BJ28" s="505"/>
      <c r="BK28" s="505"/>
      <c r="BL28" s="505"/>
      <c r="BM28" s="505"/>
      <c r="BN28" s="505"/>
      <c r="BO28" s="505"/>
      <c r="BP28" s="505"/>
      <c r="BQ28" s="505"/>
      <c r="BR28" s="505"/>
      <c r="BS28" s="505"/>
      <c r="BT28" s="505"/>
      <c r="BU28" s="505"/>
      <c r="BV28" s="505"/>
      <c r="BW28" s="505"/>
      <c r="BX28" s="505"/>
      <c r="BY28" s="505"/>
      <c r="BZ28" s="505"/>
      <c r="CA28" s="505"/>
      <c r="CB28" s="505"/>
      <c r="CC28" s="505"/>
      <c r="CD28" s="505"/>
      <c r="CE28" s="505"/>
      <c r="CF28" s="505"/>
      <c r="CG28" s="505"/>
      <c r="CH28" s="505"/>
      <c r="CI28" s="505"/>
      <c r="CJ28" s="505"/>
      <c r="CK28" s="505"/>
    </row>
    <row r="29" spans="1:89" ht="20.100000000000001" customHeight="1">
      <c r="A29" s="400">
        <v>12</v>
      </c>
      <c r="B29" s="62" t="s">
        <v>72</v>
      </c>
      <c r="C29" s="428">
        <f>'T-1'!G36</f>
        <v>0</v>
      </c>
      <c r="D29" s="1315">
        <f t="shared" si="0"/>
        <v>0</v>
      </c>
      <c r="E29" s="428">
        <f>'T-1'!K36</f>
        <v>0.1305247494</v>
      </c>
      <c r="F29" s="1315">
        <f t="shared" si="1"/>
        <v>2.709397009872153E-5</v>
      </c>
      <c r="G29" s="428">
        <f>'T-1'!N36</f>
        <v>0.15</v>
      </c>
      <c r="H29" s="1315">
        <f t="shared" si="2"/>
        <v>1.4894250819183792E-5</v>
      </c>
      <c r="I29" s="428">
        <f>'T-1'!S36</f>
        <v>0.151</v>
      </c>
      <c r="J29" s="1315">
        <f t="shared" si="3"/>
        <v>1.4405647774393123E-5</v>
      </c>
      <c r="K29" s="306"/>
      <c r="L29" s="505"/>
      <c r="M29" s="505"/>
      <c r="N29" s="505"/>
      <c r="O29" s="505"/>
      <c r="P29" s="505"/>
      <c r="Q29" s="505"/>
      <c r="R29" s="505"/>
      <c r="S29" s="505"/>
      <c r="T29" s="505"/>
      <c r="U29" s="505"/>
      <c r="V29" s="505"/>
      <c r="W29" s="505"/>
      <c r="X29" s="505"/>
      <c r="Y29" s="505"/>
      <c r="Z29" s="505"/>
      <c r="AA29" s="505"/>
      <c r="AB29" s="505"/>
      <c r="AC29" s="505"/>
      <c r="AD29" s="505"/>
      <c r="AE29" s="505"/>
      <c r="AF29" s="505"/>
      <c r="AG29" s="505"/>
      <c r="AH29" s="505"/>
      <c r="AI29" s="505"/>
      <c r="AJ29" s="505"/>
      <c r="AK29" s="505"/>
      <c r="AL29" s="505"/>
      <c r="AM29" s="505"/>
      <c r="AN29" s="505"/>
      <c r="AO29" s="505"/>
      <c r="AP29" s="505"/>
      <c r="AQ29" s="505"/>
      <c r="AR29" s="505"/>
      <c r="AS29" s="505"/>
      <c r="AT29" s="505"/>
      <c r="AU29" s="505"/>
      <c r="AV29" s="505"/>
      <c r="AW29" s="505"/>
      <c r="AX29" s="505"/>
      <c r="AY29" s="505"/>
      <c r="AZ29" s="505"/>
      <c r="BA29" s="505"/>
      <c r="BB29" s="505"/>
      <c r="BC29" s="505"/>
      <c r="BD29" s="505"/>
      <c r="BE29" s="505"/>
      <c r="BF29" s="505"/>
      <c r="BG29" s="505"/>
      <c r="BH29" s="505"/>
      <c r="BI29" s="505"/>
      <c r="BJ29" s="505"/>
      <c r="BK29" s="505"/>
      <c r="BL29" s="505"/>
      <c r="BM29" s="505"/>
      <c r="BN29" s="505"/>
      <c r="BO29" s="505"/>
      <c r="BP29" s="505"/>
      <c r="BQ29" s="505"/>
      <c r="BR29" s="505"/>
      <c r="BS29" s="505"/>
      <c r="BT29" s="505"/>
      <c r="BU29" s="505"/>
      <c r="BV29" s="505"/>
      <c r="BW29" s="505"/>
      <c r="BX29" s="505"/>
      <c r="BY29" s="505"/>
      <c r="BZ29" s="505"/>
      <c r="CA29" s="505"/>
      <c r="CB29" s="505"/>
      <c r="CC29" s="505"/>
      <c r="CD29" s="505"/>
      <c r="CE29" s="505"/>
      <c r="CF29" s="505"/>
      <c r="CG29" s="505"/>
      <c r="CH29" s="505"/>
      <c r="CI29" s="505"/>
      <c r="CJ29" s="505"/>
      <c r="CK29" s="505"/>
    </row>
    <row r="30" spans="1:89" ht="20.100000000000001" customHeight="1">
      <c r="A30" s="400">
        <v>13</v>
      </c>
      <c r="B30" s="62" t="s">
        <v>73</v>
      </c>
      <c r="C30" s="428">
        <f>'T-1'!G37</f>
        <v>0</v>
      </c>
      <c r="D30" s="1315">
        <f t="shared" si="0"/>
        <v>0</v>
      </c>
      <c r="E30" s="428">
        <f>'T-1'!K37</f>
        <v>0</v>
      </c>
      <c r="F30" s="1315">
        <f t="shared" si="1"/>
        <v>0</v>
      </c>
      <c r="G30" s="428">
        <f>'T-1'!N37</f>
        <v>0</v>
      </c>
      <c r="H30" s="1315">
        <f t="shared" si="2"/>
        <v>0</v>
      </c>
      <c r="I30" s="428">
        <f>'T-1'!S37</f>
        <v>0</v>
      </c>
      <c r="J30" s="1315">
        <f t="shared" si="3"/>
        <v>0</v>
      </c>
      <c r="K30" s="306"/>
      <c r="L30" s="505"/>
      <c r="M30" s="505"/>
      <c r="N30" s="505"/>
      <c r="O30" s="505"/>
      <c r="P30" s="505"/>
      <c r="Q30" s="505"/>
      <c r="R30" s="505"/>
      <c r="S30" s="505"/>
      <c r="T30" s="505"/>
      <c r="U30" s="505"/>
      <c r="V30" s="505"/>
      <c r="W30" s="505"/>
      <c r="X30" s="505"/>
      <c r="Y30" s="505"/>
      <c r="Z30" s="505"/>
      <c r="AA30" s="505"/>
      <c r="AB30" s="505"/>
      <c r="AC30" s="505"/>
      <c r="AD30" s="505"/>
      <c r="AE30" s="505"/>
      <c r="AF30" s="505"/>
      <c r="AG30" s="505"/>
      <c r="AH30" s="505"/>
      <c r="AI30" s="505"/>
      <c r="AJ30" s="505"/>
      <c r="AK30" s="505"/>
      <c r="AL30" s="505"/>
      <c r="AM30" s="505"/>
      <c r="AN30" s="505"/>
      <c r="AO30" s="505"/>
      <c r="AP30" s="505"/>
      <c r="AQ30" s="505"/>
      <c r="AR30" s="505"/>
      <c r="AS30" s="505"/>
      <c r="AT30" s="505"/>
      <c r="AU30" s="505"/>
      <c r="AV30" s="505"/>
      <c r="AW30" s="505"/>
      <c r="AX30" s="505"/>
      <c r="AY30" s="505"/>
      <c r="AZ30" s="505"/>
      <c r="BA30" s="505"/>
      <c r="BB30" s="505"/>
      <c r="BC30" s="505"/>
      <c r="BD30" s="505"/>
      <c r="BE30" s="505"/>
      <c r="BF30" s="505"/>
      <c r="BG30" s="505"/>
      <c r="BH30" s="505"/>
      <c r="BI30" s="505"/>
      <c r="BJ30" s="505"/>
      <c r="BK30" s="505"/>
      <c r="BL30" s="505"/>
      <c r="BM30" s="505"/>
      <c r="BN30" s="505"/>
      <c r="BO30" s="505"/>
      <c r="BP30" s="505"/>
      <c r="BQ30" s="505"/>
      <c r="BR30" s="505"/>
      <c r="BS30" s="505"/>
      <c r="BT30" s="505"/>
      <c r="BU30" s="505"/>
      <c r="BV30" s="505"/>
      <c r="BW30" s="505"/>
      <c r="BX30" s="505"/>
      <c r="BY30" s="505"/>
      <c r="BZ30" s="505"/>
      <c r="CA30" s="505"/>
      <c r="CB30" s="505"/>
      <c r="CC30" s="505"/>
      <c r="CD30" s="505"/>
      <c r="CE30" s="505"/>
      <c r="CF30" s="505"/>
      <c r="CG30" s="505"/>
      <c r="CH30" s="505"/>
      <c r="CI30" s="505"/>
      <c r="CJ30" s="505"/>
      <c r="CK30" s="505"/>
    </row>
    <row r="31" spans="1:89" ht="20.100000000000001" customHeight="1">
      <c r="A31" s="400"/>
      <c r="B31" s="404" t="s">
        <v>74</v>
      </c>
      <c r="C31" s="110">
        <f>C19+C13+SUM(C20:C30)</f>
        <v>2873.5650820967307</v>
      </c>
      <c r="D31" s="415">
        <f t="shared" si="0"/>
        <v>0.39065297590368259</v>
      </c>
      <c r="E31" s="110">
        <f>E19+E13+SUM(E20:E30)</f>
        <v>1665.8065054996612</v>
      </c>
      <c r="F31" s="415">
        <f t="shared" si="1"/>
        <v>0.34578355337002181</v>
      </c>
      <c r="G31" s="110">
        <f>G19+G13+SUM(G20:G30)</f>
        <v>3085.0000000000005</v>
      </c>
      <c r="H31" s="415">
        <f t="shared" si="2"/>
        <v>0.30632509184788004</v>
      </c>
      <c r="I31" s="110">
        <f>I19+I13+SUM(I20:I30)</f>
        <v>3313.9999999999995</v>
      </c>
      <c r="J31" s="415">
        <f t="shared" si="3"/>
        <v>0.31616103790952849</v>
      </c>
      <c r="K31" s="306"/>
      <c r="L31" s="505"/>
      <c r="M31" s="505"/>
      <c r="N31" s="505"/>
      <c r="O31" s="505"/>
      <c r="P31" s="505"/>
      <c r="Q31" s="505"/>
      <c r="R31" s="505"/>
      <c r="S31" s="505"/>
      <c r="T31" s="505"/>
      <c r="U31" s="505"/>
      <c r="V31" s="505"/>
      <c r="W31" s="505"/>
      <c r="X31" s="505"/>
      <c r="Y31" s="505"/>
      <c r="Z31" s="505"/>
      <c r="AA31" s="505"/>
      <c r="AB31" s="505"/>
      <c r="AC31" s="505"/>
      <c r="AD31" s="505"/>
      <c r="AE31" s="505"/>
      <c r="AF31" s="505"/>
      <c r="AG31" s="505"/>
      <c r="AH31" s="505"/>
      <c r="AI31" s="505"/>
      <c r="AJ31" s="505"/>
      <c r="AK31" s="505"/>
      <c r="AL31" s="505"/>
      <c r="AM31" s="505"/>
      <c r="AN31" s="505"/>
      <c r="AO31" s="505"/>
      <c r="AP31" s="505"/>
      <c r="AQ31" s="505"/>
      <c r="AR31" s="505"/>
      <c r="AS31" s="505"/>
      <c r="AT31" s="505"/>
      <c r="AU31" s="505"/>
      <c r="AV31" s="505"/>
      <c r="AW31" s="505"/>
      <c r="AX31" s="505"/>
      <c r="AY31" s="505"/>
      <c r="AZ31" s="505"/>
      <c r="BA31" s="505"/>
      <c r="BB31" s="505"/>
      <c r="BC31" s="505"/>
      <c r="BD31" s="505"/>
      <c r="BE31" s="505"/>
      <c r="BF31" s="505"/>
      <c r="BG31" s="505"/>
      <c r="BH31" s="505"/>
      <c r="BI31" s="505"/>
      <c r="BJ31" s="505"/>
      <c r="BK31" s="505"/>
      <c r="BL31" s="505"/>
      <c r="BM31" s="505"/>
      <c r="BN31" s="505"/>
      <c r="BO31" s="505"/>
      <c r="BP31" s="505"/>
      <c r="BQ31" s="505"/>
      <c r="BR31" s="505"/>
      <c r="BS31" s="505"/>
      <c r="BT31" s="505"/>
      <c r="BU31" s="505"/>
      <c r="BV31" s="505"/>
      <c r="BW31" s="505"/>
      <c r="BX31" s="505"/>
      <c r="BY31" s="505"/>
      <c r="BZ31" s="505"/>
      <c r="CA31" s="505"/>
      <c r="CB31" s="505"/>
      <c r="CC31" s="505"/>
      <c r="CD31" s="505"/>
      <c r="CE31" s="505"/>
      <c r="CF31" s="505"/>
      <c r="CG31" s="505"/>
      <c r="CH31" s="505"/>
      <c r="CI31" s="505"/>
      <c r="CJ31" s="505"/>
      <c r="CK31" s="505"/>
    </row>
    <row r="32" spans="1:89" ht="20.100000000000001" customHeight="1">
      <c r="A32" s="62"/>
      <c r="B32" s="404" t="s">
        <v>75</v>
      </c>
      <c r="C32" s="428"/>
      <c r="D32" s="1315"/>
      <c r="E32" s="428"/>
      <c r="F32" s="1315"/>
      <c r="G32" s="428"/>
      <c r="H32" s="1315"/>
      <c r="I32" s="428"/>
      <c r="J32" s="1315"/>
      <c r="K32" s="306"/>
      <c r="L32" s="505"/>
      <c r="M32" s="505"/>
      <c r="N32" s="505"/>
      <c r="O32" s="505"/>
      <c r="P32" s="505"/>
      <c r="Q32" s="505"/>
      <c r="R32" s="505"/>
      <c r="S32" s="505"/>
      <c r="T32" s="505"/>
      <c r="U32" s="505"/>
      <c r="V32" s="505"/>
      <c r="W32" s="505"/>
      <c r="X32" s="505"/>
      <c r="Y32" s="505"/>
      <c r="Z32" s="505"/>
      <c r="AA32" s="505"/>
      <c r="AB32" s="505"/>
      <c r="AC32" s="505"/>
      <c r="AD32" s="505"/>
      <c r="AE32" s="505"/>
      <c r="AF32" s="505"/>
      <c r="AG32" s="505"/>
      <c r="AH32" s="505"/>
      <c r="AI32" s="505"/>
      <c r="AJ32" s="505"/>
      <c r="AK32" s="505"/>
      <c r="AL32" s="505"/>
      <c r="AM32" s="505"/>
      <c r="AN32" s="505"/>
      <c r="AO32" s="505"/>
      <c r="AP32" s="505"/>
      <c r="AQ32" s="505"/>
      <c r="AR32" s="505"/>
      <c r="AS32" s="505"/>
      <c r="AT32" s="505"/>
      <c r="AU32" s="505"/>
      <c r="AV32" s="505"/>
      <c r="AW32" s="505"/>
      <c r="AX32" s="505"/>
      <c r="AY32" s="505"/>
      <c r="AZ32" s="505"/>
      <c r="BA32" s="505"/>
      <c r="BB32" s="505"/>
      <c r="BC32" s="505"/>
      <c r="BD32" s="505"/>
      <c r="BE32" s="505"/>
      <c r="BF32" s="505"/>
      <c r="BG32" s="505"/>
      <c r="BH32" s="505"/>
      <c r="BI32" s="505"/>
      <c r="BJ32" s="505"/>
      <c r="BK32" s="505"/>
      <c r="BL32" s="505"/>
      <c r="BM32" s="505"/>
      <c r="BN32" s="505"/>
      <c r="BO32" s="505"/>
      <c r="BP32" s="505"/>
      <c r="BQ32" s="505"/>
      <c r="BR32" s="505"/>
      <c r="BS32" s="505"/>
      <c r="BT32" s="505"/>
      <c r="BU32" s="505"/>
      <c r="BV32" s="505"/>
      <c r="BW32" s="505"/>
      <c r="BX32" s="505"/>
      <c r="BY32" s="505"/>
      <c r="BZ32" s="505"/>
      <c r="CA32" s="505"/>
      <c r="CB32" s="505"/>
      <c r="CC32" s="505"/>
      <c r="CD32" s="505"/>
      <c r="CE32" s="505"/>
      <c r="CF32" s="505"/>
      <c r="CG32" s="505"/>
      <c r="CH32" s="505"/>
      <c r="CI32" s="505"/>
      <c r="CJ32" s="505"/>
      <c r="CK32" s="505"/>
    </row>
    <row r="33" spans="1:89" ht="20.100000000000001" customHeight="1">
      <c r="A33" s="400">
        <v>14</v>
      </c>
      <c r="B33" s="62" t="s">
        <v>76</v>
      </c>
      <c r="C33" s="428">
        <f>'T-1'!G40</f>
        <v>13.409634369999999</v>
      </c>
      <c r="D33" s="1315">
        <f t="shared" si="0"/>
        <v>1.8230015408589458E-3</v>
      </c>
      <c r="E33" s="428">
        <f>'T-1'!K40</f>
        <v>8.4256522599999997</v>
      </c>
      <c r="F33" s="1315">
        <f t="shared" si="1"/>
        <v>1.7489738263743067E-3</v>
      </c>
      <c r="G33" s="428">
        <f>'T-1'!N40</f>
        <v>14</v>
      </c>
      <c r="H33" s="1315">
        <f t="shared" si="2"/>
        <v>1.390130076457154E-3</v>
      </c>
      <c r="I33" s="428">
        <f>'T-1'!S40</f>
        <v>14.5</v>
      </c>
      <c r="J33" s="1315">
        <f t="shared" si="3"/>
        <v>1.3833237929052999E-3</v>
      </c>
      <c r="K33" s="306"/>
      <c r="L33" s="505"/>
      <c r="M33" s="505"/>
      <c r="N33" s="505"/>
      <c r="O33" s="505"/>
      <c r="P33" s="505"/>
      <c r="Q33" s="505"/>
      <c r="R33" s="505"/>
      <c r="S33" s="505"/>
      <c r="T33" s="505"/>
      <c r="U33" s="505"/>
      <c r="V33" s="505"/>
      <c r="W33" s="505"/>
      <c r="X33" s="505"/>
      <c r="Y33" s="505"/>
      <c r="Z33" s="505"/>
      <c r="AA33" s="505"/>
      <c r="AB33" s="505"/>
      <c r="AC33" s="505"/>
      <c r="AD33" s="505"/>
      <c r="AE33" s="505"/>
      <c r="AF33" s="505"/>
      <c r="AG33" s="505"/>
      <c r="AH33" s="505"/>
      <c r="AI33" s="505"/>
      <c r="AJ33" s="505"/>
      <c r="AK33" s="505"/>
      <c r="AL33" s="505"/>
      <c r="AM33" s="505"/>
      <c r="AN33" s="505"/>
      <c r="AO33" s="505"/>
      <c r="AP33" s="505"/>
      <c r="AQ33" s="505"/>
      <c r="AR33" s="505"/>
      <c r="AS33" s="505"/>
      <c r="AT33" s="505"/>
      <c r="AU33" s="505"/>
      <c r="AV33" s="505"/>
      <c r="AW33" s="505"/>
      <c r="AX33" s="505"/>
      <c r="AY33" s="505"/>
      <c r="AZ33" s="505"/>
      <c r="BA33" s="505"/>
      <c r="BB33" s="505"/>
      <c r="BC33" s="505"/>
      <c r="BD33" s="505"/>
      <c r="BE33" s="505"/>
      <c r="BF33" s="505"/>
      <c r="BG33" s="505"/>
      <c r="BH33" s="505"/>
      <c r="BI33" s="505"/>
      <c r="BJ33" s="505"/>
      <c r="BK33" s="505"/>
      <c r="BL33" s="505"/>
      <c r="BM33" s="505"/>
      <c r="BN33" s="505"/>
      <c r="BO33" s="505"/>
      <c r="BP33" s="505"/>
      <c r="BQ33" s="505"/>
      <c r="BR33" s="505"/>
      <c r="BS33" s="505"/>
      <c r="BT33" s="505"/>
      <c r="BU33" s="505"/>
      <c r="BV33" s="505"/>
      <c r="BW33" s="505"/>
      <c r="BX33" s="505"/>
      <c r="BY33" s="505"/>
      <c r="BZ33" s="505"/>
      <c r="CA33" s="505"/>
      <c r="CB33" s="505"/>
      <c r="CC33" s="505"/>
      <c r="CD33" s="505"/>
      <c r="CE33" s="505"/>
      <c r="CF33" s="505"/>
      <c r="CG33" s="505"/>
      <c r="CH33" s="505"/>
      <c r="CI33" s="505"/>
      <c r="CJ33" s="505"/>
      <c r="CK33" s="505"/>
    </row>
    <row r="34" spans="1:89" ht="20.100000000000001" customHeight="1">
      <c r="A34" s="400">
        <v>15</v>
      </c>
      <c r="B34" s="62" t="s">
        <v>63</v>
      </c>
      <c r="C34" s="428">
        <f>'T-1'!G41</f>
        <v>45.608441599999992</v>
      </c>
      <c r="D34" s="1315">
        <f t="shared" si="0"/>
        <v>6.2003375348536989E-3</v>
      </c>
      <c r="E34" s="428">
        <f>'T-1'!K41</f>
        <v>14.75121433</v>
      </c>
      <c r="F34" s="1315">
        <f t="shared" si="1"/>
        <v>3.0620166812352642E-3</v>
      </c>
      <c r="G34" s="428">
        <f>'T-1'!N41</f>
        <v>50</v>
      </c>
      <c r="H34" s="1315">
        <f t="shared" si="2"/>
        <v>4.9647502730612641E-3</v>
      </c>
      <c r="I34" s="428">
        <f>'T-1'!S41</f>
        <v>60</v>
      </c>
      <c r="J34" s="1315">
        <f t="shared" si="3"/>
        <v>5.7240984534012414E-3</v>
      </c>
      <c r="K34" s="306"/>
      <c r="L34" s="505"/>
      <c r="M34" s="505"/>
      <c r="N34" s="505"/>
      <c r="O34" s="505"/>
      <c r="P34" s="505"/>
      <c r="Q34" s="505"/>
      <c r="R34" s="505"/>
      <c r="S34" s="505"/>
      <c r="T34" s="505"/>
      <c r="U34" s="505"/>
      <c r="V34" s="505"/>
      <c r="W34" s="505"/>
      <c r="X34" s="505"/>
      <c r="Y34" s="505"/>
      <c r="Z34" s="505"/>
      <c r="AA34" s="505"/>
      <c r="AB34" s="505"/>
      <c r="AC34" s="505"/>
      <c r="AD34" s="505"/>
      <c r="AE34" s="505"/>
      <c r="AF34" s="505"/>
      <c r="AG34" s="505"/>
      <c r="AH34" s="505"/>
      <c r="AI34" s="505"/>
      <c r="AJ34" s="505"/>
      <c r="AK34" s="505"/>
      <c r="AL34" s="505"/>
      <c r="AM34" s="505"/>
      <c r="AN34" s="505"/>
      <c r="AO34" s="505"/>
      <c r="AP34" s="505"/>
      <c r="AQ34" s="505"/>
      <c r="AR34" s="505"/>
      <c r="AS34" s="505"/>
      <c r="AT34" s="505"/>
      <c r="AU34" s="505"/>
      <c r="AV34" s="505"/>
      <c r="AW34" s="505"/>
      <c r="AX34" s="505"/>
      <c r="AY34" s="505"/>
      <c r="AZ34" s="505"/>
      <c r="BA34" s="505"/>
      <c r="BB34" s="505"/>
      <c r="BC34" s="505"/>
      <c r="BD34" s="505"/>
      <c r="BE34" s="505"/>
      <c r="BF34" s="505"/>
      <c r="BG34" s="505"/>
      <c r="BH34" s="505"/>
      <c r="BI34" s="505"/>
      <c r="BJ34" s="505"/>
      <c r="BK34" s="505"/>
      <c r="BL34" s="505"/>
      <c r="BM34" s="505"/>
      <c r="BN34" s="505"/>
      <c r="BO34" s="505"/>
      <c r="BP34" s="505"/>
      <c r="BQ34" s="505"/>
      <c r="BR34" s="505"/>
      <c r="BS34" s="505"/>
      <c r="BT34" s="505"/>
      <c r="BU34" s="505"/>
      <c r="BV34" s="505"/>
      <c r="BW34" s="505"/>
      <c r="BX34" s="505"/>
      <c r="BY34" s="505"/>
      <c r="BZ34" s="505"/>
      <c r="CA34" s="505"/>
      <c r="CB34" s="505"/>
      <c r="CC34" s="505"/>
      <c r="CD34" s="505"/>
      <c r="CE34" s="505"/>
      <c r="CF34" s="505"/>
      <c r="CG34" s="505"/>
      <c r="CH34" s="505"/>
      <c r="CI34" s="505"/>
      <c r="CJ34" s="505"/>
      <c r="CK34" s="505"/>
    </row>
    <row r="35" spans="1:89" ht="20.100000000000001" customHeight="1">
      <c r="A35" s="400">
        <v>16</v>
      </c>
      <c r="B35" s="62" t="s">
        <v>64</v>
      </c>
      <c r="C35" s="428">
        <f>'T-1'!G42</f>
        <v>3.6294979999999994</v>
      </c>
      <c r="D35" s="1315">
        <f t="shared" si="0"/>
        <v>4.9341989975111166E-4</v>
      </c>
      <c r="E35" s="428">
        <f>'T-1'!K42</f>
        <v>2.2534164999999997</v>
      </c>
      <c r="F35" s="1315">
        <f t="shared" si="1"/>
        <v>4.6775802712987796E-4</v>
      </c>
      <c r="G35" s="428">
        <f>'T-1'!N42</f>
        <v>4.5</v>
      </c>
      <c r="H35" s="1315">
        <f t="shared" si="2"/>
        <v>4.4682752457551379E-4</v>
      </c>
      <c r="I35" s="428">
        <f>'T-1'!S42</f>
        <v>5</v>
      </c>
      <c r="J35" s="1315">
        <f t="shared" si="3"/>
        <v>4.7700820445010345E-4</v>
      </c>
      <c r="K35" s="306"/>
      <c r="L35" s="505"/>
      <c r="M35" s="505"/>
      <c r="N35" s="505"/>
      <c r="O35" s="505"/>
      <c r="P35" s="505"/>
      <c r="Q35" s="505"/>
      <c r="R35" s="505"/>
      <c r="S35" s="505"/>
      <c r="T35" s="505"/>
      <c r="U35" s="505"/>
      <c r="V35" s="505"/>
      <c r="W35" s="505"/>
      <c r="X35" s="505"/>
      <c r="Y35" s="505"/>
      <c r="Z35" s="505"/>
      <c r="AA35" s="505"/>
      <c r="AB35" s="505"/>
      <c r="AC35" s="505"/>
      <c r="AD35" s="505"/>
      <c r="AE35" s="505"/>
      <c r="AF35" s="505"/>
      <c r="AG35" s="505"/>
      <c r="AH35" s="505"/>
      <c r="AI35" s="505"/>
      <c r="AJ35" s="505"/>
      <c r="AK35" s="505"/>
      <c r="AL35" s="505"/>
      <c r="AM35" s="505"/>
      <c r="AN35" s="505"/>
      <c r="AO35" s="505"/>
      <c r="AP35" s="505"/>
      <c r="AQ35" s="505"/>
      <c r="AR35" s="505"/>
      <c r="AS35" s="505"/>
      <c r="AT35" s="505"/>
      <c r="AU35" s="505"/>
      <c r="AV35" s="505"/>
      <c r="AW35" s="505"/>
      <c r="AX35" s="505"/>
      <c r="AY35" s="505"/>
      <c r="AZ35" s="505"/>
      <c r="BA35" s="505"/>
      <c r="BB35" s="505"/>
      <c r="BC35" s="505"/>
      <c r="BD35" s="505"/>
      <c r="BE35" s="505"/>
      <c r="BF35" s="505"/>
      <c r="BG35" s="505"/>
      <c r="BH35" s="505"/>
      <c r="BI35" s="505"/>
      <c r="BJ35" s="505"/>
      <c r="BK35" s="505"/>
      <c r="BL35" s="505"/>
      <c r="BM35" s="505"/>
      <c r="BN35" s="505"/>
      <c r="BO35" s="505"/>
      <c r="BP35" s="505"/>
      <c r="BQ35" s="505"/>
      <c r="BR35" s="505"/>
      <c r="BS35" s="505"/>
      <c r="BT35" s="505"/>
      <c r="BU35" s="505"/>
      <c r="BV35" s="505"/>
      <c r="BW35" s="505"/>
      <c r="BX35" s="505"/>
      <c r="BY35" s="505"/>
      <c r="BZ35" s="505"/>
      <c r="CA35" s="505"/>
      <c r="CB35" s="505"/>
      <c r="CC35" s="505"/>
      <c r="CD35" s="505"/>
      <c r="CE35" s="505"/>
      <c r="CF35" s="505"/>
      <c r="CG35" s="505"/>
      <c r="CH35" s="505"/>
      <c r="CI35" s="505"/>
      <c r="CJ35" s="505"/>
      <c r="CK35" s="505"/>
    </row>
    <row r="36" spans="1:89" ht="20.100000000000001" customHeight="1">
      <c r="A36" s="400">
        <v>17</v>
      </c>
      <c r="B36" s="62" t="s">
        <v>65</v>
      </c>
      <c r="C36" s="428">
        <f>'T-1'!G43</f>
        <v>4.7194184999999997</v>
      </c>
      <c r="D36" s="1315">
        <f t="shared" si="0"/>
        <v>6.4159148266607177E-4</v>
      </c>
      <c r="E36" s="428">
        <f>'T-1'!K43</f>
        <v>3.3025370000000009</v>
      </c>
      <c r="F36" s="1315">
        <f t="shared" si="1"/>
        <v>6.85531587988029E-4</v>
      </c>
      <c r="G36" s="428">
        <f>'T-1'!N43</f>
        <v>7</v>
      </c>
      <c r="H36" s="1315">
        <f t="shared" si="2"/>
        <v>6.9506503822857702E-4</v>
      </c>
      <c r="I36" s="428">
        <f>'T-1'!S43</f>
        <v>7.2</v>
      </c>
      <c r="J36" s="1315">
        <f t="shared" si="3"/>
        <v>6.868918144081489E-4</v>
      </c>
      <c r="K36" s="306"/>
      <c r="L36" s="505"/>
      <c r="M36" s="505"/>
      <c r="N36" s="505"/>
      <c r="O36" s="505"/>
      <c r="P36" s="505"/>
      <c r="Q36" s="505"/>
      <c r="R36" s="505"/>
      <c r="S36" s="505"/>
      <c r="T36" s="505"/>
      <c r="U36" s="505"/>
      <c r="V36" s="505"/>
      <c r="W36" s="505"/>
      <c r="X36" s="505"/>
      <c r="Y36" s="505"/>
      <c r="Z36" s="505"/>
      <c r="AA36" s="505"/>
      <c r="AB36" s="505"/>
      <c r="AC36" s="505"/>
      <c r="AD36" s="505"/>
      <c r="AE36" s="505"/>
      <c r="AF36" s="505"/>
      <c r="AG36" s="505"/>
      <c r="AH36" s="505"/>
      <c r="AI36" s="505"/>
      <c r="AJ36" s="505"/>
      <c r="AK36" s="505"/>
      <c r="AL36" s="505"/>
      <c r="AM36" s="505"/>
      <c r="AN36" s="505"/>
      <c r="AO36" s="505"/>
      <c r="AP36" s="505"/>
      <c r="AQ36" s="505"/>
      <c r="AR36" s="505"/>
      <c r="AS36" s="505"/>
      <c r="AT36" s="505"/>
      <c r="AU36" s="505"/>
      <c r="AV36" s="505"/>
      <c r="AW36" s="505"/>
      <c r="AX36" s="505"/>
      <c r="AY36" s="505"/>
      <c r="AZ36" s="505"/>
      <c r="BA36" s="505"/>
      <c r="BB36" s="505"/>
      <c r="BC36" s="505"/>
      <c r="BD36" s="505"/>
      <c r="BE36" s="505"/>
      <c r="BF36" s="505"/>
      <c r="BG36" s="505"/>
      <c r="BH36" s="505"/>
      <c r="BI36" s="505"/>
      <c r="BJ36" s="505"/>
      <c r="BK36" s="505"/>
      <c r="BL36" s="505"/>
      <c r="BM36" s="505"/>
      <c r="BN36" s="505"/>
      <c r="BO36" s="505"/>
      <c r="BP36" s="505"/>
      <c r="BQ36" s="505"/>
      <c r="BR36" s="505"/>
      <c r="BS36" s="505"/>
      <c r="BT36" s="505"/>
      <c r="BU36" s="505"/>
      <c r="BV36" s="505"/>
      <c r="BW36" s="505"/>
      <c r="BX36" s="505"/>
      <c r="BY36" s="505"/>
      <c r="BZ36" s="505"/>
      <c r="CA36" s="505"/>
      <c r="CB36" s="505"/>
      <c r="CC36" s="505"/>
      <c r="CD36" s="505"/>
      <c r="CE36" s="505"/>
      <c r="CF36" s="505"/>
      <c r="CG36" s="505"/>
      <c r="CH36" s="505"/>
      <c r="CI36" s="505"/>
      <c r="CJ36" s="505"/>
      <c r="CK36" s="505"/>
    </row>
    <row r="37" spans="1:89" ht="20.100000000000001" customHeight="1">
      <c r="A37" s="400">
        <v>18</v>
      </c>
      <c r="B37" s="62" t="s">
        <v>78</v>
      </c>
      <c r="C37" s="428">
        <f>'T-1'!G44</f>
        <v>21.529943450000001</v>
      </c>
      <c r="D37" s="1315">
        <f t="shared" si="0"/>
        <v>2.9269343966427603E-3</v>
      </c>
      <c r="E37" s="428">
        <f>'T-1'!K44</f>
        <v>17.558525470999999</v>
      </c>
      <c r="F37" s="1315">
        <f t="shared" si="1"/>
        <v>3.6447506413593189E-3</v>
      </c>
      <c r="G37" s="428">
        <f>'T-1'!N44</f>
        <v>35</v>
      </c>
      <c r="H37" s="1315">
        <f t="shared" si="2"/>
        <v>3.475325191142885E-3</v>
      </c>
      <c r="I37" s="428">
        <f>'T-1'!S44</f>
        <v>36</v>
      </c>
      <c r="J37" s="1315">
        <f t="shared" si="3"/>
        <v>3.4344590720407448E-3</v>
      </c>
      <c r="K37" s="306"/>
      <c r="L37" s="505"/>
      <c r="M37" s="505"/>
      <c r="N37" s="505"/>
      <c r="O37" s="505"/>
      <c r="P37" s="505"/>
      <c r="Q37" s="505"/>
      <c r="R37" s="505"/>
      <c r="S37" s="505"/>
      <c r="T37" s="505"/>
      <c r="U37" s="505"/>
      <c r="V37" s="505"/>
      <c r="W37" s="505"/>
      <c r="X37" s="505"/>
      <c r="Y37" s="505"/>
      <c r="Z37" s="505"/>
      <c r="AA37" s="505"/>
      <c r="AB37" s="505"/>
      <c r="AC37" s="505"/>
      <c r="AD37" s="505"/>
      <c r="AE37" s="505"/>
      <c r="AF37" s="505"/>
      <c r="AG37" s="505"/>
      <c r="AH37" s="505"/>
      <c r="AI37" s="505"/>
      <c r="AJ37" s="505"/>
      <c r="AK37" s="505"/>
      <c r="AL37" s="505"/>
      <c r="AM37" s="505"/>
      <c r="AN37" s="505"/>
      <c r="AO37" s="505"/>
      <c r="AP37" s="505"/>
      <c r="AQ37" s="505"/>
      <c r="AR37" s="505"/>
      <c r="AS37" s="505"/>
      <c r="AT37" s="505"/>
      <c r="AU37" s="505"/>
      <c r="AV37" s="505"/>
      <c r="AW37" s="505"/>
      <c r="AX37" s="505"/>
      <c r="AY37" s="505"/>
      <c r="AZ37" s="505"/>
      <c r="BA37" s="505"/>
      <c r="BB37" s="505"/>
      <c r="BC37" s="505"/>
      <c r="BD37" s="505"/>
      <c r="BE37" s="505"/>
      <c r="BF37" s="505"/>
      <c r="BG37" s="505"/>
      <c r="BH37" s="505"/>
      <c r="BI37" s="505"/>
      <c r="BJ37" s="505"/>
      <c r="BK37" s="505"/>
      <c r="BL37" s="505"/>
      <c r="BM37" s="505"/>
      <c r="BN37" s="505"/>
      <c r="BO37" s="505"/>
      <c r="BP37" s="505"/>
      <c r="BQ37" s="505"/>
      <c r="BR37" s="505"/>
      <c r="BS37" s="505"/>
      <c r="BT37" s="505"/>
      <c r="BU37" s="505"/>
      <c r="BV37" s="505"/>
      <c r="BW37" s="505"/>
      <c r="BX37" s="505"/>
      <c r="BY37" s="505"/>
      <c r="BZ37" s="505"/>
      <c r="CA37" s="505"/>
      <c r="CB37" s="505"/>
      <c r="CC37" s="505"/>
      <c r="CD37" s="505"/>
      <c r="CE37" s="505"/>
      <c r="CF37" s="505"/>
      <c r="CG37" s="505"/>
      <c r="CH37" s="505"/>
      <c r="CI37" s="505"/>
      <c r="CJ37" s="505"/>
      <c r="CK37" s="505"/>
    </row>
    <row r="38" spans="1:89" ht="20.100000000000001" customHeight="1">
      <c r="A38" s="400">
        <v>19</v>
      </c>
      <c r="B38" s="62" t="s">
        <v>79</v>
      </c>
      <c r="C38" s="428">
        <f>'T-1'!G45</f>
        <v>0</v>
      </c>
      <c r="D38" s="1315">
        <f t="shared" si="0"/>
        <v>0</v>
      </c>
      <c r="E38" s="428">
        <f>'T-1'!K45</f>
        <v>0.10138800000000001</v>
      </c>
      <c r="F38" s="1315">
        <f t="shared" si="1"/>
        <v>2.1045843435798074E-5</v>
      </c>
      <c r="G38" s="428">
        <f>'T-1'!N45</f>
        <v>0.2</v>
      </c>
      <c r="H38" s="1315">
        <f t="shared" si="2"/>
        <v>1.9859001092245056E-5</v>
      </c>
      <c r="I38" s="428">
        <f>'T-1'!S45</f>
        <v>0.1</v>
      </c>
      <c r="J38" s="1315">
        <f t="shared" si="3"/>
        <v>9.5401640890020687E-6</v>
      </c>
      <c r="K38" s="306"/>
      <c r="L38" s="505"/>
      <c r="M38" s="505"/>
      <c r="N38" s="505"/>
      <c r="O38" s="505"/>
      <c r="P38" s="505"/>
      <c r="Q38" s="505"/>
      <c r="R38" s="505"/>
      <c r="S38" s="505"/>
      <c r="T38" s="505"/>
      <c r="U38" s="505"/>
      <c r="V38" s="505"/>
      <c r="W38" s="505"/>
      <c r="X38" s="505"/>
      <c r="Y38" s="505"/>
      <c r="Z38" s="505"/>
      <c r="AA38" s="505"/>
      <c r="AB38" s="505"/>
      <c r="AC38" s="505"/>
      <c r="AD38" s="505"/>
      <c r="AE38" s="505"/>
      <c r="AF38" s="505"/>
      <c r="AG38" s="505"/>
      <c r="AH38" s="505"/>
      <c r="AI38" s="505"/>
      <c r="AJ38" s="505"/>
      <c r="AK38" s="505"/>
      <c r="AL38" s="505"/>
      <c r="AM38" s="505"/>
      <c r="AN38" s="505"/>
      <c r="AO38" s="505"/>
      <c r="AP38" s="505"/>
      <c r="AQ38" s="505"/>
      <c r="AR38" s="505"/>
      <c r="AS38" s="505"/>
      <c r="AT38" s="505"/>
      <c r="AU38" s="505"/>
      <c r="AV38" s="505"/>
      <c r="AW38" s="505"/>
      <c r="AX38" s="505"/>
      <c r="AY38" s="505"/>
      <c r="AZ38" s="505"/>
      <c r="BA38" s="505"/>
      <c r="BB38" s="505"/>
      <c r="BC38" s="505"/>
      <c r="BD38" s="505"/>
      <c r="BE38" s="505"/>
      <c r="BF38" s="505"/>
      <c r="BG38" s="505"/>
      <c r="BH38" s="505"/>
      <c r="BI38" s="505"/>
      <c r="BJ38" s="505"/>
      <c r="BK38" s="505"/>
      <c r="BL38" s="505"/>
      <c r="BM38" s="505"/>
      <c r="BN38" s="505"/>
      <c r="BO38" s="505"/>
      <c r="BP38" s="505"/>
      <c r="BQ38" s="505"/>
      <c r="BR38" s="505"/>
      <c r="BS38" s="505"/>
      <c r="BT38" s="505"/>
      <c r="BU38" s="505"/>
      <c r="BV38" s="505"/>
      <c r="BW38" s="505"/>
      <c r="BX38" s="505"/>
      <c r="BY38" s="505"/>
      <c r="BZ38" s="505"/>
      <c r="CA38" s="505"/>
      <c r="CB38" s="505"/>
      <c r="CC38" s="505"/>
      <c r="CD38" s="505"/>
      <c r="CE38" s="505"/>
      <c r="CF38" s="505"/>
      <c r="CG38" s="505"/>
      <c r="CH38" s="505"/>
      <c r="CI38" s="505"/>
      <c r="CJ38" s="505"/>
      <c r="CK38" s="505"/>
    </row>
    <row r="39" spans="1:89" ht="20.100000000000001" customHeight="1">
      <c r="A39" s="400">
        <v>20</v>
      </c>
      <c r="B39" s="62" t="s">
        <v>80</v>
      </c>
      <c r="C39" s="428">
        <f>'T-1'!G46</f>
        <v>128.14765196580004</v>
      </c>
      <c r="D39" s="1315">
        <f t="shared" si="0"/>
        <v>1.742130773630552E-2</v>
      </c>
      <c r="E39" s="428">
        <f>'T-1'!K46</f>
        <v>82.669579374999998</v>
      </c>
      <c r="F39" s="1315">
        <f t="shared" si="1"/>
        <v>1.7160324934208503E-2</v>
      </c>
      <c r="G39" s="428">
        <f>'T-1'!N46</f>
        <v>160</v>
      </c>
      <c r="H39" s="1315">
        <f t="shared" si="2"/>
        <v>1.5887200873796047E-2</v>
      </c>
      <c r="I39" s="428">
        <f>'T-1'!S46</f>
        <v>168</v>
      </c>
      <c r="J39" s="1315">
        <f t="shared" si="3"/>
        <v>1.6027475669523474E-2</v>
      </c>
      <c r="K39" s="306"/>
      <c r="L39" s="505"/>
      <c r="M39" s="505"/>
      <c r="N39" s="505"/>
      <c r="O39" s="505"/>
      <c r="P39" s="505"/>
      <c r="Q39" s="505"/>
      <c r="R39" s="505"/>
      <c r="S39" s="505"/>
      <c r="T39" s="505"/>
      <c r="U39" s="505"/>
      <c r="V39" s="505"/>
      <c r="W39" s="505"/>
      <c r="X39" s="505"/>
      <c r="Y39" s="505"/>
      <c r="Z39" s="505"/>
      <c r="AA39" s="505"/>
      <c r="AB39" s="505"/>
      <c r="AC39" s="505"/>
      <c r="AD39" s="505"/>
      <c r="AE39" s="505"/>
      <c r="AF39" s="505"/>
      <c r="AG39" s="505"/>
      <c r="AH39" s="505"/>
      <c r="AI39" s="505"/>
      <c r="AJ39" s="505"/>
      <c r="AK39" s="505"/>
      <c r="AL39" s="505"/>
      <c r="AM39" s="505"/>
      <c r="AN39" s="505"/>
      <c r="AO39" s="505"/>
      <c r="AP39" s="505"/>
      <c r="AQ39" s="505"/>
      <c r="AR39" s="505"/>
      <c r="AS39" s="505"/>
      <c r="AT39" s="505"/>
      <c r="AU39" s="505"/>
      <c r="AV39" s="505"/>
      <c r="AW39" s="505"/>
      <c r="AX39" s="505"/>
      <c r="AY39" s="505"/>
      <c r="AZ39" s="505"/>
      <c r="BA39" s="505"/>
      <c r="BB39" s="505"/>
      <c r="BC39" s="505"/>
      <c r="BD39" s="505"/>
      <c r="BE39" s="505"/>
      <c r="BF39" s="505"/>
      <c r="BG39" s="505"/>
      <c r="BH39" s="505"/>
      <c r="BI39" s="505"/>
      <c r="BJ39" s="505"/>
      <c r="BK39" s="505"/>
      <c r="BL39" s="505"/>
      <c r="BM39" s="505"/>
      <c r="BN39" s="505"/>
      <c r="BO39" s="505"/>
      <c r="BP39" s="505"/>
      <c r="BQ39" s="505"/>
      <c r="BR39" s="505"/>
      <c r="BS39" s="505"/>
      <c r="BT39" s="505"/>
      <c r="BU39" s="505"/>
      <c r="BV39" s="505"/>
      <c r="BW39" s="505"/>
      <c r="BX39" s="505"/>
      <c r="BY39" s="505"/>
      <c r="BZ39" s="505"/>
      <c r="CA39" s="505"/>
      <c r="CB39" s="505"/>
      <c r="CC39" s="505"/>
      <c r="CD39" s="505"/>
      <c r="CE39" s="505"/>
      <c r="CF39" s="505"/>
      <c r="CG39" s="505"/>
      <c r="CH39" s="505"/>
      <c r="CI39" s="505"/>
      <c r="CJ39" s="505"/>
      <c r="CK39" s="505"/>
    </row>
    <row r="40" spans="1:89" ht="20.100000000000001" customHeight="1">
      <c r="A40" s="400">
        <v>21</v>
      </c>
      <c r="B40" s="62" t="s">
        <v>81</v>
      </c>
      <c r="C40" s="428">
        <f>'T-1'!G47</f>
        <v>0</v>
      </c>
      <c r="D40" s="1315">
        <f t="shared" si="0"/>
        <v>0</v>
      </c>
      <c r="E40" s="428">
        <f>'T-1'!K47</f>
        <v>0</v>
      </c>
      <c r="F40" s="1315">
        <f t="shared" si="1"/>
        <v>0</v>
      </c>
      <c r="G40" s="428">
        <f>'T-1'!N47</f>
        <v>0</v>
      </c>
      <c r="H40" s="1315">
        <f t="shared" si="2"/>
        <v>0</v>
      </c>
      <c r="I40" s="428">
        <f>'T-1'!S47</f>
        <v>0</v>
      </c>
      <c r="J40" s="1315">
        <f t="shared" si="3"/>
        <v>0</v>
      </c>
      <c r="K40" s="306"/>
      <c r="L40" s="505"/>
      <c r="M40" s="505"/>
      <c r="N40" s="505"/>
      <c r="O40" s="505"/>
      <c r="P40" s="505"/>
      <c r="Q40" s="505"/>
      <c r="R40" s="505"/>
      <c r="S40" s="505"/>
      <c r="T40" s="505"/>
      <c r="U40" s="505"/>
      <c r="V40" s="505"/>
      <c r="W40" s="505"/>
      <c r="X40" s="505"/>
      <c r="Y40" s="505"/>
      <c r="Z40" s="505"/>
      <c r="AA40" s="505"/>
      <c r="AB40" s="505"/>
      <c r="AC40" s="505"/>
      <c r="AD40" s="505"/>
      <c r="AE40" s="505"/>
      <c r="AF40" s="505"/>
      <c r="AG40" s="505"/>
      <c r="AH40" s="505"/>
      <c r="AI40" s="505"/>
      <c r="AJ40" s="505"/>
      <c r="AK40" s="505"/>
      <c r="AL40" s="505"/>
      <c r="AM40" s="505"/>
      <c r="AN40" s="505"/>
      <c r="AO40" s="505"/>
      <c r="AP40" s="505"/>
      <c r="AQ40" s="505"/>
      <c r="AR40" s="505"/>
      <c r="AS40" s="505"/>
      <c r="AT40" s="505"/>
      <c r="AU40" s="505"/>
      <c r="AV40" s="505"/>
      <c r="AW40" s="505"/>
      <c r="AX40" s="505"/>
      <c r="AY40" s="505"/>
      <c r="AZ40" s="505"/>
      <c r="BA40" s="505"/>
      <c r="BB40" s="505"/>
      <c r="BC40" s="505"/>
      <c r="BD40" s="505"/>
      <c r="BE40" s="505"/>
      <c r="BF40" s="505"/>
      <c r="BG40" s="505"/>
      <c r="BH40" s="505"/>
      <c r="BI40" s="505"/>
      <c r="BJ40" s="505"/>
      <c r="BK40" s="505"/>
      <c r="BL40" s="505"/>
      <c r="BM40" s="505"/>
      <c r="BN40" s="505"/>
      <c r="BO40" s="505"/>
      <c r="BP40" s="505"/>
      <c r="BQ40" s="505"/>
      <c r="BR40" s="505"/>
      <c r="BS40" s="505"/>
      <c r="BT40" s="505"/>
      <c r="BU40" s="505"/>
      <c r="BV40" s="505"/>
      <c r="BW40" s="505"/>
      <c r="BX40" s="505"/>
      <c r="BY40" s="505"/>
      <c r="BZ40" s="505"/>
      <c r="CA40" s="505"/>
      <c r="CB40" s="505"/>
      <c r="CC40" s="505"/>
      <c r="CD40" s="505"/>
      <c r="CE40" s="505"/>
      <c r="CF40" s="505"/>
      <c r="CG40" s="505"/>
      <c r="CH40" s="505"/>
      <c r="CI40" s="505"/>
      <c r="CJ40" s="505"/>
      <c r="CK40" s="505"/>
    </row>
    <row r="41" spans="1:89" ht="20.100000000000001" customHeight="1">
      <c r="A41" s="400">
        <v>22</v>
      </c>
      <c r="B41" s="62" t="s">
        <v>82</v>
      </c>
      <c r="C41" s="428">
        <f>'T-1'!G48</f>
        <v>33.402508919999995</v>
      </c>
      <c r="D41" s="1315">
        <f t="shared" si="0"/>
        <v>4.5409758051229163E-3</v>
      </c>
      <c r="E41" s="428">
        <f>'T-1'!K48</f>
        <v>21.23571922</v>
      </c>
      <c r="F41" s="1315">
        <f t="shared" si="1"/>
        <v>4.4080524514803331E-3</v>
      </c>
      <c r="G41" s="428">
        <f>'T-1'!N48</f>
        <v>42</v>
      </c>
      <c r="H41" s="1315">
        <f t="shared" si="2"/>
        <v>4.1703902293714614E-3</v>
      </c>
      <c r="I41" s="428">
        <f>'T-1'!S48</f>
        <v>43</v>
      </c>
      <c r="J41" s="1315">
        <f t="shared" si="3"/>
        <v>4.1022705582708895E-3</v>
      </c>
      <c r="K41" s="306"/>
      <c r="L41" s="505"/>
      <c r="M41" s="505"/>
      <c r="N41" s="505"/>
      <c r="O41" s="505"/>
      <c r="P41" s="505"/>
      <c r="Q41" s="505"/>
      <c r="R41" s="505"/>
      <c r="S41" s="505"/>
      <c r="T41" s="505"/>
      <c r="U41" s="505"/>
      <c r="V41" s="505"/>
      <c r="W41" s="505"/>
      <c r="X41" s="505"/>
      <c r="Y41" s="505"/>
      <c r="Z41" s="505"/>
      <c r="AA41" s="505"/>
      <c r="AB41" s="505"/>
      <c r="AC41" s="505"/>
      <c r="AD41" s="505"/>
      <c r="AE41" s="505"/>
      <c r="AF41" s="505"/>
      <c r="AG41" s="505"/>
      <c r="AH41" s="505"/>
      <c r="AI41" s="505"/>
      <c r="AJ41" s="505"/>
      <c r="AK41" s="505"/>
      <c r="AL41" s="505"/>
      <c r="AM41" s="505"/>
      <c r="AN41" s="505"/>
      <c r="AO41" s="505"/>
      <c r="AP41" s="505"/>
      <c r="AQ41" s="505"/>
      <c r="AR41" s="505"/>
      <c r="AS41" s="505"/>
      <c r="AT41" s="505"/>
      <c r="AU41" s="505"/>
      <c r="AV41" s="505"/>
      <c r="AW41" s="505"/>
      <c r="AX41" s="505"/>
      <c r="AY41" s="505"/>
      <c r="AZ41" s="505"/>
      <c r="BA41" s="505"/>
      <c r="BB41" s="505"/>
      <c r="BC41" s="505"/>
      <c r="BD41" s="505"/>
      <c r="BE41" s="505"/>
      <c r="BF41" s="505"/>
      <c r="BG41" s="505"/>
      <c r="BH41" s="505"/>
      <c r="BI41" s="505"/>
      <c r="BJ41" s="505"/>
      <c r="BK41" s="505"/>
      <c r="BL41" s="505"/>
      <c r="BM41" s="505"/>
      <c r="BN41" s="505"/>
      <c r="BO41" s="505"/>
      <c r="BP41" s="505"/>
      <c r="BQ41" s="505"/>
      <c r="BR41" s="505"/>
      <c r="BS41" s="505"/>
      <c r="BT41" s="505"/>
      <c r="BU41" s="505"/>
      <c r="BV41" s="505"/>
      <c r="BW41" s="505"/>
      <c r="BX41" s="505"/>
      <c r="BY41" s="505"/>
      <c r="BZ41" s="505"/>
      <c r="CA41" s="505"/>
      <c r="CB41" s="505"/>
      <c r="CC41" s="505"/>
      <c r="CD41" s="505"/>
      <c r="CE41" s="505"/>
      <c r="CF41" s="505"/>
      <c r="CG41" s="505"/>
      <c r="CH41" s="505"/>
      <c r="CI41" s="505"/>
      <c r="CJ41" s="505"/>
      <c r="CK41" s="505"/>
    </row>
    <row r="42" spans="1:89" ht="20.100000000000001" customHeight="1">
      <c r="A42" s="400">
        <v>23</v>
      </c>
      <c r="B42" s="62" t="s">
        <v>73</v>
      </c>
      <c r="C42" s="428">
        <f>'T-1'!G49</f>
        <v>951.98521253900003</v>
      </c>
      <c r="D42" s="1315">
        <f t="shared" si="0"/>
        <v>0.12941967405286742</v>
      </c>
      <c r="E42" s="428">
        <f>'T-1'!K49</f>
        <v>500.79982005260905</v>
      </c>
      <c r="F42" s="1315">
        <f t="shared" si="1"/>
        <v>0.10395465543755729</v>
      </c>
      <c r="G42" s="428">
        <f>'T-1'!N49</f>
        <v>950.7</v>
      </c>
      <c r="H42" s="1315">
        <f t="shared" si="2"/>
        <v>9.4399761691986883E-2</v>
      </c>
      <c r="I42" s="428">
        <f>'T-1'!S49</f>
        <v>985</v>
      </c>
      <c r="J42" s="1315">
        <f t="shared" si="3"/>
        <v>9.3970616276670374E-2</v>
      </c>
      <c r="K42" s="306"/>
      <c r="L42" s="505"/>
      <c r="M42" s="505"/>
      <c r="N42" s="505"/>
      <c r="O42" s="505"/>
      <c r="P42" s="505"/>
      <c r="Q42" s="505"/>
      <c r="R42" s="505"/>
      <c r="S42" s="505"/>
      <c r="T42" s="505"/>
      <c r="U42" s="505"/>
      <c r="V42" s="505"/>
      <c r="W42" s="505"/>
      <c r="X42" s="505"/>
      <c r="Y42" s="505"/>
      <c r="Z42" s="505"/>
      <c r="AA42" s="505"/>
      <c r="AB42" s="505"/>
      <c r="AC42" s="505"/>
      <c r="AD42" s="505"/>
      <c r="AE42" s="505"/>
      <c r="AF42" s="505"/>
      <c r="AG42" s="505"/>
      <c r="AH42" s="505"/>
      <c r="AI42" s="505"/>
      <c r="AJ42" s="505"/>
      <c r="AK42" s="505"/>
      <c r="AL42" s="505"/>
      <c r="AM42" s="505"/>
      <c r="AN42" s="505"/>
      <c r="AO42" s="505"/>
      <c r="AP42" s="505"/>
      <c r="AQ42" s="505"/>
      <c r="AR42" s="505"/>
      <c r="AS42" s="505"/>
      <c r="AT42" s="505"/>
      <c r="AU42" s="505"/>
      <c r="AV42" s="505"/>
      <c r="AW42" s="505"/>
      <c r="AX42" s="505"/>
      <c r="AY42" s="505"/>
      <c r="AZ42" s="505"/>
      <c r="BA42" s="505"/>
      <c r="BB42" s="505"/>
      <c r="BC42" s="505"/>
      <c r="BD42" s="505"/>
      <c r="BE42" s="505"/>
      <c r="BF42" s="505"/>
      <c r="BG42" s="505"/>
      <c r="BH42" s="505"/>
      <c r="BI42" s="505"/>
      <c r="BJ42" s="505"/>
      <c r="BK42" s="505"/>
      <c r="BL42" s="505"/>
      <c r="BM42" s="505"/>
      <c r="BN42" s="505"/>
      <c r="BO42" s="505"/>
      <c r="BP42" s="505"/>
      <c r="BQ42" s="505"/>
      <c r="BR42" s="505"/>
      <c r="BS42" s="505"/>
      <c r="BT42" s="505"/>
      <c r="BU42" s="505"/>
      <c r="BV42" s="505"/>
      <c r="BW42" s="505"/>
      <c r="BX42" s="505"/>
      <c r="BY42" s="505"/>
      <c r="BZ42" s="505"/>
      <c r="CA42" s="505"/>
      <c r="CB42" s="505"/>
      <c r="CC42" s="505"/>
      <c r="CD42" s="505"/>
      <c r="CE42" s="505"/>
      <c r="CF42" s="505"/>
      <c r="CG42" s="505"/>
      <c r="CH42" s="505"/>
      <c r="CI42" s="505"/>
      <c r="CJ42" s="505"/>
      <c r="CK42" s="505"/>
    </row>
    <row r="43" spans="1:89" ht="20.100000000000001" customHeight="1">
      <c r="A43" s="400">
        <v>24</v>
      </c>
      <c r="B43" s="1310" t="s">
        <v>2127</v>
      </c>
      <c r="C43" s="428">
        <f>'T-1'!G50</f>
        <v>0</v>
      </c>
      <c r="D43" s="1315">
        <f t="shared" si="0"/>
        <v>0</v>
      </c>
      <c r="E43" s="428">
        <f>'T-1'!K50</f>
        <v>5</v>
      </c>
      <c r="F43" s="1315">
        <f t="shared" si="1"/>
        <v>1.0378863098097445E-3</v>
      </c>
      <c r="G43" s="428">
        <f>'T-1'!N50</f>
        <v>10</v>
      </c>
      <c r="H43" s="1315">
        <f t="shared" si="2"/>
        <v>9.9295005461225291E-4</v>
      </c>
      <c r="I43" s="428">
        <f>'T-1'!S50</f>
        <v>15</v>
      </c>
      <c r="J43" s="1315">
        <f t="shared" si="3"/>
        <v>1.4310246133503104E-3</v>
      </c>
      <c r="K43" s="306"/>
      <c r="L43" s="505"/>
      <c r="M43" s="505"/>
      <c r="N43" s="505"/>
      <c r="O43" s="505"/>
      <c r="P43" s="505"/>
      <c r="Q43" s="505"/>
      <c r="R43" s="505"/>
      <c r="S43" s="505"/>
      <c r="T43" s="505"/>
      <c r="U43" s="505"/>
      <c r="V43" s="505"/>
      <c r="W43" s="505"/>
      <c r="X43" s="505"/>
      <c r="Y43" s="505"/>
      <c r="Z43" s="505"/>
      <c r="AA43" s="505"/>
      <c r="AB43" s="505"/>
      <c r="AC43" s="505"/>
      <c r="AD43" s="505"/>
      <c r="AE43" s="505"/>
      <c r="AF43" s="505"/>
      <c r="AG43" s="505"/>
      <c r="AH43" s="505"/>
      <c r="AI43" s="505"/>
      <c r="AJ43" s="505"/>
      <c r="AK43" s="505"/>
      <c r="AL43" s="505"/>
      <c r="AM43" s="505"/>
      <c r="AN43" s="505"/>
      <c r="AO43" s="505"/>
      <c r="AP43" s="505"/>
      <c r="AQ43" s="505"/>
      <c r="AR43" s="505"/>
      <c r="AS43" s="505"/>
      <c r="AT43" s="505"/>
      <c r="AU43" s="505"/>
      <c r="AV43" s="505"/>
      <c r="AW43" s="505"/>
      <c r="AX43" s="505"/>
      <c r="AY43" s="505"/>
      <c r="AZ43" s="505"/>
      <c r="BA43" s="505"/>
      <c r="BB43" s="505"/>
      <c r="BC43" s="505"/>
      <c r="BD43" s="505"/>
      <c r="BE43" s="505"/>
      <c r="BF43" s="505"/>
      <c r="BG43" s="505"/>
      <c r="BH43" s="505"/>
      <c r="BI43" s="505"/>
      <c r="BJ43" s="505"/>
      <c r="BK43" s="505"/>
      <c r="BL43" s="505"/>
      <c r="BM43" s="505"/>
      <c r="BN43" s="505"/>
      <c r="BO43" s="505"/>
      <c r="BP43" s="505"/>
      <c r="BQ43" s="505"/>
      <c r="BR43" s="505"/>
      <c r="BS43" s="505"/>
      <c r="BT43" s="505"/>
      <c r="BU43" s="505"/>
      <c r="BV43" s="505"/>
      <c r="BW43" s="505"/>
      <c r="BX43" s="505"/>
      <c r="BY43" s="505"/>
      <c r="BZ43" s="505"/>
      <c r="CA43" s="505"/>
      <c r="CB43" s="505"/>
      <c r="CC43" s="505"/>
      <c r="CD43" s="505"/>
      <c r="CE43" s="505"/>
      <c r="CF43" s="505"/>
      <c r="CG43" s="505"/>
      <c r="CH43" s="505"/>
      <c r="CI43" s="505"/>
      <c r="CJ43" s="505"/>
      <c r="CK43" s="505"/>
    </row>
    <row r="44" spans="1:89" ht="20.100000000000001" customHeight="1">
      <c r="A44" s="400">
        <v>25</v>
      </c>
      <c r="B44" s="62" t="s">
        <v>83</v>
      </c>
      <c r="C44" s="428">
        <f>'T-1'!G51</f>
        <v>502.79085599999985</v>
      </c>
      <c r="D44" s="1315">
        <f t="shared" si="0"/>
        <v>6.8352982633767975E-2</v>
      </c>
      <c r="E44" s="428">
        <f>'T-1'!K51</f>
        <v>283.425836</v>
      </c>
      <c r="F44" s="1315">
        <f t="shared" si="1"/>
        <v>5.8832759006156365E-2</v>
      </c>
      <c r="G44" s="428">
        <f>'T-1'!N51</f>
        <v>580</v>
      </c>
      <c r="H44" s="1315">
        <f t="shared" si="2"/>
        <v>5.7591103167510663E-2</v>
      </c>
      <c r="I44" s="428">
        <f>'T-1'!S51</f>
        <v>610</v>
      </c>
      <c r="J44" s="1315">
        <f t="shared" si="3"/>
        <v>5.819500094291262E-2</v>
      </c>
      <c r="K44" s="306"/>
      <c r="L44" s="505"/>
      <c r="M44" s="505"/>
      <c r="N44" s="505"/>
      <c r="O44" s="505"/>
      <c r="P44" s="505"/>
      <c r="Q44" s="505"/>
      <c r="R44" s="505"/>
      <c r="S44" s="505"/>
      <c r="T44" s="505"/>
      <c r="U44" s="505"/>
      <c r="V44" s="505"/>
      <c r="W44" s="505"/>
      <c r="X44" s="505"/>
      <c r="Y44" s="505"/>
      <c r="Z44" s="505"/>
      <c r="AA44" s="505"/>
      <c r="AB44" s="505"/>
      <c r="AC44" s="505"/>
      <c r="AD44" s="505"/>
      <c r="AE44" s="505"/>
      <c r="AF44" s="505"/>
      <c r="AG44" s="505"/>
      <c r="AH44" s="505"/>
      <c r="AI44" s="505"/>
      <c r="AJ44" s="505"/>
      <c r="AK44" s="505"/>
      <c r="AL44" s="505"/>
      <c r="AM44" s="505"/>
      <c r="AN44" s="505"/>
      <c r="AO44" s="505"/>
      <c r="AP44" s="505"/>
      <c r="AQ44" s="505"/>
      <c r="AR44" s="505"/>
      <c r="AS44" s="505"/>
      <c r="AT44" s="505"/>
      <c r="AU44" s="505"/>
      <c r="AV44" s="505"/>
      <c r="AW44" s="505"/>
      <c r="AX44" s="505"/>
      <c r="AY44" s="505"/>
      <c r="AZ44" s="505"/>
      <c r="BA44" s="505"/>
      <c r="BB44" s="505"/>
      <c r="BC44" s="505"/>
      <c r="BD44" s="505"/>
      <c r="BE44" s="505"/>
      <c r="BF44" s="505"/>
      <c r="BG44" s="505"/>
      <c r="BH44" s="505"/>
      <c r="BI44" s="505"/>
      <c r="BJ44" s="505"/>
      <c r="BK44" s="505"/>
      <c r="BL44" s="505"/>
      <c r="BM44" s="505"/>
      <c r="BN44" s="505"/>
      <c r="BO44" s="505"/>
      <c r="BP44" s="505"/>
      <c r="BQ44" s="505"/>
      <c r="BR44" s="505"/>
      <c r="BS44" s="505"/>
      <c r="BT44" s="505"/>
      <c r="BU44" s="505"/>
      <c r="BV44" s="505"/>
      <c r="BW44" s="505"/>
      <c r="BX44" s="505"/>
      <c r="BY44" s="505"/>
      <c r="BZ44" s="505"/>
      <c r="CA44" s="505"/>
      <c r="CB44" s="505"/>
      <c r="CC44" s="505"/>
      <c r="CD44" s="505"/>
      <c r="CE44" s="505"/>
      <c r="CF44" s="505"/>
      <c r="CG44" s="505"/>
      <c r="CH44" s="505"/>
      <c r="CI44" s="505"/>
      <c r="CJ44" s="505"/>
      <c r="CK44" s="505"/>
    </row>
    <row r="45" spans="1:89" ht="20.100000000000001" customHeight="1">
      <c r="A45" s="400">
        <v>26</v>
      </c>
      <c r="B45" s="62" t="s">
        <v>84</v>
      </c>
      <c r="C45" s="428">
        <f>'T-1'!G52</f>
        <v>136.43827999999999</v>
      </c>
      <c r="D45" s="1315">
        <f t="shared" si="0"/>
        <v>1.8548394968068344E-2</v>
      </c>
      <c r="E45" s="428">
        <f>'T-1'!K52</f>
        <v>81.761880000000005</v>
      </c>
      <c r="F45" s="1315">
        <f t="shared" si="1"/>
        <v>1.6971907183261432E-2</v>
      </c>
      <c r="G45" s="428">
        <f>'T-1'!N52</f>
        <v>166.6</v>
      </c>
      <c r="H45" s="1315">
        <f t="shared" si="2"/>
        <v>1.6542547909840132E-2</v>
      </c>
      <c r="I45" s="428">
        <f>'T-1'!S52</f>
        <v>175</v>
      </c>
      <c r="J45" s="1315">
        <f t="shared" si="3"/>
        <v>1.6695287155753621E-2</v>
      </c>
      <c r="K45" s="306"/>
      <c r="L45" s="505"/>
      <c r="M45" s="505"/>
      <c r="N45" s="505"/>
      <c r="O45" s="505"/>
      <c r="P45" s="505"/>
      <c r="Q45" s="505"/>
      <c r="R45" s="505"/>
      <c r="S45" s="505"/>
      <c r="T45" s="505"/>
      <c r="U45" s="505"/>
      <c r="V45" s="505"/>
      <c r="W45" s="505"/>
      <c r="X45" s="505"/>
      <c r="Y45" s="505"/>
      <c r="Z45" s="505"/>
      <c r="AA45" s="505"/>
      <c r="AB45" s="505"/>
      <c r="AC45" s="505"/>
      <c r="AD45" s="505"/>
      <c r="AE45" s="505"/>
      <c r="AF45" s="505"/>
      <c r="AG45" s="505"/>
      <c r="AH45" s="505"/>
      <c r="AI45" s="505"/>
      <c r="AJ45" s="505"/>
      <c r="AK45" s="505"/>
      <c r="AL45" s="505"/>
      <c r="AM45" s="505"/>
      <c r="AN45" s="505"/>
      <c r="AO45" s="505"/>
      <c r="AP45" s="505"/>
      <c r="AQ45" s="505"/>
      <c r="AR45" s="505"/>
      <c r="AS45" s="505"/>
      <c r="AT45" s="505"/>
      <c r="AU45" s="505"/>
      <c r="AV45" s="505"/>
      <c r="AW45" s="505"/>
      <c r="AX45" s="505"/>
      <c r="AY45" s="505"/>
      <c r="AZ45" s="505"/>
      <c r="BA45" s="505"/>
      <c r="BB45" s="505"/>
      <c r="BC45" s="505"/>
      <c r="BD45" s="505"/>
      <c r="BE45" s="505"/>
      <c r="BF45" s="505"/>
      <c r="BG45" s="505"/>
      <c r="BH45" s="505"/>
      <c r="BI45" s="505"/>
      <c r="BJ45" s="505"/>
      <c r="BK45" s="505"/>
      <c r="BL45" s="505"/>
      <c r="BM45" s="505"/>
      <c r="BN45" s="505"/>
      <c r="BO45" s="505"/>
      <c r="BP45" s="505"/>
      <c r="BQ45" s="505"/>
      <c r="BR45" s="505"/>
      <c r="BS45" s="505"/>
      <c r="BT45" s="505"/>
      <c r="BU45" s="505"/>
      <c r="BV45" s="505"/>
      <c r="BW45" s="505"/>
      <c r="BX45" s="505"/>
      <c r="BY45" s="505"/>
      <c r="BZ45" s="505"/>
      <c r="CA45" s="505"/>
      <c r="CB45" s="505"/>
      <c r="CC45" s="505"/>
      <c r="CD45" s="505"/>
      <c r="CE45" s="505"/>
      <c r="CF45" s="505"/>
      <c r="CG45" s="505"/>
      <c r="CH45" s="505"/>
      <c r="CI45" s="505"/>
      <c r="CJ45" s="505"/>
      <c r="CK45" s="505"/>
    </row>
    <row r="46" spans="1:89" ht="20.100000000000001" customHeight="1">
      <c r="A46" s="400">
        <v>27</v>
      </c>
      <c r="B46" s="62" t="s">
        <v>85</v>
      </c>
      <c r="C46" s="428">
        <f>'T-1'!G53</f>
        <v>1.5167999999999999</v>
      </c>
      <c r="D46" s="1315">
        <f t="shared" si="0"/>
        <v>2.0620463324197625E-4</v>
      </c>
      <c r="E46" s="428">
        <f>'T-1'!K53</f>
        <v>0</v>
      </c>
      <c r="F46" s="1315">
        <f t="shared" si="1"/>
        <v>0</v>
      </c>
      <c r="G46" s="428">
        <f>'T-1'!N53</f>
        <v>0</v>
      </c>
      <c r="H46" s="1315">
        <f t="shared" si="2"/>
        <v>0</v>
      </c>
      <c r="I46" s="428">
        <f>'T-1'!S53</f>
        <v>9.9999999999999995E-7</v>
      </c>
      <c r="J46" s="1315">
        <f t="shared" si="3"/>
        <v>9.5401640890020675E-11</v>
      </c>
      <c r="K46" s="306"/>
      <c r="L46" s="505"/>
      <c r="M46" s="505"/>
      <c r="N46" s="505"/>
      <c r="O46" s="505"/>
      <c r="P46" s="505"/>
      <c r="Q46" s="505"/>
      <c r="R46" s="505"/>
      <c r="S46" s="505"/>
      <c r="T46" s="505"/>
      <c r="U46" s="505"/>
      <c r="V46" s="505"/>
      <c r="W46" s="505"/>
      <c r="X46" s="505"/>
      <c r="Y46" s="505"/>
      <c r="Z46" s="505"/>
      <c r="AA46" s="505"/>
      <c r="AB46" s="505"/>
      <c r="AC46" s="505"/>
      <c r="AD46" s="505"/>
      <c r="AE46" s="505"/>
      <c r="AF46" s="505"/>
      <c r="AG46" s="505"/>
      <c r="AH46" s="505"/>
      <c r="AI46" s="505"/>
      <c r="AJ46" s="505"/>
      <c r="AK46" s="505"/>
      <c r="AL46" s="505"/>
      <c r="AM46" s="505"/>
      <c r="AN46" s="505"/>
      <c r="AO46" s="505"/>
      <c r="AP46" s="505"/>
      <c r="AQ46" s="505"/>
      <c r="AR46" s="505"/>
      <c r="AS46" s="505"/>
      <c r="AT46" s="505"/>
      <c r="AU46" s="505"/>
      <c r="AV46" s="505"/>
      <c r="AW46" s="505"/>
      <c r="AX46" s="505"/>
      <c r="AY46" s="505"/>
      <c r="AZ46" s="505"/>
      <c r="BA46" s="505"/>
      <c r="BB46" s="505"/>
      <c r="BC46" s="505"/>
      <c r="BD46" s="505"/>
      <c r="BE46" s="505"/>
      <c r="BF46" s="505"/>
      <c r="BG46" s="505"/>
      <c r="BH46" s="505"/>
      <c r="BI46" s="505"/>
      <c r="BJ46" s="505"/>
      <c r="BK46" s="505"/>
      <c r="BL46" s="505"/>
      <c r="BM46" s="505"/>
      <c r="BN46" s="505"/>
      <c r="BO46" s="505"/>
      <c r="BP46" s="505"/>
      <c r="BQ46" s="505"/>
      <c r="BR46" s="505"/>
      <c r="BS46" s="505"/>
      <c r="BT46" s="505"/>
      <c r="BU46" s="505"/>
      <c r="BV46" s="505"/>
      <c r="BW46" s="505"/>
      <c r="BX46" s="505"/>
      <c r="BY46" s="505"/>
      <c r="BZ46" s="505"/>
      <c r="CA46" s="505"/>
      <c r="CB46" s="505"/>
      <c r="CC46" s="505"/>
      <c r="CD46" s="505"/>
      <c r="CE46" s="505"/>
      <c r="CF46" s="505"/>
      <c r="CG46" s="505"/>
      <c r="CH46" s="505"/>
      <c r="CI46" s="505"/>
      <c r="CJ46" s="505"/>
      <c r="CK46" s="505"/>
    </row>
    <row r="47" spans="1:89" ht="20.100000000000001" customHeight="1">
      <c r="A47" s="400">
        <v>28</v>
      </c>
      <c r="B47" s="62" t="s">
        <v>86</v>
      </c>
      <c r="C47" s="428">
        <f>'T-1'!G54</f>
        <v>0</v>
      </c>
      <c r="D47" s="1315">
        <f t="shared" si="0"/>
        <v>0</v>
      </c>
      <c r="E47" s="428">
        <f>'T-1'!K54</f>
        <v>0</v>
      </c>
      <c r="F47" s="1315">
        <f t="shared" si="1"/>
        <v>0</v>
      </c>
      <c r="G47" s="428">
        <f>'T-1'!N54</f>
        <v>0</v>
      </c>
      <c r="H47" s="1315">
        <f t="shared" si="2"/>
        <v>0</v>
      </c>
      <c r="I47" s="428">
        <f>'T-1'!S54</f>
        <v>9.9999999999999995E-7</v>
      </c>
      <c r="J47" s="1315">
        <f t="shared" si="3"/>
        <v>9.5401640890020675E-11</v>
      </c>
      <c r="K47" s="306"/>
      <c r="L47" s="505"/>
      <c r="M47" s="505"/>
      <c r="N47" s="505"/>
      <c r="O47" s="505"/>
      <c r="P47" s="505"/>
      <c r="Q47" s="505"/>
      <c r="R47" s="505"/>
      <c r="S47" s="505"/>
      <c r="T47" s="505"/>
      <c r="U47" s="505"/>
      <c r="V47" s="505"/>
      <c r="W47" s="505"/>
      <c r="X47" s="505"/>
      <c r="Y47" s="505"/>
      <c r="Z47" s="505"/>
      <c r="AA47" s="505"/>
      <c r="AB47" s="505"/>
      <c r="AC47" s="505"/>
      <c r="AD47" s="505"/>
      <c r="AE47" s="505"/>
      <c r="AF47" s="505"/>
      <c r="AG47" s="505"/>
      <c r="AH47" s="505"/>
      <c r="AI47" s="505"/>
      <c r="AJ47" s="505"/>
      <c r="AK47" s="505"/>
      <c r="AL47" s="505"/>
      <c r="AM47" s="505"/>
      <c r="AN47" s="505"/>
      <c r="AO47" s="505"/>
      <c r="AP47" s="505"/>
      <c r="AQ47" s="505"/>
      <c r="AR47" s="505"/>
      <c r="AS47" s="505"/>
      <c r="AT47" s="505"/>
      <c r="AU47" s="505"/>
      <c r="AV47" s="505"/>
      <c r="AW47" s="505"/>
      <c r="AX47" s="505"/>
      <c r="AY47" s="505"/>
      <c r="AZ47" s="505"/>
      <c r="BA47" s="505"/>
      <c r="BB47" s="505"/>
      <c r="BC47" s="505"/>
      <c r="BD47" s="505"/>
      <c r="BE47" s="505"/>
      <c r="BF47" s="505"/>
      <c r="BG47" s="505"/>
      <c r="BH47" s="505"/>
      <c r="BI47" s="505"/>
      <c r="BJ47" s="505"/>
      <c r="BK47" s="505"/>
      <c r="BL47" s="505"/>
      <c r="BM47" s="505"/>
      <c r="BN47" s="505"/>
      <c r="BO47" s="505"/>
      <c r="BP47" s="505"/>
      <c r="BQ47" s="505"/>
      <c r="BR47" s="505"/>
      <c r="BS47" s="505"/>
      <c r="BT47" s="505"/>
      <c r="BU47" s="505"/>
      <c r="BV47" s="505"/>
      <c r="BW47" s="505"/>
      <c r="BX47" s="505"/>
      <c r="BY47" s="505"/>
      <c r="BZ47" s="505"/>
      <c r="CA47" s="505"/>
      <c r="CB47" s="505"/>
      <c r="CC47" s="505"/>
      <c r="CD47" s="505"/>
      <c r="CE47" s="505"/>
      <c r="CF47" s="505"/>
      <c r="CG47" s="505"/>
      <c r="CH47" s="505"/>
      <c r="CI47" s="505"/>
      <c r="CJ47" s="505"/>
      <c r="CK47" s="505"/>
    </row>
    <row r="48" spans="1:89" ht="20.100000000000001" customHeight="1">
      <c r="A48" s="400">
        <v>29</v>
      </c>
      <c r="B48" s="62" t="s">
        <v>87</v>
      </c>
      <c r="C48" s="428">
        <f>'T-1'!G55</f>
        <v>4.4749999999999996</v>
      </c>
      <c r="D48" s="1315">
        <f t="shared" si="0"/>
        <v>6.083634848087049E-4</v>
      </c>
      <c r="E48" s="428">
        <f>'T-1'!K55</f>
        <v>3.8098000000000005</v>
      </c>
      <c r="F48" s="1315">
        <f t="shared" si="1"/>
        <v>7.90827852622633E-4</v>
      </c>
      <c r="G48" s="428">
        <f>'T-1'!N55</f>
        <v>5</v>
      </c>
      <c r="H48" s="1315">
        <f t="shared" si="2"/>
        <v>4.9647502730612646E-4</v>
      </c>
      <c r="I48" s="428">
        <f>'T-1'!S55</f>
        <v>4.2</v>
      </c>
      <c r="J48" s="1315">
        <f t="shared" si="3"/>
        <v>4.0068689173808689E-4</v>
      </c>
      <c r="K48" s="306"/>
      <c r="L48" s="505"/>
      <c r="M48" s="505"/>
      <c r="N48" s="505"/>
      <c r="O48" s="505"/>
      <c r="P48" s="505"/>
      <c r="Q48" s="505"/>
      <c r="R48" s="505"/>
      <c r="S48" s="505"/>
      <c r="T48" s="505"/>
      <c r="U48" s="505"/>
      <c r="V48" s="505"/>
      <c r="W48" s="505"/>
      <c r="X48" s="505"/>
      <c r="Y48" s="505"/>
      <c r="Z48" s="505"/>
      <c r="AA48" s="505"/>
      <c r="AB48" s="505"/>
      <c r="AC48" s="505"/>
      <c r="AD48" s="505"/>
      <c r="AE48" s="505"/>
      <c r="AF48" s="505"/>
      <c r="AG48" s="505"/>
      <c r="AH48" s="505"/>
      <c r="AI48" s="505"/>
      <c r="AJ48" s="505"/>
      <c r="AK48" s="505"/>
      <c r="AL48" s="505"/>
      <c r="AM48" s="505"/>
      <c r="AN48" s="505"/>
      <c r="AO48" s="505"/>
      <c r="AP48" s="505"/>
      <c r="AQ48" s="505"/>
      <c r="AR48" s="505"/>
      <c r="AS48" s="505"/>
      <c r="AT48" s="505"/>
      <c r="AU48" s="505"/>
      <c r="AV48" s="505"/>
      <c r="AW48" s="505"/>
      <c r="AX48" s="505"/>
      <c r="AY48" s="505"/>
      <c r="AZ48" s="505"/>
      <c r="BA48" s="505"/>
      <c r="BB48" s="505"/>
      <c r="BC48" s="505"/>
      <c r="BD48" s="505"/>
      <c r="BE48" s="505"/>
      <c r="BF48" s="505"/>
      <c r="BG48" s="505"/>
      <c r="BH48" s="505"/>
      <c r="BI48" s="505"/>
      <c r="BJ48" s="505"/>
      <c r="BK48" s="505"/>
      <c r="BL48" s="505"/>
      <c r="BM48" s="505"/>
      <c r="BN48" s="505"/>
      <c r="BO48" s="505"/>
      <c r="BP48" s="505"/>
      <c r="BQ48" s="505"/>
      <c r="BR48" s="505"/>
      <c r="BS48" s="505"/>
      <c r="BT48" s="505"/>
      <c r="BU48" s="505"/>
      <c r="BV48" s="505"/>
      <c r="BW48" s="505"/>
      <c r="BX48" s="505"/>
      <c r="BY48" s="505"/>
      <c r="BZ48" s="505"/>
      <c r="CA48" s="505"/>
      <c r="CB48" s="505"/>
      <c r="CC48" s="505"/>
      <c r="CD48" s="505"/>
      <c r="CE48" s="505"/>
      <c r="CF48" s="505"/>
      <c r="CG48" s="505"/>
      <c r="CH48" s="505"/>
      <c r="CI48" s="505"/>
      <c r="CJ48" s="505"/>
      <c r="CK48" s="505"/>
    </row>
    <row r="49" spans="1:89" ht="20.100000000000001" customHeight="1">
      <c r="A49" s="400"/>
      <c r="B49" s="1311" t="s">
        <v>88</v>
      </c>
      <c r="C49" s="110">
        <f>SUM(C33:C48)</f>
        <v>1847.6532453448001</v>
      </c>
      <c r="D49" s="415">
        <f t="shared" si="0"/>
        <v>0.25118318816895546</v>
      </c>
      <c r="E49" s="110">
        <f>SUM(E33:E48)</f>
        <v>1025.0953682086092</v>
      </c>
      <c r="F49" s="415">
        <f t="shared" si="1"/>
        <v>0.21278648978261894</v>
      </c>
      <c r="G49" s="110">
        <f>SUM(G33:G48)</f>
        <v>2025</v>
      </c>
      <c r="H49" s="415">
        <f t="shared" si="2"/>
        <v>0.2010723860589812</v>
      </c>
      <c r="I49" s="110">
        <f>SUM(I33:I48)</f>
        <v>2123.0000019999998</v>
      </c>
      <c r="J49" s="415">
        <f t="shared" si="3"/>
        <v>0.20253768380031717</v>
      </c>
      <c r="K49" s="306"/>
      <c r="L49" s="505"/>
      <c r="M49" s="505"/>
      <c r="N49" s="505"/>
      <c r="O49" s="505"/>
      <c r="P49" s="505"/>
      <c r="Q49" s="505"/>
      <c r="R49" s="505"/>
      <c r="S49" s="505"/>
      <c r="T49" s="505"/>
      <c r="U49" s="505"/>
      <c r="V49" s="505"/>
      <c r="W49" s="505"/>
      <c r="X49" s="505"/>
      <c r="Y49" s="505"/>
      <c r="Z49" s="505"/>
      <c r="AA49" s="505"/>
      <c r="AB49" s="505"/>
      <c r="AC49" s="505"/>
      <c r="AD49" s="505"/>
      <c r="AE49" s="505"/>
      <c r="AF49" s="505"/>
      <c r="AG49" s="505"/>
      <c r="AH49" s="505"/>
      <c r="AI49" s="505"/>
      <c r="AJ49" s="505"/>
      <c r="AK49" s="505"/>
      <c r="AL49" s="505"/>
      <c r="AM49" s="505"/>
      <c r="AN49" s="505"/>
      <c r="AO49" s="505"/>
      <c r="AP49" s="505"/>
      <c r="AQ49" s="505"/>
      <c r="AR49" s="505"/>
      <c r="AS49" s="505"/>
      <c r="AT49" s="505"/>
      <c r="AU49" s="505"/>
      <c r="AV49" s="505"/>
      <c r="AW49" s="505"/>
      <c r="AX49" s="505"/>
      <c r="AY49" s="505"/>
      <c r="AZ49" s="505"/>
      <c r="BA49" s="505"/>
      <c r="BB49" s="505"/>
      <c r="BC49" s="505"/>
      <c r="BD49" s="505"/>
      <c r="BE49" s="505"/>
      <c r="BF49" s="505"/>
      <c r="BG49" s="505"/>
      <c r="BH49" s="505"/>
      <c r="BI49" s="505"/>
      <c r="BJ49" s="505"/>
      <c r="BK49" s="505"/>
      <c r="BL49" s="505"/>
      <c r="BM49" s="505"/>
      <c r="BN49" s="505"/>
      <c r="BO49" s="505"/>
      <c r="BP49" s="505"/>
      <c r="BQ49" s="505"/>
      <c r="BR49" s="505"/>
      <c r="BS49" s="505"/>
      <c r="BT49" s="505"/>
      <c r="BU49" s="505"/>
      <c r="BV49" s="505"/>
      <c r="BW49" s="505"/>
      <c r="BX49" s="505"/>
      <c r="BY49" s="505"/>
      <c r="BZ49" s="505"/>
      <c r="CA49" s="505"/>
      <c r="CB49" s="505"/>
      <c r="CC49" s="505"/>
      <c r="CD49" s="505"/>
      <c r="CE49" s="505"/>
      <c r="CF49" s="505"/>
      <c r="CG49" s="505"/>
      <c r="CH49" s="505"/>
      <c r="CI49" s="505"/>
      <c r="CJ49" s="505"/>
      <c r="CK49" s="505"/>
    </row>
    <row r="50" spans="1:89" ht="20.100000000000001" customHeight="1">
      <c r="A50" s="62"/>
      <c r="B50" s="288" t="s">
        <v>89</v>
      </c>
      <c r="C50" s="404"/>
      <c r="D50" s="1315"/>
      <c r="E50" s="109"/>
      <c r="F50" s="1315"/>
      <c r="G50" s="109"/>
      <c r="H50" s="1315"/>
      <c r="I50" s="109"/>
      <c r="J50" s="1315"/>
      <c r="K50" s="306"/>
      <c r="L50" s="505"/>
      <c r="M50" s="505"/>
      <c r="N50" s="505"/>
      <c r="O50" s="505"/>
      <c r="P50" s="505"/>
      <c r="Q50" s="505"/>
      <c r="R50" s="505"/>
      <c r="S50" s="505"/>
      <c r="T50" s="505"/>
      <c r="U50" s="505"/>
      <c r="V50" s="505"/>
      <c r="W50" s="505"/>
      <c r="X50" s="505"/>
      <c r="Y50" s="505"/>
      <c r="Z50" s="505"/>
      <c r="AA50" s="505"/>
      <c r="AB50" s="505"/>
      <c r="AC50" s="505"/>
      <c r="AD50" s="505"/>
      <c r="AE50" s="505"/>
      <c r="AF50" s="505"/>
      <c r="AG50" s="505"/>
      <c r="AH50" s="505"/>
      <c r="AI50" s="505"/>
      <c r="AJ50" s="505"/>
      <c r="AK50" s="505"/>
      <c r="AL50" s="505"/>
      <c r="AM50" s="505"/>
      <c r="AN50" s="505"/>
      <c r="AO50" s="505"/>
      <c r="AP50" s="505"/>
      <c r="AQ50" s="505"/>
      <c r="AR50" s="505"/>
      <c r="AS50" s="505"/>
      <c r="AT50" s="505"/>
      <c r="AU50" s="505"/>
      <c r="AV50" s="505"/>
      <c r="AW50" s="505"/>
      <c r="AX50" s="505"/>
      <c r="AY50" s="505"/>
      <c r="AZ50" s="505"/>
      <c r="BA50" s="505"/>
      <c r="BB50" s="505"/>
      <c r="BC50" s="505"/>
      <c r="BD50" s="505"/>
      <c r="BE50" s="505"/>
      <c r="BF50" s="505"/>
      <c r="BG50" s="505"/>
      <c r="BH50" s="505"/>
      <c r="BI50" s="505"/>
      <c r="BJ50" s="505"/>
      <c r="BK50" s="505"/>
      <c r="BL50" s="505"/>
      <c r="BM50" s="505"/>
      <c r="BN50" s="505"/>
      <c r="BO50" s="505"/>
      <c r="BP50" s="505"/>
      <c r="BQ50" s="505"/>
      <c r="BR50" s="505"/>
      <c r="BS50" s="505"/>
      <c r="BT50" s="505"/>
      <c r="BU50" s="505"/>
      <c r="BV50" s="505"/>
      <c r="BW50" s="505"/>
      <c r="BX50" s="505"/>
      <c r="BY50" s="505"/>
      <c r="BZ50" s="505"/>
      <c r="CA50" s="505"/>
      <c r="CB50" s="505"/>
      <c r="CC50" s="505"/>
      <c r="CD50" s="505"/>
      <c r="CE50" s="505"/>
      <c r="CF50" s="505"/>
      <c r="CG50" s="505"/>
      <c r="CH50" s="505"/>
      <c r="CI50" s="505"/>
      <c r="CJ50" s="505"/>
      <c r="CK50" s="505"/>
    </row>
    <row r="51" spans="1:89" ht="20.100000000000001" customHeight="1">
      <c r="A51" s="400">
        <v>30</v>
      </c>
      <c r="B51" s="62" t="s">
        <v>90</v>
      </c>
      <c r="C51" s="428">
        <f>'T-1'!G59</f>
        <v>0.16317999999999999</v>
      </c>
      <c r="D51" s="1315">
        <f t="shared" si="0"/>
        <v>2.2183855519795412E-5</v>
      </c>
      <c r="E51" s="611">
        <f>'T-1'!K59</f>
        <v>0</v>
      </c>
      <c r="F51" s="1315">
        <f t="shared" si="1"/>
        <v>0</v>
      </c>
      <c r="G51" s="611">
        <f>'T-1'!N59</f>
        <v>0</v>
      </c>
      <c r="H51" s="1315">
        <f t="shared" si="2"/>
        <v>0</v>
      </c>
      <c r="I51" s="62">
        <f>'T-1'!S59</f>
        <v>0</v>
      </c>
      <c r="J51" s="1315">
        <f t="shared" si="3"/>
        <v>0</v>
      </c>
    </row>
    <row r="52" spans="1:89" ht="20.100000000000001" customHeight="1">
      <c r="A52" s="400">
        <v>31</v>
      </c>
      <c r="B52" s="62" t="s">
        <v>2104</v>
      </c>
      <c r="C52" s="428">
        <f>'T-1'!G60</f>
        <v>304.61456655649999</v>
      </c>
      <c r="D52" s="1315">
        <f t="shared" si="0"/>
        <v>4.1411481393029172E-2</v>
      </c>
      <c r="E52" s="611">
        <f>'T-1'!K60</f>
        <v>188.38485511999997</v>
      </c>
      <c r="F52" s="1315">
        <f t="shared" si="1"/>
        <v>3.9104412420908022E-2</v>
      </c>
      <c r="G52" s="611">
        <f>'T-1'!N60</f>
        <v>333</v>
      </c>
      <c r="H52" s="1315">
        <f t="shared" si="2"/>
        <v>3.3065236818588022E-2</v>
      </c>
      <c r="I52" s="62">
        <f>'T-1'!S60</f>
        <v>350</v>
      </c>
      <c r="J52" s="1315">
        <f t="shared" si="3"/>
        <v>3.3390574311507243E-2</v>
      </c>
    </row>
    <row r="53" spans="1:89" ht="20.100000000000001" customHeight="1">
      <c r="A53" s="400">
        <v>32</v>
      </c>
      <c r="B53" s="1310" t="s">
        <v>2127</v>
      </c>
      <c r="C53" s="428">
        <f>'T-1'!G61</f>
        <v>0</v>
      </c>
      <c r="D53" s="1315">
        <f t="shared" si="0"/>
        <v>0</v>
      </c>
      <c r="E53" s="611">
        <f>'T-1'!K61</f>
        <v>61</v>
      </c>
      <c r="F53" s="1315">
        <f t="shared" si="1"/>
        <v>1.2662212979678882E-2</v>
      </c>
      <c r="G53" s="611">
        <f>'T-1'!N61</f>
        <v>147</v>
      </c>
      <c r="H53" s="1315">
        <f t="shared" si="2"/>
        <v>1.4596365802800116E-2</v>
      </c>
      <c r="I53" s="62">
        <f>'T-1'!S61</f>
        <v>150</v>
      </c>
      <c r="J53" s="1315">
        <f t="shared" si="3"/>
        <v>1.4310246133503103E-2</v>
      </c>
    </row>
    <row r="54" spans="1:89" ht="20.100000000000001" customHeight="1">
      <c r="A54" s="400">
        <v>33</v>
      </c>
      <c r="B54" s="62" t="s">
        <v>85</v>
      </c>
      <c r="C54" s="428">
        <f>'T-1'!G62</f>
        <v>639.00268000000005</v>
      </c>
      <c r="D54" s="1315">
        <f t="shared" si="0"/>
        <v>8.6870591554614934E-2</v>
      </c>
      <c r="E54" s="611">
        <f>'T-1'!K62</f>
        <v>406.72328000000005</v>
      </c>
      <c r="F54" s="1315">
        <f t="shared" si="1"/>
        <v>8.4426504838583091E-2</v>
      </c>
      <c r="G54" s="611">
        <f>'T-1'!N62</f>
        <v>803</v>
      </c>
      <c r="H54" s="1315">
        <f t="shared" si="2"/>
        <v>7.9733889385363896E-2</v>
      </c>
      <c r="I54" s="62">
        <f>'T-1'!S62</f>
        <v>845</v>
      </c>
      <c r="J54" s="1315">
        <f t="shared" si="3"/>
        <v>8.0614386552067485E-2</v>
      </c>
    </row>
    <row r="55" spans="1:89" ht="20.100000000000001" customHeight="1">
      <c r="A55" s="400">
        <v>34</v>
      </c>
      <c r="B55" s="62" t="s">
        <v>92</v>
      </c>
      <c r="C55" s="428">
        <f>'T-1'!G63</f>
        <v>446.242526489</v>
      </c>
      <c r="D55" s="1315">
        <f t="shared" si="0"/>
        <v>6.0665398544064553E-2</v>
      </c>
      <c r="E55" s="611">
        <f>'T-1'!K63</f>
        <v>404.965013</v>
      </c>
      <c r="F55" s="1315">
        <f t="shared" si="1"/>
        <v>8.4061528588925044E-2</v>
      </c>
      <c r="G55" s="611">
        <f>'T-1'!N63</f>
        <v>750</v>
      </c>
      <c r="H55" s="1315">
        <f t="shared" si="2"/>
        <v>7.4471254095918968E-2</v>
      </c>
      <c r="I55" s="62">
        <f>'T-1'!S63</f>
        <v>650</v>
      </c>
      <c r="J55" s="1315">
        <f t="shared" si="3"/>
        <v>6.2011066578513449E-2</v>
      </c>
    </row>
    <row r="56" spans="1:89" ht="20.100000000000001" customHeight="1">
      <c r="A56" s="400">
        <v>35</v>
      </c>
      <c r="B56" s="62" t="s">
        <v>2103</v>
      </c>
      <c r="C56" s="428">
        <f>'T-1'!G64</f>
        <v>620.44729970499998</v>
      </c>
      <c r="D56" s="1315">
        <f t="shared" si="0"/>
        <v>8.4348040533784308E-2</v>
      </c>
      <c r="E56" s="611">
        <f>'T-1'!K64</f>
        <v>510.76963623999995</v>
      </c>
      <c r="F56" s="1315">
        <f t="shared" si="1"/>
        <v>0.10602416258399981</v>
      </c>
      <c r="G56" s="611">
        <f>'T-1'!N64</f>
        <v>745.7800000000002</v>
      </c>
      <c r="H56" s="1315">
        <f t="shared" si="2"/>
        <v>7.4052229172872616E-2</v>
      </c>
      <c r="I56" s="62">
        <f>'T-1'!S64</f>
        <v>968.5</v>
      </c>
      <c r="J56" s="1315">
        <f t="shared" si="3"/>
        <v>9.2396489201985038E-2</v>
      </c>
    </row>
    <row r="57" spans="1:89" ht="20.100000000000001" customHeight="1">
      <c r="A57" s="400">
        <v>36</v>
      </c>
      <c r="B57" s="62" t="s">
        <v>2129</v>
      </c>
      <c r="C57" s="428">
        <f>'T-1'!G65</f>
        <v>552</v>
      </c>
      <c r="D57" s="1315">
        <f t="shared" si="0"/>
        <v>7.504282538869389E-2</v>
      </c>
      <c r="E57" s="611">
        <f>'T-1'!K65</f>
        <v>511</v>
      </c>
      <c r="F57" s="1315">
        <f t="shared" si="1"/>
        <v>0.10607198086255588</v>
      </c>
      <c r="G57" s="611">
        <f>'T-1'!N65</f>
        <v>2100</v>
      </c>
      <c r="H57" s="1315">
        <f t="shared" si="2"/>
        <v>0.20851951146857309</v>
      </c>
      <c r="I57" s="62">
        <f>'T-1'!S65</f>
        <v>2000</v>
      </c>
      <c r="J57" s="1315">
        <f t="shared" si="3"/>
        <v>0.19080328178004138</v>
      </c>
    </row>
    <row r="58" spans="1:89" ht="20.100000000000001" customHeight="1">
      <c r="A58" s="400">
        <v>37</v>
      </c>
      <c r="B58" s="62" t="s">
        <v>93</v>
      </c>
      <c r="C58" s="428">
        <f>'T-1'!G66</f>
        <v>6.7701200000000004</v>
      </c>
      <c r="D58" s="1315">
        <f t="shared" si="0"/>
        <v>9.2037850184873966E-4</v>
      </c>
      <c r="E58" s="611">
        <f>'T-1'!K66</f>
        <v>3.6318244000000002</v>
      </c>
      <c r="F58" s="1315">
        <f t="shared" si="1"/>
        <v>7.5388416487859788E-4</v>
      </c>
      <c r="G58" s="611">
        <f>'T-1'!N66</f>
        <v>7.22</v>
      </c>
      <c r="H58" s="1315">
        <f t="shared" si="2"/>
        <v>7.1690993943004651E-4</v>
      </c>
      <c r="I58" s="62">
        <f>'T-1'!S66</f>
        <v>7.5</v>
      </c>
      <c r="J58" s="1315">
        <f t="shared" si="3"/>
        <v>7.1551230667515518E-4</v>
      </c>
    </row>
    <row r="59" spans="1:89" ht="20.100000000000001" customHeight="1">
      <c r="A59" s="400">
        <v>38</v>
      </c>
      <c r="B59" s="62" t="s">
        <v>86</v>
      </c>
      <c r="C59" s="428">
        <f>'T-1'!G67</f>
        <v>3.4121000000000006</v>
      </c>
      <c r="D59" s="1315">
        <f t="shared" si="0"/>
        <v>4.6386526179123636E-4</v>
      </c>
      <c r="E59" s="611">
        <f>'T-1'!K67</f>
        <v>4.2032000000000007</v>
      </c>
      <c r="F59" s="1315">
        <f t="shared" si="1"/>
        <v>8.7248874747846371E-4</v>
      </c>
      <c r="G59" s="611">
        <f>'T-1'!N67</f>
        <v>5</v>
      </c>
      <c r="H59" s="1315">
        <f t="shared" si="2"/>
        <v>4.9647502730612646E-4</v>
      </c>
      <c r="I59" s="62">
        <f>'T-1'!S67</f>
        <v>2</v>
      </c>
      <c r="J59" s="1315">
        <f t="shared" si="3"/>
        <v>1.9080328178004138E-4</v>
      </c>
    </row>
    <row r="60" spans="1:89" ht="20.100000000000001" customHeight="1">
      <c r="A60" s="400">
        <v>39</v>
      </c>
      <c r="B60" s="62" t="s">
        <v>87</v>
      </c>
      <c r="C60" s="428">
        <f>'T-1'!G68</f>
        <v>61.929000000000002</v>
      </c>
      <c r="D60" s="1315">
        <f t="shared" si="0"/>
        <v>8.4190708940152601E-3</v>
      </c>
      <c r="E60" s="611">
        <f>'T-1'!K68</f>
        <v>35.903651439999997</v>
      </c>
      <c r="F60" s="1315">
        <f t="shared" si="1"/>
        <v>7.4527816603513833E-3</v>
      </c>
      <c r="G60" s="611">
        <f>'T-1'!N68</f>
        <v>70</v>
      </c>
      <c r="H60" s="1315">
        <f t="shared" si="2"/>
        <v>6.9506503822857699E-3</v>
      </c>
      <c r="I60" s="62">
        <f>'T-1'!S68</f>
        <v>72</v>
      </c>
      <c r="J60" s="1315">
        <f t="shared" si="3"/>
        <v>6.8689181440814897E-3</v>
      </c>
    </row>
    <row r="61" spans="1:89" ht="20.100000000000001" customHeight="1">
      <c r="A61" s="400"/>
      <c r="B61" s="288" t="s">
        <v>94</v>
      </c>
      <c r="C61" s="110">
        <f>SUM(C51:C60)</f>
        <v>2634.5814727505003</v>
      </c>
      <c r="D61" s="415">
        <f t="shared" si="0"/>
        <v>0.3581638359273619</v>
      </c>
      <c r="E61" s="110">
        <f>SUM(E51:E60)</f>
        <v>2126.5814602</v>
      </c>
      <c r="F61" s="415">
        <f t="shared" si="1"/>
        <v>0.4414299568473592</v>
      </c>
      <c r="G61" s="110">
        <f>SUM(G51:G60)</f>
        <v>4961.0000000000009</v>
      </c>
      <c r="H61" s="415">
        <f t="shared" si="2"/>
        <v>0.49260252209313871</v>
      </c>
      <c r="I61" s="110">
        <f>SUM(I51:I60)</f>
        <v>5045</v>
      </c>
      <c r="J61" s="415">
        <f t="shared" si="3"/>
        <v>0.48130127829015434</v>
      </c>
    </row>
    <row r="62" spans="1:89" ht="20.100000000000001" customHeight="1">
      <c r="A62" s="400"/>
      <c r="B62" s="404" t="s">
        <v>95</v>
      </c>
      <c r="C62" s="110">
        <f>C61+C49+C31</f>
        <v>7355.7998001920314</v>
      </c>
      <c r="D62" s="62"/>
      <c r="E62" s="110">
        <f>E61+E49+E31</f>
        <v>4817.4833339082707</v>
      </c>
      <c r="F62" s="62"/>
      <c r="G62" s="110">
        <f>G61+G49+G31</f>
        <v>10071.000000000002</v>
      </c>
      <c r="H62" s="62"/>
      <c r="I62" s="110">
        <f>I61+I49+I31</f>
        <v>10482.000001999999</v>
      </c>
      <c r="J62" s="62"/>
    </row>
    <row r="63" spans="1:89" ht="20.100000000000001" customHeight="1"/>
    <row r="64" spans="1:89" ht="20.100000000000001" customHeight="1"/>
    <row r="65" spans="11:11" ht="20.100000000000001" customHeight="1">
      <c r="K65" s="726"/>
    </row>
    <row r="66" spans="11:11" ht="20.100000000000001" customHeight="1"/>
    <row r="67" spans="11:11" ht="20.100000000000001" customHeight="1"/>
    <row r="68" spans="11:11" ht="20.100000000000001" customHeight="1"/>
    <row r="69" spans="11:11" ht="20.100000000000001" customHeight="1"/>
    <row r="70" spans="11:11" ht="20.100000000000001" customHeight="1"/>
    <row r="71" spans="11:11" ht="20.100000000000001" customHeight="1"/>
    <row r="72" spans="11:11" ht="20.100000000000001" customHeight="1"/>
    <row r="73" spans="11:11" ht="20.100000000000001" customHeight="1"/>
    <row r="74" spans="11:11" ht="20.100000000000001" customHeight="1"/>
    <row r="75" spans="11:11" ht="20.100000000000001" customHeight="1"/>
    <row r="76" spans="11:11" ht="20.100000000000001" customHeight="1"/>
    <row r="77" spans="11:11" ht="20.100000000000001" customHeight="1"/>
    <row r="78" spans="11:11" ht="20.100000000000001" customHeight="1"/>
    <row r="79" spans="11:11" ht="20.100000000000001" customHeight="1"/>
    <row r="80" spans="11:11"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sheetData>
  <mergeCells count="4">
    <mergeCell ref="C3:D3"/>
    <mergeCell ref="E3:F3"/>
    <mergeCell ref="G3:H3"/>
    <mergeCell ref="I3:J3"/>
  </mergeCells>
  <printOptions horizontalCentered="1" verticalCentered="1" gridLines="1"/>
  <pageMargins left="0.11811023622047245" right="0" top="0.23622047244094491" bottom="0.19685039370078741" header="0" footer="0.19685039370078741"/>
  <pageSetup paperSize="9" scale="76" fitToWidth="3" fitToHeight="3" orientation="landscape" r:id="rId1"/>
  <headerFooter alignWithMargins="0">
    <oddFooter>&amp;R&amp;"Arial,Bold"&amp;12OERC FORM &amp;A</oddFooter>
  </headerFooter>
  <rowBreaks count="1" manualBreakCount="1">
    <brk id="31" max="9"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FD6CA3-4BC1-4AC9-B04B-F1C25B7909C9}">
  <sheetPr>
    <tabColor rgb="FFFF0000"/>
  </sheetPr>
  <dimension ref="A1:Q27"/>
  <sheetViews>
    <sheetView view="pageBreakPreview" zoomScaleSheetLayoutView="85" workbookViewId="0">
      <selection activeCell="F18" sqref="F18"/>
    </sheetView>
  </sheetViews>
  <sheetFormatPr defaultColWidth="14.7109375" defaultRowHeight="12.75"/>
  <cols>
    <col min="1" max="1" width="6" customWidth="1"/>
    <col min="2" max="2" width="32.42578125" customWidth="1"/>
    <col min="3" max="5" width="8.42578125" bestFit="1" customWidth="1"/>
    <col min="6" max="8" width="7.42578125" bestFit="1" customWidth="1"/>
    <col min="9" max="9" width="8.42578125" bestFit="1" customWidth="1"/>
    <col min="10" max="11" width="7.42578125" bestFit="1" customWidth="1"/>
    <col min="12" max="12" width="8.42578125" bestFit="1" customWidth="1"/>
    <col min="13" max="13" width="7.42578125" bestFit="1" customWidth="1"/>
    <col min="14" max="15" width="11.140625" customWidth="1"/>
    <col min="16" max="16" width="14.7109375" customWidth="1"/>
    <col min="17" max="17" width="14.7109375" hidden="1" customWidth="1"/>
  </cols>
  <sheetData>
    <row r="1" spans="1:15">
      <c r="A1" s="20" t="s">
        <v>106</v>
      </c>
      <c r="I1" s="853" t="s">
        <v>0</v>
      </c>
      <c r="J1" s="853" t="s">
        <v>2355</v>
      </c>
    </row>
    <row r="2" spans="1:15" ht="15.75">
      <c r="A2" s="1847" t="s">
        <v>2356</v>
      </c>
      <c r="B2" s="1847"/>
      <c r="C2" s="1357"/>
      <c r="D2" s="1357"/>
      <c r="E2" s="1357"/>
      <c r="F2" s="1357"/>
      <c r="G2" s="1357"/>
      <c r="H2" s="1357"/>
    </row>
    <row r="3" spans="1:15">
      <c r="J3" s="2" t="s">
        <v>526</v>
      </c>
    </row>
    <row r="4" spans="1:15" ht="12.95" customHeight="1">
      <c r="A4" s="1949" t="s">
        <v>790</v>
      </c>
      <c r="B4" s="1949" t="s">
        <v>791</v>
      </c>
      <c r="C4" s="1948">
        <v>44197</v>
      </c>
      <c r="D4" s="1948">
        <v>44228</v>
      </c>
      <c r="E4" s="1948">
        <v>44256</v>
      </c>
      <c r="F4" s="1948"/>
      <c r="G4" s="1948"/>
      <c r="H4" s="1948"/>
      <c r="I4" s="1948"/>
      <c r="J4" s="1948"/>
      <c r="K4" s="1948"/>
      <c r="L4" s="1948"/>
      <c r="M4" s="1948"/>
      <c r="N4" s="1948"/>
      <c r="O4" s="1948" t="s">
        <v>147</v>
      </c>
    </row>
    <row r="5" spans="1:15" ht="12.95" customHeight="1">
      <c r="A5" s="1949" t="s">
        <v>23</v>
      </c>
      <c r="B5" s="1949"/>
      <c r="C5" s="1949"/>
      <c r="D5" s="1949"/>
      <c r="E5" s="1949"/>
      <c r="F5" s="1949"/>
      <c r="G5" s="1949"/>
      <c r="H5" s="1949"/>
      <c r="I5" s="1949"/>
      <c r="J5" s="1949"/>
      <c r="K5" s="1949"/>
      <c r="L5" s="1949"/>
      <c r="M5" s="1949"/>
      <c r="N5" s="1949"/>
      <c r="O5" s="1949"/>
    </row>
    <row r="6" spans="1:15" ht="12.95" customHeight="1">
      <c r="A6" s="730">
        <v>1</v>
      </c>
      <c r="B6" s="502" t="s">
        <v>2397</v>
      </c>
      <c r="C6" s="1358">
        <f>186053895/10^5</f>
        <v>1860.5389500000001</v>
      </c>
      <c r="D6" s="1358">
        <f>159164503/10^5</f>
        <v>1591.6450299999999</v>
      </c>
      <c r="E6" s="1358">
        <f>700271209/10^5</f>
        <v>7002.71209</v>
      </c>
      <c r="F6" s="1358"/>
      <c r="G6" s="1358"/>
      <c r="H6" s="1358"/>
      <c r="I6" s="1358"/>
      <c r="J6" s="1358"/>
      <c r="K6" s="1358"/>
      <c r="L6" s="1358"/>
      <c r="M6" s="1358"/>
      <c r="N6" s="1358"/>
      <c r="O6" s="79">
        <f>SUM(C6:N6)</f>
        <v>10454.896069999999</v>
      </c>
    </row>
    <row r="7" spans="1:15" ht="12.95" customHeight="1">
      <c r="A7" s="741"/>
      <c r="B7" s="741"/>
      <c r="C7" s="741"/>
      <c r="D7" s="741"/>
      <c r="E7" s="741"/>
      <c r="F7" s="741"/>
      <c r="G7" s="741"/>
      <c r="H7" s="741"/>
      <c r="I7" s="741"/>
      <c r="J7" s="741"/>
      <c r="K7" s="741"/>
      <c r="L7" s="741"/>
      <c r="M7" s="741"/>
      <c r="N7" s="741"/>
      <c r="O7" s="741"/>
    </row>
    <row r="8" spans="1:15" ht="12.95" customHeight="1">
      <c r="A8" s="1949" t="s">
        <v>790</v>
      </c>
      <c r="B8" s="1949" t="s">
        <v>791</v>
      </c>
      <c r="C8" s="1948">
        <v>44287</v>
      </c>
      <c r="D8" s="1948">
        <v>44317</v>
      </c>
      <c r="E8" s="1948">
        <v>44348</v>
      </c>
      <c r="F8" s="1948">
        <v>44378</v>
      </c>
      <c r="G8" s="1948">
        <v>44409</v>
      </c>
      <c r="H8" s="1948">
        <v>44440</v>
      </c>
      <c r="I8" s="1948">
        <v>44470</v>
      </c>
      <c r="J8" s="1948">
        <v>44501</v>
      </c>
      <c r="K8" s="1948">
        <v>44531</v>
      </c>
      <c r="L8" s="1948">
        <v>44562</v>
      </c>
      <c r="M8" s="1948">
        <v>44593</v>
      </c>
      <c r="N8" s="1948">
        <v>44621</v>
      </c>
      <c r="O8" s="1948"/>
    </row>
    <row r="9" spans="1:15" ht="12.95" customHeight="1">
      <c r="A9" s="1949" t="s">
        <v>23</v>
      </c>
      <c r="B9" s="1949"/>
      <c r="C9" s="1949"/>
      <c r="D9" s="1949"/>
      <c r="E9" s="1949"/>
      <c r="F9" s="1949"/>
      <c r="G9" s="1949"/>
      <c r="H9" s="1949"/>
      <c r="I9" s="1949"/>
      <c r="J9" s="1949"/>
      <c r="K9" s="1949"/>
      <c r="L9" s="1949"/>
      <c r="M9" s="1949"/>
      <c r="N9" s="1949"/>
      <c r="O9" s="1949"/>
    </row>
    <row r="10" spans="1:15">
      <c r="A10" s="730">
        <v>1</v>
      </c>
      <c r="B10" s="502" t="s">
        <v>2397</v>
      </c>
      <c r="C10" s="1358">
        <f>59708161/10^5</f>
        <v>597.08160999999996</v>
      </c>
      <c r="D10" s="1358">
        <f>29486487/10^5</f>
        <v>294.86487</v>
      </c>
      <c r="E10" s="1358">
        <f>38538254/10^5</f>
        <v>385.38254000000001</v>
      </c>
      <c r="F10" s="1358">
        <f>29163721/10^5</f>
        <v>291.63720999999998</v>
      </c>
      <c r="G10" s="1358">
        <f>44459463/10^5</f>
        <v>444.59463</v>
      </c>
      <c r="H10" s="1358">
        <f>40884092/10^5</f>
        <v>408.84091999999998</v>
      </c>
      <c r="I10" s="1358">
        <f>124206232/10^5</f>
        <v>1242.06232</v>
      </c>
      <c r="J10" s="1358">
        <f>38648719/10^5</f>
        <v>386.48719</v>
      </c>
      <c r="K10" s="1358">
        <f>98330470/10^5</f>
        <v>983.30470000000003</v>
      </c>
      <c r="L10" s="1358">
        <f>60855231/10^5</f>
        <v>608.55231000000003</v>
      </c>
      <c r="M10" s="1358">
        <f>89885188/10^5</f>
        <v>898.85188000000005</v>
      </c>
      <c r="N10" s="1358">
        <f>483651127/10^5</f>
        <v>4836.51127</v>
      </c>
      <c r="O10" s="79">
        <f>SUM(C10:N10)</f>
        <v>11378.17145</v>
      </c>
    </row>
    <row r="11" spans="1:15">
      <c r="A11" s="1298"/>
      <c r="B11" s="506"/>
      <c r="C11" s="506"/>
      <c r="D11" s="506"/>
      <c r="E11" s="506"/>
      <c r="F11" s="506"/>
      <c r="G11" s="312"/>
      <c r="H11" s="312"/>
      <c r="I11" s="506"/>
      <c r="J11" s="506"/>
      <c r="K11" s="506"/>
      <c r="L11" s="506"/>
      <c r="M11" s="506"/>
      <c r="N11" s="506"/>
      <c r="O11" s="506"/>
    </row>
    <row r="12" spans="1:15">
      <c r="A12" s="1950" t="s">
        <v>2357</v>
      </c>
      <c r="B12" s="1950"/>
      <c r="C12" s="1950"/>
      <c r="D12" s="1950"/>
      <c r="E12" s="1950"/>
      <c r="F12" s="1950"/>
      <c r="G12" s="1950"/>
      <c r="H12" s="1950"/>
      <c r="I12" s="1950"/>
      <c r="J12" s="1950"/>
      <c r="K12" s="1950"/>
      <c r="L12" s="1950"/>
      <c r="M12" s="1950"/>
      <c r="N12" s="1950"/>
      <c r="O12" s="1950"/>
    </row>
    <row r="13" spans="1:15" ht="12.95" customHeight="1">
      <c r="A13" s="1949" t="s">
        <v>790</v>
      </c>
      <c r="B13" s="1949" t="s">
        <v>791</v>
      </c>
      <c r="C13" s="1948">
        <v>44652</v>
      </c>
      <c r="D13" s="1948">
        <v>44682</v>
      </c>
      <c r="E13" s="1948">
        <v>44713</v>
      </c>
      <c r="F13" s="1948">
        <v>44743</v>
      </c>
      <c r="G13" s="1948">
        <v>44774</v>
      </c>
      <c r="H13" s="1948">
        <v>44805</v>
      </c>
      <c r="I13" s="1948">
        <v>44835</v>
      </c>
      <c r="J13" s="1948">
        <v>44866</v>
      </c>
      <c r="K13" s="1948">
        <v>44896</v>
      </c>
      <c r="L13" s="1948">
        <v>44927</v>
      </c>
      <c r="M13" s="1948">
        <v>44958</v>
      </c>
      <c r="N13" s="1948">
        <v>44986</v>
      </c>
      <c r="O13" s="1948"/>
    </row>
    <row r="14" spans="1:15">
      <c r="A14" s="1949" t="s">
        <v>23</v>
      </c>
      <c r="B14" s="1949"/>
      <c r="C14" s="1949"/>
      <c r="D14" s="1949"/>
      <c r="E14" s="1949"/>
      <c r="F14" s="1949"/>
      <c r="G14" s="1949"/>
      <c r="H14" s="1949"/>
      <c r="I14" s="1949"/>
      <c r="J14" s="1949"/>
      <c r="K14" s="1949"/>
      <c r="L14" s="1949"/>
      <c r="M14" s="1949"/>
      <c r="N14" s="1949"/>
      <c r="O14" s="1949"/>
    </row>
    <row r="15" spans="1:15">
      <c r="A15" s="730">
        <v>1</v>
      </c>
      <c r="B15" s="502" t="s">
        <v>2397</v>
      </c>
      <c r="C15" s="1358">
        <f>34437380/10^5</f>
        <v>344.37380000000002</v>
      </c>
      <c r="D15" s="1358">
        <f>46303670/10^5</f>
        <v>463.0367</v>
      </c>
      <c r="E15" s="1358">
        <f>42727597/10^5</f>
        <v>427.27596999999997</v>
      </c>
      <c r="F15" s="1358">
        <f>49961568/10^5</f>
        <v>499.61568</v>
      </c>
      <c r="G15" s="1358">
        <f>33878836/10^5</f>
        <v>338.78836000000001</v>
      </c>
      <c r="H15" s="1358">
        <f>42617947/10^5</f>
        <v>426.17946999999998</v>
      </c>
      <c r="I15" s="1358">
        <f>30692156.13/10^5</f>
        <v>306.92156130000001</v>
      </c>
      <c r="J15" s="1358">
        <v>342</v>
      </c>
      <c r="K15" s="1358"/>
      <c r="L15" s="1358"/>
      <c r="M15" s="1358"/>
      <c r="N15" s="1358"/>
      <c r="O15" s="1358">
        <f>SUM(C15:N15)</f>
        <v>3148.1915413000002</v>
      </c>
    </row>
    <row r="16" spans="1:15">
      <c r="A16" s="8"/>
      <c r="B16" s="506"/>
      <c r="C16" s="506"/>
      <c r="D16" s="506"/>
      <c r="E16" s="506"/>
      <c r="F16" s="7"/>
      <c r="G16" s="7"/>
      <c r="H16" s="7"/>
      <c r="O16" s="4">
        <f>O6+O10+O15</f>
        <v>24981.259061299996</v>
      </c>
    </row>
    <row r="17" spans="1:9">
      <c r="A17" s="8"/>
      <c r="F17" s="7"/>
      <c r="G17" s="7"/>
      <c r="H17" s="7"/>
      <c r="I17" s="7"/>
    </row>
    <row r="18" spans="1:9">
      <c r="A18" s="8"/>
    </row>
    <row r="19" spans="1:9">
      <c r="A19" s="8"/>
    </row>
    <row r="20" spans="1:9">
      <c r="A20" s="8"/>
    </row>
    <row r="21" spans="1:9">
      <c r="A21" s="8"/>
      <c r="F21" s="1316"/>
      <c r="G21" s="1316"/>
      <c r="H21" s="1316"/>
    </row>
    <row r="23" spans="1:9">
      <c r="A23" s="2"/>
      <c r="B23" s="2"/>
      <c r="C23" s="2"/>
      <c r="D23" s="2"/>
      <c r="E23" s="2"/>
      <c r="F23" s="2"/>
      <c r="G23" s="2"/>
    </row>
    <row r="24" spans="1:9">
      <c r="B24" s="2"/>
      <c r="C24" s="2"/>
      <c r="D24" s="2"/>
      <c r="E24" s="2"/>
      <c r="F24" s="12"/>
      <c r="G24" s="12"/>
      <c r="H24" s="12"/>
    </row>
    <row r="25" spans="1:9">
      <c r="B25" s="2"/>
      <c r="C25" s="2"/>
      <c r="D25" s="2"/>
      <c r="E25" s="2"/>
      <c r="F25" s="12"/>
      <c r="G25" s="12"/>
      <c r="H25" s="12"/>
    </row>
    <row r="26" spans="1:9">
      <c r="B26" s="161"/>
      <c r="C26" s="161"/>
      <c r="D26" s="161"/>
      <c r="E26" s="161"/>
      <c r="F26" s="162"/>
      <c r="G26" s="162"/>
      <c r="H26" s="162"/>
    </row>
    <row r="27" spans="1:9">
      <c r="B27" s="161"/>
      <c r="C27" s="161"/>
      <c r="D27" s="161"/>
      <c r="E27" s="161"/>
      <c r="F27" s="162"/>
      <c r="G27" s="162"/>
      <c r="H27" s="162"/>
    </row>
  </sheetData>
  <mergeCells count="47">
    <mergeCell ref="A13:A14"/>
    <mergeCell ref="B13:B14"/>
    <mergeCell ref="A2:B2"/>
    <mergeCell ref="E8:E9"/>
    <mergeCell ref="D8:D9"/>
    <mergeCell ref="C8:C9"/>
    <mergeCell ref="E13:E14"/>
    <mergeCell ref="D13:D14"/>
    <mergeCell ref="C13:C14"/>
    <mergeCell ref="A4:A5"/>
    <mergeCell ref="B4:B5"/>
    <mergeCell ref="C4:C5"/>
    <mergeCell ref="D4:D5"/>
    <mergeCell ref="E4:E5"/>
    <mergeCell ref="F13:F14"/>
    <mergeCell ref="G13:G14"/>
    <mergeCell ref="H13:H14"/>
    <mergeCell ref="I13:I14"/>
    <mergeCell ref="O8:O9"/>
    <mergeCell ref="J13:J14"/>
    <mergeCell ref="K13:K14"/>
    <mergeCell ref="L13:L14"/>
    <mergeCell ref="M13:M14"/>
    <mergeCell ref="N13:N14"/>
    <mergeCell ref="O13:O14"/>
    <mergeCell ref="A12:O12"/>
    <mergeCell ref="I8:I9"/>
    <mergeCell ref="J8:J9"/>
    <mergeCell ref="K8:K9"/>
    <mergeCell ref="L8:L9"/>
    <mergeCell ref="M8:M9"/>
    <mergeCell ref="N8:N9"/>
    <mergeCell ref="A8:A9"/>
    <mergeCell ref="B8:B9"/>
    <mergeCell ref="F8:F9"/>
    <mergeCell ref="G8:G9"/>
    <mergeCell ref="H8:H9"/>
    <mergeCell ref="F4:F5"/>
    <mergeCell ref="G4:G5"/>
    <mergeCell ref="H4:H5"/>
    <mergeCell ref="I4:I5"/>
    <mergeCell ref="J4:J5"/>
    <mergeCell ref="K4:K5"/>
    <mergeCell ref="L4:L5"/>
    <mergeCell ref="M4:M5"/>
    <mergeCell ref="N4:N5"/>
    <mergeCell ref="O4:O5"/>
  </mergeCells>
  <phoneticPr fontId="22" type="noConversion"/>
  <printOptions horizontalCentered="1" verticalCentered="1" gridLines="1"/>
  <pageMargins left="0.39370078740157483" right="0.39370078740157483" top="1.4960629921259843" bottom="0.98425196850393704" header="0.51181102362204722" footer="0.51181102362204722"/>
  <pageSetup paperSize="9" scale="90" orientation="landscape" r:id="rId1"/>
  <headerFooter alignWithMargins="0">
    <oddFooter xml:space="preserve">&amp;R&amp;"Arial,Bold"&amp;12OERC FORM-&amp;A&amp;"Arial,Regular"&amp;10
</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7FD2BA-BD7A-4F7A-86C3-12B0D1BE4DC8}">
  <sheetPr>
    <tabColor rgb="FFFF0000"/>
  </sheetPr>
  <dimension ref="A1:Q42"/>
  <sheetViews>
    <sheetView view="pageBreakPreview" zoomScale="110" zoomScaleSheetLayoutView="110" workbookViewId="0">
      <pane xSplit="2" ySplit="6" topLeftCell="E7" activePane="bottomRight" state="frozen"/>
      <selection activeCell="F20" sqref="F20"/>
      <selection pane="topRight" activeCell="F20" sqref="F20"/>
      <selection pane="bottomLeft" activeCell="F20" sqref="F20"/>
      <selection pane="bottomRight" activeCell="F10" sqref="F10"/>
    </sheetView>
  </sheetViews>
  <sheetFormatPr defaultRowHeight="12.75"/>
  <cols>
    <col min="1" max="1" width="5.42578125" style="703" customWidth="1"/>
    <col min="2" max="2" width="24.140625" style="66" customWidth="1"/>
    <col min="3" max="3" width="9.42578125" customWidth="1"/>
    <col min="4" max="4" width="9.5703125" customWidth="1"/>
    <col min="5" max="5" width="9.140625" bestFit="1" customWidth="1"/>
    <col min="6" max="6" width="10" customWidth="1"/>
    <col min="7" max="7" width="8.42578125" customWidth="1"/>
    <col min="8" max="8" width="9.5703125" customWidth="1"/>
    <col min="9" max="11" width="9.7109375" customWidth="1"/>
    <col min="12" max="12" width="8.85546875" customWidth="1"/>
    <col min="13" max="13" width="9.28515625" customWidth="1"/>
    <col min="14" max="14" width="9.7109375" customWidth="1"/>
    <col min="15" max="15" width="9.140625" customWidth="1"/>
    <col min="16" max="16" width="11" customWidth="1"/>
    <col min="17" max="17" width="8.5703125" customWidth="1"/>
  </cols>
  <sheetData>
    <row r="1" spans="1:17">
      <c r="B1" s="781" t="s">
        <v>2</v>
      </c>
      <c r="E1" s="3" t="s">
        <v>0</v>
      </c>
      <c r="F1" s="2" t="s">
        <v>2358</v>
      </c>
      <c r="G1" s="2"/>
      <c r="H1" s="2"/>
      <c r="I1" s="2"/>
      <c r="J1" s="2"/>
      <c r="K1" s="2"/>
      <c r="L1" s="2"/>
      <c r="M1" s="2"/>
      <c r="N1" s="2"/>
      <c r="O1" s="2"/>
      <c r="P1" s="2"/>
    </row>
    <row r="2" spans="1:17">
      <c r="P2" s="2" t="s">
        <v>526</v>
      </c>
    </row>
    <row r="3" spans="1:17">
      <c r="B3" s="1855" t="s">
        <v>2359</v>
      </c>
      <c r="C3" s="1855"/>
      <c r="D3" s="1855"/>
      <c r="E3" s="1855"/>
      <c r="F3" s="1855"/>
      <c r="G3" s="1855"/>
      <c r="H3" s="1855"/>
      <c r="I3" s="1855"/>
      <c r="J3" s="1855"/>
      <c r="K3" s="1855"/>
      <c r="L3" s="1855"/>
      <c r="M3" s="1855"/>
      <c r="N3" s="1855"/>
      <c r="O3" s="1855"/>
      <c r="P3" s="1855"/>
      <c r="Q3" s="1855"/>
    </row>
    <row r="4" spans="1:17" ht="13.5" customHeight="1">
      <c r="A4" s="1951" t="s">
        <v>853</v>
      </c>
      <c r="B4" s="1949" t="s">
        <v>791</v>
      </c>
      <c r="C4" s="1952" t="s">
        <v>984</v>
      </c>
      <c r="D4" s="1952"/>
      <c r="E4" s="1952"/>
      <c r="F4" s="1952"/>
      <c r="G4" s="1952"/>
      <c r="H4" s="1952" t="s">
        <v>160</v>
      </c>
      <c r="I4" s="1952"/>
      <c r="J4" s="1952"/>
      <c r="K4" s="1952"/>
      <c r="L4" s="1952"/>
      <c r="M4" s="1953" t="s">
        <v>986</v>
      </c>
      <c r="N4" s="1953"/>
      <c r="O4" s="1953"/>
      <c r="P4" s="1953"/>
      <c r="Q4" s="1953"/>
    </row>
    <row r="5" spans="1:17" ht="13.5" customHeight="1">
      <c r="A5" s="1951"/>
      <c r="B5" s="1949"/>
      <c r="C5" s="1863" t="s">
        <v>858</v>
      </c>
      <c r="D5" s="1863"/>
      <c r="E5" s="1863" t="s">
        <v>859</v>
      </c>
      <c r="F5" s="1863"/>
      <c r="G5" s="1863" t="s">
        <v>147</v>
      </c>
      <c r="H5" s="1863" t="s">
        <v>858</v>
      </c>
      <c r="I5" s="1863"/>
      <c r="J5" s="1863" t="s">
        <v>859</v>
      </c>
      <c r="K5" s="1863"/>
      <c r="L5" s="1863" t="s">
        <v>147</v>
      </c>
      <c r="M5" s="1863" t="s">
        <v>858</v>
      </c>
      <c r="N5" s="1863"/>
      <c r="O5" s="1863" t="s">
        <v>859</v>
      </c>
      <c r="P5" s="1863"/>
      <c r="Q5" s="1863" t="s">
        <v>147</v>
      </c>
    </row>
    <row r="6" spans="1:17" ht="38.25">
      <c r="A6" s="1951"/>
      <c r="B6" s="1949"/>
      <c r="C6" s="883" t="s">
        <v>2360</v>
      </c>
      <c r="D6" s="883" t="s">
        <v>2361</v>
      </c>
      <c r="E6" s="883" t="s">
        <v>2360</v>
      </c>
      <c r="F6" s="883" t="s">
        <v>2361</v>
      </c>
      <c r="G6" s="1863"/>
      <c r="H6" s="883" t="s">
        <v>2360</v>
      </c>
      <c r="I6" s="883" t="s">
        <v>2361</v>
      </c>
      <c r="J6" s="883" t="s">
        <v>2360</v>
      </c>
      <c r="K6" s="883" t="s">
        <v>2361</v>
      </c>
      <c r="L6" s="1863"/>
      <c r="M6" s="883" t="s">
        <v>2360</v>
      </c>
      <c r="N6" s="883" t="s">
        <v>2361</v>
      </c>
      <c r="O6" s="883" t="s">
        <v>2360</v>
      </c>
      <c r="P6" s="883" t="s">
        <v>2361</v>
      </c>
      <c r="Q6" s="1863"/>
    </row>
    <row r="7" spans="1:17">
      <c r="A7" s="783">
        <v>1</v>
      </c>
      <c r="B7" s="509" t="s">
        <v>2362</v>
      </c>
      <c r="C7" s="1049">
        <v>291</v>
      </c>
      <c r="D7" s="1049">
        <v>98</v>
      </c>
      <c r="E7" s="1049">
        <v>0</v>
      </c>
      <c r="F7" s="1049">
        <v>0</v>
      </c>
      <c r="G7" s="1096">
        <f>C7+D7</f>
        <v>389</v>
      </c>
      <c r="H7" s="1292">
        <v>606</v>
      </c>
      <c r="I7" s="1292">
        <v>87</v>
      </c>
      <c r="J7" s="1292">
        <v>0</v>
      </c>
      <c r="K7" s="1292">
        <v>0</v>
      </c>
      <c r="L7" s="1096">
        <f>H7+I7</f>
        <v>693</v>
      </c>
      <c r="M7" s="1049">
        <v>647</v>
      </c>
      <c r="N7" s="1049">
        <v>114</v>
      </c>
      <c r="O7" s="1049">
        <v>0</v>
      </c>
      <c r="P7" s="1096">
        <v>0</v>
      </c>
      <c r="Q7" s="1096">
        <f>M7+N7</f>
        <v>761</v>
      </c>
    </row>
    <row r="8" spans="1:17">
      <c r="A8" s="783"/>
      <c r="B8" s="68"/>
      <c r="C8" s="1049"/>
      <c r="D8" s="1049"/>
      <c r="E8" s="1049"/>
      <c r="F8" s="1049"/>
      <c r="G8" s="1096"/>
      <c r="H8" s="1292"/>
      <c r="I8" s="1292"/>
      <c r="J8" s="1292"/>
      <c r="K8" s="1292"/>
      <c r="L8" s="1292"/>
      <c r="M8" s="1049"/>
      <c r="N8" s="1049"/>
      <c r="O8" s="1049"/>
      <c r="P8" s="1049"/>
      <c r="Q8" s="1049"/>
    </row>
    <row r="9" spans="1:17" s="506" customFormat="1">
      <c r="A9" s="1320">
        <v>2</v>
      </c>
      <c r="B9" s="509" t="s">
        <v>2143</v>
      </c>
      <c r="C9" s="1321"/>
      <c r="D9" s="1321"/>
      <c r="E9" s="1321"/>
      <c r="F9" s="1321"/>
      <c r="G9" s="1321">
        <f>'F-12'!E33</f>
        <v>5214.3073499463453</v>
      </c>
      <c r="H9" s="1322"/>
      <c r="I9" s="1322"/>
      <c r="J9" s="1322"/>
      <c r="K9" s="1322"/>
      <c r="L9" s="1321">
        <f>'F-12'!S33</f>
        <v>7765.575511480567</v>
      </c>
      <c r="M9" s="1321"/>
      <c r="N9" s="1321"/>
      <c r="O9" s="1321"/>
      <c r="P9" s="1321">
        <f>'F-12'!Z33</f>
        <v>12239.05430534862</v>
      </c>
      <c r="Q9" s="1096">
        <f t="shared" ref="Q9:Q14" si="0">G9+L9+P9</f>
        <v>25218.937166775533</v>
      </c>
    </row>
    <row r="10" spans="1:17" s="506" customFormat="1">
      <c r="A10" s="1320">
        <v>3</v>
      </c>
      <c r="B10" s="509" t="s">
        <v>2363</v>
      </c>
      <c r="C10" s="1321"/>
      <c r="D10" s="1321"/>
      <c r="E10" s="1321"/>
      <c r="F10" s="1321"/>
      <c r="G10" s="1321">
        <f>'F-12'!E14</f>
        <v>3795.2403127000002</v>
      </c>
      <c r="H10" s="1322"/>
      <c r="I10" s="1322"/>
      <c r="J10" s="1322"/>
      <c r="K10" s="1322"/>
      <c r="L10" s="1321">
        <f>'F-12'!S14</f>
        <v>6628.4951666666675</v>
      </c>
      <c r="M10" s="1321"/>
      <c r="N10" s="1321"/>
      <c r="O10" s="1321"/>
      <c r="P10" s="1321">
        <f>'F-12'!Z14</f>
        <v>11041.962280000002</v>
      </c>
      <c r="Q10" s="1096">
        <f t="shared" si="0"/>
        <v>21465.697759366667</v>
      </c>
    </row>
    <row r="11" spans="1:17" s="506" customFormat="1">
      <c r="A11" s="1320">
        <v>4</v>
      </c>
      <c r="B11" s="1319" t="s">
        <v>2364</v>
      </c>
      <c r="C11" s="1321"/>
      <c r="D11" s="1321"/>
      <c r="E11" s="1321"/>
      <c r="F11" s="1321"/>
      <c r="G11" s="1321">
        <f>'F-12'!E19+'F-12'!E29+'F-12'!E30+'F-12'!E32</f>
        <v>1419.0670372463446</v>
      </c>
      <c r="H11" s="1322"/>
      <c r="I11" s="1322"/>
      <c r="J11" s="1322"/>
      <c r="K11" s="1322"/>
      <c r="L11" s="1321">
        <f>'F-12'!S19+'F-12'!S29+'F-12'!S30+'F-12'!S31+'F-12'!S32</f>
        <v>1137.0803448138993</v>
      </c>
      <c r="M11" s="1321"/>
      <c r="N11" s="1321"/>
      <c r="O11" s="1321"/>
      <c r="P11" s="1321">
        <f>'F-12'!Z19+'F-12'!Z29+'F-12'!Z30+'F-12'!Z31+'F-12'!Z32</f>
        <v>1197.0920253486192</v>
      </c>
      <c r="Q11" s="1096">
        <f t="shared" si="0"/>
        <v>3753.2394074088634</v>
      </c>
    </row>
    <row r="12" spans="1:17" s="2" customFormat="1">
      <c r="A12" s="883">
        <v>5</v>
      </c>
      <c r="B12" s="1318" t="s">
        <v>2365</v>
      </c>
      <c r="C12" s="1096"/>
      <c r="D12" s="1096"/>
      <c r="E12" s="1096"/>
      <c r="F12" s="1096"/>
      <c r="G12" s="1096">
        <f>G10+G11</f>
        <v>5214.3073499463444</v>
      </c>
      <c r="H12" s="1317"/>
      <c r="I12" s="1317"/>
      <c r="J12" s="1317"/>
      <c r="K12" s="1317"/>
      <c r="L12" s="1096">
        <f>L10+L11</f>
        <v>7765.575511480567</v>
      </c>
      <c r="M12" s="1096"/>
      <c r="N12" s="1096"/>
      <c r="O12" s="1096"/>
      <c r="P12" s="1096">
        <f>P10+P11</f>
        <v>12239.054305348622</v>
      </c>
      <c r="Q12" s="1096">
        <f t="shared" si="0"/>
        <v>25218.937166775533</v>
      </c>
    </row>
    <row r="13" spans="1:17" s="506" customFormat="1" ht="25.5">
      <c r="A13" s="1320">
        <v>6</v>
      </c>
      <c r="B13" s="509" t="s">
        <v>2366</v>
      </c>
      <c r="C13" s="1321"/>
      <c r="D13" s="1321"/>
      <c r="E13" s="1321"/>
      <c r="F13" s="1321"/>
      <c r="G13" s="1321">
        <f>'F-12'!E34</f>
        <v>160.68739771965124</v>
      </c>
      <c r="H13" s="1322"/>
      <c r="I13" s="1322"/>
      <c r="J13" s="1322"/>
      <c r="K13" s="1322"/>
      <c r="L13" s="1321">
        <f>'F-12'!S34</f>
        <v>252.36480426625906</v>
      </c>
      <c r="M13" s="1321"/>
      <c r="N13" s="1321"/>
      <c r="O13" s="1321"/>
      <c r="P13" s="1321">
        <f>'F-12'!Z34</f>
        <v>490.3242260350483</v>
      </c>
      <c r="Q13" s="1096">
        <f t="shared" si="0"/>
        <v>903.37642802095866</v>
      </c>
    </row>
    <row r="14" spans="1:17" s="2" customFormat="1">
      <c r="A14" s="1323">
        <v>7</v>
      </c>
      <c r="B14" s="1324" t="s">
        <v>2234</v>
      </c>
      <c r="C14" s="1325"/>
      <c r="D14" s="1325"/>
      <c r="E14" s="1325"/>
      <c r="F14" s="1325"/>
      <c r="G14" s="1325">
        <f>G12-G13</f>
        <v>5053.6199522266934</v>
      </c>
      <c r="H14" s="1326"/>
      <c r="I14" s="1326"/>
      <c r="J14" s="1326"/>
      <c r="K14" s="1326"/>
      <c r="L14" s="1325">
        <f>L12-L13</f>
        <v>7513.2107072143081</v>
      </c>
      <c r="M14" s="1325"/>
      <c r="N14" s="1325"/>
      <c r="O14" s="1325"/>
      <c r="P14" s="1325">
        <f>P12-P13</f>
        <v>11748.730079313573</v>
      </c>
      <c r="Q14" s="1096">
        <f t="shared" si="0"/>
        <v>24315.560738754575</v>
      </c>
    </row>
    <row r="15" spans="1:17">
      <c r="A15" s="1327"/>
      <c r="B15" s="1328"/>
      <c r="C15" s="1329"/>
      <c r="D15" s="1329"/>
      <c r="E15" s="1329"/>
      <c r="F15" s="1329"/>
      <c r="G15" s="1329"/>
      <c r="H15" s="1330"/>
      <c r="I15" s="1330"/>
      <c r="J15" s="1330"/>
      <c r="K15" s="1330"/>
      <c r="L15" s="1329"/>
      <c r="M15" s="1329"/>
      <c r="N15" s="1329"/>
      <c r="O15" s="1329"/>
      <c r="P15" s="1329"/>
      <c r="Q15" s="1329"/>
    </row>
    <row r="16" spans="1:17">
      <c r="A16" s="1327"/>
      <c r="B16" s="780"/>
      <c r="C16" s="1331"/>
      <c r="D16" s="1331"/>
      <c r="E16" s="1331"/>
      <c r="F16" s="1331"/>
      <c r="G16" s="1329"/>
      <c r="H16" s="1332"/>
      <c r="I16" s="1332"/>
      <c r="J16" s="1332"/>
      <c r="K16" s="1332"/>
      <c r="L16" s="1332"/>
      <c r="M16" s="1333"/>
      <c r="N16" s="1331"/>
      <c r="O16" s="1331"/>
      <c r="P16" s="1331"/>
      <c r="Q16" s="1331"/>
    </row>
    <row r="17" spans="1:17">
      <c r="A17" s="1327"/>
      <c r="C17" s="1331"/>
      <c r="D17" s="1331"/>
      <c r="E17" s="1331"/>
      <c r="F17" s="1331"/>
      <c r="G17" s="66"/>
      <c r="H17" s="66"/>
      <c r="I17" s="66"/>
      <c r="J17" s="1332"/>
      <c r="K17" s="1332"/>
      <c r="L17" s="1332"/>
      <c r="M17" s="1331"/>
      <c r="N17" s="1331"/>
      <c r="O17" s="1331"/>
      <c r="P17" s="1331"/>
      <c r="Q17" s="1331"/>
    </row>
    <row r="18" spans="1:17">
      <c r="A18" s="1327"/>
      <c r="C18" s="1331"/>
      <c r="D18" s="1331"/>
      <c r="E18" s="1331"/>
      <c r="F18" s="1331"/>
      <c r="G18" s="1329"/>
      <c r="H18" s="1332"/>
      <c r="I18" s="1332"/>
      <c r="J18" s="1332"/>
      <c r="K18" s="1332"/>
      <c r="L18" s="1332"/>
      <c r="M18" s="1331"/>
      <c r="N18" s="1331"/>
      <c r="O18" s="1331"/>
      <c r="P18" s="1331"/>
      <c r="Q18" s="1331"/>
    </row>
    <row r="19" spans="1:17">
      <c r="A19" s="1327"/>
      <c r="C19" s="1331"/>
      <c r="D19" s="1331"/>
      <c r="E19" s="1331"/>
      <c r="F19" s="1331"/>
      <c r="G19" s="1329"/>
      <c r="H19" s="1332"/>
      <c r="I19" s="1332"/>
      <c r="J19" s="1332"/>
      <c r="K19" s="1332"/>
      <c r="L19" s="1332"/>
      <c r="M19" s="1331"/>
      <c r="N19" s="1331"/>
      <c r="O19" s="1331"/>
      <c r="P19" s="1331"/>
      <c r="Q19" s="1331"/>
    </row>
    <row r="20" spans="1:17">
      <c r="A20" s="1327"/>
      <c r="B20" s="702"/>
      <c r="C20" s="1331"/>
      <c r="D20" s="1331"/>
      <c r="E20" s="1331"/>
      <c r="F20" s="1331"/>
      <c r="G20" s="1329"/>
      <c r="H20" s="1332"/>
      <c r="I20" s="1332"/>
      <c r="J20" s="1332"/>
      <c r="K20" s="1332"/>
      <c r="L20" s="1332"/>
      <c r="M20" s="1331"/>
      <c r="N20" s="1331"/>
      <c r="O20" s="1331"/>
      <c r="P20" s="1331"/>
      <c r="Q20" s="1331"/>
    </row>
    <row r="21" spans="1:17">
      <c r="A21" s="1327"/>
      <c r="C21" s="1331"/>
      <c r="D21" s="1331"/>
      <c r="E21" s="1331"/>
      <c r="F21" s="1331"/>
      <c r="G21" s="1329"/>
      <c r="H21" s="1332"/>
      <c r="I21" s="1332"/>
      <c r="J21" s="1332"/>
      <c r="K21" s="1332"/>
      <c r="L21" s="1332"/>
      <c r="M21" s="1331"/>
      <c r="N21" s="1331"/>
      <c r="O21" s="1331"/>
      <c r="P21" s="1331"/>
      <c r="Q21" s="1331"/>
    </row>
    <row r="22" spans="1:17">
      <c r="A22" s="1327"/>
      <c r="C22" s="1331"/>
      <c r="D22" s="1331"/>
      <c r="E22" s="1331"/>
      <c r="F22" s="1331"/>
      <c r="G22" s="1329"/>
      <c r="H22" s="1334"/>
      <c r="I22" s="1334"/>
      <c r="J22" s="1331"/>
      <c r="K22" s="1331"/>
      <c r="L22" s="1331"/>
      <c r="M22" s="1331"/>
      <c r="N22" s="1331"/>
      <c r="O22" s="1331"/>
      <c r="P22" s="1331"/>
      <c r="Q22" s="1331"/>
    </row>
    <row r="23" spans="1:17">
      <c r="A23" s="1327"/>
      <c r="C23" s="1331"/>
      <c r="D23" s="1331"/>
      <c r="E23" s="1331"/>
      <c r="F23" s="1331"/>
      <c r="G23" s="1329"/>
      <c r="H23" s="1334"/>
      <c r="I23" s="1334"/>
      <c r="J23" s="1331"/>
      <c r="K23" s="1331"/>
      <c r="L23" s="1331"/>
      <c r="M23" s="1331"/>
      <c r="N23" s="1331"/>
      <c r="O23" s="1331"/>
      <c r="P23" s="1331"/>
      <c r="Q23" s="1331"/>
    </row>
    <row r="24" spans="1:17">
      <c r="A24" s="1327"/>
      <c r="C24" s="1331"/>
      <c r="D24" s="1331"/>
      <c r="E24" s="1331"/>
      <c r="F24" s="1331"/>
      <c r="G24" s="1329"/>
      <c r="H24" s="1332"/>
      <c r="I24" s="1332"/>
      <c r="J24" s="1331"/>
      <c r="K24" s="1331"/>
      <c r="L24" s="1331"/>
      <c r="M24" s="1331"/>
      <c r="N24" s="1331"/>
      <c r="O24" s="1331"/>
      <c r="P24" s="1331"/>
      <c r="Q24" s="1331"/>
    </row>
    <row r="25" spans="1:17">
      <c r="A25" s="1327"/>
      <c r="B25" s="1328"/>
      <c r="C25" s="1329"/>
      <c r="D25" s="1329"/>
      <c r="E25" s="1329"/>
      <c r="F25" s="1329"/>
      <c r="G25" s="1329"/>
      <c r="H25" s="1330"/>
      <c r="I25" s="1330"/>
      <c r="J25" s="1329"/>
      <c r="K25" s="1329"/>
      <c r="L25" s="1329"/>
      <c r="M25" s="1329"/>
      <c r="N25" s="1329"/>
      <c r="O25" s="1329"/>
      <c r="P25" s="1329"/>
      <c r="Q25" s="1329"/>
    </row>
    <row r="26" spans="1:17">
      <c r="A26" s="1327"/>
      <c r="C26" s="1331"/>
      <c r="D26" s="1331"/>
      <c r="E26" s="1331"/>
      <c r="F26" s="1331"/>
      <c r="G26" s="1329"/>
      <c r="H26" s="1332"/>
      <c r="I26" s="1332"/>
      <c r="J26" s="1331"/>
      <c r="K26" s="1331"/>
      <c r="L26" s="1331"/>
      <c r="M26" s="1331"/>
      <c r="N26" s="1331"/>
      <c r="O26" s="1331"/>
      <c r="P26" s="1331"/>
      <c r="Q26" s="1331"/>
    </row>
    <row r="27" spans="1:17">
      <c r="A27" s="1327"/>
      <c r="C27" s="1331"/>
      <c r="D27" s="1331"/>
      <c r="E27" s="1331"/>
      <c r="F27" s="1331"/>
      <c r="G27" s="1329"/>
      <c r="H27" s="1332"/>
      <c r="I27" s="1332"/>
      <c r="J27" s="1331"/>
      <c r="K27" s="1331"/>
      <c r="L27" s="1331"/>
      <c r="M27" s="1331"/>
      <c r="N27" s="1331"/>
      <c r="O27" s="1331"/>
      <c r="P27" s="1331"/>
      <c r="Q27" s="1331"/>
    </row>
    <row r="28" spans="1:17">
      <c r="A28" s="1327"/>
      <c r="B28" s="702"/>
      <c r="C28" s="1331"/>
      <c r="D28" s="1331"/>
      <c r="E28" s="1331"/>
      <c r="F28" s="1331"/>
      <c r="G28" s="1329"/>
      <c r="H28" s="1332"/>
      <c r="I28" s="1332"/>
      <c r="J28" s="1331"/>
      <c r="K28" s="1331"/>
      <c r="L28" s="1331"/>
      <c r="M28" s="1331"/>
      <c r="N28" s="1331"/>
      <c r="O28" s="1331"/>
      <c r="P28" s="1331"/>
      <c r="Q28" s="1331"/>
    </row>
    <row r="29" spans="1:17">
      <c r="A29" s="1327"/>
      <c r="B29" s="780"/>
      <c r="C29" s="1329"/>
      <c r="D29" s="1329"/>
      <c r="E29" s="1329"/>
      <c r="F29" s="1329"/>
      <c r="G29" s="1329"/>
      <c r="H29" s="1329"/>
      <c r="I29" s="1329"/>
      <c r="J29" s="1329"/>
      <c r="K29" s="1329"/>
      <c r="L29" s="1329"/>
      <c r="M29" s="1329"/>
      <c r="N29" s="1329"/>
      <c r="O29" s="1329"/>
      <c r="P29" s="1329"/>
      <c r="Q29" s="1329"/>
    </row>
    <row r="30" spans="1:17">
      <c r="A30" s="1327"/>
      <c r="B30" s="780"/>
      <c r="C30" s="1329"/>
      <c r="D30" s="1329"/>
      <c r="E30" s="1329"/>
      <c r="F30" s="1329"/>
      <c r="G30" s="1329"/>
      <c r="H30" s="1329"/>
      <c r="I30" s="1329"/>
      <c r="J30" s="1329"/>
      <c r="K30" s="1329"/>
      <c r="L30" s="1331"/>
      <c r="M30" s="1329"/>
      <c r="N30" s="1329"/>
      <c r="O30" s="1329"/>
      <c r="P30" s="1329"/>
      <c r="Q30" s="1329"/>
    </row>
    <row r="31" spans="1:17">
      <c r="A31" s="1327"/>
      <c r="B31" s="780"/>
      <c r="C31" s="1329"/>
      <c r="D31" s="1329"/>
      <c r="E31" s="1329"/>
      <c r="F31" s="1329"/>
      <c r="G31" s="1329"/>
      <c r="H31" s="1329"/>
      <c r="I31" s="1329"/>
      <c r="J31" s="1329"/>
      <c r="K31" s="1329"/>
      <c r="L31" s="1329"/>
      <c r="M31" s="1329"/>
      <c r="N31" s="1329"/>
      <c r="O31" s="1329"/>
      <c r="P31" s="1329"/>
      <c r="Q31" s="1329"/>
    </row>
    <row r="32" spans="1:17" ht="5.25" customHeight="1">
      <c r="B32" s="780"/>
      <c r="C32" s="12"/>
      <c r="D32" s="12"/>
      <c r="E32" s="12"/>
      <c r="F32" s="12"/>
      <c r="G32" s="12"/>
      <c r="H32" s="12"/>
      <c r="I32" s="12"/>
      <c r="J32" s="12"/>
      <c r="K32" s="12"/>
      <c r="L32" s="12"/>
      <c r="M32" s="12"/>
      <c r="N32" s="12"/>
      <c r="O32" s="12"/>
      <c r="P32" s="12"/>
      <c r="Q32" s="1335"/>
    </row>
    <row r="33" spans="1:17">
      <c r="B33" s="780"/>
      <c r="G33" s="7"/>
      <c r="H33" s="7"/>
      <c r="I33" s="7"/>
      <c r="J33" s="7"/>
      <c r="K33" s="7"/>
      <c r="L33" s="7"/>
    </row>
    <row r="34" spans="1:17">
      <c r="A34" s="1336"/>
      <c r="B34" s="1337"/>
      <c r="C34" s="1338"/>
      <c r="D34" s="1338"/>
      <c r="E34" s="1338"/>
      <c r="F34" s="1338"/>
      <c r="G34" s="1339"/>
      <c r="H34" s="1339"/>
      <c r="I34" s="1339"/>
      <c r="J34" s="1339"/>
      <c r="K34" s="1339"/>
      <c r="L34" s="1339"/>
      <c r="M34" s="1339"/>
      <c r="N34" s="1339"/>
      <c r="O34" s="1338"/>
      <c r="P34" s="1338"/>
      <c r="Q34" s="1339"/>
    </row>
    <row r="35" spans="1:17">
      <c r="A35" s="1336"/>
      <c r="B35" s="1337"/>
      <c r="C35" s="1338"/>
      <c r="D35" s="1338"/>
      <c r="E35" s="1338"/>
      <c r="F35" s="1338"/>
      <c r="G35" s="1339"/>
      <c r="H35" s="1339"/>
      <c r="I35" s="1339"/>
      <c r="J35" s="1339"/>
      <c r="K35" s="1339"/>
      <c r="L35" s="1339"/>
      <c r="M35" s="1339"/>
      <c r="N35" s="1339"/>
      <c r="O35" s="1338"/>
      <c r="P35" s="1338"/>
      <c r="Q35" s="1339"/>
    </row>
    <row r="36" spans="1:17">
      <c r="A36" s="1336"/>
      <c r="B36" s="1337"/>
      <c r="C36" s="1338"/>
      <c r="D36" s="1338"/>
      <c r="E36" s="1338"/>
      <c r="F36" s="1338"/>
      <c r="G36" s="1339"/>
      <c r="H36" s="1339"/>
      <c r="I36" s="1339"/>
      <c r="J36" s="1339"/>
      <c r="K36" s="1339"/>
      <c r="L36" s="1339"/>
      <c r="M36" s="1339"/>
      <c r="N36" s="1339"/>
      <c r="O36" s="1338"/>
      <c r="P36" s="1338"/>
      <c r="Q36" s="1339"/>
    </row>
    <row r="37" spans="1:17" s="2" customFormat="1">
      <c r="A37" s="1340"/>
      <c r="B37" s="1341"/>
      <c r="C37" s="1342"/>
      <c r="D37" s="1342"/>
      <c r="E37" s="1342"/>
      <c r="F37" s="1342"/>
      <c r="G37" s="1343"/>
      <c r="H37" s="1343"/>
      <c r="I37" s="1343"/>
      <c r="J37" s="1343"/>
      <c r="K37" s="1343"/>
      <c r="L37" s="1343"/>
      <c r="M37" s="1343"/>
      <c r="N37" s="1343"/>
      <c r="O37" s="1343"/>
      <c r="P37" s="1343"/>
      <c r="Q37" s="1343"/>
    </row>
    <row r="38" spans="1:17" ht="12.75" customHeight="1">
      <c r="A38" s="1336"/>
      <c r="B38" s="1337"/>
    </row>
    <row r="39" spans="1:17">
      <c r="A39" s="1336"/>
      <c r="B39" s="1337"/>
      <c r="F39" s="1344"/>
      <c r="G39" s="7"/>
      <c r="H39" s="7"/>
      <c r="I39" s="7"/>
      <c r="J39" s="7"/>
      <c r="K39" s="7"/>
      <c r="L39" s="7"/>
      <c r="Q39" s="7"/>
    </row>
    <row r="40" spans="1:17">
      <c r="A40" s="1336"/>
      <c r="B40" s="1337"/>
      <c r="F40" s="1344"/>
      <c r="G40" s="1344"/>
      <c r="H40" s="1344"/>
      <c r="I40" s="1344"/>
      <c r="J40" s="1344"/>
      <c r="K40" s="1344"/>
      <c r="L40" s="1344"/>
      <c r="Q40" s="7"/>
    </row>
    <row r="41" spans="1:17">
      <c r="A41" s="1336"/>
      <c r="B41" s="1337"/>
      <c r="C41" s="1345"/>
      <c r="D41" s="1345"/>
      <c r="E41" s="1345"/>
      <c r="F41" s="1345"/>
      <c r="G41" s="7"/>
      <c r="H41" s="7"/>
      <c r="I41" s="7"/>
      <c r="J41" s="7"/>
      <c r="K41" s="7"/>
      <c r="L41" s="7"/>
    </row>
    <row r="42" spans="1:17">
      <c r="A42" s="1336"/>
      <c r="B42" s="1337"/>
      <c r="G42" s="905"/>
      <c r="H42" s="905"/>
      <c r="I42" s="905"/>
      <c r="J42" s="905"/>
      <c r="K42" s="905"/>
      <c r="L42" s="905"/>
    </row>
  </sheetData>
  <mergeCells count="15">
    <mergeCell ref="Q5:Q6"/>
    <mergeCell ref="B3:Q3"/>
    <mergeCell ref="A4:A6"/>
    <mergeCell ref="B4:B6"/>
    <mergeCell ref="C4:G4"/>
    <mergeCell ref="H4:L4"/>
    <mergeCell ref="M4:Q4"/>
    <mergeCell ref="C5:D5"/>
    <mergeCell ref="E5:F5"/>
    <mergeCell ref="G5:G6"/>
    <mergeCell ref="H5:I5"/>
    <mergeCell ref="J5:K5"/>
    <mergeCell ref="L5:L6"/>
    <mergeCell ref="M5:N5"/>
    <mergeCell ref="O5:P5"/>
  </mergeCells>
  <printOptions horizontalCentered="1" gridLines="1"/>
  <pageMargins left="0" right="0" top="0.39370078740157483" bottom="0.31496062992125984" header="0" footer="0"/>
  <pageSetup paperSize="9" scale="75" orientation="landscape" r:id="rId1"/>
  <headerFooter alignWithMargins="0">
    <oddFooter xml:space="preserve">&amp;R&amp;"Arial,Bold"&amp;12OERC FORM-&amp;A
&amp;"Arial,Regular"&amp;10
</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902C7F-672F-4A85-9379-780916BF985A}">
  <sheetPr>
    <tabColor rgb="FFFF0000"/>
  </sheetPr>
  <dimension ref="A1:Q44"/>
  <sheetViews>
    <sheetView view="pageBreakPreview" zoomScale="110" zoomScaleSheetLayoutView="110" workbookViewId="0">
      <pane xSplit="2" ySplit="6" topLeftCell="C12" activePane="bottomRight" state="frozen"/>
      <selection activeCell="F20" sqref="F20"/>
      <selection pane="topRight" activeCell="F20" sqref="F20"/>
      <selection pane="bottomLeft" activeCell="F20" sqref="F20"/>
      <selection pane="bottomRight" activeCell="P9" sqref="P9"/>
    </sheetView>
  </sheetViews>
  <sheetFormatPr defaultRowHeight="12.75"/>
  <cols>
    <col min="1" max="1" width="5.42578125" style="703" customWidth="1"/>
    <col min="2" max="2" width="24.140625" style="66" customWidth="1"/>
    <col min="3" max="3" width="8.85546875" customWidth="1"/>
    <col min="4" max="4" width="9.5703125" customWidth="1"/>
    <col min="5" max="5" width="9.7109375" customWidth="1"/>
    <col min="6" max="6" width="10" customWidth="1"/>
    <col min="7" max="7" width="8.42578125" bestFit="1" customWidth="1"/>
    <col min="8" max="8" width="9.5703125" customWidth="1"/>
    <col min="9" max="9" width="9.7109375" customWidth="1"/>
    <col min="10" max="10" width="9.140625" bestFit="1" customWidth="1"/>
    <col min="11" max="11" width="10.85546875" customWidth="1"/>
    <col min="12" max="12" width="8.42578125" bestFit="1" customWidth="1"/>
    <col min="13" max="13" width="9.140625" bestFit="1" customWidth="1"/>
    <col min="14" max="14" width="9.7109375" customWidth="1"/>
    <col min="15" max="15" width="9.140625" bestFit="1" customWidth="1"/>
    <col min="16" max="16" width="10.5703125" customWidth="1"/>
    <col min="17" max="17" width="9.42578125" customWidth="1"/>
  </cols>
  <sheetData>
    <row r="1" spans="1:17">
      <c r="B1" s="781" t="s">
        <v>2</v>
      </c>
      <c r="E1" s="3" t="s">
        <v>0</v>
      </c>
      <c r="F1" s="2" t="s">
        <v>2367</v>
      </c>
      <c r="G1" s="2"/>
      <c r="H1" s="2"/>
      <c r="I1" s="2"/>
      <c r="J1" s="2"/>
      <c r="K1" s="2"/>
      <c r="L1" s="2"/>
      <c r="M1" s="2"/>
      <c r="N1" s="2"/>
      <c r="O1" s="2"/>
      <c r="P1" s="2"/>
    </row>
    <row r="2" spans="1:17">
      <c r="P2" s="2" t="s">
        <v>526</v>
      </c>
    </row>
    <row r="3" spans="1:17">
      <c r="B3" s="1855" t="s">
        <v>2368</v>
      </c>
      <c r="C3" s="1855"/>
      <c r="D3" s="1855"/>
      <c r="E3" s="1855"/>
      <c r="F3" s="1855"/>
      <c r="G3" s="1855"/>
      <c r="H3" s="1855"/>
      <c r="I3" s="1855"/>
      <c r="J3" s="1855"/>
      <c r="K3" s="1855"/>
      <c r="L3" s="1855"/>
      <c r="M3" s="1855"/>
      <c r="N3" s="1855"/>
      <c r="O3" s="1855"/>
      <c r="P3" s="1855"/>
      <c r="Q3" s="1855"/>
    </row>
    <row r="4" spans="1:17" ht="13.5" customHeight="1">
      <c r="A4" s="1951" t="s">
        <v>2371</v>
      </c>
      <c r="B4" s="1949" t="s">
        <v>791</v>
      </c>
      <c r="C4" s="1952" t="s">
        <v>984</v>
      </c>
      <c r="D4" s="1952"/>
      <c r="E4" s="1952"/>
      <c r="F4" s="1952"/>
      <c r="G4" s="1952"/>
      <c r="H4" s="1952" t="s">
        <v>160</v>
      </c>
      <c r="I4" s="1952"/>
      <c r="J4" s="1952"/>
      <c r="K4" s="1952"/>
      <c r="L4" s="1952"/>
      <c r="M4" s="1953" t="s">
        <v>986</v>
      </c>
      <c r="N4" s="1953"/>
      <c r="O4" s="1953"/>
      <c r="P4" s="1953"/>
      <c r="Q4" s="1953"/>
    </row>
    <row r="5" spans="1:17" ht="13.5" customHeight="1">
      <c r="A5" s="1951"/>
      <c r="B5" s="1949"/>
      <c r="C5" s="1863" t="s">
        <v>858</v>
      </c>
      <c r="D5" s="1863"/>
      <c r="E5" s="1863" t="s">
        <v>859</v>
      </c>
      <c r="F5" s="1863"/>
      <c r="G5" s="1863" t="s">
        <v>147</v>
      </c>
      <c r="H5" s="1863" t="s">
        <v>858</v>
      </c>
      <c r="I5" s="1863"/>
      <c r="J5" s="1863" t="s">
        <v>859</v>
      </c>
      <c r="K5" s="1863"/>
      <c r="L5" s="1863" t="s">
        <v>147</v>
      </c>
      <c r="M5" s="1863" t="s">
        <v>858</v>
      </c>
      <c r="N5" s="1863"/>
      <c r="O5" s="1863" t="s">
        <v>859</v>
      </c>
      <c r="P5" s="1863"/>
      <c r="Q5" s="1863" t="s">
        <v>147</v>
      </c>
    </row>
    <row r="6" spans="1:17" ht="38.25">
      <c r="A6" s="1951"/>
      <c r="B6" s="1949"/>
      <c r="C6" s="883" t="s">
        <v>2360</v>
      </c>
      <c r="D6" s="883" t="s">
        <v>2361</v>
      </c>
      <c r="E6" s="883" t="s">
        <v>2360</v>
      </c>
      <c r="F6" s="883" t="s">
        <v>2361</v>
      </c>
      <c r="G6" s="1863"/>
      <c r="H6" s="883" t="s">
        <v>2360</v>
      </c>
      <c r="I6" s="883" t="s">
        <v>2361</v>
      </c>
      <c r="J6" s="883" t="s">
        <v>2360</v>
      </c>
      <c r="K6" s="883" t="s">
        <v>2361</v>
      </c>
      <c r="L6" s="1863"/>
      <c r="M6" s="883" t="s">
        <v>2360</v>
      </c>
      <c r="N6" s="883" t="s">
        <v>2361</v>
      </c>
      <c r="O6" s="883" t="s">
        <v>2360</v>
      </c>
      <c r="P6" s="883" t="s">
        <v>2361</v>
      </c>
      <c r="Q6" s="1863"/>
    </row>
    <row r="7" spans="1:17" ht="38.25">
      <c r="A7" s="783">
        <v>1</v>
      </c>
      <c r="B7" s="509" t="s">
        <v>2369</v>
      </c>
      <c r="C7" s="1954">
        <f>'F-12'!C35+'F-12'!F35</f>
        <v>14262.511093482697</v>
      </c>
      <c r="D7" s="1955"/>
      <c r="E7" s="1954">
        <f>'F-12'!D35+'F-12'!G35</f>
        <v>34105.824932317315</v>
      </c>
      <c r="F7" s="1955"/>
      <c r="G7" s="1096">
        <f>C7+E7</f>
        <v>48368.33602580001</v>
      </c>
      <c r="H7" s="1954">
        <f>'F-12'!Q35+'F-12'!T35</f>
        <v>17331.645326581533</v>
      </c>
      <c r="I7" s="1955"/>
      <c r="J7" s="1954">
        <f>'F-12'!R35+'F-12'!U35</f>
        <v>39139.539535197771</v>
      </c>
      <c r="K7" s="1955"/>
      <c r="L7" s="1096">
        <f>H7+J7</f>
        <v>56471.1848617793</v>
      </c>
      <c r="M7" s="1954">
        <f>'F-12'!X35+'F-12'!AA35</f>
        <v>23057.418650744286</v>
      </c>
      <c r="N7" s="1955"/>
      <c r="O7" s="1954">
        <f>'F-12'!Y35+'F-12'!AB35</f>
        <v>38439.984694059509</v>
      </c>
      <c r="P7" s="1955"/>
      <c r="Q7" s="1096">
        <f>M7+O7</f>
        <v>61497.403344803795</v>
      </c>
    </row>
    <row r="8" spans="1:17">
      <c r="A8" s="1327"/>
      <c r="C8" s="1331"/>
      <c r="D8" s="1331"/>
      <c r="E8" s="1331"/>
      <c r="F8" s="1331"/>
      <c r="G8" s="1353"/>
      <c r="H8" s="1332"/>
      <c r="I8" s="1332"/>
      <c r="J8" s="1332"/>
      <c r="K8" s="1332"/>
      <c r="L8" s="1352"/>
      <c r="M8" s="1331"/>
      <c r="N8" s="1331"/>
      <c r="O8" s="1331"/>
      <c r="P8" s="1331"/>
      <c r="Q8" s="1352"/>
    </row>
    <row r="9" spans="1:17" ht="38.25">
      <c r="A9" s="883" t="s">
        <v>2235</v>
      </c>
      <c r="B9" s="1318" t="s">
        <v>2370</v>
      </c>
      <c r="C9" s="1350" t="s">
        <v>984</v>
      </c>
      <c r="D9" s="1350" t="s">
        <v>160</v>
      </c>
      <c r="E9" s="1350" t="s">
        <v>986</v>
      </c>
      <c r="F9" s="1331"/>
      <c r="G9" s="1329"/>
      <c r="H9" s="1332"/>
      <c r="I9" s="1332"/>
      <c r="J9" s="1332"/>
      <c r="K9" s="1332"/>
      <c r="L9" s="1332"/>
      <c r="M9" s="1331"/>
      <c r="N9" s="1331"/>
      <c r="O9" s="1331"/>
      <c r="P9" s="1331"/>
      <c r="Q9" s="1331"/>
    </row>
    <row r="10" spans="1:17" s="506" customFormat="1">
      <c r="A10" s="1320">
        <v>1</v>
      </c>
      <c r="B10" s="509" t="s">
        <v>2372</v>
      </c>
      <c r="C10" s="1746">
        <f>'F-12'!I38</f>
        <v>2454</v>
      </c>
      <c r="D10" s="1746">
        <f>C13</f>
        <v>2635</v>
      </c>
      <c r="E10" s="1321">
        <f>D13</f>
        <v>3188</v>
      </c>
      <c r="F10" s="1347"/>
      <c r="G10" s="1347"/>
      <c r="H10" s="1348"/>
      <c r="I10" s="1348"/>
      <c r="J10" s="1348"/>
      <c r="K10" s="1348"/>
      <c r="L10" s="1348"/>
      <c r="M10" s="1347"/>
      <c r="N10" s="1347"/>
      <c r="O10" s="1347"/>
      <c r="P10" s="1347"/>
      <c r="Q10" s="1347"/>
    </row>
    <row r="11" spans="1:17" s="506" customFormat="1" ht="25.5">
      <c r="A11" s="1320">
        <v>2</v>
      </c>
      <c r="B11" s="509" t="s">
        <v>2373</v>
      </c>
      <c r="C11" s="1746">
        <f>'F-12'!I39</f>
        <v>389</v>
      </c>
      <c r="D11" s="1746">
        <f>'F-12'!W39</f>
        <v>693</v>
      </c>
      <c r="E11" s="1321">
        <f>'F-12'!AD39</f>
        <v>761</v>
      </c>
      <c r="F11" s="1347"/>
      <c r="G11" s="1347"/>
      <c r="H11" s="1348"/>
      <c r="I11" s="1348"/>
      <c r="J11" s="1348"/>
      <c r="K11" s="1348"/>
      <c r="L11" s="1348"/>
      <c r="M11" s="1347"/>
      <c r="N11" s="1347"/>
      <c r="O11" s="1347"/>
      <c r="P11" s="1347"/>
      <c r="Q11" s="1347"/>
    </row>
    <row r="12" spans="1:17" s="506" customFormat="1" ht="38.25">
      <c r="A12" s="1320">
        <v>3</v>
      </c>
      <c r="B12" s="1319" t="s">
        <v>2374</v>
      </c>
      <c r="C12" s="1746">
        <f>'F-12'!I40</f>
        <v>208</v>
      </c>
      <c r="D12" s="1746">
        <f>'F-12'!W40</f>
        <v>140</v>
      </c>
      <c r="E12" s="1321">
        <f>'F-12'!AD40</f>
        <v>88</v>
      </c>
      <c r="F12" s="1347"/>
      <c r="G12" s="1347"/>
      <c r="H12" s="1348"/>
      <c r="I12" s="1348"/>
      <c r="J12" s="1348"/>
      <c r="K12" s="1348"/>
      <c r="L12" s="1348"/>
      <c r="M12" s="1347"/>
      <c r="N12" s="1347"/>
      <c r="O12" s="1347"/>
      <c r="P12" s="1347"/>
      <c r="Q12" s="1347"/>
    </row>
    <row r="13" spans="1:17" s="506" customFormat="1">
      <c r="A13" s="883">
        <v>4</v>
      </c>
      <c r="B13" s="1318" t="s">
        <v>2379</v>
      </c>
      <c r="C13" s="1747">
        <f>C10+C11-C12</f>
        <v>2635</v>
      </c>
      <c r="D13" s="1747">
        <f t="shared" ref="D13:E13" si="0">D10+D11-D12</f>
        <v>3188</v>
      </c>
      <c r="E13" s="1747">
        <f t="shared" si="0"/>
        <v>3861</v>
      </c>
      <c r="F13" s="1347"/>
      <c r="G13" s="1347"/>
      <c r="H13" s="1348"/>
      <c r="I13" s="1348"/>
      <c r="J13" s="1348"/>
      <c r="K13" s="1348"/>
      <c r="L13" s="1348"/>
      <c r="M13" s="1347"/>
      <c r="N13" s="1347"/>
      <c r="O13" s="1347"/>
      <c r="P13" s="1347"/>
      <c r="Q13" s="1347"/>
    </row>
    <row r="14" spans="1:17" s="2" customFormat="1" ht="25.5">
      <c r="A14" s="1320">
        <v>5</v>
      </c>
      <c r="B14" s="1319" t="s">
        <v>2376</v>
      </c>
      <c r="C14" s="1746">
        <f>AVERAGE(C10,C13)</f>
        <v>2544.5</v>
      </c>
      <c r="D14" s="1746">
        <f t="shared" ref="D14:E14" si="1">AVERAGE(D10,D13)</f>
        <v>2911.5</v>
      </c>
      <c r="E14" s="1746">
        <f t="shared" si="1"/>
        <v>3524.5</v>
      </c>
      <c r="F14" s="1329"/>
      <c r="G14" s="1329"/>
      <c r="H14" s="1330"/>
      <c r="I14" s="1330"/>
      <c r="J14" s="1330"/>
      <c r="K14" s="1330"/>
      <c r="L14" s="1330"/>
      <c r="M14" s="1329"/>
      <c r="N14" s="1329"/>
      <c r="O14" s="1329"/>
      <c r="P14" s="1329"/>
      <c r="Q14" s="1329"/>
    </row>
    <row r="15" spans="1:17" s="506" customFormat="1">
      <c r="A15" s="1320">
        <v>6</v>
      </c>
      <c r="B15" s="509" t="s">
        <v>2375</v>
      </c>
      <c r="C15" s="1321">
        <f>'T-1'!G72</f>
        <v>7355.7998001920314</v>
      </c>
      <c r="D15" s="1321">
        <f>'T-1'!N72</f>
        <v>10071.000000000002</v>
      </c>
      <c r="E15" s="1321">
        <f>'T-1'!S72</f>
        <v>10482.000001999999</v>
      </c>
      <c r="F15" s="1347"/>
      <c r="G15" s="1347"/>
      <c r="H15" s="1348"/>
      <c r="I15" s="1348"/>
      <c r="J15" s="1348"/>
      <c r="K15" s="1348"/>
      <c r="L15" s="1348"/>
      <c r="M15" s="1347"/>
      <c r="N15" s="1347"/>
      <c r="O15" s="1347"/>
      <c r="P15" s="1347"/>
      <c r="Q15" s="1347"/>
    </row>
    <row r="16" spans="1:17" s="2" customFormat="1" ht="25.5">
      <c r="A16" s="1320">
        <v>7</v>
      </c>
      <c r="B16" s="509" t="s">
        <v>2377</v>
      </c>
      <c r="C16" s="1321">
        <f>C14/C15</f>
        <v>0.34591751666944132</v>
      </c>
      <c r="D16" s="1321">
        <f>D14/D15</f>
        <v>0.28909740840035741</v>
      </c>
      <c r="E16" s="1321">
        <f>E14/E15</f>
        <v>0.33624308331687791</v>
      </c>
      <c r="F16" s="1329"/>
      <c r="G16" s="1329"/>
      <c r="H16" s="1330"/>
      <c r="I16" s="1330"/>
      <c r="J16" s="1330"/>
      <c r="K16" s="1330"/>
      <c r="L16" s="1330"/>
      <c r="M16" s="1329"/>
      <c r="N16" s="1329"/>
      <c r="O16" s="1329"/>
      <c r="P16" s="1329"/>
      <c r="Q16" s="1329"/>
    </row>
    <row r="17" spans="1:17" ht="25.5">
      <c r="A17" s="1320">
        <v>8</v>
      </c>
      <c r="B17" s="1319" t="s">
        <v>2380</v>
      </c>
      <c r="C17" s="1746">
        <f>'T-1'!D72</f>
        <v>2207641</v>
      </c>
      <c r="D17" s="1746">
        <f>'T-1'!H72</f>
        <v>2224067</v>
      </c>
      <c r="E17" s="1746">
        <f>'T-1'!P72</f>
        <v>2356761</v>
      </c>
      <c r="F17" s="1329"/>
      <c r="G17" s="1329"/>
      <c r="H17" s="1330"/>
      <c r="I17" s="1330"/>
      <c r="J17" s="1330"/>
      <c r="K17" s="1330"/>
      <c r="L17" s="1329"/>
      <c r="M17" s="1329"/>
      <c r="N17" s="1329"/>
      <c r="O17" s="1329"/>
      <c r="P17" s="1329"/>
      <c r="Q17" s="1329"/>
    </row>
    <row r="18" spans="1:17" ht="25.5">
      <c r="A18" s="1320">
        <v>9</v>
      </c>
      <c r="B18" s="509" t="s">
        <v>2378</v>
      </c>
      <c r="C18" s="1321">
        <f>C14/C17*1000</f>
        <v>1.1525877622312686</v>
      </c>
      <c r="D18" s="1321">
        <f t="shared" ref="D18" si="2">D14/D17*1000</f>
        <v>1.3090882603806449</v>
      </c>
      <c r="E18" s="1321">
        <f>E14/E17*1000</f>
        <v>1.4954846927626517</v>
      </c>
      <c r="F18" s="1331"/>
      <c r="G18" s="1329"/>
      <c r="H18" s="1332"/>
      <c r="I18" s="1332"/>
      <c r="J18" s="1332"/>
      <c r="K18" s="1332"/>
      <c r="L18" s="1332"/>
      <c r="M18" s="1333"/>
      <c r="N18" s="1331"/>
      <c r="O18" s="1331"/>
      <c r="P18" s="1331"/>
      <c r="Q18" s="1331"/>
    </row>
    <row r="19" spans="1:17">
      <c r="A19" s="1327"/>
      <c r="C19" s="1331"/>
      <c r="D19" s="1331"/>
      <c r="E19" s="1331"/>
      <c r="F19" s="1331"/>
      <c r="G19" s="1329"/>
      <c r="H19" s="1332"/>
      <c r="I19" s="1332"/>
      <c r="J19" s="1332"/>
      <c r="K19" s="1332"/>
      <c r="L19" s="1332"/>
      <c r="M19" s="1331"/>
      <c r="N19" s="1331"/>
      <c r="O19" s="1331"/>
      <c r="P19" s="1331"/>
      <c r="Q19" s="1331"/>
    </row>
    <row r="20" spans="1:17">
      <c r="A20" s="1327"/>
      <c r="C20" s="1331"/>
      <c r="D20" s="1331"/>
      <c r="E20" s="1331"/>
      <c r="F20" s="1331"/>
      <c r="G20" s="1329"/>
      <c r="H20" s="1332"/>
      <c r="I20" s="1332"/>
      <c r="J20" s="1332"/>
      <c r="K20" s="1332"/>
      <c r="L20" s="1332"/>
      <c r="M20" s="1331"/>
      <c r="N20" s="1331"/>
      <c r="O20" s="1331"/>
      <c r="P20" s="1331"/>
      <c r="Q20" s="1331"/>
    </row>
    <row r="21" spans="1:17">
      <c r="A21" s="1327"/>
      <c r="C21" s="1331"/>
      <c r="D21" s="1331"/>
      <c r="E21" s="1331"/>
      <c r="F21" s="1331"/>
      <c r="G21" s="1329"/>
      <c r="H21" s="1332"/>
      <c r="I21" s="1332"/>
      <c r="J21" s="1332"/>
      <c r="K21" s="1332"/>
      <c r="L21" s="1332"/>
      <c r="M21" s="1331"/>
      <c r="N21" s="1331"/>
      <c r="O21" s="1331"/>
      <c r="P21" s="1331"/>
      <c r="Q21" s="1331"/>
    </row>
    <row r="22" spans="1:17">
      <c r="A22" s="1327"/>
      <c r="B22" s="702"/>
      <c r="C22" s="1331"/>
      <c r="D22" s="1331"/>
      <c r="E22" s="1331"/>
      <c r="F22" s="1331"/>
      <c r="G22" s="1329"/>
      <c r="H22" s="1332"/>
      <c r="I22" s="1332"/>
      <c r="J22" s="1332"/>
      <c r="K22" s="1332"/>
      <c r="L22" s="1332"/>
      <c r="M22" s="1331"/>
      <c r="N22" s="1331"/>
      <c r="O22" s="1331"/>
      <c r="P22" s="1331"/>
      <c r="Q22" s="1331"/>
    </row>
    <row r="23" spans="1:17">
      <c r="A23" s="1327"/>
      <c r="C23" s="1331"/>
      <c r="D23" s="1331"/>
      <c r="E23" s="1331"/>
      <c r="F23" s="1331"/>
      <c r="G23" s="1329"/>
      <c r="H23" s="1332"/>
      <c r="I23" s="1332"/>
      <c r="J23" s="1332"/>
      <c r="K23" s="1332"/>
      <c r="L23" s="1332"/>
      <c r="M23" s="1331"/>
      <c r="N23" s="1331"/>
      <c r="O23" s="1331"/>
      <c r="P23" s="1331"/>
      <c r="Q23" s="1331"/>
    </row>
    <row r="24" spans="1:17">
      <c r="A24" s="1327"/>
      <c r="C24" s="1331"/>
      <c r="D24" s="1331"/>
      <c r="E24" s="1331"/>
      <c r="F24" s="1331"/>
      <c r="G24" s="1329"/>
      <c r="H24" s="1334"/>
      <c r="I24" s="1334"/>
      <c r="J24" s="1331"/>
      <c r="K24" s="1331"/>
      <c r="L24" s="1331"/>
      <c r="M24" s="1331"/>
      <c r="N24" s="1331"/>
      <c r="O24" s="1331"/>
      <c r="P24" s="1331"/>
      <c r="Q24" s="1331"/>
    </row>
    <row r="25" spans="1:17">
      <c r="A25" s="1327"/>
      <c r="C25" s="1331"/>
      <c r="D25" s="1331"/>
      <c r="E25" s="1331"/>
      <c r="F25" s="1331"/>
      <c r="G25" s="1329"/>
      <c r="H25" s="1334"/>
      <c r="I25" s="1334"/>
      <c r="J25" s="1331"/>
      <c r="K25" s="1331"/>
      <c r="L25" s="1331"/>
      <c r="M25" s="1331"/>
      <c r="N25" s="1331"/>
      <c r="O25" s="1331"/>
      <c r="P25" s="1331"/>
      <c r="Q25" s="1331"/>
    </row>
    <row r="26" spans="1:17">
      <c r="A26" s="1327"/>
      <c r="C26" s="1331"/>
      <c r="D26" s="1331"/>
      <c r="E26" s="1331"/>
      <c r="F26" s="1331"/>
      <c r="G26" s="1329"/>
      <c r="H26" s="1332"/>
      <c r="I26" s="1332"/>
      <c r="J26" s="1331"/>
      <c r="K26" s="1331"/>
      <c r="L26" s="1331"/>
      <c r="M26" s="1331"/>
      <c r="N26" s="1331"/>
      <c r="O26" s="1331"/>
      <c r="P26" s="1331"/>
      <c r="Q26" s="1331"/>
    </row>
    <row r="27" spans="1:17">
      <c r="A27" s="1327"/>
      <c r="B27" s="1328"/>
      <c r="C27" s="1329"/>
      <c r="D27" s="1329"/>
      <c r="E27" s="1329"/>
      <c r="F27" s="1329"/>
      <c r="G27" s="1329"/>
      <c r="H27" s="1330"/>
      <c r="I27" s="1330"/>
      <c r="J27" s="1329"/>
      <c r="K27" s="1329"/>
      <c r="L27" s="1329"/>
      <c r="M27" s="1329"/>
      <c r="N27" s="1329"/>
      <c r="O27" s="1329"/>
      <c r="P27" s="1329"/>
      <c r="Q27" s="1329"/>
    </row>
    <row r="28" spans="1:17">
      <c r="A28" s="1327"/>
      <c r="C28" s="1331"/>
      <c r="D28" s="1331"/>
      <c r="E28" s="1331"/>
      <c r="F28" s="1331"/>
      <c r="G28" s="1329"/>
      <c r="H28" s="1332"/>
      <c r="I28" s="1332"/>
      <c r="J28" s="1331"/>
      <c r="K28" s="1331"/>
      <c r="L28" s="1331"/>
      <c r="M28" s="1331"/>
      <c r="N28" s="1331"/>
      <c r="O28" s="1331"/>
      <c r="P28" s="1331"/>
      <c r="Q28" s="1331"/>
    </row>
    <row r="29" spans="1:17">
      <c r="A29" s="1327"/>
      <c r="C29" s="1331"/>
      <c r="D29" s="1331"/>
      <c r="E29" s="1331"/>
      <c r="F29" s="1331"/>
      <c r="G29" s="1329"/>
      <c r="H29" s="1332"/>
      <c r="I29" s="1332"/>
      <c r="J29" s="1331"/>
      <c r="K29" s="1331"/>
      <c r="L29" s="1331"/>
      <c r="M29" s="1331"/>
      <c r="N29" s="1331"/>
      <c r="O29" s="1331"/>
      <c r="P29" s="1331"/>
      <c r="Q29" s="1331"/>
    </row>
    <row r="30" spans="1:17">
      <c r="A30" s="1327"/>
      <c r="B30" s="702"/>
      <c r="C30" s="1331"/>
      <c r="D30" s="1331"/>
      <c r="E30" s="1331"/>
      <c r="F30" s="1331"/>
      <c r="G30" s="1329"/>
      <c r="H30" s="1332"/>
      <c r="I30" s="1332"/>
      <c r="J30" s="1331"/>
      <c r="K30" s="1331"/>
      <c r="L30" s="1331"/>
      <c r="M30" s="1331"/>
      <c r="N30" s="1331"/>
      <c r="O30" s="1331"/>
      <c r="P30" s="1331"/>
      <c r="Q30" s="1331"/>
    </row>
    <row r="31" spans="1:17">
      <c r="A31" s="1327"/>
      <c r="B31" s="780"/>
      <c r="C31" s="1329"/>
      <c r="D31" s="1329"/>
      <c r="E31" s="1329"/>
      <c r="F31" s="1329"/>
      <c r="G31" s="1329"/>
      <c r="H31" s="1329"/>
      <c r="I31" s="1329"/>
      <c r="J31" s="1329"/>
      <c r="K31" s="1329"/>
      <c r="L31" s="1329"/>
      <c r="M31" s="1329"/>
      <c r="N31" s="1329"/>
      <c r="O31" s="1329"/>
      <c r="P31" s="1329"/>
      <c r="Q31" s="1329"/>
    </row>
    <row r="32" spans="1:17">
      <c r="A32" s="1327"/>
      <c r="B32" s="780"/>
      <c r="C32" s="1329"/>
      <c r="D32" s="1329"/>
      <c r="E32" s="1329"/>
      <c r="F32" s="1329"/>
      <c r="G32" s="1329"/>
      <c r="H32" s="1329"/>
      <c r="I32" s="1329"/>
      <c r="J32" s="1329"/>
      <c r="K32" s="1329"/>
      <c r="L32" s="1331"/>
      <c r="M32" s="1329"/>
      <c r="N32" s="1329"/>
      <c r="O32" s="1329"/>
      <c r="P32" s="1329"/>
      <c r="Q32" s="1329"/>
    </row>
    <row r="33" spans="1:17">
      <c r="A33" s="1327"/>
      <c r="B33" s="780"/>
      <c r="C33" s="1329"/>
      <c r="D33" s="1329"/>
      <c r="E33" s="1329"/>
      <c r="F33" s="1329"/>
      <c r="G33" s="1329"/>
      <c r="H33" s="1329"/>
      <c r="I33" s="1329"/>
      <c r="J33" s="1329"/>
      <c r="K33" s="1329"/>
      <c r="L33" s="1329"/>
      <c r="M33" s="1329"/>
      <c r="N33" s="1329"/>
      <c r="O33" s="1329"/>
      <c r="P33" s="1329"/>
      <c r="Q33" s="1329"/>
    </row>
    <row r="34" spans="1:17" ht="5.25" customHeight="1">
      <c r="B34" s="780"/>
      <c r="C34" s="12"/>
      <c r="D34" s="12"/>
      <c r="E34" s="12"/>
      <c r="F34" s="12"/>
      <c r="G34" s="12"/>
      <c r="H34" s="12"/>
      <c r="I34" s="12"/>
      <c r="J34" s="12"/>
      <c r="K34" s="12"/>
      <c r="L34" s="12"/>
      <c r="M34" s="12"/>
      <c r="N34" s="12"/>
      <c r="O34" s="12"/>
      <c r="P34" s="12"/>
      <c r="Q34" s="1335"/>
    </row>
    <row r="35" spans="1:17">
      <c r="B35" s="780"/>
      <c r="G35" s="7"/>
      <c r="H35" s="7"/>
      <c r="I35" s="7"/>
      <c r="J35" s="7"/>
      <c r="K35" s="7"/>
      <c r="L35" s="7"/>
    </row>
    <row r="36" spans="1:17">
      <c r="A36" s="1336"/>
      <c r="B36" s="1337"/>
      <c r="C36" s="1338"/>
      <c r="D36" s="1338"/>
      <c r="E36" s="1338"/>
      <c r="F36" s="1338"/>
      <c r="G36" s="1339"/>
      <c r="H36" s="1339"/>
      <c r="I36" s="1339"/>
      <c r="J36" s="1339"/>
      <c r="K36" s="1339"/>
      <c r="L36" s="1339"/>
      <c r="M36" s="1339"/>
      <c r="N36" s="1339"/>
      <c r="O36" s="1338"/>
      <c r="P36" s="1338"/>
      <c r="Q36" s="1339"/>
    </row>
    <row r="37" spans="1:17">
      <c r="A37" s="1336"/>
      <c r="B37" s="1337"/>
      <c r="C37" s="1338"/>
      <c r="D37" s="1338"/>
      <c r="E37" s="1338"/>
      <c r="F37" s="1338"/>
      <c r="G37" s="1339"/>
      <c r="H37" s="1339"/>
      <c r="I37" s="1339"/>
      <c r="J37" s="1339"/>
      <c r="K37" s="1339"/>
      <c r="L37" s="1339"/>
      <c r="M37" s="1339"/>
      <c r="N37" s="1339"/>
      <c r="O37" s="1338"/>
      <c r="P37" s="1338"/>
      <c r="Q37" s="1339"/>
    </row>
    <row r="38" spans="1:17">
      <c r="A38" s="1336"/>
      <c r="B38" s="1337"/>
      <c r="C38" s="1338"/>
      <c r="D38" s="1338"/>
      <c r="E38" s="1338"/>
      <c r="F38" s="1338"/>
      <c r="G38" s="1339"/>
      <c r="H38" s="1339"/>
      <c r="I38" s="1339"/>
      <c r="J38" s="1339"/>
      <c r="K38" s="1339"/>
      <c r="L38" s="1339"/>
      <c r="M38" s="1339"/>
      <c r="N38" s="1339"/>
      <c r="O38" s="1338"/>
      <c r="P38" s="1338"/>
      <c r="Q38" s="1339"/>
    </row>
    <row r="39" spans="1:17" s="2" customFormat="1">
      <c r="A39" s="1340"/>
      <c r="B39" s="1341"/>
      <c r="C39" s="1342"/>
      <c r="D39" s="1342"/>
      <c r="E39" s="1342"/>
      <c r="F39" s="1342"/>
      <c r="G39" s="1343"/>
      <c r="H39" s="1343"/>
      <c r="I39" s="1343"/>
      <c r="J39" s="1343"/>
      <c r="K39" s="1343"/>
      <c r="L39" s="1343"/>
      <c r="M39" s="1343"/>
      <c r="N39" s="1343"/>
      <c r="O39" s="1343"/>
      <c r="P39" s="1343"/>
      <c r="Q39" s="1343"/>
    </row>
    <row r="40" spans="1:17" ht="12.75" customHeight="1">
      <c r="A40" s="1336"/>
      <c r="B40" s="1337"/>
    </row>
    <row r="41" spans="1:17">
      <c r="A41" s="1336"/>
      <c r="B41" s="1337"/>
      <c r="F41" s="1344"/>
      <c r="G41" s="7"/>
      <c r="H41" s="7"/>
      <c r="I41" s="7"/>
      <c r="J41" s="7"/>
      <c r="K41" s="7"/>
      <c r="L41" s="7"/>
      <c r="Q41" s="7"/>
    </row>
    <row r="42" spans="1:17">
      <c r="A42" s="1336"/>
      <c r="B42" s="1337"/>
      <c r="F42" s="1344"/>
      <c r="G42" s="1344"/>
      <c r="H42" s="1344"/>
      <c r="I42" s="1344"/>
      <c r="J42" s="1344"/>
      <c r="K42" s="1344"/>
      <c r="L42" s="1344"/>
      <c r="Q42" s="7"/>
    </row>
    <row r="43" spans="1:17">
      <c r="A43" s="1336"/>
      <c r="B43" s="1337"/>
      <c r="C43" s="1345"/>
      <c r="D43" s="1345"/>
      <c r="E43" s="1345"/>
      <c r="F43" s="1345"/>
      <c r="G43" s="7"/>
      <c r="H43" s="7"/>
      <c r="I43" s="7"/>
      <c r="J43" s="7"/>
      <c r="K43" s="7"/>
      <c r="L43" s="7"/>
    </row>
    <row r="44" spans="1:17">
      <c r="A44" s="1336"/>
      <c r="B44" s="1337"/>
      <c r="G44" s="905"/>
      <c r="H44" s="905"/>
      <c r="I44" s="905"/>
      <c r="J44" s="905"/>
      <c r="K44" s="905"/>
      <c r="L44" s="905"/>
    </row>
  </sheetData>
  <mergeCells count="21">
    <mergeCell ref="O7:P7"/>
    <mergeCell ref="J5:K5"/>
    <mergeCell ref="L5:L6"/>
    <mergeCell ref="M5:N5"/>
    <mergeCell ref="O5:P5"/>
    <mergeCell ref="C7:D7"/>
    <mergeCell ref="E7:F7"/>
    <mergeCell ref="H7:I7"/>
    <mergeCell ref="J7:K7"/>
    <mergeCell ref="M7:N7"/>
    <mergeCell ref="B3:Q3"/>
    <mergeCell ref="A4:A6"/>
    <mergeCell ref="B4:B6"/>
    <mergeCell ref="C4:G4"/>
    <mergeCell ref="H4:L4"/>
    <mergeCell ref="M4:Q4"/>
    <mergeCell ref="C5:D5"/>
    <mergeCell ref="E5:F5"/>
    <mergeCell ref="G5:G6"/>
    <mergeCell ref="H5:I5"/>
    <mergeCell ref="Q5:Q6"/>
  </mergeCells>
  <printOptions horizontalCentered="1" gridLines="1"/>
  <pageMargins left="0" right="0" top="0.39370078740157483" bottom="0.31496062992125984" header="0" footer="0"/>
  <pageSetup paperSize="9" scale="75" orientation="landscape" r:id="rId1"/>
  <headerFooter alignWithMargins="0">
    <oddFooter xml:space="preserve">&amp;R&amp;"Arial,Bold"&amp;12OERC FORM-&amp;A
&amp;"Arial,Regular"&amp;10
</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45939-0044-475E-A102-5B2E52C46A0A}">
  <sheetPr>
    <tabColor rgb="FFFF0000"/>
  </sheetPr>
  <dimension ref="A1:Q40"/>
  <sheetViews>
    <sheetView view="pageBreakPreview" zoomScale="110" zoomScaleSheetLayoutView="110" workbookViewId="0">
      <pane xSplit="2" ySplit="2" topLeftCell="C21" activePane="bottomRight" state="frozen"/>
      <selection activeCell="F20" sqref="F20"/>
      <selection pane="topRight" activeCell="F20" sqref="F20"/>
      <selection pane="bottomLeft" activeCell="F20" sqref="F20"/>
      <selection pane="bottomRight" activeCell="F34" sqref="F34"/>
    </sheetView>
  </sheetViews>
  <sheetFormatPr defaultRowHeight="12.75"/>
  <cols>
    <col min="1" max="1" width="5.42578125" style="703" customWidth="1"/>
    <col min="2" max="2" width="33.140625" style="66" customWidth="1"/>
    <col min="3" max="3" width="15.7109375" customWidth="1"/>
    <col min="4" max="4" width="9.5703125" customWidth="1"/>
    <col min="5" max="5" width="9.28515625" customWidth="1"/>
    <col min="6" max="6" width="10" customWidth="1"/>
    <col min="7" max="7" width="8.85546875" customWidth="1"/>
    <col min="8" max="8" width="9.5703125" customWidth="1"/>
    <col min="9" max="11" width="9.7109375" customWidth="1"/>
    <col min="12" max="12" width="8.85546875" customWidth="1"/>
    <col min="13" max="13" width="9.28515625" customWidth="1"/>
    <col min="14" max="14" width="9.7109375" customWidth="1"/>
    <col min="15" max="15" width="9.140625" customWidth="1"/>
    <col min="16" max="16" width="10.5703125" customWidth="1"/>
    <col min="17" max="17" width="9.42578125" customWidth="1"/>
  </cols>
  <sheetData>
    <row r="1" spans="1:17">
      <c r="B1" s="781" t="s">
        <v>2</v>
      </c>
      <c r="C1" s="31" t="s">
        <v>2395</v>
      </c>
      <c r="D1" s="2"/>
      <c r="G1" s="2"/>
      <c r="H1" s="2"/>
      <c r="I1" s="2"/>
      <c r="J1" s="2"/>
      <c r="K1" s="2"/>
      <c r="L1" s="2"/>
      <c r="M1" s="2"/>
      <c r="N1" s="2"/>
      <c r="O1" s="2"/>
      <c r="P1" s="2"/>
    </row>
    <row r="2" spans="1:17">
      <c r="C2" s="2" t="s">
        <v>2381</v>
      </c>
      <c r="P2" s="2"/>
    </row>
    <row r="3" spans="1:17" ht="12.95" customHeight="1">
      <c r="B3" s="1956" t="s">
        <v>2382</v>
      </c>
      <c r="C3" s="1956"/>
      <c r="D3" s="1294"/>
      <c r="E3" s="1294"/>
      <c r="P3" s="2"/>
    </row>
    <row r="4" spans="1:17">
      <c r="A4" s="1327"/>
      <c r="C4" s="1331"/>
      <c r="D4" s="1331"/>
      <c r="E4" s="1331"/>
      <c r="F4" s="1331"/>
      <c r="G4" s="1353"/>
      <c r="H4" s="1332"/>
      <c r="I4" s="1332"/>
      <c r="J4" s="1332"/>
      <c r="K4" s="1332"/>
      <c r="L4" s="1352"/>
      <c r="M4" s="1331"/>
      <c r="N4" s="1331"/>
      <c r="O4" s="1331"/>
      <c r="P4" s="1331"/>
      <c r="Q4" s="1352"/>
    </row>
    <row r="5" spans="1:17" ht="25.5">
      <c r="A5" s="883" t="s">
        <v>2235</v>
      </c>
      <c r="B5" s="1318" t="s">
        <v>2383</v>
      </c>
      <c r="C5" s="1350" t="s">
        <v>2384</v>
      </c>
      <c r="D5" s="1354"/>
      <c r="E5" s="1354"/>
      <c r="F5" s="1331"/>
      <c r="G5" s="1329"/>
      <c r="H5" s="1332"/>
      <c r="I5" s="1332"/>
      <c r="J5" s="1332"/>
      <c r="K5" s="1332"/>
      <c r="L5" s="1332"/>
      <c r="M5" s="1331"/>
      <c r="N5" s="1331"/>
      <c r="O5" s="1331"/>
      <c r="P5" s="1331"/>
      <c r="Q5" s="1331"/>
    </row>
    <row r="6" spans="1:17" s="506" customFormat="1" ht="14.1" customHeight="1">
      <c r="A6" s="1320">
        <v>1</v>
      </c>
      <c r="B6" s="1356" t="s">
        <v>2385</v>
      </c>
      <c r="C6" s="1067">
        <f>'F-12'!I38</f>
        <v>2454</v>
      </c>
      <c r="D6" s="1355"/>
      <c r="E6" s="1347"/>
      <c r="F6" s="1347"/>
      <c r="G6" s="1347"/>
      <c r="H6" s="1348"/>
      <c r="I6" s="1348"/>
      <c r="J6" s="1348"/>
      <c r="K6" s="1348"/>
      <c r="L6" s="1348"/>
      <c r="M6" s="1347"/>
      <c r="N6" s="1347"/>
      <c r="O6" s="1347"/>
      <c r="P6" s="1347"/>
      <c r="Q6" s="1347"/>
    </row>
    <row r="7" spans="1:17" s="506" customFormat="1">
      <c r="A7" s="1320">
        <v>2</v>
      </c>
      <c r="B7" s="1356" t="s">
        <v>2386</v>
      </c>
      <c r="C7" s="1067">
        <f>'F-12'!I39</f>
        <v>389</v>
      </c>
      <c r="D7" s="1355"/>
      <c r="E7" s="1347"/>
      <c r="F7" s="1347"/>
      <c r="G7" s="1347"/>
      <c r="H7" s="1348"/>
      <c r="I7" s="1348"/>
      <c r="J7" s="1348"/>
      <c r="K7" s="1348"/>
      <c r="L7" s="1348"/>
      <c r="M7" s="1347"/>
      <c r="N7" s="1347"/>
      <c r="O7" s="1347"/>
      <c r="P7" s="1347"/>
      <c r="Q7" s="1347"/>
    </row>
    <row r="8" spans="1:17" s="506" customFormat="1" ht="25.5">
      <c r="A8" s="1320">
        <v>3</v>
      </c>
      <c r="B8" s="1356" t="s">
        <v>2387</v>
      </c>
      <c r="C8" s="1067">
        <f>'F-12'!I40</f>
        <v>208</v>
      </c>
      <c r="D8" s="1355"/>
      <c r="E8" s="1347"/>
      <c r="F8" s="1347"/>
      <c r="G8" s="1347"/>
      <c r="H8" s="1348"/>
      <c r="I8" s="1348"/>
      <c r="J8" s="1348"/>
      <c r="K8" s="1348"/>
      <c r="L8" s="1348"/>
      <c r="M8" s="1347"/>
      <c r="N8" s="1347"/>
      <c r="O8" s="1347"/>
      <c r="P8" s="1347"/>
      <c r="Q8" s="1347"/>
    </row>
    <row r="9" spans="1:17" s="506" customFormat="1" ht="13.5" customHeight="1">
      <c r="A9" s="1320">
        <v>4</v>
      </c>
      <c r="B9" s="1356" t="s">
        <v>2388</v>
      </c>
      <c r="C9" s="1067">
        <f>C6+C7-C8</f>
        <v>2635</v>
      </c>
      <c r="D9" s="1355"/>
      <c r="E9" s="1355"/>
      <c r="F9" s="1347"/>
      <c r="G9" s="1347"/>
      <c r="H9" s="1348"/>
      <c r="I9" s="1348"/>
      <c r="J9" s="1348"/>
      <c r="K9" s="1348"/>
      <c r="L9" s="1348"/>
      <c r="M9" s="1347"/>
      <c r="N9" s="1347"/>
      <c r="O9" s="1347"/>
      <c r="P9" s="1347"/>
      <c r="Q9" s="1347"/>
    </row>
    <row r="10" spans="1:17" s="2" customFormat="1">
      <c r="A10" s="1320">
        <v>5</v>
      </c>
      <c r="B10" s="1356" t="s">
        <v>2389</v>
      </c>
      <c r="C10" s="1067">
        <f>'F-12'!W39</f>
        <v>693</v>
      </c>
      <c r="D10" s="1355"/>
      <c r="E10" s="1355"/>
      <c r="F10" s="1329"/>
      <c r="G10" s="1329"/>
      <c r="H10" s="1330"/>
      <c r="I10" s="1330"/>
      <c r="J10" s="1330"/>
      <c r="K10" s="1330"/>
      <c r="L10" s="1330"/>
      <c r="M10" s="1329"/>
      <c r="N10" s="1329"/>
      <c r="O10" s="1329"/>
      <c r="P10" s="1329"/>
      <c r="Q10" s="1329"/>
    </row>
    <row r="11" spans="1:17" s="506" customFormat="1" ht="25.5">
      <c r="A11" s="1320">
        <v>6</v>
      </c>
      <c r="B11" s="1356" t="s">
        <v>2390</v>
      </c>
      <c r="C11" s="1067">
        <f>'F-12'!W40</f>
        <v>140</v>
      </c>
      <c r="D11" s="1347"/>
      <c r="E11" s="1347"/>
      <c r="F11" s="1347"/>
      <c r="G11" s="1347"/>
      <c r="H11" s="1348"/>
      <c r="I11" s="1348"/>
      <c r="J11" s="1348"/>
      <c r="K11" s="1348"/>
      <c r="L11" s="1348"/>
      <c r="M11" s="1347"/>
      <c r="N11" s="1347"/>
      <c r="O11" s="1347"/>
      <c r="P11" s="1347"/>
      <c r="Q11" s="1347"/>
    </row>
    <row r="12" spans="1:17" s="2" customFormat="1" ht="15" customHeight="1">
      <c r="A12" s="1320">
        <v>7</v>
      </c>
      <c r="B12" s="1356" t="s">
        <v>2391</v>
      </c>
      <c r="C12" s="1067">
        <f>C9+C10-C11</f>
        <v>3188</v>
      </c>
      <c r="D12" s="1347"/>
      <c r="E12" s="1347"/>
      <c r="F12" s="1329"/>
      <c r="G12" s="1329"/>
      <c r="H12" s="1330"/>
      <c r="I12" s="1330"/>
      <c r="J12" s="1330"/>
      <c r="K12" s="1330"/>
      <c r="L12" s="1330"/>
      <c r="M12" s="1329"/>
      <c r="N12" s="1329"/>
      <c r="O12" s="1329"/>
      <c r="P12" s="1329"/>
      <c r="Q12" s="1329"/>
    </row>
    <row r="13" spans="1:17">
      <c r="A13" s="1346"/>
      <c r="B13" s="1349"/>
      <c r="C13" s="1355"/>
      <c r="D13" s="1355"/>
      <c r="E13" s="1355"/>
      <c r="F13" s="1329"/>
      <c r="G13" s="1329"/>
      <c r="H13" s="1330"/>
      <c r="I13" s="1330"/>
      <c r="J13" s="1330"/>
      <c r="K13" s="1330"/>
      <c r="L13" s="1329"/>
      <c r="M13" s="1329"/>
      <c r="N13" s="1329"/>
      <c r="O13" s="1329"/>
      <c r="P13" s="1329"/>
      <c r="Q13" s="1329"/>
    </row>
    <row r="14" spans="1:17">
      <c r="A14" s="1346"/>
      <c r="B14" s="702"/>
      <c r="C14" s="1347"/>
      <c r="D14" s="1347"/>
      <c r="E14" s="1347"/>
      <c r="F14" s="1331"/>
      <c r="G14" s="1329"/>
      <c r="H14" s="1332"/>
      <c r="I14" s="1332"/>
      <c r="J14" s="1332"/>
      <c r="K14" s="1332"/>
      <c r="L14" s="1332"/>
      <c r="M14" s="1333"/>
      <c r="N14" s="1331"/>
      <c r="O14" s="1331"/>
      <c r="P14" s="1331"/>
      <c r="Q14" s="1331"/>
    </row>
    <row r="15" spans="1:17" ht="25.5">
      <c r="A15" s="883" t="s">
        <v>2235</v>
      </c>
      <c r="B15" s="1318" t="s">
        <v>2392</v>
      </c>
      <c r="C15" s="1350" t="s">
        <v>2384</v>
      </c>
      <c r="D15" s="1331"/>
      <c r="E15" s="1331"/>
      <c r="F15" s="1331"/>
      <c r="G15" s="1329"/>
      <c r="H15" s="1332"/>
      <c r="I15" s="1332"/>
      <c r="J15" s="1332"/>
      <c r="K15" s="1332"/>
      <c r="L15" s="1332"/>
      <c r="M15" s="1331"/>
      <c r="N15" s="1331"/>
      <c r="O15" s="1331"/>
      <c r="P15" s="1331"/>
      <c r="Q15" s="1331"/>
    </row>
    <row r="16" spans="1:17">
      <c r="A16" s="1320">
        <v>1</v>
      </c>
      <c r="B16" s="1356" t="s">
        <v>2385</v>
      </c>
      <c r="C16" s="1067">
        <f>C19+C18-C17</f>
        <v>2264</v>
      </c>
      <c r="D16" s="1331"/>
      <c r="E16" s="1331"/>
      <c r="F16" s="1331"/>
      <c r="G16" s="1329"/>
      <c r="H16" s="1332"/>
      <c r="I16" s="1332"/>
      <c r="J16" s="1332"/>
      <c r="K16" s="1332"/>
      <c r="L16" s="1332"/>
      <c r="M16" s="1331"/>
      <c r="N16" s="1331"/>
      <c r="O16" s="1331"/>
      <c r="P16" s="1331"/>
      <c r="Q16" s="1331"/>
    </row>
    <row r="17" spans="1:17">
      <c r="A17" s="1320">
        <v>2</v>
      </c>
      <c r="B17" s="1356" t="s">
        <v>2386</v>
      </c>
      <c r="C17" s="1067">
        <f>336+172</f>
        <v>508</v>
      </c>
      <c r="D17" s="1331"/>
      <c r="E17" s="1331"/>
      <c r="F17" s="1331"/>
      <c r="G17" s="1329"/>
      <c r="H17" s="1332"/>
      <c r="I17" s="1332"/>
      <c r="J17" s="1332"/>
      <c r="K17" s="1332"/>
      <c r="L17" s="1332"/>
      <c r="M17" s="1331"/>
      <c r="N17" s="1331"/>
      <c r="O17" s="1331"/>
      <c r="P17" s="1331"/>
      <c r="Q17" s="1331"/>
    </row>
    <row r="18" spans="1:17" ht="25.5">
      <c r="A18" s="1320">
        <v>3</v>
      </c>
      <c r="B18" s="1356" t="s">
        <v>2387</v>
      </c>
      <c r="C18" s="1067">
        <v>143</v>
      </c>
      <c r="D18" s="1331"/>
      <c r="E18" s="1331"/>
      <c r="F18" s="1331"/>
      <c r="G18" s="1329"/>
      <c r="H18" s="1332"/>
      <c r="I18" s="1332"/>
      <c r="J18" s="1332"/>
      <c r="K18" s="1332"/>
      <c r="L18" s="1332"/>
      <c r="M18" s="1331"/>
      <c r="N18" s="1331"/>
      <c r="O18" s="1331"/>
      <c r="P18" s="1331"/>
      <c r="Q18" s="1331"/>
    </row>
    <row r="19" spans="1:17">
      <c r="A19" s="1320">
        <v>4</v>
      </c>
      <c r="B19" s="1356" t="s">
        <v>2388</v>
      </c>
      <c r="C19" s="1067">
        <v>2629</v>
      </c>
      <c r="D19" s="1331"/>
      <c r="E19" s="1331"/>
      <c r="F19" s="1331"/>
      <c r="G19" s="1329"/>
      <c r="H19" s="1332"/>
      <c r="I19" s="1332"/>
      <c r="J19" s="1332"/>
      <c r="K19" s="1332"/>
      <c r="L19" s="1332"/>
      <c r="M19" s="1331"/>
      <c r="N19" s="1331"/>
      <c r="O19" s="1331"/>
      <c r="P19" s="1331"/>
      <c r="Q19" s="1331"/>
    </row>
    <row r="20" spans="1:17">
      <c r="A20" s="1320">
        <v>5</v>
      </c>
      <c r="B20" s="1356" t="s">
        <v>2389</v>
      </c>
      <c r="C20" s="1067">
        <v>645</v>
      </c>
      <c r="D20" s="1331"/>
      <c r="E20" s="1331"/>
      <c r="F20" s="1331"/>
      <c r="G20" s="1329"/>
      <c r="H20" s="1334"/>
      <c r="I20" s="1334"/>
      <c r="J20" s="1331"/>
      <c r="K20" s="1331"/>
      <c r="L20" s="1331"/>
      <c r="M20" s="1331"/>
      <c r="N20" s="1331"/>
      <c r="O20" s="1331"/>
      <c r="P20" s="1331"/>
      <c r="Q20" s="1331"/>
    </row>
    <row r="21" spans="1:17" ht="25.5">
      <c r="A21" s="1320">
        <v>6</v>
      </c>
      <c r="B21" s="1356" t="s">
        <v>2390</v>
      </c>
      <c r="C21" s="1067">
        <v>109</v>
      </c>
      <c r="D21" s="1331"/>
      <c r="E21" s="1331"/>
      <c r="F21" s="1331"/>
      <c r="G21" s="1329"/>
      <c r="H21" s="1334"/>
      <c r="I21" s="1334"/>
      <c r="J21" s="1331"/>
      <c r="K21" s="1331"/>
      <c r="L21" s="1331"/>
      <c r="M21" s="1331"/>
      <c r="N21" s="1331"/>
      <c r="O21" s="1331"/>
      <c r="P21" s="1331"/>
      <c r="Q21" s="1331"/>
    </row>
    <row r="22" spans="1:17">
      <c r="A22" s="1320">
        <v>7</v>
      </c>
      <c r="B22" s="1356" t="s">
        <v>2391</v>
      </c>
      <c r="C22" s="1067">
        <f>C19+C20-C21</f>
        <v>3165</v>
      </c>
      <c r="D22" s="1331"/>
      <c r="E22" s="1331"/>
      <c r="F22" s="1331"/>
      <c r="G22" s="1329"/>
      <c r="H22" s="1332"/>
      <c r="I22" s="1332"/>
      <c r="J22" s="1331"/>
      <c r="K22" s="1331"/>
      <c r="L22" s="1331"/>
      <c r="M22" s="1331"/>
      <c r="N22" s="1331"/>
      <c r="O22" s="1331"/>
      <c r="P22" s="1331"/>
      <c r="Q22" s="1331"/>
    </row>
    <row r="23" spans="1:17">
      <c r="A23" s="1320">
        <v>8</v>
      </c>
      <c r="B23" s="1356" t="s">
        <v>2393</v>
      </c>
      <c r="C23" s="1067">
        <f>AVERAGE(C16,C19)</f>
        <v>2446.5</v>
      </c>
      <c r="D23" s="1329"/>
      <c r="E23" s="1329"/>
      <c r="F23" s="1329"/>
      <c r="G23" s="1329"/>
      <c r="H23" s="1330"/>
      <c r="I23" s="1330"/>
      <c r="J23" s="1329"/>
      <c r="K23" s="1329"/>
      <c r="L23" s="1329"/>
      <c r="M23" s="1329"/>
      <c r="N23" s="1329"/>
      <c r="O23" s="1329"/>
      <c r="P23" s="1329"/>
      <c r="Q23" s="1329"/>
    </row>
    <row r="24" spans="1:17">
      <c r="A24" s="1320">
        <v>9</v>
      </c>
      <c r="B24" s="1356" t="s">
        <v>2394</v>
      </c>
      <c r="C24" s="1067">
        <f>AVERAGE(C19,C22)</f>
        <v>2897</v>
      </c>
      <c r="D24" s="1331"/>
      <c r="E24" s="1331"/>
      <c r="F24" s="1331"/>
      <c r="G24" s="1329"/>
      <c r="H24" s="1332"/>
      <c r="I24" s="1332"/>
      <c r="J24" s="1331"/>
      <c r="K24" s="1331"/>
      <c r="L24" s="1331"/>
      <c r="M24" s="1331"/>
      <c r="N24" s="1331"/>
      <c r="O24" s="1331"/>
      <c r="P24" s="1331"/>
      <c r="Q24" s="1331"/>
    </row>
    <row r="25" spans="1:17">
      <c r="A25" s="1327"/>
      <c r="C25" s="1331"/>
      <c r="D25" s="1331"/>
      <c r="E25" s="1331"/>
      <c r="F25" s="1331"/>
      <c r="G25" s="1329"/>
      <c r="H25" s="1332"/>
      <c r="I25" s="1332"/>
      <c r="J25" s="1331"/>
      <c r="K25" s="1331"/>
      <c r="L25" s="1331"/>
      <c r="M25" s="1331"/>
      <c r="N25" s="1331"/>
      <c r="O25" s="1331"/>
      <c r="P25" s="1331"/>
      <c r="Q25" s="1331"/>
    </row>
    <row r="26" spans="1:17">
      <c r="A26" s="1327"/>
      <c r="B26" s="702"/>
      <c r="C26" s="1331"/>
      <c r="D26" s="1331"/>
      <c r="E26" s="1331"/>
      <c r="F26" s="1331"/>
      <c r="G26" s="1329"/>
      <c r="H26" s="1332"/>
      <c r="I26" s="1332"/>
      <c r="J26" s="1331"/>
      <c r="K26" s="1331"/>
      <c r="L26" s="1331"/>
      <c r="M26" s="1331"/>
      <c r="N26" s="1331"/>
      <c r="O26" s="1331"/>
      <c r="P26" s="1331"/>
      <c r="Q26" s="1331"/>
    </row>
    <row r="27" spans="1:17" ht="25.5">
      <c r="A27" s="883" t="s">
        <v>2235</v>
      </c>
      <c r="B27" s="1318" t="s">
        <v>2450</v>
      </c>
      <c r="C27" s="1350" t="s">
        <v>2384</v>
      </c>
      <c r="D27" s="1329"/>
      <c r="E27" s="1329"/>
      <c r="F27" s="1329"/>
      <c r="G27" s="1329"/>
      <c r="H27" s="1329"/>
      <c r="I27" s="1329"/>
      <c r="J27" s="1329"/>
      <c r="K27" s="1329"/>
      <c r="L27" s="1329"/>
      <c r="M27" s="1329"/>
      <c r="N27" s="1329"/>
      <c r="O27" s="1329"/>
      <c r="P27" s="1329"/>
      <c r="Q27" s="1329"/>
    </row>
    <row r="28" spans="1:17">
      <c r="A28" s="1320">
        <v>1</v>
      </c>
      <c r="B28" s="1733">
        <v>44652</v>
      </c>
      <c r="C28" s="1309">
        <v>131.9375</v>
      </c>
      <c r="D28" s="1329"/>
      <c r="E28" s="1329"/>
      <c r="F28" s="1329"/>
      <c r="G28" s="1329"/>
      <c r="H28" s="1329"/>
      <c r="I28" s="1329"/>
      <c r="J28" s="1329"/>
      <c r="K28" s="1329"/>
      <c r="L28" s="1331"/>
      <c r="M28" s="1329"/>
      <c r="N28" s="1329"/>
      <c r="O28" s="1329"/>
      <c r="P28" s="1329"/>
      <c r="Q28" s="1329"/>
    </row>
    <row r="29" spans="1:17">
      <c r="A29" s="1320">
        <v>2</v>
      </c>
      <c r="B29" s="1733">
        <v>44682</v>
      </c>
      <c r="C29" s="1309">
        <v>87.262500000000003</v>
      </c>
      <c r="D29" s="1329"/>
      <c r="E29" s="1329"/>
      <c r="F29" s="1329"/>
      <c r="G29" s="1329"/>
      <c r="H29" s="1329"/>
      <c r="I29" s="1329"/>
      <c r="J29" s="1329"/>
      <c r="K29" s="1329"/>
      <c r="L29" s="1329"/>
      <c r="M29" s="1329"/>
      <c r="N29" s="1329"/>
      <c r="O29" s="1329"/>
      <c r="P29" s="1329"/>
      <c r="Q29" s="1329"/>
    </row>
    <row r="30" spans="1:17">
      <c r="A30" s="1320">
        <v>3</v>
      </c>
      <c r="B30" s="1733">
        <v>44713</v>
      </c>
      <c r="C30" s="1309">
        <v>143.58750000000001</v>
      </c>
      <c r="D30" s="1329"/>
      <c r="E30" s="12"/>
      <c r="F30" s="12"/>
      <c r="G30" s="12"/>
      <c r="H30" s="12"/>
      <c r="I30" s="12"/>
      <c r="J30" s="12"/>
      <c r="K30" s="12"/>
      <c r="L30" s="12"/>
      <c r="M30" s="12"/>
      <c r="N30" s="12"/>
      <c r="O30" s="12"/>
      <c r="P30" s="12"/>
      <c r="Q30" s="1335"/>
    </row>
    <row r="31" spans="1:17">
      <c r="A31" s="1320">
        <v>4</v>
      </c>
      <c r="B31" s="1733">
        <v>44743</v>
      </c>
      <c r="C31" s="1309">
        <v>255.57625000000002</v>
      </c>
      <c r="D31" s="1329"/>
      <c r="G31" s="7"/>
      <c r="H31" s="7"/>
      <c r="I31" s="7"/>
      <c r="J31" s="7"/>
      <c r="K31" s="7"/>
      <c r="L31" s="7"/>
    </row>
    <row r="32" spans="1:17">
      <c r="A32" s="1320">
        <v>5</v>
      </c>
      <c r="B32" s="1733">
        <v>44774</v>
      </c>
      <c r="C32" s="1309">
        <v>204.8725</v>
      </c>
      <c r="D32" s="1329"/>
      <c r="E32" s="1338"/>
      <c r="F32" s="1338"/>
      <c r="G32" s="1339"/>
      <c r="H32" s="1339"/>
      <c r="I32" s="1339"/>
      <c r="J32" s="1339"/>
      <c r="K32" s="1339"/>
      <c r="L32" s="1339"/>
      <c r="M32" s="1339"/>
      <c r="N32" s="1339"/>
      <c r="O32" s="1338"/>
      <c r="P32" s="1338"/>
      <c r="Q32" s="1339"/>
    </row>
    <row r="33" spans="1:17">
      <c r="A33" s="1320">
        <v>6</v>
      </c>
      <c r="B33" s="1733">
        <v>44805</v>
      </c>
      <c r="C33" s="1309">
        <v>179.77250000000001</v>
      </c>
      <c r="D33" s="1329"/>
      <c r="E33" s="1338"/>
      <c r="F33" s="1338"/>
      <c r="G33" s="1339"/>
      <c r="H33" s="1339"/>
      <c r="I33" s="1339"/>
      <c r="J33" s="1339"/>
      <c r="K33" s="1339"/>
      <c r="L33" s="1339"/>
      <c r="M33" s="1339"/>
      <c r="N33" s="1339"/>
      <c r="O33" s="1338"/>
      <c r="P33" s="1338"/>
      <c r="Q33" s="1339"/>
    </row>
    <row r="34" spans="1:17">
      <c r="A34" s="1320">
        <v>7</v>
      </c>
      <c r="B34" s="1733">
        <v>44835</v>
      </c>
      <c r="C34" s="1309">
        <v>111.16</v>
      </c>
      <c r="D34" s="1329"/>
      <c r="E34" s="1338"/>
      <c r="F34" s="1338"/>
      <c r="G34" s="1339"/>
      <c r="H34" s="1339"/>
      <c r="I34" s="1339"/>
      <c r="J34" s="1339"/>
      <c r="K34" s="1339"/>
      <c r="L34" s="1339"/>
      <c r="M34" s="1339"/>
      <c r="N34" s="1339"/>
      <c r="O34" s="1338"/>
      <c r="P34" s="1338"/>
      <c r="Q34" s="1339"/>
    </row>
    <row r="35" spans="1:17" s="2" customFormat="1">
      <c r="A35" s="1320">
        <v>8</v>
      </c>
      <c r="B35" s="1733">
        <v>44866</v>
      </c>
      <c r="C35" s="1309">
        <v>180.02125000000001</v>
      </c>
      <c r="D35" s="1329"/>
      <c r="E35" s="1342"/>
      <c r="F35" s="1342"/>
      <c r="G35" s="1343"/>
      <c r="H35" s="1343"/>
      <c r="I35" s="1343"/>
      <c r="J35" s="1343"/>
      <c r="K35" s="1343"/>
      <c r="L35" s="1343"/>
      <c r="M35" s="1343"/>
      <c r="N35" s="1343"/>
      <c r="O35" s="1343"/>
      <c r="P35" s="1343"/>
      <c r="Q35" s="1343"/>
    </row>
    <row r="36" spans="1:17" ht="12.75" customHeight="1">
      <c r="A36" s="1320">
        <v>9</v>
      </c>
      <c r="B36" s="1733" t="s">
        <v>2396</v>
      </c>
      <c r="C36" s="1067">
        <f>SUM(C28:C35)/8*12</f>
        <v>1941.2850000000001</v>
      </c>
    </row>
    <row r="37" spans="1:17">
      <c r="A37" s="1336"/>
      <c r="B37" s="1337"/>
      <c r="C37" s="703"/>
      <c r="F37" s="1344"/>
      <c r="G37" s="7"/>
      <c r="H37" s="7"/>
      <c r="I37" s="7"/>
      <c r="J37" s="7"/>
      <c r="K37" s="7"/>
      <c r="L37" s="7"/>
      <c r="Q37" s="7"/>
    </row>
    <row r="38" spans="1:17">
      <c r="A38" s="1336"/>
      <c r="B38" s="1337"/>
      <c r="F38" s="1344"/>
      <c r="G38" s="1344"/>
      <c r="H38" s="1344"/>
      <c r="I38" s="1344"/>
      <c r="J38" s="1344"/>
      <c r="K38" s="1344"/>
      <c r="L38" s="1344"/>
      <c r="Q38" s="7"/>
    </row>
    <row r="39" spans="1:17">
      <c r="A39" s="1336"/>
      <c r="B39" s="1337"/>
      <c r="C39" s="1345"/>
      <c r="D39" s="1345"/>
      <c r="E39" s="1345"/>
      <c r="F39" s="1345"/>
      <c r="G39" s="7"/>
      <c r="H39" s="7"/>
      <c r="I39" s="7"/>
      <c r="J39" s="7"/>
      <c r="K39" s="7"/>
      <c r="L39" s="7"/>
    </row>
    <row r="40" spans="1:17">
      <c r="A40" s="1336"/>
      <c r="B40" s="1337"/>
      <c r="G40" s="905"/>
      <c r="H40" s="905"/>
      <c r="I40" s="905"/>
      <c r="J40" s="905"/>
      <c r="K40" s="905"/>
      <c r="L40" s="905"/>
    </row>
  </sheetData>
  <mergeCells count="1">
    <mergeCell ref="B3:C3"/>
  </mergeCells>
  <phoneticPr fontId="22" type="noConversion"/>
  <printOptions horizontalCentered="1" gridLines="1"/>
  <pageMargins left="0" right="0" top="0.39370078740157483" bottom="0.31496062992125984" header="0" footer="0"/>
  <pageSetup paperSize="9" orientation="portrait" r:id="rId1"/>
  <headerFooter alignWithMargins="0">
    <oddFooter xml:space="preserve">&amp;R&amp;"Arial,Bold"&amp;12OERC FORM-&amp;A
&amp;"Arial,Regular"&amp;10
</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661271-C74E-481A-AD0D-0F2FE98DD3C9}">
  <sheetPr>
    <tabColor rgb="FFFF0000"/>
    <pageSetUpPr fitToPage="1"/>
  </sheetPr>
  <dimension ref="A1:D13"/>
  <sheetViews>
    <sheetView view="pageBreakPreview" zoomScaleNormal="100" zoomScaleSheetLayoutView="100" workbookViewId="0">
      <selection activeCell="D10" sqref="D10"/>
    </sheetView>
  </sheetViews>
  <sheetFormatPr defaultRowHeight="12.75"/>
  <cols>
    <col min="1" max="1" width="10.28515625" customWidth="1"/>
    <col min="2" max="2" width="34.42578125" customWidth="1"/>
    <col min="3" max="3" width="14.140625" customWidth="1"/>
    <col min="4" max="4" width="15.7109375" customWidth="1"/>
  </cols>
  <sheetData>
    <row r="1" spans="1:4">
      <c r="A1" s="20" t="s">
        <v>2</v>
      </c>
      <c r="C1" s="3" t="s">
        <v>0</v>
      </c>
      <c r="D1" s="2" t="s">
        <v>2400</v>
      </c>
    </row>
    <row r="2" spans="1:4">
      <c r="A2" s="1957" t="s">
        <v>948</v>
      </c>
      <c r="B2" s="1957"/>
      <c r="C2" s="1957"/>
      <c r="D2" s="1957"/>
    </row>
    <row r="3" spans="1:4">
      <c r="D3" s="2" t="s">
        <v>526</v>
      </c>
    </row>
    <row r="4" spans="1:4" ht="15.95" customHeight="1">
      <c r="A4" s="1863" t="s">
        <v>2126</v>
      </c>
      <c r="B4" s="1958" t="s">
        <v>2401</v>
      </c>
      <c r="C4" s="1949" t="s">
        <v>2384</v>
      </c>
      <c r="D4" s="1949"/>
    </row>
    <row r="5" spans="1:4" ht="27" customHeight="1">
      <c r="A5" s="1863"/>
      <c r="B5" s="1958"/>
      <c r="C5" s="1734" t="s">
        <v>2451</v>
      </c>
      <c r="D5" s="1061" t="s">
        <v>2079</v>
      </c>
    </row>
    <row r="6" spans="1:4" ht="18" customHeight="1">
      <c r="A6" s="696">
        <v>1</v>
      </c>
      <c r="B6" s="1274" t="s">
        <v>2402</v>
      </c>
      <c r="C6" s="1351">
        <f ca="1">'F-21'!D23</f>
        <v>300943.90970331046</v>
      </c>
      <c r="D6" s="1351"/>
    </row>
    <row r="7" spans="1:4" ht="18" customHeight="1">
      <c r="A7" s="696">
        <v>2</v>
      </c>
      <c r="B7" s="1274" t="s">
        <v>2461</v>
      </c>
      <c r="C7" s="1744">
        <v>5.3999999999999999E-2</v>
      </c>
      <c r="D7" s="1351"/>
    </row>
    <row r="8" spans="1:4" ht="18" customHeight="1">
      <c r="A8" s="696">
        <v>3</v>
      </c>
      <c r="B8" s="1274" t="s">
        <v>2403</v>
      </c>
      <c r="C8" s="1351">
        <f ca="1">C6*C7</f>
        <v>16250.971123978765</v>
      </c>
      <c r="D8" s="1351">
        <f>D6*D7</f>
        <v>0</v>
      </c>
    </row>
    <row r="9" spans="1:4" ht="27" customHeight="1">
      <c r="A9" s="696">
        <v>4</v>
      </c>
      <c r="B9" s="1356" t="s">
        <v>2404</v>
      </c>
      <c r="C9" s="1351">
        <v>339817</v>
      </c>
      <c r="D9" s="1351"/>
    </row>
    <row r="10" spans="1:4" ht="26.1" customHeight="1">
      <c r="A10" s="696">
        <v>5</v>
      </c>
      <c r="B10" s="1356" t="s">
        <v>2462</v>
      </c>
      <c r="C10" s="1744">
        <v>5.3999999999999999E-2</v>
      </c>
      <c r="D10" s="1351"/>
    </row>
    <row r="11" spans="1:4" ht="18" customHeight="1">
      <c r="A11" s="696">
        <v>6</v>
      </c>
      <c r="B11" s="1274" t="s">
        <v>2405</v>
      </c>
      <c r="C11" s="1351">
        <f>C9*C10</f>
        <v>18350.117999999999</v>
      </c>
      <c r="D11" s="1351">
        <f>D9*D10</f>
        <v>0</v>
      </c>
    </row>
    <row r="12" spans="1:4" ht="18" customHeight="1">
      <c r="A12" s="945">
        <v>7</v>
      </c>
      <c r="B12" s="1305" t="s">
        <v>2406</v>
      </c>
      <c r="C12" s="1061">
        <f ca="1">C8+C11</f>
        <v>34601.08912397876</v>
      </c>
      <c r="D12" s="1061">
        <f>D8+D11</f>
        <v>0</v>
      </c>
    </row>
    <row r="13" spans="1:4">
      <c r="B13" s="2" t="s">
        <v>2463</v>
      </c>
      <c r="C13" s="7"/>
      <c r="D13" s="7"/>
    </row>
  </sheetData>
  <mergeCells count="4">
    <mergeCell ref="C4:D4"/>
    <mergeCell ref="A2:D2"/>
    <mergeCell ref="B4:B5"/>
    <mergeCell ref="A4:A5"/>
  </mergeCells>
  <printOptions horizontalCentered="1" gridLines="1"/>
  <pageMargins left="0.74803149606299213" right="0.51181102362204722" top="1.7322834645669292" bottom="0.98425196850393704" header="0.51181102362204722" footer="0.51181102362204722"/>
  <pageSetup paperSize="9" orientation="portrait" r:id="rId1"/>
  <headerFooter alignWithMargins="0">
    <oddFooter xml:space="preserve">&amp;R&amp;"Arial,Bold"&amp;12OERC FORM-&amp;A&amp;"Arial,Regular"&amp;10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61"/>
  <sheetViews>
    <sheetView view="pageBreakPreview" topLeftCell="A21" zoomScale="50" zoomScaleNormal="75" zoomScaleSheetLayoutView="50" workbookViewId="0">
      <selection activeCell="P34" sqref="P34"/>
    </sheetView>
  </sheetViews>
  <sheetFormatPr defaultColWidth="14.7109375" defaultRowHeight="15"/>
  <cols>
    <col min="1" max="1" width="6" style="513" customWidth="1"/>
    <col min="2" max="2" width="39.85546875" style="540" customWidth="1"/>
    <col min="3" max="3" width="15.28515625" style="518" customWidth="1"/>
    <col min="4" max="4" width="13.7109375" style="518" customWidth="1"/>
    <col min="5" max="6" width="12.5703125" style="518" customWidth="1"/>
    <col min="7" max="7" width="13.140625" style="518" customWidth="1"/>
    <col min="8" max="8" width="12.5703125" style="518" customWidth="1"/>
    <col min="9" max="9" width="18.85546875" style="518" bestFit="1" customWidth="1"/>
    <col min="10" max="10" width="15.42578125" style="518" bestFit="1" customWidth="1"/>
    <col min="11" max="11" width="12.85546875" style="518" customWidth="1"/>
    <col min="12" max="12" width="12.140625" style="518" customWidth="1"/>
    <col min="13" max="13" width="12.5703125" style="518" customWidth="1"/>
    <col min="14" max="14" width="10.7109375" style="518" customWidth="1"/>
    <col min="15" max="15" width="16.28515625" style="518" customWidth="1"/>
    <col min="16" max="256" width="14.7109375" style="518"/>
    <col min="257" max="257" width="6" style="518" customWidth="1"/>
    <col min="258" max="258" width="39.85546875" style="518" customWidth="1"/>
    <col min="259" max="259" width="15.28515625" style="518" customWidth="1"/>
    <col min="260" max="260" width="13.7109375" style="518" customWidth="1"/>
    <col min="261" max="262" width="12.5703125" style="518" customWidth="1"/>
    <col min="263" max="263" width="13.140625" style="518" customWidth="1"/>
    <col min="264" max="266" width="12.5703125" style="518" customWidth="1"/>
    <col min="267" max="267" width="12.85546875" style="518" customWidth="1"/>
    <col min="268" max="268" width="12.140625" style="518" customWidth="1"/>
    <col min="269" max="269" width="12.5703125" style="518" customWidth="1"/>
    <col min="270" max="270" width="10.7109375" style="518" customWidth="1"/>
    <col min="271" max="271" width="16.28515625" style="518" customWidth="1"/>
    <col min="272" max="512" width="14.7109375" style="518"/>
    <col min="513" max="513" width="6" style="518" customWidth="1"/>
    <col min="514" max="514" width="39.85546875" style="518" customWidth="1"/>
    <col min="515" max="515" width="15.28515625" style="518" customWidth="1"/>
    <col min="516" max="516" width="13.7109375" style="518" customWidth="1"/>
    <col min="517" max="518" width="12.5703125" style="518" customWidth="1"/>
    <col min="519" max="519" width="13.140625" style="518" customWidth="1"/>
    <col min="520" max="522" width="12.5703125" style="518" customWidth="1"/>
    <col min="523" max="523" width="12.85546875" style="518" customWidth="1"/>
    <col min="524" max="524" width="12.140625" style="518" customWidth="1"/>
    <col min="525" max="525" width="12.5703125" style="518" customWidth="1"/>
    <col min="526" max="526" width="10.7109375" style="518" customWidth="1"/>
    <col min="527" max="527" width="16.28515625" style="518" customWidth="1"/>
    <col min="528" max="768" width="14.7109375" style="518"/>
    <col min="769" max="769" width="6" style="518" customWidth="1"/>
    <col min="770" max="770" width="39.85546875" style="518" customWidth="1"/>
    <col min="771" max="771" width="15.28515625" style="518" customWidth="1"/>
    <col min="772" max="772" width="13.7109375" style="518" customWidth="1"/>
    <col min="773" max="774" width="12.5703125" style="518" customWidth="1"/>
    <col min="775" max="775" width="13.140625" style="518" customWidth="1"/>
    <col min="776" max="778" width="12.5703125" style="518" customWidth="1"/>
    <col min="779" max="779" width="12.85546875" style="518" customWidth="1"/>
    <col min="780" max="780" width="12.140625" style="518" customWidth="1"/>
    <col min="781" max="781" width="12.5703125" style="518" customWidth="1"/>
    <col min="782" max="782" width="10.7109375" style="518" customWidth="1"/>
    <col min="783" max="783" width="16.28515625" style="518" customWidth="1"/>
    <col min="784" max="1024" width="14.7109375" style="518"/>
    <col min="1025" max="1025" width="6" style="518" customWidth="1"/>
    <col min="1026" max="1026" width="39.85546875" style="518" customWidth="1"/>
    <col min="1027" max="1027" width="15.28515625" style="518" customWidth="1"/>
    <col min="1028" max="1028" width="13.7109375" style="518" customWidth="1"/>
    <col min="1029" max="1030" width="12.5703125" style="518" customWidth="1"/>
    <col min="1031" max="1031" width="13.140625" style="518" customWidth="1"/>
    <col min="1032" max="1034" width="12.5703125" style="518" customWidth="1"/>
    <col min="1035" max="1035" width="12.85546875" style="518" customWidth="1"/>
    <col min="1036" max="1036" width="12.140625" style="518" customWidth="1"/>
    <col min="1037" max="1037" width="12.5703125" style="518" customWidth="1"/>
    <col min="1038" max="1038" width="10.7109375" style="518" customWidth="1"/>
    <col min="1039" max="1039" width="16.28515625" style="518" customWidth="1"/>
    <col min="1040" max="1280" width="14.7109375" style="518"/>
    <col min="1281" max="1281" width="6" style="518" customWidth="1"/>
    <col min="1282" max="1282" width="39.85546875" style="518" customWidth="1"/>
    <col min="1283" max="1283" width="15.28515625" style="518" customWidth="1"/>
    <col min="1284" max="1284" width="13.7109375" style="518" customWidth="1"/>
    <col min="1285" max="1286" width="12.5703125" style="518" customWidth="1"/>
    <col min="1287" max="1287" width="13.140625" style="518" customWidth="1"/>
    <col min="1288" max="1290" width="12.5703125" style="518" customWidth="1"/>
    <col min="1291" max="1291" width="12.85546875" style="518" customWidth="1"/>
    <col min="1292" max="1292" width="12.140625" style="518" customWidth="1"/>
    <col min="1293" max="1293" width="12.5703125" style="518" customWidth="1"/>
    <col min="1294" max="1294" width="10.7109375" style="518" customWidth="1"/>
    <col min="1295" max="1295" width="16.28515625" style="518" customWidth="1"/>
    <col min="1296" max="1536" width="14.7109375" style="518"/>
    <col min="1537" max="1537" width="6" style="518" customWidth="1"/>
    <col min="1538" max="1538" width="39.85546875" style="518" customWidth="1"/>
    <col min="1539" max="1539" width="15.28515625" style="518" customWidth="1"/>
    <col min="1540" max="1540" width="13.7109375" style="518" customWidth="1"/>
    <col min="1541" max="1542" width="12.5703125" style="518" customWidth="1"/>
    <col min="1543" max="1543" width="13.140625" style="518" customWidth="1"/>
    <col min="1544" max="1546" width="12.5703125" style="518" customWidth="1"/>
    <col min="1547" max="1547" width="12.85546875" style="518" customWidth="1"/>
    <col min="1548" max="1548" width="12.140625" style="518" customWidth="1"/>
    <col min="1549" max="1549" width="12.5703125" style="518" customWidth="1"/>
    <col min="1550" max="1550" width="10.7109375" style="518" customWidth="1"/>
    <col min="1551" max="1551" width="16.28515625" style="518" customWidth="1"/>
    <col min="1552" max="1792" width="14.7109375" style="518"/>
    <col min="1793" max="1793" width="6" style="518" customWidth="1"/>
    <col min="1794" max="1794" width="39.85546875" style="518" customWidth="1"/>
    <col min="1795" max="1795" width="15.28515625" style="518" customWidth="1"/>
    <col min="1796" max="1796" width="13.7109375" style="518" customWidth="1"/>
    <col min="1797" max="1798" width="12.5703125" style="518" customWidth="1"/>
    <col min="1799" max="1799" width="13.140625" style="518" customWidth="1"/>
    <col min="1800" max="1802" width="12.5703125" style="518" customWidth="1"/>
    <col min="1803" max="1803" width="12.85546875" style="518" customWidth="1"/>
    <col min="1804" max="1804" width="12.140625" style="518" customWidth="1"/>
    <col min="1805" max="1805" width="12.5703125" style="518" customWidth="1"/>
    <col min="1806" max="1806" width="10.7109375" style="518" customWidth="1"/>
    <col min="1807" max="1807" width="16.28515625" style="518" customWidth="1"/>
    <col min="1808" max="2048" width="14.7109375" style="518"/>
    <col min="2049" max="2049" width="6" style="518" customWidth="1"/>
    <col min="2050" max="2050" width="39.85546875" style="518" customWidth="1"/>
    <col min="2051" max="2051" width="15.28515625" style="518" customWidth="1"/>
    <col min="2052" max="2052" width="13.7109375" style="518" customWidth="1"/>
    <col min="2053" max="2054" width="12.5703125" style="518" customWidth="1"/>
    <col min="2055" max="2055" width="13.140625" style="518" customWidth="1"/>
    <col min="2056" max="2058" width="12.5703125" style="518" customWidth="1"/>
    <col min="2059" max="2059" width="12.85546875" style="518" customWidth="1"/>
    <col min="2060" max="2060" width="12.140625" style="518" customWidth="1"/>
    <col min="2061" max="2061" width="12.5703125" style="518" customWidth="1"/>
    <col min="2062" max="2062" width="10.7109375" style="518" customWidth="1"/>
    <col min="2063" max="2063" width="16.28515625" style="518" customWidth="1"/>
    <col min="2064" max="2304" width="14.7109375" style="518"/>
    <col min="2305" max="2305" width="6" style="518" customWidth="1"/>
    <col min="2306" max="2306" width="39.85546875" style="518" customWidth="1"/>
    <col min="2307" max="2307" width="15.28515625" style="518" customWidth="1"/>
    <col min="2308" max="2308" width="13.7109375" style="518" customWidth="1"/>
    <col min="2309" max="2310" width="12.5703125" style="518" customWidth="1"/>
    <col min="2311" max="2311" width="13.140625" style="518" customWidth="1"/>
    <col min="2312" max="2314" width="12.5703125" style="518" customWidth="1"/>
    <col min="2315" max="2315" width="12.85546875" style="518" customWidth="1"/>
    <col min="2316" max="2316" width="12.140625" style="518" customWidth="1"/>
    <col min="2317" max="2317" width="12.5703125" style="518" customWidth="1"/>
    <col min="2318" max="2318" width="10.7109375" style="518" customWidth="1"/>
    <col min="2319" max="2319" width="16.28515625" style="518" customWidth="1"/>
    <col min="2320" max="2560" width="14.7109375" style="518"/>
    <col min="2561" max="2561" width="6" style="518" customWidth="1"/>
    <col min="2562" max="2562" width="39.85546875" style="518" customWidth="1"/>
    <col min="2563" max="2563" width="15.28515625" style="518" customWidth="1"/>
    <col min="2564" max="2564" width="13.7109375" style="518" customWidth="1"/>
    <col min="2565" max="2566" width="12.5703125" style="518" customWidth="1"/>
    <col min="2567" max="2567" width="13.140625" style="518" customWidth="1"/>
    <col min="2568" max="2570" width="12.5703125" style="518" customWidth="1"/>
    <col min="2571" max="2571" width="12.85546875" style="518" customWidth="1"/>
    <col min="2572" max="2572" width="12.140625" style="518" customWidth="1"/>
    <col min="2573" max="2573" width="12.5703125" style="518" customWidth="1"/>
    <col min="2574" max="2574" width="10.7109375" style="518" customWidth="1"/>
    <col min="2575" max="2575" width="16.28515625" style="518" customWidth="1"/>
    <col min="2576" max="2816" width="14.7109375" style="518"/>
    <col min="2817" max="2817" width="6" style="518" customWidth="1"/>
    <col min="2818" max="2818" width="39.85546875" style="518" customWidth="1"/>
    <col min="2819" max="2819" width="15.28515625" style="518" customWidth="1"/>
    <col min="2820" max="2820" width="13.7109375" style="518" customWidth="1"/>
    <col min="2821" max="2822" width="12.5703125" style="518" customWidth="1"/>
    <col min="2823" max="2823" width="13.140625" style="518" customWidth="1"/>
    <col min="2824" max="2826" width="12.5703125" style="518" customWidth="1"/>
    <col min="2827" max="2827" width="12.85546875" style="518" customWidth="1"/>
    <col min="2828" max="2828" width="12.140625" style="518" customWidth="1"/>
    <col min="2829" max="2829" width="12.5703125" style="518" customWidth="1"/>
    <col min="2830" max="2830" width="10.7109375" style="518" customWidth="1"/>
    <col min="2831" max="2831" width="16.28515625" style="518" customWidth="1"/>
    <col min="2832" max="3072" width="14.7109375" style="518"/>
    <col min="3073" max="3073" width="6" style="518" customWidth="1"/>
    <col min="3074" max="3074" width="39.85546875" style="518" customWidth="1"/>
    <col min="3075" max="3075" width="15.28515625" style="518" customWidth="1"/>
    <col min="3076" max="3076" width="13.7109375" style="518" customWidth="1"/>
    <col min="3077" max="3078" width="12.5703125" style="518" customWidth="1"/>
    <col min="3079" max="3079" width="13.140625" style="518" customWidth="1"/>
    <col min="3080" max="3082" width="12.5703125" style="518" customWidth="1"/>
    <col min="3083" max="3083" width="12.85546875" style="518" customWidth="1"/>
    <col min="3084" max="3084" width="12.140625" style="518" customWidth="1"/>
    <col min="3085" max="3085" width="12.5703125" style="518" customWidth="1"/>
    <col min="3086" max="3086" width="10.7109375" style="518" customWidth="1"/>
    <col min="3087" max="3087" width="16.28515625" style="518" customWidth="1"/>
    <col min="3088" max="3328" width="14.7109375" style="518"/>
    <col min="3329" max="3329" width="6" style="518" customWidth="1"/>
    <col min="3330" max="3330" width="39.85546875" style="518" customWidth="1"/>
    <col min="3331" max="3331" width="15.28515625" style="518" customWidth="1"/>
    <col min="3332" max="3332" width="13.7109375" style="518" customWidth="1"/>
    <col min="3333" max="3334" width="12.5703125" style="518" customWidth="1"/>
    <col min="3335" max="3335" width="13.140625" style="518" customWidth="1"/>
    <col min="3336" max="3338" width="12.5703125" style="518" customWidth="1"/>
    <col min="3339" max="3339" width="12.85546875" style="518" customWidth="1"/>
    <col min="3340" max="3340" width="12.140625" style="518" customWidth="1"/>
    <col min="3341" max="3341" width="12.5703125" style="518" customWidth="1"/>
    <col min="3342" max="3342" width="10.7109375" style="518" customWidth="1"/>
    <col min="3343" max="3343" width="16.28515625" style="518" customWidth="1"/>
    <col min="3344" max="3584" width="14.7109375" style="518"/>
    <col min="3585" max="3585" width="6" style="518" customWidth="1"/>
    <col min="3586" max="3586" width="39.85546875" style="518" customWidth="1"/>
    <col min="3587" max="3587" width="15.28515625" style="518" customWidth="1"/>
    <col min="3588" max="3588" width="13.7109375" style="518" customWidth="1"/>
    <col min="3589" max="3590" width="12.5703125" style="518" customWidth="1"/>
    <col min="3591" max="3591" width="13.140625" style="518" customWidth="1"/>
    <col min="3592" max="3594" width="12.5703125" style="518" customWidth="1"/>
    <col min="3595" max="3595" width="12.85546875" style="518" customWidth="1"/>
    <col min="3596" max="3596" width="12.140625" style="518" customWidth="1"/>
    <col min="3597" max="3597" width="12.5703125" style="518" customWidth="1"/>
    <col min="3598" max="3598" width="10.7109375" style="518" customWidth="1"/>
    <col min="3599" max="3599" width="16.28515625" style="518" customWidth="1"/>
    <col min="3600" max="3840" width="14.7109375" style="518"/>
    <col min="3841" max="3841" width="6" style="518" customWidth="1"/>
    <col min="3842" max="3842" width="39.85546875" style="518" customWidth="1"/>
    <col min="3843" max="3843" width="15.28515625" style="518" customWidth="1"/>
    <col min="3844" max="3844" width="13.7109375" style="518" customWidth="1"/>
    <col min="3845" max="3846" width="12.5703125" style="518" customWidth="1"/>
    <col min="3847" max="3847" width="13.140625" style="518" customWidth="1"/>
    <col min="3848" max="3850" width="12.5703125" style="518" customWidth="1"/>
    <col min="3851" max="3851" width="12.85546875" style="518" customWidth="1"/>
    <col min="3852" max="3852" width="12.140625" style="518" customWidth="1"/>
    <col min="3853" max="3853" width="12.5703125" style="518" customWidth="1"/>
    <col min="3854" max="3854" width="10.7109375" style="518" customWidth="1"/>
    <col min="3855" max="3855" width="16.28515625" style="518" customWidth="1"/>
    <col min="3856" max="4096" width="14.7109375" style="518"/>
    <col min="4097" max="4097" width="6" style="518" customWidth="1"/>
    <col min="4098" max="4098" width="39.85546875" style="518" customWidth="1"/>
    <col min="4099" max="4099" width="15.28515625" style="518" customWidth="1"/>
    <col min="4100" max="4100" width="13.7109375" style="518" customWidth="1"/>
    <col min="4101" max="4102" width="12.5703125" style="518" customWidth="1"/>
    <col min="4103" max="4103" width="13.140625" style="518" customWidth="1"/>
    <col min="4104" max="4106" width="12.5703125" style="518" customWidth="1"/>
    <col min="4107" max="4107" width="12.85546875" style="518" customWidth="1"/>
    <col min="4108" max="4108" width="12.140625" style="518" customWidth="1"/>
    <col min="4109" max="4109" width="12.5703125" style="518" customWidth="1"/>
    <col min="4110" max="4110" width="10.7109375" style="518" customWidth="1"/>
    <col min="4111" max="4111" width="16.28515625" style="518" customWidth="1"/>
    <col min="4112" max="4352" width="14.7109375" style="518"/>
    <col min="4353" max="4353" width="6" style="518" customWidth="1"/>
    <col min="4354" max="4354" width="39.85546875" style="518" customWidth="1"/>
    <col min="4355" max="4355" width="15.28515625" style="518" customWidth="1"/>
    <col min="4356" max="4356" width="13.7109375" style="518" customWidth="1"/>
    <col min="4357" max="4358" width="12.5703125" style="518" customWidth="1"/>
    <col min="4359" max="4359" width="13.140625" style="518" customWidth="1"/>
    <col min="4360" max="4362" width="12.5703125" style="518" customWidth="1"/>
    <col min="4363" max="4363" width="12.85546875" style="518" customWidth="1"/>
    <col min="4364" max="4364" width="12.140625" style="518" customWidth="1"/>
    <col min="4365" max="4365" width="12.5703125" style="518" customWidth="1"/>
    <col min="4366" max="4366" width="10.7109375" style="518" customWidth="1"/>
    <col min="4367" max="4367" width="16.28515625" style="518" customWidth="1"/>
    <col min="4368" max="4608" width="14.7109375" style="518"/>
    <col min="4609" max="4609" width="6" style="518" customWidth="1"/>
    <col min="4610" max="4610" width="39.85546875" style="518" customWidth="1"/>
    <col min="4611" max="4611" width="15.28515625" style="518" customWidth="1"/>
    <col min="4612" max="4612" width="13.7109375" style="518" customWidth="1"/>
    <col min="4613" max="4614" width="12.5703125" style="518" customWidth="1"/>
    <col min="4615" max="4615" width="13.140625" style="518" customWidth="1"/>
    <col min="4616" max="4618" width="12.5703125" style="518" customWidth="1"/>
    <col min="4619" max="4619" width="12.85546875" style="518" customWidth="1"/>
    <col min="4620" max="4620" width="12.140625" style="518" customWidth="1"/>
    <col min="4621" max="4621" width="12.5703125" style="518" customWidth="1"/>
    <col min="4622" max="4622" width="10.7109375" style="518" customWidth="1"/>
    <col min="4623" max="4623" width="16.28515625" style="518" customWidth="1"/>
    <col min="4624" max="4864" width="14.7109375" style="518"/>
    <col min="4865" max="4865" width="6" style="518" customWidth="1"/>
    <col min="4866" max="4866" width="39.85546875" style="518" customWidth="1"/>
    <col min="4867" max="4867" width="15.28515625" style="518" customWidth="1"/>
    <col min="4868" max="4868" width="13.7109375" style="518" customWidth="1"/>
    <col min="4869" max="4870" width="12.5703125" style="518" customWidth="1"/>
    <col min="4871" max="4871" width="13.140625" style="518" customWidth="1"/>
    <col min="4872" max="4874" width="12.5703125" style="518" customWidth="1"/>
    <col min="4875" max="4875" width="12.85546875" style="518" customWidth="1"/>
    <col min="4876" max="4876" width="12.140625" style="518" customWidth="1"/>
    <col min="4877" max="4877" width="12.5703125" style="518" customWidth="1"/>
    <col min="4878" max="4878" width="10.7109375" style="518" customWidth="1"/>
    <col min="4879" max="4879" width="16.28515625" style="518" customWidth="1"/>
    <col min="4880" max="5120" width="14.7109375" style="518"/>
    <col min="5121" max="5121" width="6" style="518" customWidth="1"/>
    <col min="5122" max="5122" width="39.85546875" style="518" customWidth="1"/>
    <col min="5123" max="5123" width="15.28515625" style="518" customWidth="1"/>
    <col min="5124" max="5124" width="13.7109375" style="518" customWidth="1"/>
    <col min="5125" max="5126" width="12.5703125" style="518" customWidth="1"/>
    <col min="5127" max="5127" width="13.140625" style="518" customWidth="1"/>
    <col min="5128" max="5130" width="12.5703125" style="518" customWidth="1"/>
    <col min="5131" max="5131" width="12.85546875" style="518" customWidth="1"/>
    <col min="5132" max="5132" width="12.140625" style="518" customWidth="1"/>
    <col min="5133" max="5133" width="12.5703125" style="518" customWidth="1"/>
    <col min="5134" max="5134" width="10.7109375" style="518" customWidth="1"/>
    <col min="5135" max="5135" width="16.28515625" style="518" customWidth="1"/>
    <col min="5136" max="5376" width="14.7109375" style="518"/>
    <col min="5377" max="5377" width="6" style="518" customWidth="1"/>
    <col min="5378" max="5378" width="39.85546875" style="518" customWidth="1"/>
    <col min="5379" max="5379" width="15.28515625" style="518" customWidth="1"/>
    <col min="5380" max="5380" width="13.7109375" style="518" customWidth="1"/>
    <col min="5381" max="5382" width="12.5703125" style="518" customWidth="1"/>
    <col min="5383" max="5383" width="13.140625" style="518" customWidth="1"/>
    <col min="5384" max="5386" width="12.5703125" style="518" customWidth="1"/>
    <col min="5387" max="5387" width="12.85546875" style="518" customWidth="1"/>
    <col min="5388" max="5388" width="12.140625" style="518" customWidth="1"/>
    <col min="5389" max="5389" width="12.5703125" style="518" customWidth="1"/>
    <col min="5390" max="5390" width="10.7109375" style="518" customWidth="1"/>
    <col min="5391" max="5391" width="16.28515625" style="518" customWidth="1"/>
    <col min="5392" max="5632" width="14.7109375" style="518"/>
    <col min="5633" max="5633" width="6" style="518" customWidth="1"/>
    <col min="5634" max="5634" width="39.85546875" style="518" customWidth="1"/>
    <col min="5635" max="5635" width="15.28515625" style="518" customWidth="1"/>
    <col min="5636" max="5636" width="13.7109375" style="518" customWidth="1"/>
    <col min="5637" max="5638" width="12.5703125" style="518" customWidth="1"/>
    <col min="5639" max="5639" width="13.140625" style="518" customWidth="1"/>
    <col min="5640" max="5642" width="12.5703125" style="518" customWidth="1"/>
    <col min="5643" max="5643" width="12.85546875" style="518" customWidth="1"/>
    <col min="5644" max="5644" width="12.140625" style="518" customWidth="1"/>
    <col min="5645" max="5645" width="12.5703125" style="518" customWidth="1"/>
    <col min="5646" max="5646" width="10.7109375" style="518" customWidth="1"/>
    <col min="5647" max="5647" width="16.28515625" style="518" customWidth="1"/>
    <col min="5648" max="5888" width="14.7109375" style="518"/>
    <col min="5889" max="5889" width="6" style="518" customWidth="1"/>
    <col min="5890" max="5890" width="39.85546875" style="518" customWidth="1"/>
    <col min="5891" max="5891" width="15.28515625" style="518" customWidth="1"/>
    <col min="5892" max="5892" width="13.7109375" style="518" customWidth="1"/>
    <col min="5893" max="5894" width="12.5703125" style="518" customWidth="1"/>
    <col min="5895" max="5895" width="13.140625" style="518" customWidth="1"/>
    <col min="5896" max="5898" width="12.5703125" style="518" customWidth="1"/>
    <col min="5899" max="5899" width="12.85546875" style="518" customWidth="1"/>
    <col min="5900" max="5900" width="12.140625" style="518" customWidth="1"/>
    <col min="5901" max="5901" width="12.5703125" style="518" customWidth="1"/>
    <col min="5902" max="5902" width="10.7109375" style="518" customWidth="1"/>
    <col min="5903" max="5903" width="16.28515625" style="518" customWidth="1"/>
    <col min="5904" max="6144" width="14.7109375" style="518"/>
    <col min="6145" max="6145" width="6" style="518" customWidth="1"/>
    <col min="6146" max="6146" width="39.85546875" style="518" customWidth="1"/>
    <col min="6147" max="6147" width="15.28515625" style="518" customWidth="1"/>
    <col min="6148" max="6148" width="13.7109375" style="518" customWidth="1"/>
    <col min="6149" max="6150" width="12.5703125" style="518" customWidth="1"/>
    <col min="6151" max="6151" width="13.140625" style="518" customWidth="1"/>
    <col min="6152" max="6154" width="12.5703125" style="518" customWidth="1"/>
    <col min="6155" max="6155" width="12.85546875" style="518" customWidth="1"/>
    <col min="6156" max="6156" width="12.140625" style="518" customWidth="1"/>
    <col min="6157" max="6157" width="12.5703125" style="518" customWidth="1"/>
    <col min="6158" max="6158" width="10.7109375" style="518" customWidth="1"/>
    <col min="6159" max="6159" width="16.28515625" style="518" customWidth="1"/>
    <col min="6160" max="6400" width="14.7109375" style="518"/>
    <col min="6401" max="6401" width="6" style="518" customWidth="1"/>
    <col min="6402" max="6402" width="39.85546875" style="518" customWidth="1"/>
    <col min="6403" max="6403" width="15.28515625" style="518" customWidth="1"/>
    <col min="6404" max="6404" width="13.7109375" style="518" customWidth="1"/>
    <col min="6405" max="6406" width="12.5703125" style="518" customWidth="1"/>
    <col min="6407" max="6407" width="13.140625" style="518" customWidth="1"/>
    <col min="6408" max="6410" width="12.5703125" style="518" customWidth="1"/>
    <col min="6411" max="6411" width="12.85546875" style="518" customWidth="1"/>
    <col min="6412" max="6412" width="12.140625" style="518" customWidth="1"/>
    <col min="6413" max="6413" width="12.5703125" style="518" customWidth="1"/>
    <col min="6414" max="6414" width="10.7109375" style="518" customWidth="1"/>
    <col min="6415" max="6415" width="16.28515625" style="518" customWidth="1"/>
    <col min="6416" max="6656" width="14.7109375" style="518"/>
    <col min="6657" max="6657" width="6" style="518" customWidth="1"/>
    <col min="6658" max="6658" width="39.85546875" style="518" customWidth="1"/>
    <col min="6659" max="6659" width="15.28515625" style="518" customWidth="1"/>
    <col min="6660" max="6660" width="13.7109375" style="518" customWidth="1"/>
    <col min="6661" max="6662" width="12.5703125" style="518" customWidth="1"/>
    <col min="6663" max="6663" width="13.140625" style="518" customWidth="1"/>
    <col min="6664" max="6666" width="12.5703125" style="518" customWidth="1"/>
    <col min="6667" max="6667" width="12.85546875" style="518" customWidth="1"/>
    <col min="6668" max="6668" width="12.140625" style="518" customWidth="1"/>
    <col min="6669" max="6669" width="12.5703125" style="518" customWidth="1"/>
    <col min="6670" max="6670" width="10.7109375" style="518" customWidth="1"/>
    <col min="6671" max="6671" width="16.28515625" style="518" customWidth="1"/>
    <col min="6672" max="6912" width="14.7109375" style="518"/>
    <col min="6913" max="6913" width="6" style="518" customWidth="1"/>
    <col min="6914" max="6914" width="39.85546875" style="518" customWidth="1"/>
    <col min="6915" max="6915" width="15.28515625" style="518" customWidth="1"/>
    <col min="6916" max="6916" width="13.7109375" style="518" customWidth="1"/>
    <col min="6917" max="6918" width="12.5703125" style="518" customWidth="1"/>
    <col min="6919" max="6919" width="13.140625" style="518" customWidth="1"/>
    <col min="6920" max="6922" width="12.5703125" style="518" customWidth="1"/>
    <col min="6923" max="6923" width="12.85546875" style="518" customWidth="1"/>
    <col min="6924" max="6924" width="12.140625" style="518" customWidth="1"/>
    <col min="6925" max="6925" width="12.5703125" style="518" customWidth="1"/>
    <col min="6926" max="6926" width="10.7109375" style="518" customWidth="1"/>
    <col min="6927" max="6927" width="16.28515625" style="518" customWidth="1"/>
    <col min="6928" max="7168" width="14.7109375" style="518"/>
    <col min="7169" max="7169" width="6" style="518" customWidth="1"/>
    <col min="7170" max="7170" width="39.85546875" style="518" customWidth="1"/>
    <col min="7171" max="7171" width="15.28515625" style="518" customWidth="1"/>
    <col min="7172" max="7172" width="13.7109375" style="518" customWidth="1"/>
    <col min="7173" max="7174" width="12.5703125" style="518" customWidth="1"/>
    <col min="7175" max="7175" width="13.140625" style="518" customWidth="1"/>
    <col min="7176" max="7178" width="12.5703125" style="518" customWidth="1"/>
    <col min="7179" max="7179" width="12.85546875" style="518" customWidth="1"/>
    <col min="7180" max="7180" width="12.140625" style="518" customWidth="1"/>
    <col min="7181" max="7181" width="12.5703125" style="518" customWidth="1"/>
    <col min="7182" max="7182" width="10.7109375" style="518" customWidth="1"/>
    <col min="7183" max="7183" width="16.28515625" style="518" customWidth="1"/>
    <col min="7184" max="7424" width="14.7109375" style="518"/>
    <col min="7425" max="7425" width="6" style="518" customWidth="1"/>
    <col min="7426" max="7426" width="39.85546875" style="518" customWidth="1"/>
    <col min="7427" max="7427" width="15.28515625" style="518" customWidth="1"/>
    <col min="7428" max="7428" width="13.7109375" style="518" customWidth="1"/>
    <col min="7429" max="7430" width="12.5703125" style="518" customWidth="1"/>
    <col min="7431" max="7431" width="13.140625" style="518" customWidth="1"/>
    <col min="7432" max="7434" width="12.5703125" style="518" customWidth="1"/>
    <col min="7435" max="7435" width="12.85546875" style="518" customWidth="1"/>
    <col min="7436" max="7436" width="12.140625" style="518" customWidth="1"/>
    <col min="7437" max="7437" width="12.5703125" style="518" customWidth="1"/>
    <col min="7438" max="7438" width="10.7109375" style="518" customWidth="1"/>
    <col min="7439" max="7439" width="16.28515625" style="518" customWidth="1"/>
    <col min="7440" max="7680" width="14.7109375" style="518"/>
    <col min="7681" max="7681" width="6" style="518" customWidth="1"/>
    <col min="7682" max="7682" width="39.85546875" style="518" customWidth="1"/>
    <col min="7683" max="7683" width="15.28515625" style="518" customWidth="1"/>
    <col min="7684" max="7684" width="13.7109375" style="518" customWidth="1"/>
    <col min="7685" max="7686" width="12.5703125" style="518" customWidth="1"/>
    <col min="7687" max="7687" width="13.140625" style="518" customWidth="1"/>
    <col min="7688" max="7690" width="12.5703125" style="518" customWidth="1"/>
    <col min="7691" max="7691" width="12.85546875" style="518" customWidth="1"/>
    <col min="7692" max="7692" width="12.140625" style="518" customWidth="1"/>
    <col min="7693" max="7693" width="12.5703125" style="518" customWidth="1"/>
    <col min="7694" max="7694" width="10.7109375" style="518" customWidth="1"/>
    <col min="7695" max="7695" width="16.28515625" style="518" customWidth="1"/>
    <col min="7696" max="7936" width="14.7109375" style="518"/>
    <col min="7937" max="7937" width="6" style="518" customWidth="1"/>
    <col min="7938" max="7938" width="39.85546875" style="518" customWidth="1"/>
    <col min="7939" max="7939" width="15.28515625" style="518" customWidth="1"/>
    <col min="7940" max="7940" width="13.7109375" style="518" customWidth="1"/>
    <col min="7941" max="7942" width="12.5703125" style="518" customWidth="1"/>
    <col min="7943" max="7943" width="13.140625" style="518" customWidth="1"/>
    <col min="7944" max="7946" width="12.5703125" style="518" customWidth="1"/>
    <col min="7947" max="7947" width="12.85546875" style="518" customWidth="1"/>
    <col min="7948" max="7948" width="12.140625" style="518" customWidth="1"/>
    <col min="7949" max="7949" width="12.5703125" style="518" customWidth="1"/>
    <col min="7950" max="7950" width="10.7109375" style="518" customWidth="1"/>
    <col min="7951" max="7951" width="16.28515625" style="518" customWidth="1"/>
    <col min="7952" max="8192" width="14.7109375" style="518"/>
    <col min="8193" max="8193" width="6" style="518" customWidth="1"/>
    <col min="8194" max="8194" width="39.85546875" style="518" customWidth="1"/>
    <col min="8195" max="8195" width="15.28515625" style="518" customWidth="1"/>
    <col min="8196" max="8196" width="13.7109375" style="518" customWidth="1"/>
    <col min="8197" max="8198" width="12.5703125" style="518" customWidth="1"/>
    <col min="8199" max="8199" width="13.140625" style="518" customWidth="1"/>
    <col min="8200" max="8202" width="12.5703125" style="518" customWidth="1"/>
    <col min="8203" max="8203" width="12.85546875" style="518" customWidth="1"/>
    <col min="8204" max="8204" width="12.140625" style="518" customWidth="1"/>
    <col min="8205" max="8205" width="12.5703125" style="518" customWidth="1"/>
    <col min="8206" max="8206" width="10.7109375" style="518" customWidth="1"/>
    <col min="8207" max="8207" width="16.28515625" style="518" customWidth="1"/>
    <col min="8208" max="8448" width="14.7109375" style="518"/>
    <col min="8449" max="8449" width="6" style="518" customWidth="1"/>
    <col min="8450" max="8450" width="39.85546875" style="518" customWidth="1"/>
    <col min="8451" max="8451" width="15.28515625" style="518" customWidth="1"/>
    <col min="8452" max="8452" width="13.7109375" style="518" customWidth="1"/>
    <col min="8453" max="8454" width="12.5703125" style="518" customWidth="1"/>
    <col min="8455" max="8455" width="13.140625" style="518" customWidth="1"/>
    <col min="8456" max="8458" width="12.5703125" style="518" customWidth="1"/>
    <col min="8459" max="8459" width="12.85546875" style="518" customWidth="1"/>
    <col min="8460" max="8460" width="12.140625" style="518" customWidth="1"/>
    <col min="8461" max="8461" width="12.5703125" style="518" customWidth="1"/>
    <col min="8462" max="8462" width="10.7109375" style="518" customWidth="1"/>
    <col min="8463" max="8463" width="16.28515625" style="518" customWidth="1"/>
    <col min="8464" max="8704" width="14.7109375" style="518"/>
    <col min="8705" max="8705" width="6" style="518" customWidth="1"/>
    <col min="8706" max="8706" width="39.85546875" style="518" customWidth="1"/>
    <col min="8707" max="8707" width="15.28515625" style="518" customWidth="1"/>
    <col min="8708" max="8708" width="13.7109375" style="518" customWidth="1"/>
    <col min="8709" max="8710" width="12.5703125" style="518" customWidth="1"/>
    <col min="8711" max="8711" width="13.140625" style="518" customWidth="1"/>
    <col min="8712" max="8714" width="12.5703125" style="518" customWidth="1"/>
    <col min="8715" max="8715" width="12.85546875" style="518" customWidth="1"/>
    <col min="8716" max="8716" width="12.140625" style="518" customWidth="1"/>
    <col min="8717" max="8717" width="12.5703125" style="518" customWidth="1"/>
    <col min="8718" max="8718" width="10.7109375" style="518" customWidth="1"/>
    <col min="8719" max="8719" width="16.28515625" style="518" customWidth="1"/>
    <col min="8720" max="8960" width="14.7109375" style="518"/>
    <col min="8961" max="8961" width="6" style="518" customWidth="1"/>
    <col min="8962" max="8962" width="39.85546875" style="518" customWidth="1"/>
    <col min="8963" max="8963" width="15.28515625" style="518" customWidth="1"/>
    <col min="8964" max="8964" width="13.7109375" style="518" customWidth="1"/>
    <col min="8965" max="8966" width="12.5703125" style="518" customWidth="1"/>
    <col min="8967" max="8967" width="13.140625" style="518" customWidth="1"/>
    <col min="8968" max="8970" width="12.5703125" style="518" customWidth="1"/>
    <col min="8971" max="8971" width="12.85546875" style="518" customWidth="1"/>
    <col min="8972" max="8972" width="12.140625" style="518" customWidth="1"/>
    <col min="8973" max="8973" width="12.5703125" style="518" customWidth="1"/>
    <col min="8974" max="8974" width="10.7109375" style="518" customWidth="1"/>
    <col min="8975" max="8975" width="16.28515625" style="518" customWidth="1"/>
    <col min="8976" max="9216" width="14.7109375" style="518"/>
    <col min="9217" max="9217" width="6" style="518" customWidth="1"/>
    <col min="9218" max="9218" width="39.85546875" style="518" customWidth="1"/>
    <col min="9219" max="9219" width="15.28515625" style="518" customWidth="1"/>
    <col min="9220" max="9220" width="13.7109375" style="518" customWidth="1"/>
    <col min="9221" max="9222" width="12.5703125" style="518" customWidth="1"/>
    <col min="9223" max="9223" width="13.140625" style="518" customWidth="1"/>
    <col min="9224" max="9226" width="12.5703125" style="518" customWidth="1"/>
    <col min="9227" max="9227" width="12.85546875" style="518" customWidth="1"/>
    <col min="9228" max="9228" width="12.140625" style="518" customWidth="1"/>
    <col min="9229" max="9229" width="12.5703125" style="518" customWidth="1"/>
    <col min="9230" max="9230" width="10.7109375" style="518" customWidth="1"/>
    <col min="9231" max="9231" width="16.28515625" style="518" customWidth="1"/>
    <col min="9232" max="9472" width="14.7109375" style="518"/>
    <col min="9473" max="9473" width="6" style="518" customWidth="1"/>
    <col min="9474" max="9474" width="39.85546875" style="518" customWidth="1"/>
    <col min="9475" max="9475" width="15.28515625" style="518" customWidth="1"/>
    <col min="9476" max="9476" width="13.7109375" style="518" customWidth="1"/>
    <col min="9477" max="9478" width="12.5703125" style="518" customWidth="1"/>
    <col min="9479" max="9479" width="13.140625" style="518" customWidth="1"/>
    <col min="9480" max="9482" width="12.5703125" style="518" customWidth="1"/>
    <col min="9483" max="9483" width="12.85546875" style="518" customWidth="1"/>
    <col min="9484" max="9484" width="12.140625" style="518" customWidth="1"/>
    <col min="9485" max="9485" width="12.5703125" style="518" customWidth="1"/>
    <col min="9486" max="9486" width="10.7109375" style="518" customWidth="1"/>
    <col min="9487" max="9487" width="16.28515625" style="518" customWidth="1"/>
    <col min="9488" max="9728" width="14.7109375" style="518"/>
    <col min="9729" max="9729" width="6" style="518" customWidth="1"/>
    <col min="9730" max="9730" width="39.85546875" style="518" customWidth="1"/>
    <col min="9731" max="9731" width="15.28515625" style="518" customWidth="1"/>
    <col min="9732" max="9732" width="13.7109375" style="518" customWidth="1"/>
    <col min="9733" max="9734" width="12.5703125" style="518" customWidth="1"/>
    <col min="9735" max="9735" width="13.140625" style="518" customWidth="1"/>
    <col min="9736" max="9738" width="12.5703125" style="518" customWidth="1"/>
    <col min="9739" max="9739" width="12.85546875" style="518" customWidth="1"/>
    <col min="9740" max="9740" width="12.140625" style="518" customWidth="1"/>
    <col min="9741" max="9741" width="12.5703125" style="518" customWidth="1"/>
    <col min="9742" max="9742" width="10.7109375" style="518" customWidth="1"/>
    <col min="9743" max="9743" width="16.28515625" style="518" customWidth="1"/>
    <col min="9744" max="9984" width="14.7109375" style="518"/>
    <col min="9985" max="9985" width="6" style="518" customWidth="1"/>
    <col min="9986" max="9986" width="39.85546875" style="518" customWidth="1"/>
    <col min="9987" max="9987" width="15.28515625" style="518" customWidth="1"/>
    <col min="9988" max="9988" width="13.7109375" style="518" customWidth="1"/>
    <col min="9989" max="9990" width="12.5703125" style="518" customWidth="1"/>
    <col min="9991" max="9991" width="13.140625" style="518" customWidth="1"/>
    <col min="9992" max="9994" width="12.5703125" style="518" customWidth="1"/>
    <col min="9995" max="9995" width="12.85546875" style="518" customWidth="1"/>
    <col min="9996" max="9996" width="12.140625" style="518" customWidth="1"/>
    <col min="9997" max="9997" width="12.5703125" style="518" customWidth="1"/>
    <col min="9998" max="9998" width="10.7109375" style="518" customWidth="1"/>
    <col min="9999" max="9999" width="16.28515625" style="518" customWidth="1"/>
    <col min="10000" max="10240" width="14.7109375" style="518"/>
    <col min="10241" max="10241" width="6" style="518" customWidth="1"/>
    <col min="10242" max="10242" width="39.85546875" style="518" customWidth="1"/>
    <col min="10243" max="10243" width="15.28515625" style="518" customWidth="1"/>
    <col min="10244" max="10244" width="13.7109375" style="518" customWidth="1"/>
    <col min="10245" max="10246" width="12.5703125" style="518" customWidth="1"/>
    <col min="10247" max="10247" width="13.140625" style="518" customWidth="1"/>
    <col min="10248" max="10250" width="12.5703125" style="518" customWidth="1"/>
    <col min="10251" max="10251" width="12.85546875" style="518" customWidth="1"/>
    <col min="10252" max="10252" width="12.140625" style="518" customWidth="1"/>
    <col min="10253" max="10253" width="12.5703125" style="518" customWidth="1"/>
    <col min="10254" max="10254" width="10.7109375" style="518" customWidth="1"/>
    <col min="10255" max="10255" width="16.28515625" style="518" customWidth="1"/>
    <col min="10256" max="10496" width="14.7109375" style="518"/>
    <col min="10497" max="10497" width="6" style="518" customWidth="1"/>
    <col min="10498" max="10498" width="39.85546875" style="518" customWidth="1"/>
    <col min="10499" max="10499" width="15.28515625" style="518" customWidth="1"/>
    <col min="10500" max="10500" width="13.7109375" style="518" customWidth="1"/>
    <col min="10501" max="10502" width="12.5703125" style="518" customWidth="1"/>
    <col min="10503" max="10503" width="13.140625" style="518" customWidth="1"/>
    <col min="10504" max="10506" width="12.5703125" style="518" customWidth="1"/>
    <col min="10507" max="10507" width="12.85546875" style="518" customWidth="1"/>
    <col min="10508" max="10508" width="12.140625" style="518" customWidth="1"/>
    <col min="10509" max="10509" width="12.5703125" style="518" customWidth="1"/>
    <col min="10510" max="10510" width="10.7109375" style="518" customWidth="1"/>
    <col min="10511" max="10511" width="16.28515625" style="518" customWidth="1"/>
    <col min="10512" max="10752" width="14.7109375" style="518"/>
    <col min="10753" max="10753" width="6" style="518" customWidth="1"/>
    <col min="10754" max="10754" width="39.85546875" style="518" customWidth="1"/>
    <col min="10755" max="10755" width="15.28515625" style="518" customWidth="1"/>
    <col min="10756" max="10756" width="13.7109375" style="518" customWidth="1"/>
    <col min="10757" max="10758" width="12.5703125" style="518" customWidth="1"/>
    <col min="10759" max="10759" width="13.140625" style="518" customWidth="1"/>
    <col min="10760" max="10762" width="12.5703125" style="518" customWidth="1"/>
    <col min="10763" max="10763" width="12.85546875" style="518" customWidth="1"/>
    <col min="10764" max="10764" width="12.140625" style="518" customWidth="1"/>
    <col min="10765" max="10765" width="12.5703125" style="518" customWidth="1"/>
    <col min="10766" max="10766" width="10.7109375" style="518" customWidth="1"/>
    <col min="10767" max="10767" width="16.28515625" style="518" customWidth="1"/>
    <col min="10768" max="11008" width="14.7109375" style="518"/>
    <col min="11009" max="11009" width="6" style="518" customWidth="1"/>
    <col min="11010" max="11010" width="39.85546875" style="518" customWidth="1"/>
    <col min="11011" max="11011" width="15.28515625" style="518" customWidth="1"/>
    <col min="11012" max="11012" width="13.7109375" style="518" customWidth="1"/>
    <col min="11013" max="11014" width="12.5703125" style="518" customWidth="1"/>
    <col min="11015" max="11015" width="13.140625" style="518" customWidth="1"/>
    <col min="11016" max="11018" width="12.5703125" style="518" customWidth="1"/>
    <col min="11019" max="11019" width="12.85546875" style="518" customWidth="1"/>
    <col min="11020" max="11020" width="12.140625" style="518" customWidth="1"/>
    <col min="11021" max="11021" width="12.5703125" style="518" customWidth="1"/>
    <col min="11022" max="11022" width="10.7109375" style="518" customWidth="1"/>
    <col min="11023" max="11023" width="16.28515625" style="518" customWidth="1"/>
    <col min="11024" max="11264" width="14.7109375" style="518"/>
    <col min="11265" max="11265" width="6" style="518" customWidth="1"/>
    <col min="11266" max="11266" width="39.85546875" style="518" customWidth="1"/>
    <col min="11267" max="11267" width="15.28515625" style="518" customWidth="1"/>
    <col min="11268" max="11268" width="13.7109375" style="518" customWidth="1"/>
    <col min="11269" max="11270" width="12.5703125" style="518" customWidth="1"/>
    <col min="11271" max="11271" width="13.140625" style="518" customWidth="1"/>
    <col min="11272" max="11274" width="12.5703125" style="518" customWidth="1"/>
    <col min="11275" max="11275" width="12.85546875" style="518" customWidth="1"/>
    <col min="11276" max="11276" width="12.140625" style="518" customWidth="1"/>
    <col min="11277" max="11277" width="12.5703125" style="518" customWidth="1"/>
    <col min="11278" max="11278" width="10.7109375" style="518" customWidth="1"/>
    <col min="11279" max="11279" width="16.28515625" style="518" customWidth="1"/>
    <col min="11280" max="11520" width="14.7109375" style="518"/>
    <col min="11521" max="11521" width="6" style="518" customWidth="1"/>
    <col min="11522" max="11522" width="39.85546875" style="518" customWidth="1"/>
    <col min="11523" max="11523" width="15.28515625" style="518" customWidth="1"/>
    <col min="11524" max="11524" width="13.7109375" style="518" customWidth="1"/>
    <col min="11525" max="11526" width="12.5703125" style="518" customWidth="1"/>
    <col min="11527" max="11527" width="13.140625" style="518" customWidth="1"/>
    <col min="11528" max="11530" width="12.5703125" style="518" customWidth="1"/>
    <col min="11531" max="11531" width="12.85546875" style="518" customWidth="1"/>
    <col min="11532" max="11532" width="12.140625" style="518" customWidth="1"/>
    <col min="11533" max="11533" width="12.5703125" style="518" customWidth="1"/>
    <col min="11534" max="11534" width="10.7109375" style="518" customWidth="1"/>
    <col min="11535" max="11535" width="16.28515625" style="518" customWidth="1"/>
    <col min="11536" max="11776" width="14.7109375" style="518"/>
    <col min="11777" max="11777" width="6" style="518" customWidth="1"/>
    <col min="11778" max="11778" width="39.85546875" style="518" customWidth="1"/>
    <col min="11779" max="11779" width="15.28515625" style="518" customWidth="1"/>
    <col min="11780" max="11780" width="13.7109375" style="518" customWidth="1"/>
    <col min="11781" max="11782" width="12.5703125" style="518" customWidth="1"/>
    <col min="11783" max="11783" width="13.140625" style="518" customWidth="1"/>
    <col min="11784" max="11786" width="12.5703125" style="518" customWidth="1"/>
    <col min="11787" max="11787" width="12.85546875" style="518" customWidth="1"/>
    <col min="11788" max="11788" width="12.140625" style="518" customWidth="1"/>
    <col min="11789" max="11789" width="12.5703125" style="518" customWidth="1"/>
    <col min="11790" max="11790" width="10.7109375" style="518" customWidth="1"/>
    <col min="11791" max="11791" width="16.28515625" style="518" customWidth="1"/>
    <col min="11792" max="12032" width="14.7109375" style="518"/>
    <col min="12033" max="12033" width="6" style="518" customWidth="1"/>
    <col min="12034" max="12034" width="39.85546875" style="518" customWidth="1"/>
    <col min="12035" max="12035" width="15.28515625" style="518" customWidth="1"/>
    <col min="12036" max="12036" width="13.7109375" style="518" customWidth="1"/>
    <col min="12037" max="12038" width="12.5703125" style="518" customWidth="1"/>
    <col min="12039" max="12039" width="13.140625" style="518" customWidth="1"/>
    <col min="12040" max="12042" width="12.5703125" style="518" customWidth="1"/>
    <col min="12043" max="12043" width="12.85546875" style="518" customWidth="1"/>
    <col min="12044" max="12044" width="12.140625" style="518" customWidth="1"/>
    <col min="12045" max="12045" width="12.5703125" style="518" customWidth="1"/>
    <col min="12046" max="12046" width="10.7109375" style="518" customWidth="1"/>
    <col min="12047" max="12047" width="16.28515625" style="518" customWidth="1"/>
    <col min="12048" max="12288" width="14.7109375" style="518"/>
    <col min="12289" max="12289" width="6" style="518" customWidth="1"/>
    <col min="12290" max="12290" width="39.85546875" style="518" customWidth="1"/>
    <col min="12291" max="12291" width="15.28515625" style="518" customWidth="1"/>
    <col min="12292" max="12292" width="13.7109375" style="518" customWidth="1"/>
    <col min="12293" max="12294" width="12.5703125" style="518" customWidth="1"/>
    <col min="12295" max="12295" width="13.140625" style="518" customWidth="1"/>
    <col min="12296" max="12298" width="12.5703125" style="518" customWidth="1"/>
    <col min="12299" max="12299" width="12.85546875" style="518" customWidth="1"/>
    <col min="12300" max="12300" width="12.140625" style="518" customWidth="1"/>
    <col min="12301" max="12301" width="12.5703125" style="518" customWidth="1"/>
    <col min="12302" max="12302" width="10.7109375" style="518" customWidth="1"/>
    <col min="12303" max="12303" width="16.28515625" style="518" customWidth="1"/>
    <col min="12304" max="12544" width="14.7109375" style="518"/>
    <col min="12545" max="12545" width="6" style="518" customWidth="1"/>
    <col min="12546" max="12546" width="39.85546875" style="518" customWidth="1"/>
    <col min="12547" max="12547" width="15.28515625" style="518" customWidth="1"/>
    <col min="12548" max="12548" width="13.7109375" style="518" customWidth="1"/>
    <col min="12549" max="12550" width="12.5703125" style="518" customWidth="1"/>
    <col min="12551" max="12551" width="13.140625" style="518" customWidth="1"/>
    <col min="12552" max="12554" width="12.5703125" style="518" customWidth="1"/>
    <col min="12555" max="12555" width="12.85546875" style="518" customWidth="1"/>
    <col min="12556" max="12556" width="12.140625" style="518" customWidth="1"/>
    <col min="12557" max="12557" width="12.5703125" style="518" customWidth="1"/>
    <col min="12558" max="12558" width="10.7109375" style="518" customWidth="1"/>
    <col min="12559" max="12559" width="16.28515625" style="518" customWidth="1"/>
    <col min="12560" max="12800" width="14.7109375" style="518"/>
    <col min="12801" max="12801" width="6" style="518" customWidth="1"/>
    <col min="12802" max="12802" width="39.85546875" style="518" customWidth="1"/>
    <col min="12803" max="12803" width="15.28515625" style="518" customWidth="1"/>
    <col min="12804" max="12804" width="13.7109375" style="518" customWidth="1"/>
    <col min="12805" max="12806" width="12.5703125" style="518" customWidth="1"/>
    <col min="12807" max="12807" width="13.140625" style="518" customWidth="1"/>
    <col min="12808" max="12810" width="12.5703125" style="518" customWidth="1"/>
    <col min="12811" max="12811" width="12.85546875" style="518" customWidth="1"/>
    <col min="12812" max="12812" width="12.140625" style="518" customWidth="1"/>
    <col min="12813" max="12813" width="12.5703125" style="518" customWidth="1"/>
    <col min="12814" max="12814" width="10.7109375" style="518" customWidth="1"/>
    <col min="12815" max="12815" width="16.28515625" style="518" customWidth="1"/>
    <col min="12816" max="13056" width="14.7109375" style="518"/>
    <col min="13057" max="13057" width="6" style="518" customWidth="1"/>
    <col min="13058" max="13058" width="39.85546875" style="518" customWidth="1"/>
    <col min="13059" max="13059" width="15.28515625" style="518" customWidth="1"/>
    <col min="13060" max="13060" width="13.7109375" style="518" customWidth="1"/>
    <col min="13061" max="13062" width="12.5703125" style="518" customWidth="1"/>
    <col min="13063" max="13063" width="13.140625" style="518" customWidth="1"/>
    <col min="13064" max="13066" width="12.5703125" style="518" customWidth="1"/>
    <col min="13067" max="13067" width="12.85546875" style="518" customWidth="1"/>
    <col min="13068" max="13068" width="12.140625" style="518" customWidth="1"/>
    <col min="13069" max="13069" width="12.5703125" style="518" customWidth="1"/>
    <col min="13070" max="13070" width="10.7109375" style="518" customWidth="1"/>
    <col min="13071" max="13071" width="16.28515625" style="518" customWidth="1"/>
    <col min="13072" max="13312" width="14.7109375" style="518"/>
    <col min="13313" max="13313" width="6" style="518" customWidth="1"/>
    <col min="13314" max="13314" width="39.85546875" style="518" customWidth="1"/>
    <col min="13315" max="13315" width="15.28515625" style="518" customWidth="1"/>
    <col min="13316" max="13316" width="13.7109375" style="518" customWidth="1"/>
    <col min="13317" max="13318" width="12.5703125" style="518" customWidth="1"/>
    <col min="13319" max="13319" width="13.140625" style="518" customWidth="1"/>
    <col min="13320" max="13322" width="12.5703125" style="518" customWidth="1"/>
    <col min="13323" max="13323" width="12.85546875" style="518" customWidth="1"/>
    <col min="13324" max="13324" width="12.140625" style="518" customWidth="1"/>
    <col min="13325" max="13325" width="12.5703125" style="518" customWidth="1"/>
    <col min="13326" max="13326" width="10.7109375" style="518" customWidth="1"/>
    <col min="13327" max="13327" width="16.28515625" style="518" customWidth="1"/>
    <col min="13328" max="13568" width="14.7109375" style="518"/>
    <col min="13569" max="13569" width="6" style="518" customWidth="1"/>
    <col min="13570" max="13570" width="39.85546875" style="518" customWidth="1"/>
    <col min="13571" max="13571" width="15.28515625" style="518" customWidth="1"/>
    <col min="13572" max="13572" width="13.7109375" style="518" customWidth="1"/>
    <col min="13573" max="13574" width="12.5703125" style="518" customWidth="1"/>
    <col min="13575" max="13575" width="13.140625" style="518" customWidth="1"/>
    <col min="13576" max="13578" width="12.5703125" style="518" customWidth="1"/>
    <col min="13579" max="13579" width="12.85546875" style="518" customWidth="1"/>
    <col min="13580" max="13580" width="12.140625" style="518" customWidth="1"/>
    <col min="13581" max="13581" width="12.5703125" style="518" customWidth="1"/>
    <col min="13582" max="13582" width="10.7109375" style="518" customWidth="1"/>
    <col min="13583" max="13583" width="16.28515625" style="518" customWidth="1"/>
    <col min="13584" max="13824" width="14.7109375" style="518"/>
    <col min="13825" max="13825" width="6" style="518" customWidth="1"/>
    <col min="13826" max="13826" width="39.85546875" style="518" customWidth="1"/>
    <col min="13827" max="13827" width="15.28515625" style="518" customWidth="1"/>
    <col min="13828" max="13828" width="13.7109375" style="518" customWidth="1"/>
    <col min="13829" max="13830" width="12.5703125" style="518" customWidth="1"/>
    <col min="13831" max="13831" width="13.140625" style="518" customWidth="1"/>
    <col min="13832" max="13834" width="12.5703125" style="518" customWidth="1"/>
    <col min="13835" max="13835" width="12.85546875" style="518" customWidth="1"/>
    <col min="13836" max="13836" width="12.140625" style="518" customWidth="1"/>
    <col min="13837" max="13837" width="12.5703125" style="518" customWidth="1"/>
    <col min="13838" max="13838" width="10.7109375" style="518" customWidth="1"/>
    <col min="13839" max="13839" width="16.28515625" style="518" customWidth="1"/>
    <col min="13840" max="14080" width="14.7109375" style="518"/>
    <col min="14081" max="14081" width="6" style="518" customWidth="1"/>
    <col min="14082" max="14082" width="39.85546875" style="518" customWidth="1"/>
    <col min="14083" max="14083" width="15.28515625" style="518" customWidth="1"/>
    <col min="14084" max="14084" width="13.7109375" style="518" customWidth="1"/>
    <col min="14085" max="14086" width="12.5703125" style="518" customWidth="1"/>
    <col min="14087" max="14087" width="13.140625" style="518" customWidth="1"/>
    <col min="14088" max="14090" width="12.5703125" style="518" customWidth="1"/>
    <col min="14091" max="14091" width="12.85546875" style="518" customWidth="1"/>
    <col min="14092" max="14092" width="12.140625" style="518" customWidth="1"/>
    <col min="14093" max="14093" width="12.5703125" style="518" customWidth="1"/>
    <col min="14094" max="14094" width="10.7109375" style="518" customWidth="1"/>
    <col min="14095" max="14095" width="16.28515625" style="518" customWidth="1"/>
    <col min="14096" max="14336" width="14.7109375" style="518"/>
    <col min="14337" max="14337" width="6" style="518" customWidth="1"/>
    <col min="14338" max="14338" width="39.85546875" style="518" customWidth="1"/>
    <col min="14339" max="14339" width="15.28515625" style="518" customWidth="1"/>
    <col min="14340" max="14340" width="13.7109375" style="518" customWidth="1"/>
    <col min="14341" max="14342" width="12.5703125" style="518" customWidth="1"/>
    <col min="14343" max="14343" width="13.140625" style="518" customWidth="1"/>
    <col min="14344" max="14346" width="12.5703125" style="518" customWidth="1"/>
    <col min="14347" max="14347" width="12.85546875" style="518" customWidth="1"/>
    <col min="14348" max="14348" width="12.140625" style="518" customWidth="1"/>
    <col min="14349" max="14349" width="12.5703125" style="518" customWidth="1"/>
    <col min="14350" max="14350" width="10.7109375" style="518" customWidth="1"/>
    <col min="14351" max="14351" width="16.28515625" style="518" customWidth="1"/>
    <col min="14352" max="14592" width="14.7109375" style="518"/>
    <col min="14593" max="14593" width="6" style="518" customWidth="1"/>
    <col min="14594" max="14594" width="39.85546875" style="518" customWidth="1"/>
    <col min="14595" max="14595" width="15.28515625" style="518" customWidth="1"/>
    <col min="14596" max="14596" width="13.7109375" style="518" customWidth="1"/>
    <col min="14597" max="14598" width="12.5703125" style="518" customWidth="1"/>
    <col min="14599" max="14599" width="13.140625" style="518" customWidth="1"/>
    <col min="14600" max="14602" width="12.5703125" style="518" customWidth="1"/>
    <col min="14603" max="14603" width="12.85546875" style="518" customWidth="1"/>
    <col min="14604" max="14604" width="12.140625" style="518" customWidth="1"/>
    <col min="14605" max="14605" width="12.5703125" style="518" customWidth="1"/>
    <col min="14606" max="14606" width="10.7109375" style="518" customWidth="1"/>
    <col min="14607" max="14607" width="16.28515625" style="518" customWidth="1"/>
    <col min="14608" max="14848" width="14.7109375" style="518"/>
    <col min="14849" max="14849" width="6" style="518" customWidth="1"/>
    <col min="14850" max="14850" width="39.85546875" style="518" customWidth="1"/>
    <col min="14851" max="14851" width="15.28515625" style="518" customWidth="1"/>
    <col min="14852" max="14852" width="13.7109375" style="518" customWidth="1"/>
    <col min="14853" max="14854" width="12.5703125" style="518" customWidth="1"/>
    <col min="14855" max="14855" width="13.140625" style="518" customWidth="1"/>
    <col min="14856" max="14858" width="12.5703125" style="518" customWidth="1"/>
    <col min="14859" max="14859" width="12.85546875" style="518" customWidth="1"/>
    <col min="14860" max="14860" width="12.140625" style="518" customWidth="1"/>
    <col min="14861" max="14861" width="12.5703125" style="518" customWidth="1"/>
    <col min="14862" max="14862" width="10.7109375" style="518" customWidth="1"/>
    <col min="14863" max="14863" width="16.28515625" style="518" customWidth="1"/>
    <col min="14864" max="15104" width="14.7109375" style="518"/>
    <col min="15105" max="15105" width="6" style="518" customWidth="1"/>
    <col min="15106" max="15106" width="39.85546875" style="518" customWidth="1"/>
    <col min="15107" max="15107" width="15.28515625" style="518" customWidth="1"/>
    <col min="15108" max="15108" width="13.7109375" style="518" customWidth="1"/>
    <col min="15109" max="15110" width="12.5703125" style="518" customWidth="1"/>
    <col min="15111" max="15111" width="13.140625" style="518" customWidth="1"/>
    <col min="15112" max="15114" width="12.5703125" style="518" customWidth="1"/>
    <col min="15115" max="15115" width="12.85546875" style="518" customWidth="1"/>
    <col min="15116" max="15116" width="12.140625" style="518" customWidth="1"/>
    <col min="15117" max="15117" width="12.5703125" style="518" customWidth="1"/>
    <col min="15118" max="15118" width="10.7109375" style="518" customWidth="1"/>
    <col min="15119" max="15119" width="16.28515625" style="518" customWidth="1"/>
    <col min="15120" max="15360" width="14.7109375" style="518"/>
    <col min="15361" max="15361" width="6" style="518" customWidth="1"/>
    <col min="15362" max="15362" width="39.85546875" style="518" customWidth="1"/>
    <col min="15363" max="15363" width="15.28515625" style="518" customWidth="1"/>
    <col min="15364" max="15364" width="13.7109375" style="518" customWidth="1"/>
    <col min="15365" max="15366" width="12.5703125" style="518" customWidth="1"/>
    <col min="15367" max="15367" width="13.140625" style="518" customWidth="1"/>
    <col min="15368" max="15370" width="12.5703125" style="518" customWidth="1"/>
    <col min="15371" max="15371" width="12.85546875" style="518" customWidth="1"/>
    <col min="15372" max="15372" width="12.140625" style="518" customWidth="1"/>
    <col min="15373" max="15373" width="12.5703125" style="518" customWidth="1"/>
    <col min="15374" max="15374" width="10.7109375" style="518" customWidth="1"/>
    <col min="15375" max="15375" width="16.28515625" style="518" customWidth="1"/>
    <col min="15376" max="15616" width="14.7109375" style="518"/>
    <col min="15617" max="15617" width="6" style="518" customWidth="1"/>
    <col min="15618" max="15618" width="39.85546875" style="518" customWidth="1"/>
    <col min="15619" max="15619" width="15.28515625" style="518" customWidth="1"/>
    <col min="15620" max="15620" width="13.7109375" style="518" customWidth="1"/>
    <col min="15621" max="15622" width="12.5703125" style="518" customWidth="1"/>
    <col min="15623" max="15623" width="13.140625" style="518" customWidth="1"/>
    <col min="15624" max="15626" width="12.5703125" style="518" customWidth="1"/>
    <col min="15627" max="15627" width="12.85546875" style="518" customWidth="1"/>
    <col min="15628" max="15628" width="12.140625" style="518" customWidth="1"/>
    <col min="15629" max="15629" width="12.5703125" style="518" customWidth="1"/>
    <col min="15630" max="15630" width="10.7109375" style="518" customWidth="1"/>
    <col min="15631" max="15631" width="16.28515625" style="518" customWidth="1"/>
    <col min="15632" max="15872" width="14.7109375" style="518"/>
    <col min="15873" max="15873" width="6" style="518" customWidth="1"/>
    <col min="15874" max="15874" width="39.85546875" style="518" customWidth="1"/>
    <col min="15875" max="15875" width="15.28515625" style="518" customWidth="1"/>
    <col min="15876" max="15876" width="13.7109375" style="518" customWidth="1"/>
    <col min="15877" max="15878" width="12.5703125" style="518" customWidth="1"/>
    <col min="15879" max="15879" width="13.140625" style="518" customWidth="1"/>
    <col min="15880" max="15882" width="12.5703125" style="518" customWidth="1"/>
    <col min="15883" max="15883" width="12.85546875" style="518" customWidth="1"/>
    <col min="15884" max="15884" width="12.140625" style="518" customWidth="1"/>
    <col min="15885" max="15885" width="12.5703125" style="518" customWidth="1"/>
    <col min="15886" max="15886" width="10.7109375" style="518" customWidth="1"/>
    <col min="15887" max="15887" width="16.28515625" style="518" customWidth="1"/>
    <col min="15888" max="16128" width="14.7109375" style="518"/>
    <col min="16129" max="16129" width="6" style="518" customWidth="1"/>
    <col min="16130" max="16130" width="39.85546875" style="518" customWidth="1"/>
    <col min="16131" max="16131" width="15.28515625" style="518" customWidth="1"/>
    <col min="16132" max="16132" width="13.7109375" style="518" customWidth="1"/>
    <col min="16133" max="16134" width="12.5703125" style="518" customWidth="1"/>
    <col min="16135" max="16135" width="13.140625" style="518" customWidth="1"/>
    <col min="16136" max="16138" width="12.5703125" style="518" customWidth="1"/>
    <col min="16139" max="16139" width="12.85546875" style="518" customWidth="1"/>
    <col min="16140" max="16140" width="12.140625" style="518" customWidth="1"/>
    <col min="16141" max="16141" width="12.5703125" style="518" customWidth="1"/>
    <col min="16142" max="16142" width="10.7109375" style="518" customWidth="1"/>
    <col min="16143" max="16143" width="16.28515625" style="518" customWidth="1"/>
    <col min="16144" max="16384" width="14.7109375" style="518"/>
  </cols>
  <sheetData>
    <row r="1" spans="1:21" ht="18">
      <c r="B1" s="514" t="s">
        <v>106</v>
      </c>
      <c r="C1" s="515"/>
      <c r="D1" s="515"/>
      <c r="E1" s="515"/>
      <c r="F1" s="515"/>
      <c r="G1" s="515"/>
      <c r="H1" s="515"/>
      <c r="I1" s="516" t="s">
        <v>0</v>
      </c>
      <c r="J1" s="517" t="s">
        <v>149</v>
      </c>
    </row>
    <row r="2" spans="1:21" ht="18">
      <c r="B2" s="518"/>
      <c r="C2" s="515"/>
      <c r="D2" s="515"/>
      <c r="E2" s="515"/>
      <c r="F2" s="515"/>
      <c r="G2" s="515"/>
      <c r="H2" s="515"/>
      <c r="I2" s="515"/>
      <c r="J2" s="515"/>
    </row>
    <row r="3" spans="1:21" s="541" customFormat="1" ht="31.5" customHeight="1">
      <c r="B3" s="1778" t="s">
        <v>156</v>
      </c>
      <c r="C3" s="1778"/>
      <c r="D3" s="1778"/>
      <c r="E3" s="1778"/>
      <c r="F3" s="1778"/>
      <c r="G3" s="1778"/>
      <c r="H3" s="1778"/>
      <c r="I3" s="1778"/>
      <c r="J3" s="1778"/>
    </row>
    <row r="4" spans="1:21" ht="18">
      <c r="B4" s="520"/>
      <c r="C4" s="515"/>
      <c r="D4" s="515"/>
      <c r="E4" s="515"/>
      <c r="F4" s="515"/>
      <c r="G4" s="515"/>
      <c r="H4" s="515"/>
      <c r="I4" s="515"/>
      <c r="J4" s="515"/>
    </row>
    <row r="5" spans="1:21" ht="18">
      <c r="A5" s="533" t="s">
        <v>109</v>
      </c>
      <c r="B5" s="543" t="s">
        <v>151</v>
      </c>
      <c r="C5" s="519" t="s">
        <v>111</v>
      </c>
      <c r="D5" s="515"/>
      <c r="F5" s="515"/>
      <c r="G5" s="515"/>
      <c r="H5" s="515"/>
      <c r="I5" s="515"/>
      <c r="J5" s="515"/>
    </row>
    <row r="6" spans="1:21" ht="18.75" thickBot="1">
      <c r="B6" s="515"/>
      <c r="C6" s="520"/>
      <c r="D6" s="515"/>
      <c r="E6" s="1780" t="s">
        <v>112</v>
      </c>
      <c r="F6" s="1780"/>
      <c r="G6" s="1780"/>
      <c r="H6" s="515"/>
      <c r="I6" s="515"/>
      <c r="J6" s="515"/>
    </row>
    <row r="7" spans="1:21" ht="18">
      <c r="A7" s="1763"/>
      <c r="B7" s="1758" t="s">
        <v>114</v>
      </c>
      <c r="C7" s="1758" t="s">
        <v>115</v>
      </c>
      <c r="D7" s="1766" t="s">
        <v>116</v>
      </c>
      <c r="E7" s="1128" t="s">
        <v>117</v>
      </c>
      <c r="F7" s="1099"/>
      <c r="G7" s="1099"/>
      <c r="H7" s="1100"/>
      <c r="I7" s="1122"/>
      <c r="J7" s="1100"/>
    </row>
    <row r="8" spans="1:21" s="526" customFormat="1" ht="72" customHeight="1" thickBot="1">
      <c r="A8" s="1764"/>
      <c r="B8" s="1765"/>
      <c r="C8" s="1765"/>
      <c r="D8" s="1767"/>
      <c r="E8" s="1129" t="s">
        <v>59</v>
      </c>
      <c r="F8" s="1115" t="s">
        <v>152</v>
      </c>
      <c r="G8" s="1115" t="s">
        <v>153</v>
      </c>
      <c r="H8" s="1116" t="s">
        <v>123</v>
      </c>
      <c r="I8" s="1123" t="s">
        <v>124</v>
      </c>
      <c r="J8" s="1116" t="s">
        <v>125</v>
      </c>
    </row>
    <row r="9" spans="1:21" ht="18">
      <c r="A9" s="1110"/>
      <c r="B9" s="1111" t="s">
        <v>126</v>
      </c>
      <c r="C9" s="1112"/>
      <c r="D9" s="1117"/>
      <c r="E9" s="1130"/>
      <c r="F9" s="1112"/>
      <c r="G9" s="1112"/>
      <c r="H9" s="1131"/>
      <c r="I9" s="1167"/>
      <c r="J9" s="1114"/>
    </row>
    <row r="10" spans="1:21" ht="18">
      <c r="A10" s="1101">
        <v>1</v>
      </c>
      <c r="B10" s="528" t="s">
        <v>127</v>
      </c>
      <c r="C10" s="524">
        <v>27189</v>
      </c>
      <c r="D10" s="1118">
        <v>19850.77</v>
      </c>
      <c r="E10" s="1171">
        <v>3.8580409338064863</v>
      </c>
      <c r="F10" s="529">
        <v>8.571497864681767</v>
      </c>
      <c r="G10" s="529">
        <v>7.0788766439816406</v>
      </c>
      <c r="H10" s="1133">
        <f>E10+F10+G10</f>
        <v>19.508415442469893</v>
      </c>
      <c r="I10" s="1168">
        <v>1337.6756834044138</v>
      </c>
      <c r="J10" s="1102">
        <v>399.40584360000003</v>
      </c>
      <c r="K10" s="545"/>
      <c r="L10" s="535"/>
      <c r="M10" s="545"/>
      <c r="N10" s="545"/>
      <c r="P10" s="545"/>
      <c r="Q10" s="545"/>
      <c r="R10" s="545"/>
      <c r="S10" s="545"/>
      <c r="T10" s="545"/>
      <c r="U10" s="545"/>
    </row>
    <row r="11" spans="1:21" ht="18">
      <c r="A11" s="1101">
        <v>2</v>
      </c>
      <c r="B11" s="528" t="s">
        <v>128</v>
      </c>
      <c r="C11" s="524">
        <v>9026</v>
      </c>
      <c r="D11" s="1118">
        <v>16508.810000000001</v>
      </c>
      <c r="E11" s="1171">
        <v>0.97965223577204485</v>
      </c>
      <c r="F11" s="529">
        <v>3.0982289985314857</v>
      </c>
      <c r="G11" s="529">
        <v>6.6801061539846254</v>
      </c>
      <c r="H11" s="1133">
        <f>E11+F11+G11</f>
        <v>10.757987388288157</v>
      </c>
      <c r="I11" s="1168">
        <v>763.78279176690057</v>
      </c>
      <c r="J11" s="1102">
        <v>244.56088160000002</v>
      </c>
      <c r="K11" s="545"/>
      <c r="L11" s="535"/>
      <c r="M11" s="545"/>
      <c r="P11" s="545"/>
      <c r="Q11" s="545"/>
      <c r="R11" s="545"/>
      <c r="S11" s="545"/>
      <c r="T11" s="545"/>
      <c r="U11" s="545"/>
    </row>
    <row r="12" spans="1:21" ht="18">
      <c r="A12" s="1101">
        <v>3</v>
      </c>
      <c r="B12" s="528" t="s">
        <v>129</v>
      </c>
      <c r="C12" s="524">
        <v>4914</v>
      </c>
      <c r="D12" s="1118">
        <v>13964.96</v>
      </c>
      <c r="E12" s="1171">
        <v>0.40563560343732147</v>
      </c>
      <c r="F12" s="529">
        <v>1.7913992697089005</v>
      </c>
      <c r="G12" s="529">
        <v>6.4545130245113027</v>
      </c>
      <c r="H12" s="1133">
        <f>E12+F12+G12</f>
        <v>8.6515478976575242</v>
      </c>
      <c r="I12" s="1168">
        <v>625.17582071691959</v>
      </c>
      <c r="J12" s="1102">
        <v>174.485703</v>
      </c>
      <c r="K12" s="545"/>
      <c r="L12" s="535"/>
      <c r="M12" s="545"/>
      <c r="P12" s="545"/>
      <c r="Q12" s="545"/>
      <c r="R12" s="545"/>
      <c r="S12" s="545"/>
      <c r="T12" s="545"/>
      <c r="U12" s="545"/>
    </row>
    <row r="13" spans="1:21" ht="18">
      <c r="A13" s="1101">
        <v>4</v>
      </c>
      <c r="B13" s="528">
        <v>4</v>
      </c>
      <c r="C13" s="524">
        <v>1937</v>
      </c>
      <c r="D13" s="1118">
        <v>7462.89</v>
      </c>
      <c r="E13" s="1171">
        <v>0.1292205926825723</v>
      </c>
      <c r="F13" s="529">
        <v>0.65762284337818666</v>
      </c>
      <c r="G13" s="529">
        <v>3.9052863014276338</v>
      </c>
      <c r="H13" s="1133">
        <f>E13+F13+G13</f>
        <v>4.6921297374883926</v>
      </c>
      <c r="I13" s="1168">
        <v>344.53002064637548</v>
      </c>
      <c r="J13" s="1102">
        <v>95.390486899999999</v>
      </c>
      <c r="K13" s="545"/>
      <c r="L13" s="535"/>
      <c r="M13" s="545"/>
      <c r="P13" s="545"/>
      <c r="Q13" s="545"/>
      <c r="R13" s="545"/>
      <c r="S13" s="545"/>
      <c r="T13" s="545"/>
      <c r="U13" s="545"/>
    </row>
    <row r="14" spans="1:21" ht="18">
      <c r="A14" s="1101">
        <v>5</v>
      </c>
      <c r="B14" s="531" t="s">
        <v>130</v>
      </c>
      <c r="C14" s="524">
        <v>7630</v>
      </c>
      <c r="D14" s="1118">
        <v>105383.07</v>
      </c>
      <c r="E14" s="1171">
        <v>0.19257829988816114</v>
      </c>
      <c r="F14" s="529">
        <v>1.268567393361004</v>
      </c>
      <c r="G14" s="529">
        <f>81.4465511831872</f>
        <v>81.446551183187196</v>
      </c>
      <c r="H14" s="1133">
        <f>E14+F14+G14</f>
        <v>82.907696876436361</v>
      </c>
      <c r="I14" s="1168">
        <v>6286.3221206953613</v>
      </c>
      <c r="J14" s="1102">
        <v>1341.5694858999996</v>
      </c>
      <c r="K14" s="545"/>
      <c r="L14" s="535"/>
      <c r="M14" s="545"/>
      <c r="P14" s="545"/>
      <c r="Q14" s="545"/>
      <c r="R14" s="545"/>
      <c r="S14" s="545"/>
      <c r="T14" s="545"/>
      <c r="U14" s="545"/>
    </row>
    <row r="15" spans="1:21" ht="18">
      <c r="A15" s="1161">
        <v>6</v>
      </c>
      <c r="B15" s="534" t="s">
        <v>131</v>
      </c>
      <c r="C15" s="525">
        <f>SUM(C10:C14)</f>
        <v>50696</v>
      </c>
      <c r="D15" s="1119">
        <f t="shared" ref="D15:J15" si="0">SUM(D10:D14)</f>
        <v>163170.5</v>
      </c>
      <c r="E15" s="1141">
        <f t="shared" si="0"/>
        <v>5.5651276655865871</v>
      </c>
      <c r="F15" s="960">
        <f t="shared" si="0"/>
        <v>15.387316369661344</v>
      </c>
      <c r="G15" s="960">
        <f t="shared" si="0"/>
        <v>105.5653333070924</v>
      </c>
      <c r="H15" s="1135">
        <f t="shared" si="0"/>
        <v>126.51777734234034</v>
      </c>
      <c r="I15" s="1169">
        <f t="shared" si="0"/>
        <v>9357.4864372299708</v>
      </c>
      <c r="J15" s="1103">
        <f t="shared" si="0"/>
        <v>2255.4124009999996</v>
      </c>
      <c r="L15" s="535"/>
    </row>
    <row r="16" spans="1:21" ht="36">
      <c r="A16" s="1101">
        <v>7</v>
      </c>
      <c r="B16" s="544" t="s">
        <v>154</v>
      </c>
      <c r="C16" s="524"/>
      <c r="D16" s="1118"/>
      <c r="E16" s="1171"/>
      <c r="F16" s="529"/>
      <c r="G16" s="529"/>
      <c r="H16" s="1133"/>
      <c r="I16" s="1168"/>
      <c r="J16" s="1102"/>
      <c r="L16" s="545"/>
      <c r="M16" s="545"/>
      <c r="N16" s="545"/>
    </row>
    <row r="17" spans="1:21" ht="18.75" thickBot="1">
      <c r="A17" s="1146">
        <v>8</v>
      </c>
      <c r="B17" s="1105" t="s">
        <v>131</v>
      </c>
      <c r="C17" s="1106">
        <f>C16</f>
        <v>0</v>
      </c>
      <c r="D17" s="1121">
        <f t="shared" ref="D17:J17" si="1">D16</f>
        <v>0</v>
      </c>
      <c r="E17" s="1144">
        <f t="shared" si="1"/>
        <v>0</v>
      </c>
      <c r="F17" s="1107">
        <f t="shared" si="1"/>
        <v>0</v>
      </c>
      <c r="G17" s="1107">
        <f t="shared" si="1"/>
        <v>0</v>
      </c>
      <c r="H17" s="1137">
        <f t="shared" si="1"/>
        <v>0</v>
      </c>
      <c r="I17" s="1170">
        <f t="shared" si="1"/>
        <v>0</v>
      </c>
      <c r="J17" s="1109">
        <f t="shared" si="1"/>
        <v>0</v>
      </c>
    </row>
    <row r="18" spans="1:21" ht="18.75" thickBot="1">
      <c r="A18" s="1185">
        <v>9</v>
      </c>
      <c r="B18" s="1186" t="s">
        <v>136</v>
      </c>
      <c r="C18" s="1187">
        <f>C15+C17</f>
        <v>50696</v>
      </c>
      <c r="D18" s="1189">
        <f t="shared" ref="D18:J18" si="2">D15+D17</f>
        <v>163170.5</v>
      </c>
      <c r="E18" s="1191">
        <f t="shared" si="2"/>
        <v>5.5651276655865871</v>
      </c>
      <c r="F18" s="1192">
        <f t="shared" si="2"/>
        <v>15.387316369661344</v>
      </c>
      <c r="G18" s="1192">
        <f t="shared" si="2"/>
        <v>105.5653333070924</v>
      </c>
      <c r="H18" s="1193">
        <f t="shared" si="2"/>
        <v>126.51777734234034</v>
      </c>
      <c r="I18" s="1190">
        <f t="shared" si="2"/>
        <v>9357.4864372299708</v>
      </c>
      <c r="J18" s="1188">
        <f t="shared" si="2"/>
        <v>2255.4124009999996</v>
      </c>
      <c r="P18" s="545"/>
      <c r="Q18" s="545"/>
      <c r="R18" s="545"/>
    </row>
    <row r="19" spans="1:21" ht="18">
      <c r="B19" s="532"/>
      <c r="C19" s="965"/>
      <c r="D19" s="965"/>
      <c r="E19" s="965"/>
      <c r="F19" s="965"/>
      <c r="G19" s="965"/>
      <c r="H19" s="965"/>
      <c r="I19" s="965"/>
      <c r="J19" s="965"/>
    </row>
    <row r="20" spans="1:21" ht="18">
      <c r="A20" s="533" t="s">
        <v>137</v>
      </c>
      <c r="B20" s="543" t="s">
        <v>151</v>
      </c>
      <c r="C20" s="519" t="s">
        <v>138</v>
      </c>
      <c r="D20" s="515"/>
      <c r="F20" s="515"/>
      <c r="G20" s="515"/>
      <c r="H20" s="515"/>
      <c r="I20" s="515"/>
      <c r="J20" s="515"/>
    </row>
    <row r="21" spans="1:21" ht="18.75" thickBot="1">
      <c r="B21" s="532"/>
      <c r="C21" s="520"/>
      <c r="D21" s="515"/>
      <c r="E21" s="1780" t="s">
        <v>112</v>
      </c>
      <c r="F21" s="1780"/>
      <c r="G21" s="1780"/>
      <c r="H21" s="515"/>
      <c r="I21" s="515"/>
      <c r="J21" s="515"/>
    </row>
    <row r="22" spans="1:21" ht="18">
      <c r="A22" s="1763"/>
      <c r="B22" s="1758" t="s">
        <v>114</v>
      </c>
      <c r="C22" s="1758" t="s">
        <v>115</v>
      </c>
      <c r="D22" s="1766" t="s">
        <v>116</v>
      </c>
      <c r="E22" s="1128" t="s">
        <v>117</v>
      </c>
      <c r="F22" s="1099"/>
      <c r="G22" s="1099"/>
      <c r="H22" s="1100"/>
      <c r="I22" s="1122"/>
      <c r="J22" s="1100"/>
    </row>
    <row r="23" spans="1:21" s="526" customFormat="1" ht="71.25" customHeight="1" thickBot="1">
      <c r="A23" s="1764"/>
      <c r="B23" s="1765"/>
      <c r="C23" s="1765"/>
      <c r="D23" s="1767"/>
      <c r="E23" s="1129" t="s">
        <v>59</v>
      </c>
      <c r="F23" s="1115" t="s">
        <v>152</v>
      </c>
      <c r="G23" s="1115" t="s">
        <v>153</v>
      </c>
      <c r="H23" s="1116" t="s">
        <v>123</v>
      </c>
      <c r="I23" s="1123" t="s">
        <v>124</v>
      </c>
      <c r="J23" s="1116" t="s">
        <v>125</v>
      </c>
    </row>
    <row r="24" spans="1:21" ht="18">
      <c r="A24" s="1110"/>
      <c r="B24" s="1111" t="s">
        <v>126</v>
      </c>
      <c r="C24" s="1112"/>
      <c r="D24" s="1117"/>
      <c r="E24" s="1130"/>
      <c r="F24" s="1112"/>
      <c r="G24" s="1112"/>
      <c r="H24" s="1131"/>
      <c r="I24" s="1167"/>
      <c r="J24" s="1114"/>
    </row>
    <row r="25" spans="1:21" ht="18">
      <c r="A25" s="1101">
        <v>1</v>
      </c>
      <c r="B25" s="528" t="s">
        <v>127</v>
      </c>
      <c r="C25" s="524">
        <v>17406</v>
      </c>
      <c r="D25" s="1118">
        <v>14127.7</v>
      </c>
      <c r="E25" s="1171">
        <v>2.4978135479710377</v>
      </c>
      <c r="F25" s="529">
        <v>6.7803103880297098</v>
      </c>
      <c r="G25" s="529">
        <v>4.6196205572509648</v>
      </c>
      <c r="H25" s="1133">
        <f>E25+F25+G25</f>
        <v>13.897744493251713</v>
      </c>
      <c r="I25" s="1168">
        <v>1046.899107349964</v>
      </c>
      <c r="J25" s="1102">
        <v>314.11138050000005</v>
      </c>
      <c r="K25" s="545"/>
      <c r="L25" s="535"/>
      <c r="M25" s="545"/>
      <c r="N25" s="545"/>
      <c r="P25" s="545"/>
      <c r="Q25" s="545"/>
      <c r="R25" s="545"/>
      <c r="S25" s="545"/>
      <c r="T25" s="545"/>
      <c r="U25" s="545"/>
    </row>
    <row r="26" spans="1:21" ht="18">
      <c r="A26" s="1101">
        <v>2</v>
      </c>
      <c r="B26" s="528" t="s">
        <v>128</v>
      </c>
      <c r="C26" s="524">
        <v>6272</v>
      </c>
      <c r="D26" s="1118">
        <v>11665.65</v>
      </c>
      <c r="E26" s="1171">
        <v>0.71271744541641491</v>
      </c>
      <c r="F26" s="529">
        <v>2.0492358496130434</v>
      </c>
      <c r="G26" s="529">
        <v>5.589671522769649</v>
      </c>
      <c r="H26" s="1133">
        <f>E26+F26+G26</f>
        <v>8.3516248177991077</v>
      </c>
      <c r="I26" s="1168">
        <v>655.30949361327578</v>
      </c>
      <c r="J26" s="1102">
        <v>199.2360304</v>
      </c>
      <c r="K26" s="545"/>
      <c r="L26" s="535"/>
      <c r="M26" s="545"/>
      <c r="P26" s="545"/>
      <c r="Q26" s="545"/>
      <c r="R26" s="545"/>
      <c r="S26" s="545"/>
      <c r="T26" s="545"/>
      <c r="U26" s="545"/>
    </row>
    <row r="27" spans="1:21" ht="18">
      <c r="A27" s="1101">
        <v>3</v>
      </c>
      <c r="B27" s="528" t="s">
        <v>129</v>
      </c>
      <c r="C27" s="524">
        <v>2743</v>
      </c>
      <c r="D27" s="1118">
        <v>7764.51</v>
      </c>
      <c r="E27" s="1171">
        <v>0.22787347829786039</v>
      </c>
      <c r="F27" s="529">
        <v>0.98862523045807527</v>
      </c>
      <c r="G27" s="529">
        <v>4.0371706484683365</v>
      </c>
      <c r="H27" s="1133">
        <f>E27+F27+G27</f>
        <v>5.2536693572242719</v>
      </c>
      <c r="I27" s="1168">
        <v>411.57559115519507</v>
      </c>
      <c r="J27" s="1102">
        <v>118.0347922</v>
      </c>
      <c r="K27" s="545"/>
      <c r="L27" s="535"/>
      <c r="M27" s="545"/>
      <c r="P27" s="545"/>
      <c r="Q27" s="545"/>
      <c r="R27" s="545"/>
      <c r="S27" s="545"/>
      <c r="T27" s="545"/>
      <c r="U27" s="545"/>
    </row>
    <row r="28" spans="1:21" ht="18">
      <c r="A28" s="1101">
        <v>4</v>
      </c>
      <c r="B28" s="528">
        <v>4</v>
      </c>
      <c r="C28" s="524">
        <v>1008</v>
      </c>
      <c r="D28" s="1118">
        <v>3832.41</v>
      </c>
      <c r="E28" s="1171">
        <v>7.7902219096031025E-2</v>
      </c>
      <c r="F28" s="529">
        <v>0.3350779995573302</v>
      </c>
      <c r="G28" s="529">
        <v>1.8894056939645372</v>
      </c>
      <c r="H28" s="1133">
        <f>E28+F28+G28</f>
        <v>2.3023859126178983</v>
      </c>
      <c r="I28" s="1168">
        <v>182.32135424208926</v>
      </c>
      <c r="J28" s="1102">
        <v>51.746826700000007</v>
      </c>
      <c r="K28" s="545"/>
      <c r="L28" s="535"/>
      <c r="M28" s="545"/>
      <c r="P28" s="545"/>
      <c r="Q28" s="545"/>
      <c r="R28" s="545"/>
      <c r="S28" s="545"/>
      <c r="T28" s="545"/>
      <c r="U28" s="545"/>
    </row>
    <row r="29" spans="1:21" ht="18">
      <c r="A29" s="1101">
        <v>5</v>
      </c>
      <c r="B29" s="531" t="s">
        <v>130</v>
      </c>
      <c r="C29" s="524">
        <v>7745</v>
      </c>
      <c r="D29" s="1118">
        <v>93368.14</v>
      </c>
      <c r="E29" s="1171">
        <v>0.20374868640958071</v>
      </c>
      <c r="F29" s="529">
        <v>1.1099719591831796</v>
      </c>
      <c r="G29" s="529">
        <f>79.5449366479144+0.561770386706087-0.663399136106364</f>
        <v>79.443307898514121</v>
      </c>
      <c r="H29" s="1133">
        <f>E29+F29+G29</f>
        <v>80.757028544106888</v>
      </c>
      <c r="I29" s="1168">
        <f>5931.25399854951-11.365982140007</f>
        <v>5919.8880164095026</v>
      </c>
      <c r="J29" s="1102">
        <v>1440.0556739999997</v>
      </c>
      <c r="K29" s="545"/>
      <c r="L29" s="535"/>
      <c r="M29" s="545"/>
      <c r="P29" s="545"/>
      <c r="Q29" s="545"/>
      <c r="R29" s="545"/>
      <c r="S29" s="545"/>
      <c r="T29" s="545"/>
      <c r="U29" s="545"/>
    </row>
    <row r="30" spans="1:21" ht="18">
      <c r="A30" s="1161">
        <v>6</v>
      </c>
      <c r="B30" s="534" t="s">
        <v>131</v>
      </c>
      <c r="C30" s="525">
        <f>SUM(C25:C29)</f>
        <v>35174</v>
      </c>
      <c r="D30" s="1119">
        <f t="shared" ref="D30:J30" si="3">SUM(D25:D29)</f>
        <v>130758.41</v>
      </c>
      <c r="E30" s="1141">
        <f t="shared" si="3"/>
        <v>3.7200553771909246</v>
      </c>
      <c r="F30" s="960">
        <f t="shared" si="3"/>
        <v>11.263221426841335</v>
      </c>
      <c r="G30" s="960">
        <f t="shared" si="3"/>
        <v>95.579176320967605</v>
      </c>
      <c r="H30" s="1135">
        <f t="shared" si="3"/>
        <v>110.56245312499988</v>
      </c>
      <c r="I30" s="1169">
        <f t="shared" si="3"/>
        <v>8215.993562770027</v>
      </c>
      <c r="J30" s="1103">
        <f t="shared" si="3"/>
        <v>2123.1847037999996</v>
      </c>
      <c r="L30" s="535"/>
    </row>
    <row r="31" spans="1:21" ht="39" customHeight="1">
      <c r="A31" s="1101">
        <v>7</v>
      </c>
      <c r="B31" s="544" t="s">
        <v>154</v>
      </c>
      <c r="C31" s="524"/>
      <c r="D31" s="1118"/>
      <c r="E31" s="1171"/>
      <c r="F31" s="529"/>
      <c r="G31" s="529"/>
      <c r="H31" s="1133"/>
      <c r="I31" s="1168"/>
      <c r="J31" s="1102"/>
    </row>
    <row r="32" spans="1:21" ht="18">
      <c r="A32" s="1161">
        <v>8</v>
      </c>
      <c r="B32" s="534" t="s">
        <v>131</v>
      </c>
      <c r="C32" s="525">
        <f>C31</f>
        <v>0</v>
      </c>
      <c r="D32" s="1119">
        <f t="shared" ref="D32:J32" si="4">D31</f>
        <v>0</v>
      </c>
      <c r="E32" s="1141">
        <f>E31</f>
        <v>0</v>
      </c>
      <c r="F32" s="960">
        <f t="shared" si="4"/>
        <v>0</v>
      </c>
      <c r="G32" s="960">
        <f t="shared" si="4"/>
        <v>0</v>
      </c>
      <c r="H32" s="1135">
        <f t="shared" si="4"/>
        <v>0</v>
      </c>
      <c r="I32" s="1169">
        <f t="shared" si="4"/>
        <v>0</v>
      </c>
      <c r="J32" s="1103">
        <f t="shared" si="4"/>
        <v>0</v>
      </c>
      <c r="P32" s="545"/>
      <c r="Q32" s="545"/>
      <c r="R32" s="545"/>
    </row>
    <row r="33" spans="1:21" ht="18">
      <c r="A33" s="1101"/>
      <c r="B33" s="531"/>
      <c r="C33" s="524"/>
      <c r="D33" s="1118"/>
      <c r="E33" s="1171"/>
      <c r="F33" s="529"/>
      <c r="G33" s="529"/>
      <c r="H33" s="1133"/>
      <c r="I33" s="1168"/>
      <c r="J33" s="1102"/>
    </row>
    <row r="34" spans="1:21" ht="18">
      <c r="A34" s="1161">
        <v>9</v>
      </c>
      <c r="B34" s="534" t="s">
        <v>139</v>
      </c>
      <c r="C34" s="525">
        <f>C30+C32</f>
        <v>35174</v>
      </c>
      <c r="D34" s="1119">
        <f t="shared" ref="D34:J34" si="5">D30+D32</f>
        <v>130758.41</v>
      </c>
      <c r="E34" s="1141">
        <f t="shared" si="5"/>
        <v>3.7200553771909246</v>
      </c>
      <c r="F34" s="960">
        <f t="shared" si="5"/>
        <v>11.263221426841335</v>
      </c>
      <c r="G34" s="960">
        <f t="shared" si="5"/>
        <v>95.579176320967605</v>
      </c>
      <c r="H34" s="1135">
        <f t="shared" si="5"/>
        <v>110.56245312499988</v>
      </c>
      <c r="I34" s="1169">
        <f t="shared" si="5"/>
        <v>8215.993562770027</v>
      </c>
      <c r="J34" s="1103">
        <f t="shared" si="5"/>
        <v>2123.1847037999996</v>
      </c>
    </row>
    <row r="35" spans="1:21" ht="18.75" thickBot="1">
      <c r="A35" s="1104"/>
      <c r="B35" s="1105" t="s">
        <v>140</v>
      </c>
      <c r="C35" s="1106">
        <f>C18+C34</f>
        <v>85870</v>
      </c>
      <c r="D35" s="1121">
        <f t="shared" ref="D35:J35" si="6">D18+D34</f>
        <v>293928.91000000003</v>
      </c>
      <c r="E35" s="1144">
        <f t="shared" si="6"/>
        <v>9.2851830427775113</v>
      </c>
      <c r="F35" s="1107">
        <f t="shared" si="6"/>
        <v>26.650537796502679</v>
      </c>
      <c r="G35" s="1107">
        <f t="shared" si="6"/>
        <v>201.14450962806001</v>
      </c>
      <c r="H35" s="1137">
        <f t="shared" si="6"/>
        <v>237.08023046734021</v>
      </c>
      <c r="I35" s="1170">
        <f t="shared" si="6"/>
        <v>17573.479999999996</v>
      </c>
      <c r="J35" s="1109">
        <f t="shared" si="6"/>
        <v>4378.5971047999992</v>
      </c>
      <c r="M35" s="545"/>
    </row>
    <row r="36" spans="1:21" ht="18" customHeight="1">
      <c r="B36" s="532"/>
      <c r="C36" s="965"/>
      <c r="D36" s="965"/>
      <c r="E36" s="965"/>
      <c r="F36" s="965"/>
      <c r="G36" s="965"/>
      <c r="H36" s="965"/>
      <c r="I36" s="965"/>
      <c r="J36" s="965"/>
    </row>
    <row r="37" spans="1:21" ht="18" customHeight="1">
      <c r="B37" s="519" t="s">
        <v>155</v>
      </c>
      <c r="C37" s="520"/>
      <c r="D37" s="520"/>
      <c r="E37" s="515"/>
      <c r="F37" s="515"/>
      <c r="G37" s="515"/>
      <c r="H37" s="515"/>
      <c r="I37" s="515"/>
      <c r="J37" s="515"/>
    </row>
    <row r="38" spans="1:21" ht="54" customHeight="1">
      <c r="A38" s="574"/>
      <c r="B38" s="536"/>
      <c r="C38" s="1781" t="s">
        <v>142</v>
      </c>
      <c r="D38" s="1782"/>
      <c r="E38" s="1782"/>
      <c r="F38" s="1783"/>
      <c r="G38" s="1784" t="s">
        <v>143</v>
      </c>
      <c r="H38" s="1784"/>
      <c r="I38" s="1784"/>
      <c r="J38" s="1784"/>
      <c r="K38" s="1784" t="s">
        <v>144</v>
      </c>
      <c r="L38" s="1784"/>
      <c r="M38" s="1784"/>
      <c r="N38" s="1784"/>
    </row>
    <row r="39" spans="1:21" ht="18">
      <c r="A39" s="574"/>
      <c r="B39" s="531"/>
      <c r="C39" s="1775" t="s">
        <v>111</v>
      </c>
      <c r="D39" s="1774"/>
      <c r="E39" s="1775" t="s">
        <v>138</v>
      </c>
      <c r="F39" s="1774"/>
      <c r="G39" s="1775" t="s">
        <v>111</v>
      </c>
      <c r="H39" s="1774"/>
      <c r="I39" s="1775" t="s">
        <v>138</v>
      </c>
      <c r="J39" s="1774"/>
      <c r="K39" s="1775" t="s">
        <v>111</v>
      </c>
      <c r="L39" s="1774"/>
      <c r="M39" s="1775" t="s">
        <v>138</v>
      </c>
      <c r="N39" s="1774"/>
    </row>
    <row r="40" spans="1:21" ht="54">
      <c r="A40" s="574"/>
      <c r="B40" s="575" t="s">
        <v>126</v>
      </c>
      <c r="C40" s="576" t="s">
        <v>145</v>
      </c>
      <c r="D40" s="576" t="s">
        <v>27</v>
      </c>
      <c r="E40" s="576" t="s">
        <v>145</v>
      </c>
      <c r="F40" s="576" t="s">
        <v>27</v>
      </c>
      <c r="G40" s="576" t="s">
        <v>145</v>
      </c>
      <c r="H40" s="576" t="s">
        <v>27</v>
      </c>
      <c r="I40" s="576" t="s">
        <v>145</v>
      </c>
      <c r="J40" s="576" t="s">
        <v>27</v>
      </c>
      <c r="K40" s="576" t="s">
        <v>145</v>
      </c>
      <c r="L40" s="576" t="s">
        <v>27</v>
      </c>
      <c r="M40" s="576" t="s">
        <v>145</v>
      </c>
      <c r="N40" s="576" t="s">
        <v>27</v>
      </c>
    </row>
    <row r="41" spans="1:21" ht="18">
      <c r="A41" s="574">
        <v>1</v>
      </c>
      <c r="B41" s="528" t="s">
        <v>127</v>
      </c>
      <c r="C41" s="524">
        <v>21566</v>
      </c>
      <c r="D41" s="529">
        <v>14.520632649153301</v>
      </c>
      <c r="E41" s="524">
        <v>12363</v>
      </c>
      <c r="F41" s="529">
        <v>9.4296950616968651</v>
      </c>
      <c r="G41" s="524"/>
      <c r="H41" s="524"/>
      <c r="I41" s="524"/>
      <c r="J41" s="524"/>
      <c r="K41" s="524">
        <v>5628</v>
      </c>
      <c r="L41" s="529">
        <f>5.1635351201133-0.175752</f>
        <v>4.9877831201133001</v>
      </c>
      <c r="M41" s="524">
        <v>5047</v>
      </c>
      <c r="N41" s="529">
        <f>6.15688997344325-1.688841</f>
        <v>4.46804897344325</v>
      </c>
      <c r="O41" s="975"/>
      <c r="P41" s="975"/>
      <c r="Q41" s="545"/>
      <c r="R41" s="545"/>
      <c r="T41" s="980"/>
      <c r="U41" s="980"/>
    </row>
    <row r="42" spans="1:21" ht="18">
      <c r="A42" s="574">
        <v>2</v>
      </c>
      <c r="B42" s="528" t="s">
        <v>128</v>
      </c>
      <c r="C42" s="524">
        <v>7160</v>
      </c>
      <c r="D42" s="529">
        <v>7.6182886662521456</v>
      </c>
      <c r="E42" s="524">
        <v>4319</v>
      </c>
      <c r="F42" s="529">
        <v>4.995096309909389</v>
      </c>
      <c r="G42" s="524"/>
      <c r="H42" s="524"/>
      <c r="I42" s="524"/>
      <c r="J42" s="524"/>
      <c r="K42" s="524">
        <v>1867</v>
      </c>
      <c r="L42" s="529">
        <f>3.22534171657628-0.085643</f>
        <v>3.1396987165762797</v>
      </c>
      <c r="M42" s="524">
        <v>1953</v>
      </c>
      <c r="N42" s="529">
        <f>4.30716177204761-0.950633</f>
        <v>3.3565287720476098</v>
      </c>
      <c r="O42" s="975"/>
      <c r="P42" s="975"/>
      <c r="Q42" s="545"/>
      <c r="R42" s="545"/>
      <c r="T42" s="980"/>
      <c r="U42" s="980"/>
    </row>
    <row r="43" spans="1:21" ht="18">
      <c r="A43" s="574">
        <v>3</v>
      </c>
      <c r="B43" s="528" t="s">
        <v>129</v>
      </c>
      <c r="C43" s="524">
        <v>4021</v>
      </c>
      <c r="D43" s="529">
        <v>6.3507733810862907</v>
      </c>
      <c r="E43" s="524">
        <v>1987</v>
      </c>
      <c r="F43" s="529">
        <v>3.2930662666042632</v>
      </c>
      <c r="G43" s="524"/>
      <c r="H43" s="524"/>
      <c r="I43" s="527"/>
      <c r="J43" s="527"/>
      <c r="K43" s="524">
        <v>890</v>
      </c>
      <c r="L43" s="529">
        <f>2.32199932180884-0.021225</f>
        <v>2.3007743218088401</v>
      </c>
      <c r="M43" s="524">
        <v>755</v>
      </c>
      <c r="N43" s="529">
        <f>2.41250125061649-0.451898</f>
        <v>1.9606032506164901</v>
      </c>
      <c r="O43" s="975"/>
      <c r="P43" s="975"/>
      <c r="Q43" s="545"/>
      <c r="R43" s="545"/>
      <c r="T43" s="980"/>
      <c r="U43" s="980"/>
    </row>
    <row r="44" spans="1:21" ht="18">
      <c r="A44" s="574">
        <v>4</v>
      </c>
      <c r="B44" s="528">
        <v>4</v>
      </c>
      <c r="C44" s="524">
        <v>1575</v>
      </c>
      <c r="D44" s="529">
        <v>3.5208417451850358</v>
      </c>
      <c r="E44" s="524">
        <v>768</v>
      </c>
      <c r="F44" s="529">
        <v>1.4255408291666571</v>
      </c>
      <c r="G44" s="524"/>
      <c r="H44" s="524"/>
      <c r="I44" s="527"/>
      <c r="J44" s="527"/>
      <c r="K44" s="524">
        <v>359</v>
      </c>
      <c r="L44" s="529">
        <f>1.1334190642249+0.037869</f>
        <v>1.1712880642248999</v>
      </c>
      <c r="M44" s="524">
        <v>239</v>
      </c>
      <c r="N44" s="529">
        <f>1.00937917627735-0.132534</f>
        <v>0.87684517627735004</v>
      </c>
      <c r="O44" s="975"/>
      <c r="P44" s="975"/>
      <c r="Q44" s="545"/>
      <c r="R44" s="545"/>
      <c r="T44" s="980"/>
      <c r="U44" s="980"/>
    </row>
    <row r="45" spans="1:21" ht="18">
      <c r="A45" s="574">
        <v>5</v>
      </c>
      <c r="B45" s="531" t="s">
        <v>130</v>
      </c>
      <c r="C45" s="524">
        <v>6448</v>
      </c>
      <c r="D45" s="529">
        <v>74.587152876628295</v>
      </c>
      <c r="E45" s="524">
        <v>6006</v>
      </c>
      <c r="F45" s="529">
        <v>63.300466013748526</v>
      </c>
      <c r="G45" s="524"/>
      <c r="H45" s="524"/>
      <c r="I45" s="524"/>
      <c r="J45" s="524"/>
      <c r="K45" s="524">
        <v>1182</v>
      </c>
      <c r="L45" s="529">
        <f>8.52849480131163-0.207951</f>
        <v>8.3205438013116311</v>
      </c>
      <c r="M45" s="524">
        <v>1737</v>
      </c>
      <c r="N45" s="529">
        <f>14.3342852208896+3.122277</f>
        <v>17.456562220889598</v>
      </c>
      <c r="O45" s="975"/>
      <c r="P45" s="975"/>
      <c r="Q45" s="545"/>
      <c r="R45" s="545"/>
      <c r="T45" s="980"/>
      <c r="U45" s="980"/>
    </row>
    <row r="46" spans="1:21" ht="18">
      <c r="A46" s="963">
        <v>6</v>
      </c>
      <c r="B46" s="538" t="s">
        <v>147</v>
      </c>
      <c r="C46" s="525">
        <f>SUM(C41:C45)</f>
        <v>40770</v>
      </c>
      <c r="D46" s="960">
        <f t="shared" ref="D46:N46" si="7">SUM(D41:D45)</f>
        <v>106.59768931830507</v>
      </c>
      <c r="E46" s="525">
        <f t="shared" si="7"/>
        <v>25443</v>
      </c>
      <c r="F46" s="960">
        <f t="shared" si="7"/>
        <v>82.443864481125701</v>
      </c>
      <c r="G46" s="525"/>
      <c r="H46" s="525"/>
      <c r="I46" s="525"/>
      <c r="J46" s="525"/>
      <c r="K46" s="525">
        <f t="shared" si="7"/>
        <v>9926</v>
      </c>
      <c r="L46" s="960">
        <f t="shared" si="7"/>
        <v>19.92008802403495</v>
      </c>
      <c r="M46" s="525">
        <f t="shared" si="7"/>
        <v>9731</v>
      </c>
      <c r="N46" s="960">
        <f t="shared" si="7"/>
        <v>28.118588393274297</v>
      </c>
      <c r="O46" s="979"/>
      <c r="P46" s="979"/>
      <c r="Q46" s="545"/>
      <c r="R46" s="979"/>
      <c r="T46" s="985"/>
      <c r="U46" s="985"/>
    </row>
    <row r="47" spans="1:21" ht="18">
      <c r="A47" s="539"/>
      <c r="B47" s="532"/>
      <c r="C47" s="515"/>
      <c r="D47" s="515"/>
      <c r="F47" s="515"/>
      <c r="G47" s="515"/>
      <c r="H47" s="515"/>
      <c r="I47" s="515"/>
      <c r="J47" s="515"/>
    </row>
    <row r="48" spans="1:21" ht="18">
      <c r="D48" s="545"/>
      <c r="E48" s="545"/>
      <c r="F48" s="545"/>
      <c r="M48" s="545"/>
      <c r="N48" s="578"/>
    </row>
    <row r="49" spans="4:15" ht="18">
      <c r="D49" s="545"/>
      <c r="E49" s="545"/>
      <c r="F49" s="545"/>
      <c r="M49" s="545"/>
      <c r="N49" s="578"/>
    </row>
    <row r="50" spans="4:15" ht="18">
      <c r="D50" s="545"/>
      <c r="E50" s="545"/>
      <c r="F50" s="545"/>
      <c r="M50" s="545"/>
      <c r="N50" s="578"/>
      <c r="O50" s="545"/>
    </row>
    <row r="51" spans="4:15" ht="18">
      <c r="D51" s="545"/>
      <c r="E51" s="545"/>
      <c r="F51" s="545"/>
      <c r="L51" s="969"/>
      <c r="M51" s="971"/>
      <c r="N51" s="578"/>
      <c r="O51" s="972"/>
    </row>
    <row r="52" spans="4:15" ht="18">
      <c r="D52" s="545"/>
      <c r="E52" s="545"/>
      <c r="F52" s="545"/>
      <c r="L52" s="969"/>
      <c r="M52" s="971"/>
      <c r="N52" s="578"/>
    </row>
    <row r="53" spans="4:15" ht="18">
      <c r="E53" s="545"/>
      <c r="L53" s="969"/>
      <c r="M53" s="969"/>
      <c r="N53" s="515"/>
    </row>
    <row r="59" spans="4:15">
      <c r="D59" s="545"/>
    </row>
    <row r="60" spans="4:15">
      <c r="D60" s="545"/>
    </row>
    <row r="61" spans="4:15">
      <c r="D61" s="545"/>
    </row>
  </sheetData>
  <mergeCells count="20">
    <mergeCell ref="K38:N38"/>
    <mergeCell ref="C39:D39"/>
    <mergeCell ref="E39:F39"/>
    <mergeCell ref="G39:H39"/>
    <mergeCell ref="I39:J39"/>
    <mergeCell ref="K39:L39"/>
    <mergeCell ref="M39:N39"/>
    <mergeCell ref="G38:J38"/>
    <mergeCell ref="A22:A23"/>
    <mergeCell ref="B22:B23"/>
    <mergeCell ref="C22:C23"/>
    <mergeCell ref="D22:D23"/>
    <mergeCell ref="C38:F38"/>
    <mergeCell ref="B3:J3"/>
    <mergeCell ref="E21:G21"/>
    <mergeCell ref="E6:G6"/>
    <mergeCell ref="A7:A8"/>
    <mergeCell ref="B7:B8"/>
    <mergeCell ref="C7:C8"/>
    <mergeCell ref="D7:D8"/>
  </mergeCells>
  <printOptions horizontalCentered="1"/>
  <pageMargins left="0.19685039370078741" right="0.15748031496062992" top="0.23622047244094491" bottom="0.27559055118110237" header="0.51181102362204722" footer="0.59055118110236227"/>
  <pageSetup paperSize="9" scale="70" orientation="landscape" errors="blank" r:id="rId1"/>
  <headerFooter alignWithMargins="0">
    <oddFooter>&amp;R&amp;"Arial,Bold"&amp;12&amp;A</oddFooter>
  </headerFooter>
  <rowBreaks count="1" manualBreakCount="1">
    <brk id="35" max="1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75">
    <pageSetUpPr fitToPage="1"/>
  </sheetPr>
  <dimension ref="B1:N68"/>
  <sheetViews>
    <sheetView workbookViewId="0">
      <selection activeCell="G16" sqref="G16"/>
    </sheetView>
  </sheetViews>
  <sheetFormatPr defaultRowHeight="12.75"/>
  <cols>
    <col min="1" max="1" width="5.140625" customWidth="1"/>
    <col min="2" max="2" width="27.85546875" customWidth="1"/>
    <col min="3" max="3" width="12.5703125" bestFit="1" customWidth="1"/>
    <col min="4" max="4" width="16" customWidth="1"/>
    <col min="5" max="5" width="15.28515625" customWidth="1"/>
    <col min="6" max="6" width="16.28515625" customWidth="1"/>
    <col min="7" max="7" width="12.7109375" customWidth="1"/>
    <col min="8" max="8" width="13.5703125" bestFit="1" customWidth="1"/>
    <col min="9" max="10" width="5.7109375" bestFit="1" customWidth="1"/>
    <col min="11" max="12" width="6.85546875" bestFit="1" customWidth="1"/>
    <col min="13" max="13" width="5.7109375" bestFit="1" customWidth="1"/>
    <col min="14" max="14" width="6.85546875" bestFit="1" customWidth="1"/>
    <col min="15" max="19" width="5.7109375" bestFit="1" customWidth="1"/>
    <col min="20" max="20" width="6.85546875" bestFit="1" customWidth="1"/>
    <col min="21" max="21" width="7.85546875" bestFit="1" customWidth="1"/>
  </cols>
  <sheetData>
    <row r="1" spans="2:5" ht="13.5" thickBot="1">
      <c r="B1" s="300"/>
      <c r="E1" s="212"/>
    </row>
    <row r="2" spans="2:5">
      <c r="B2" s="742" t="s">
        <v>389</v>
      </c>
      <c r="C2" s="747"/>
      <c r="D2" s="747"/>
      <c r="E2" s="743" t="s">
        <v>1690</v>
      </c>
    </row>
    <row r="3" spans="2:5" ht="42.75" customHeight="1">
      <c r="B3" s="744"/>
      <c r="C3" s="755" t="s">
        <v>2138</v>
      </c>
      <c r="D3" s="755" t="s">
        <v>1691</v>
      </c>
      <c r="E3" s="756" t="s">
        <v>2139</v>
      </c>
    </row>
    <row r="4" spans="2:5" ht="15.75">
      <c r="B4" s="745" t="s">
        <v>1541</v>
      </c>
      <c r="C4" s="502"/>
      <c r="D4" s="502"/>
      <c r="E4" s="645"/>
    </row>
    <row r="5" spans="2:5">
      <c r="B5" s="681" t="s">
        <v>1542</v>
      </c>
      <c r="C5" s="354"/>
      <c r="D5" s="354"/>
      <c r="E5" s="738"/>
    </row>
    <row r="6" spans="2:5">
      <c r="B6" s="681" t="s">
        <v>1167</v>
      </c>
      <c r="C6" s="354"/>
      <c r="D6" s="354"/>
      <c r="E6" s="738"/>
    </row>
    <row r="7" spans="2:5">
      <c r="B7" s="681" t="s">
        <v>1692</v>
      </c>
      <c r="C7" s="646">
        <f>CWIP!H17</f>
        <v>303.99799999999999</v>
      </c>
      <c r="D7" s="646">
        <f>CWIP!R17</f>
        <v>385.70775024</v>
      </c>
      <c r="E7" s="647">
        <f>CWIP!AC17</f>
        <v>754.03384440000013</v>
      </c>
    </row>
    <row r="8" spans="2:5" ht="26.1" customHeight="1">
      <c r="B8" s="681" t="s">
        <v>1693</v>
      </c>
      <c r="C8" s="646">
        <f>CWIP!H19</f>
        <v>19680.251039999999</v>
      </c>
      <c r="D8" s="646">
        <f>CWIP!R19</f>
        <v>15505</v>
      </c>
      <c r="E8" s="647">
        <f>CWIP!AC19</f>
        <v>12344.4</v>
      </c>
    </row>
    <row r="9" spans="2:5">
      <c r="B9" s="681" t="s">
        <v>566</v>
      </c>
      <c r="C9" s="646">
        <f>CWIP!H22</f>
        <v>0</v>
      </c>
      <c r="D9" s="646"/>
      <c r="E9" s="647"/>
    </row>
    <row r="10" spans="2:5" ht="13.5" thickBot="1">
      <c r="B10" s="748" t="s">
        <v>1694</v>
      </c>
      <c r="C10" s="750">
        <f>CWIP!H26</f>
        <v>0</v>
      </c>
      <c r="D10" s="750"/>
      <c r="E10" s="751"/>
    </row>
    <row r="11" spans="2:5">
      <c r="B11" s="749" t="s">
        <v>596</v>
      </c>
      <c r="C11" s="752"/>
      <c r="D11" s="752"/>
      <c r="E11" s="753"/>
    </row>
    <row r="12" spans="2:5">
      <c r="B12" s="681" t="s">
        <v>577</v>
      </c>
      <c r="C12" s="646"/>
      <c r="D12" s="646">
        <f>CWIP!R30</f>
        <v>11532.179868888001</v>
      </c>
      <c r="E12" s="647">
        <f>CWIP!AC30</f>
        <v>4173.8879999999999</v>
      </c>
    </row>
    <row r="13" spans="2:5">
      <c r="B13" s="681" t="s">
        <v>578</v>
      </c>
      <c r="C13" s="646"/>
      <c r="D13" s="646">
        <f>CWIP!R31</f>
        <v>7208.1610599439991</v>
      </c>
      <c r="E13" s="647">
        <f>CWIP!AC31</f>
        <v>14944.64</v>
      </c>
    </row>
    <row r="14" spans="2:5">
      <c r="B14" s="681" t="s">
        <v>579</v>
      </c>
      <c r="C14" s="646"/>
      <c r="D14" s="646">
        <f>CWIP!R32</f>
        <v>15100.582630808</v>
      </c>
      <c r="E14" s="647">
        <f>CWIP!AC32</f>
        <v>12339.54</v>
      </c>
    </row>
    <row r="15" spans="2:5">
      <c r="B15" s="681" t="s">
        <v>580</v>
      </c>
      <c r="C15" s="646"/>
      <c r="D15" s="646">
        <f>CWIP!R33</f>
        <v>15162.057649751237</v>
      </c>
      <c r="E15" s="647">
        <f>CWIP!AC33</f>
        <v>21551.647999999997</v>
      </c>
    </row>
    <row r="16" spans="2:5">
      <c r="B16" s="748" t="s">
        <v>581</v>
      </c>
      <c r="C16" s="750"/>
      <c r="D16" s="750">
        <f>CWIP!R34</f>
        <v>11946.834564401555</v>
      </c>
      <c r="E16" s="751">
        <f>CWIP!AC34</f>
        <v>16091.25</v>
      </c>
    </row>
    <row r="17" spans="2:9">
      <c r="B17" s="502" t="s">
        <v>1695</v>
      </c>
      <c r="C17" s="646"/>
      <c r="D17" s="646">
        <f>SUM(D12:D16)</f>
        <v>60949.81577379279</v>
      </c>
      <c r="E17" s="646">
        <f>SUM(E12:E16)</f>
        <v>69100.966</v>
      </c>
    </row>
    <row r="18" spans="2:9">
      <c r="B18" s="757" t="s">
        <v>1549</v>
      </c>
      <c r="C18" s="646">
        <f>C17+SUM(C7:C10)</f>
        <v>19984.249039999999</v>
      </c>
      <c r="D18" s="646">
        <f>D17+SUM(D7:D10)</f>
        <v>76840.523524032789</v>
      </c>
      <c r="E18" s="646">
        <f>E17+SUM(E7:E10)</f>
        <v>82199.399844400003</v>
      </c>
    </row>
    <row r="19" spans="2:9">
      <c r="B19" s="681" t="s">
        <v>1179</v>
      </c>
      <c r="C19" s="646">
        <f>CWIP!H37</f>
        <v>0</v>
      </c>
      <c r="D19" s="646">
        <f>CWIP!R37</f>
        <v>70</v>
      </c>
      <c r="E19" s="647">
        <f>CWIP!AC37</f>
        <v>90</v>
      </c>
    </row>
    <row r="20" spans="2:9">
      <c r="B20" s="681" t="s">
        <v>1173</v>
      </c>
      <c r="C20" s="646">
        <f>CWIP!H38</f>
        <v>0</v>
      </c>
      <c r="D20" s="646">
        <f>CWIP!R38</f>
        <v>20</v>
      </c>
      <c r="E20" s="647">
        <f>CWIP!AC38</f>
        <v>45</v>
      </c>
    </row>
    <row r="21" spans="2:9">
      <c r="B21" s="681" t="s">
        <v>1550</v>
      </c>
      <c r="C21" s="646">
        <f>CWIP!H39</f>
        <v>0</v>
      </c>
      <c r="D21" s="646">
        <f>CWIP!R39</f>
        <v>76</v>
      </c>
      <c r="E21" s="647">
        <f>CWIP!AC39</f>
        <v>100</v>
      </c>
    </row>
    <row r="22" spans="2:9" ht="13.5" thickBot="1">
      <c r="B22" s="746" t="s">
        <v>147</v>
      </c>
      <c r="C22" s="754">
        <f>C18+C19+C20+C21</f>
        <v>19984.249039999999</v>
      </c>
      <c r="D22" s="754">
        <f>D18+D19+D20+D21</f>
        <v>77006.523524032789</v>
      </c>
      <c r="E22" s="754">
        <f>E18+E19+E20+E21</f>
        <v>82434.399844400003</v>
      </c>
    </row>
    <row r="25" spans="2:9">
      <c r="B25" s="3"/>
      <c r="C25" s="2"/>
      <c r="D25" s="2"/>
      <c r="E25" s="2"/>
    </row>
    <row r="27" spans="2:9">
      <c r="B27" s="765" t="s">
        <v>1696</v>
      </c>
      <c r="C27" s="765" t="s">
        <v>41</v>
      </c>
      <c r="D27" s="765" t="s">
        <v>103</v>
      </c>
      <c r="E27" s="765" t="s">
        <v>2137</v>
      </c>
    </row>
    <row r="28" spans="2:9">
      <c r="B28" s="741" t="s">
        <v>101</v>
      </c>
      <c r="C28" s="102"/>
      <c r="D28" s="102"/>
      <c r="E28" s="102"/>
    </row>
    <row r="29" spans="2:9">
      <c r="B29" s="102" t="s">
        <v>45</v>
      </c>
      <c r="C29" s="758">
        <f>'T-1'!G38</f>
        <v>2873.5650820967307</v>
      </c>
      <c r="D29" s="758">
        <f>'T-1'!N38</f>
        <v>3085.0000000000005</v>
      </c>
      <c r="E29" s="758">
        <f>'T-1'!S38</f>
        <v>3313.9999999999995</v>
      </c>
      <c r="I29" s="4"/>
    </row>
    <row r="30" spans="2:9">
      <c r="B30" s="102" t="s">
        <v>77</v>
      </c>
      <c r="C30" s="758">
        <f>'T-1'!G57</f>
        <v>1847.6532453448001</v>
      </c>
      <c r="D30" s="758">
        <f>'T-1'!N57</f>
        <v>2025</v>
      </c>
      <c r="E30" s="758">
        <f>'T-1'!S57</f>
        <v>2123.0000019999998</v>
      </c>
      <c r="I30" s="4"/>
    </row>
    <row r="31" spans="2:9">
      <c r="B31" s="760" t="s">
        <v>1697</v>
      </c>
      <c r="C31" s="761">
        <f>SUM(C29:C30)</f>
        <v>4721.2183274415311</v>
      </c>
      <c r="D31" s="761">
        <f>SUM(D29:D30)</f>
        <v>5110</v>
      </c>
      <c r="E31" s="761">
        <f>SUM(E29:E30)</f>
        <v>5437.0000019999989</v>
      </c>
      <c r="I31" s="4"/>
    </row>
    <row r="32" spans="2:9">
      <c r="B32" s="102" t="s">
        <v>91</v>
      </c>
      <c r="C32" s="758">
        <f>'T-1'!G70</f>
        <v>2634.5814727505003</v>
      </c>
      <c r="D32" s="758">
        <f>'T-1'!N70</f>
        <v>4961.0000000000009</v>
      </c>
      <c r="E32" s="758">
        <f>'T-1'!S70</f>
        <v>5045</v>
      </c>
    </row>
    <row r="33" spans="2:14">
      <c r="B33" s="102" t="s">
        <v>147</v>
      </c>
      <c r="C33" s="759">
        <f>C32+C31</f>
        <v>7355.7998001920314</v>
      </c>
      <c r="D33" s="759">
        <f>D32+D31</f>
        <v>10071</v>
      </c>
      <c r="E33" s="759">
        <f>E32+E31</f>
        <v>10482.000001999999</v>
      </c>
    </row>
    <row r="34" spans="2:14">
      <c r="B34" s="102" t="s">
        <v>104</v>
      </c>
      <c r="C34" s="758">
        <f>'T-1'!G73</f>
        <v>9313.2066041351354</v>
      </c>
      <c r="D34" s="758">
        <f>'T-1'!N73</f>
        <v>12300</v>
      </c>
      <c r="E34" s="758">
        <f>'T-1'!S73</f>
        <v>12800</v>
      </c>
    </row>
    <row r="35" spans="2:14">
      <c r="B35" s="760" t="s">
        <v>105</v>
      </c>
      <c r="C35" s="762">
        <f>C34-C32</f>
        <v>6678.6251313846351</v>
      </c>
      <c r="D35" s="762">
        <f>D34-D32</f>
        <v>7338.9999999999991</v>
      </c>
      <c r="E35" s="762">
        <f>E34-E32</f>
        <v>7755</v>
      </c>
    </row>
    <row r="36" spans="2:14">
      <c r="B36" s="763" t="s">
        <v>1698</v>
      </c>
      <c r="C36" s="764">
        <f>'T-1'!G91</f>
        <v>0.29308529307098385</v>
      </c>
      <c r="D36" s="764">
        <f>'T-1'!N91</f>
        <v>0.30371985284098646</v>
      </c>
      <c r="E36" s="764">
        <f>'T-1'!S91</f>
        <v>0.29890393268858817</v>
      </c>
      <c r="F36" s="99"/>
    </row>
    <row r="37" spans="2:14">
      <c r="B37" s="765" t="s">
        <v>1699</v>
      </c>
      <c r="C37" s="766">
        <f>(C34-C33)/C34</f>
        <v>0.21017538718340043</v>
      </c>
      <c r="D37" s="766">
        <f>(D34-D33)/D34</f>
        <v>0.18121951219512195</v>
      </c>
      <c r="E37" s="766">
        <f>(E34-E33)/E34</f>
        <v>0.1810937498437501</v>
      </c>
    </row>
    <row r="38" spans="2:14">
      <c r="B38" s="102"/>
      <c r="C38" s="24"/>
      <c r="D38" s="24"/>
      <c r="E38" s="24"/>
    </row>
    <row r="39" spans="2:14">
      <c r="B39" s="760" t="s">
        <v>1700</v>
      </c>
      <c r="C39" s="767">
        <f>'T-1'!G76</f>
        <v>0.92932847030704879</v>
      </c>
      <c r="D39" s="768">
        <f>'T-1'!N76</f>
        <v>0.97199999999999998</v>
      </c>
      <c r="E39" s="768">
        <f>'T-1'!S76</f>
        <v>0.99</v>
      </c>
    </row>
    <row r="40" spans="2:14">
      <c r="B40" s="760" t="s">
        <v>1701</v>
      </c>
      <c r="C40" s="767">
        <f>1-(1-C37)*C39</f>
        <v>0.26599350076029249</v>
      </c>
      <c r="D40" s="767">
        <f>1-(1-D37)*D39</f>
        <v>0.2041453658536585</v>
      </c>
      <c r="E40" s="767">
        <f>1-(1-E37)*E39</f>
        <v>0.18928281234531263</v>
      </c>
    </row>
    <row r="41" spans="2:14" ht="13.5" thickBot="1">
      <c r="E41" s="107"/>
    </row>
    <row r="42" spans="2:14" ht="13.5" thickBot="1">
      <c r="B42" s="770"/>
      <c r="C42" s="771" t="s">
        <v>41</v>
      </c>
      <c r="D42" s="1959" t="s">
        <v>1703</v>
      </c>
      <c r="E42" s="1959"/>
      <c r="F42" s="1959"/>
      <c r="G42" s="1959"/>
      <c r="H42" s="743" t="s">
        <v>2136</v>
      </c>
    </row>
    <row r="43" spans="2:14" ht="52.5" customHeight="1" thickTop="1">
      <c r="B43" s="772" t="s">
        <v>389</v>
      </c>
      <c r="C43" s="1043" t="s">
        <v>2131</v>
      </c>
      <c r="D43" s="1044" t="s">
        <v>1704</v>
      </c>
      <c r="E43" s="1045" t="s">
        <v>2132</v>
      </c>
      <c r="F43" s="1045" t="s">
        <v>2133</v>
      </c>
      <c r="G43" s="1045" t="s">
        <v>2134</v>
      </c>
      <c r="H43" s="1046" t="s">
        <v>2135</v>
      </c>
    </row>
    <row r="44" spans="2:14">
      <c r="B44" s="98" t="s">
        <v>1705</v>
      </c>
      <c r="C44" s="79">
        <f>'T-1'!G73</f>
        <v>9313.2066041351354</v>
      </c>
      <c r="D44" s="78">
        <f>Sheet2!C5</f>
        <v>9300</v>
      </c>
      <c r="E44" s="78">
        <f>'F-4'!E48</f>
        <v>6346.5334769000001</v>
      </c>
      <c r="F44" s="79">
        <f>summary!L5</f>
        <v>5953.4665230999999</v>
      </c>
      <c r="G44" s="78">
        <f>'T-1'!N73</f>
        <v>12300</v>
      </c>
      <c r="H44" s="78">
        <f>'T-1'!S73</f>
        <v>12800</v>
      </c>
    </row>
    <row r="45" spans="2:14">
      <c r="B45" s="98" t="s">
        <v>1706</v>
      </c>
      <c r="C45" s="78">
        <f>'T-1'!G72</f>
        <v>7355.7998001920314</v>
      </c>
      <c r="D45" s="78">
        <f>Sheet2!C12</f>
        <v>7477.2</v>
      </c>
      <c r="E45" s="78">
        <f>'T-1'!K72</f>
        <v>4817.4833339082707</v>
      </c>
      <c r="F45" s="79">
        <f>summary!L12</f>
        <v>5253.5157260917322</v>
      </c>
      <c r="G45" s="78">
        <f>'T-1'!N72</f>
        <v>10071.000000000002</v>
      </c>
      <c r="H45" s="78">
        <f>'T-1'!S72</f>
        <v>10482.000001999999</v>
      </c>
      <c r="J45" s="4"/>
    </row>
    <row r="46" spans="2:14" ht="15.75">
      <c r="B46" s="98" t="s">
        <v>614</v>
      </c>
      <c r="C46" s="466">
        <f t="shared" ref="C46:H46" si="0">(C44-C45)/C44</f>
        <v>0.21017538718340043</v>
      </c>
      <c r="D46" s="466">
        <f>(D44-D45)/D44</f>
        <v>0.19600000000000001</v>
      </c>
      <c r="E46" s="466">
        <f>(E44-E45)/E44</f>
        <v>0.24092682226559411</v>
      </c>
      <c r="F46" s="466">
        <f>(F44-F45)/F44</f>
        <v>0.11757029191184565</v>
      </c>
      <c r="G46" s="466">
        <f>(G44-G45)/G44</f>
        <v>0.18121951219512181</v>
      </c>
      <c r="H46" s="466">
        <f t="shared" si="0"/>
        <v>0.1810937498437501</v>
      </c>
      <c r="N46" s="707"/>
    </row>
    <row r="47" spans="2:14" ht="15.75">
      <c r="B47" s="98" t="s">
        <v>1700</v>
      </c>
      <c r="C47" s="323">
        <f>C39</f>
        <v>0.92932847030704879</v>
      </c>
      <c r="D47" s="323">
        <v>0.99</v>
      </c>
      <c r="E47" s="323">
        <f>'T-1'!K76</f>
        <v>0.94642487429461031</v>
      </c>
      <c r="F47" s="323">
        <f>summary!L37</f>
        <v>0.94931978954530738</v>
      </c>
      <c r="G47" s="323">
        <f>'T-1'!N76</f>
        <v>0.97199999999999998</v>
      </c>
      <c r="H47" s="323">
        <f>'T-1'!S76</f>
        <v>0.99</v>
      </c>
      <c r="N47" s="708"/>
    </row>
    <row r="48" spans="2:14" ht="16.5" thickBot="1">
      <c r="B48" s="773" t="s">
        <v>1707</v>
      </c>
      <c r="C48" s="1047">
        <f t="shared" ref="C48:H48" si="1">1-(1-C46)*C47</f>
        <v>0.26599350076029249</v>
      </c>
      <c r="D48" s="1047">
        <f>1-(1-D46)*D47</f>
        <v>0.20404</v>
      </c>
      <c r="E48" s="1047">
        <f>1-(1-E46)*E47</f>
        <v>0.28159426318230452</v>
      </c>
      <c r="F48" s="1047">
        <f>1-(1-F46)*F47</f>
        <v>0.16229201522922632</v>
      </c>
      <c r="G48" s="1047">
        <f>1-(1-G46)*G47</f>
        <v>0.20414536585365839</v>
      </c>
      <c r="H48" s="1047">
        <f t="shared" si="1"/>
        <v>0.18928281234531263</v>
      </c>
      <c r="N48" s="708"/>
    </row>
    <row r="49" spans="2:14" ht="15.75">
      <c r="B49" s="81"/>
      <c r="C49" s="81"/>
      <c r="D49" s="81"/>
      <c r="E49" s="81"/>
      <c r="F49" s="81"/>
      <c r="G49" s="81"/>
      <c r="H49" s="81"/>
      <c r="N49" s="708"/>
    </row>
    <row r="50" spans="2:14" ht="25.5">
      <c r="B50" s="769" t="s">
        <v>389</v>
      </c>
      <c r="C50" s="769" t="s">
        <v>2131</v>
      </c>
      <c r="D50" s="769" t="s">
        <v>1704</v>
      </c>
      <c r="E50" s="769" t="s">
        <v>2132</v>
      </c>
      <c r="F50" s="769" t="s">
        <v>2133</v>
      </c>
      <c r="G50" s="769" t="s">
        <v>2134</v>
      </c>
      <c r="H50" s="769" t="s">
        <v>2135</v>
      </c>
      <c r="N50" s="709"/>
    </row>
    <row r="51" spans="2:14" ht="15.75">
      <c r="B51" s="774" t="s">
        <v>1708</v>
      </c>
      <c r="C51" s="774"/>
      <c r="D51" s="774"/>
      <c r="E51" s="774"/>
      <c r="F51" s="774"/>
      <c r="G51" s="774"/>
      <c r="H51" s="774"/>
      <c r="N51" s="709"/>
    </row>
    <row r="52" spans="2:14" ht="15.75">
      <c r="B52" s="774" t="s">
        <v>45</v>
      </c>
      <c r="C52" s="775">
        <f>'T-6'!J37</f>
        <v>479.91390992958662</v>
      </c>
      <c r="D52" s="775">
        <f>Sheet2!C17</f>
        <v>459.13264142335771</v>
      </c>
      <c r="E52" s="775">
        <f>'T-6 (six mth)'!J38</f>
        <v>482.78929521125201</v>
      </c>
      <c r="F52" s="775">
        <f>('T-7 (Curr)'!Z35)</f>
        <v>532.52795139771411</v>
      </c>
      <c r="G52" s="775">
        <f>(('T-6 (six mth)'!I38+'T-7 (Curr)'!AL35)/('T-6 (six mth)'!H38+'T-7 (Curr)'!D35))*10</f>
        <v>507.22863040021826</v>
      </c>
      <c r="H52" s="775">
        <f>'T-8'!AY34</f>
        <v>530.44353231666389</v>
      </c>
      <c r="L52" s="9"/>
      <c r="N52" s="708"/>
    </row>
    <row r="53" spans="2:14" ht="15.75">
      <c r="B53" s="774" t="s">
        <v>77</v>
      </c>
      <c r="C53" s="775">
        <f>'T-6'!J54</f>
        <v>630.14913961870195</v>
      </c>
      <c r="D53" s="775">
        <f>Sheet2!C18</f>
        <v>616.26701570680632</v>
      </c>
      <c r="E53" s="775">
        <f>'T-6 (six mth)'!J56</f>
        <v>622.25883611372421</v>
      </c>
      <c r="F53" s="775">
        <f>('T-7 (Curr)'!Z53)</f>
        <v>604.06411885741602</v>
      </c>
      <c r="G53" s="775">
        <f>(('T-6 (six mth)'!I56+'T-7 (Curr)'!AL53)/('T-6 (six mth)'!H56+'T-7 (Curr)'!D53))*10</f>
        <v>613.1436570455536</v>
      </c>
      <c r="H53" s="775">
        <f>'T-8'!AY53</f>
        <v>614.59247793431109</v>
      </c>
      <c r="L53" s="9"/>
      <c r="N53" s="710"/>
    </row>
    <row r="54" spans="2:14">
      <c r="B54" s="774" t="s">
        <v>91</v>
      </c>
      <c r="C54" s="775">
        <f>'T-6'!J66</f>
        <v>687.97958403722919</v>
      </c>
      <c r="D54" s="775">
        <f>Sheet2!C19</f>
        <v>646.66990291262141</v>
      </c>
      <c r="E54" s="775">
        <f>'T-6 (six mth)'!J69</f>
        <v>652.77652591775325</v>
      </c>
      <c r="F54" s="775">
        <f>('T-7 (Curr)'!Z66)</f>
        <v>553.04771618315885</v>
      </c>
      <c r="G54" s="775">
        <f>(('T-6 (six mth)'!I69+'T-7 (Curr)'!AL66)/('T-6 (six mth)'!H69+'T-7 (Curr)'!D66))*10</f>
        <v>595.01723822380654</v>
      </c>
      <c r="H54" s="775">
        <f>'T-8'!AY66</f>
        <v>605.16925429892854</v>
      </c>
      <c r="L54" s="9"/>
    </row>
    <row r="55" spans="2:14" ht="18">
      <c r="B55" s="776" t="s">
        <v>147</v>
      </c>
      <c r="C55" s="777">
        <f>'T-6'!J67</f>
        <v>592.25830025861899</v>
      </c>
      <c r="D55" s="778">
        <f>Sheet2!C20</f>
        <v>550.93885411651422</v>
      </c>
      <c r="E55" s="778">
        <f>'T-6 (six mth)'!J70</f>
        <v>587.53022128545342</v>
      </c>
      <c r="F55" s="779">
        <f>('T-7 (Curr)'!Z67)</f>
        <v>557.35690169606426</v>
      </c>
      <c r="G55" s="777">
        <f>(('T-6 (six mth)'!I70+'T-7 (Curr)'!AL67)/('T-6 (six mth)'!H70+'T-7 (Curr)'!D67))*10</f>
        <v>572.08775395371413</v>
      </c>
      <c r="H55" s="777">
        <f>'T-8'!AY67</f>
        <v>589.16921348423216</v>
      </c>
      <c r="L55" s="9"/>
    </row>
    <row r="56" spans="2:14" ht="102.75" customHeight="1">
      <c r="B56" s="1890" t="s">
        <v>1709</v>
      </c>
      <c r="C56" s="1891"/>
      <c r="D56" s="1891"/>
      <c r="E56" s="1891"/>
      <c r="F56" s="1891"/>
      <c r="G56" s="1891"/>
      <c r="H56" s="1891"/>
    </row>
    <row r="57" spans="2:14">
      <c r="C57" s="454"/>
      <c r="D57" s="454"/>
      <c r="E57" s="454"/>
      <c r="F57" s="454"/>
      <c r="H57" s="454"/>
    </row>
    <row r="58" spans="2:14">
      <c r="B58" s="1295"/>
      <c r="C58" s="775" t="s">
        <v>855</v>
      </c>
      <c r="D58" s="775" t="s">
        <v>856</v>
      </c>
      <c r="E58" s="775" t="s">
        <v>147</v>
      </c>
      <c r="F58" s="9"/>
      <c r="H58" s="9"/>
    </row>
    <row r="59" spans="2:14">
      <c r="B59" s="23" t="s">
        <v>2336</v>
      </c>
      <c r="C59" s="29">
        <f>148+478</f>
        <v>626</v>
      </c>
      <c r="D59" s="29">
        <f>7+1821</f>
        <v>1828</v>
      </c>
      <c r="E59" s="29">
        <f>SUM(C59:D59)</f>
        <v>2454</v>
      </c>
    </row>
    <row r="60" spans="2:14">
      <c r="B60" s="23" t="s">
        <v>2337</v>
      </c>
      <c r="C60" s="29">
        <f>291</f>
        <v>291</v>
      </c>
      <c r="D60" s="29">
        <f>98</f>
        <v>98</v>
      </c>
      <c r="E60" s="29">
        <f>SUM(C60:D60)</f>
        <v>389</v>
      </c>
    </row>
    <row r="61" spans="2:14" ht="25.5">
      <c r="B61" s="1273" t="s">
        <v>2338</v>
      </c>
      <c r="C61" s="29">
        <v>35</v>
      </c>
      <c r="D61" s="29">
        <v>173</v>
      </c>
      <c r="E61" s="29">
        <f>SUM(C61:D61)</f>
        <v>208</v>
      </c>
    </row>
    <row r="62" spans="2:14">
      <c r="B62" s="1296" t="s">
        <v>2339</v>
      </c>
      <c r="C62" s="1297">
        <f>C59+C60-C61</f>
        <v>882</v>
      </c>
      <c r="D62" s="1297">
        <f t="shared" ref="D62:E62" si="2">D59+D60-D61</f>
        <v>1753</v>
      </c>
      <c r="E62" s="1297">
        <f t="shared" si="2"/>
        <v>2635</v>
      </c>
    </row>
    <row r="63" spans="2:14">
      <c r="B63" s="23" t="s">
        <v>2340</v>
      </c>
      <c r="C63" s="29">
        <f>606+0</f>
        <v>606</v>
      </c>
      <c r="D63" s="29">
        <v>87</v>
      </c>
      <c r="E63" s="29">
        <f>SUM(C63:D63)</f>
        <v>693</v>
      </c>
    </row>
    <row r="64" spans="2:14" ht="25.5">
      <c r="B64" s="1273" t="s">
        <v>2341</v>
      </c>
      <c r="C64" s="29">
        <f>26+5</f>
        <v>31</v>
      </c>
      <c r="D64" s="29">
        <f>5+104</f>
        <v>109</v>
      </c>
      <c r="E64" s="29">
        <f>SUM(C64:D64)</f>
        <v>140</v>
      </c>
    </row>
    <row r="65" spans="2:5">
      <c r="B65" s="1296" t="s">
        <v>2342</v>
      </c>
      <c r="C65" s="1297">
        <f>C62+C63-C64</f>
        <v>1457</v>
      </c>
      <c r="D65" s="1297">
        <f t="shared" ref="D65" si="3">D62+D63-D64</f>
        <v>1731</v>
      </c>
      <c r="E65" s="1297">
        <f>SUM(C65:D65)</f>
        <v>3188</v>
      </c>
    </row>
    <row r="66" spans="2:5">
      <c r="B66" s="23" t="s">
        <v>2343</v>
      </c>
      <c r="C66" s="29">
        <f>647</f>
        <v>647</v>
      </c>
      <c r="D66" s="29">
        <v>114</v>
      </c>
      <c r="E66" s="29">
        <f>SUM(C66:D66)</f>
        <v>761</v>
      </c>
    </row>
    <row r="67" spans="2:5" ht="25.5">
      <c r="B67" s="1273" t="s">
        <v>2344</v>
      </c>
      <c r="C67" s="29">
        <f>4</f>
        <v>4</v>
      </c>
      <c r="D67" s="29">
        <v>84</v>
      </c>
      <c r="E67" s="29">
        <f>SUM(C67:D67)</f>
        <v>88</v>
      </c>
    </row>
    <row r="68" spans="2:5">
      <c r="B68" s="1296" t="s">
        <v>2345</v>
      </c>
      <c r="C68" s="1297">
        <f>C65+C66-C67</f>
        <v>2100</v>
      </c>
      <c r="D68" s="1297">
        <f t="shared" ref="D68:E68" si="4">D65+D66-D67</f>
        <v>1761</v>
      </c>
      <c r="E68" s="1297">
        <f t="shared" si="4"/>
        <v>3861</v>
      </c>
    </row>
  </sheetData>
  <mergeCells count="2">
    <mergeCell ref="D42:G42"/>
    <mergeCell ref="B56:H56"/>
  </mergeCells>
  <phoneticPr fontId="0" type="noConversion"/>
  <printOptions horizontalCentered="1" gridLines="1"/>
  <pageMargins left="0.23622047244094491" right="0" top="0" bottom="0.23622047244094491" header="0" footer="0"/>
  <pageSetup paperSize="9" scale="73" orientation="landscape" r:id="rId1"/>
  <headerFooter alignWithMargins="0">
    <oddHeader xml:space="preserve">&amp;C&amp;"Arial,Bold"&amp;12
</oddHead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76">
    <tabColor rgb="FFFFFF00"/>
  </sheetPr>
  <dimension ref="A1:O54"/>
  <sheetViews>
    <sheetView topLeftCell="A28" workbookViewId="0">
      <selection activeCell="C37" sqref="C37"/>
    </sheetView>
  </sheetViews>
  <sheetFormatPr defaultRowHeight="12.75"/>
  <cols>
    <col min="1" max="1" width="3.85546875" customWidth="1"/>
    <col min="2" max="2" width="23.28515625" bestFit="1" customWidth="1"/>
    <col min="3" max="3" width="12.5703125" bestFit="1" customWidth="1"/>
    <col min="4" max="4" width="12.7109375" customWidth="1"/>
    <col min="5" max="5" width="11.85546875" bestFit="1" customWidth="1"/>
    <col min="7" max="7" width="9.7109375" bestFit="1" customWidth="1"/>
    <col min="11" max="11" width="32" bestFit="1" customWidth="1"/>
    <col min="12" max="12" width="13.28515625" customWidth="1"/>
    <col min="13" max="13" width="10.7109375" bestFit="1" customWidth="1"/>
    <col min="14" max="14" width="9.5703125" bestFit="1" customWidth="1"/>
  </cols>
  <sheetData>
    <row r="1" spans="1:15">
      <c r="A1" s="2" t="s">
        <v>389</v>
      </c>
    </row>
    <row r="2" spans="1:15">
      <c r="A2" s="2" t="s">
        <v>1974</v>
      </c>
    </row>
    <row r="3" spans="1:15">
      <c r="E3" t="s">
        <v>1710</v>
      </c>
    </row>
    <row r="4" spans="1:15" ht="26.25" customHeight="1" thickBot="1">
      <c r="A4" s="17"/>
      <c r="B4" s="311" t="s">
        <v>634</v>
      </c>
      <c r="C4" s="922" t="s">
        <v>1975</v>
      </c>
      <c r="D4" s="311" t="s">
        <v>1976</v>
      </c>
      <c r="E4" s="311" t="s">
        <v>1711</v>
      </c>
    </row>
    <row r="5" spans="1:15" ht="13.5" thickTop="1">
      <c r="B5" t="s">
        <v>104</v>
      </c>
      <c r="C5" s="923">
        <v>9300</v>
      </c>
      <c r="D5" s="4">
        <f>'T-1'!N73</f>
        <v>12300</v>
      </c>
      <c r="E5" s="4">
        <f>C5-D5</f>
        <v>-3000</v>
      </c>
    </row>
    <row r="6" spans="1:15">
      <c r="C6" s="346">
        <f>C32/C5/10</f>
        <v>3.8817956989247313</v>
      </c>
      <c r="D6" s="346">
        <f>D32/D5/10</f>
        <v>3.9505924473681295</v>
      </c>
      <c r="E6" s="4"/>
    </row>
    <row r="7" spans="1:15">
      <c r="B7" t="s">
        <v>101</v>
      </c>
      <c r="C7" s="4"/>
      <c r="D7" s="4"/>
      <c r="E7" s="4"/>
    </row>
    <row r="8" spans="1:15">
      <c r="B8" t="s">
        <v>45</v>
      </c>
      <c r="C8" s="923">
        <v>3507.2</v>
      </c>
      <c r="D8" s="4">
        <f>'T-1'!N38</f>
        <v>3085.0000000000005</v>
      </c>
      <c r="E8" s="4">
        <f t="shared" ref="E8:E14" si="0">C8-D8</f>
        <v>422.19999999999936</v>
      </c>
      <c r="G8" s="4"/>
    </row>
    <row r="9" spans="1:15">
      <c r="B9" t="s">
        <v>77</v>
      </c>
      <c r="C9" s="923">
        <v>1910</v>
      </c>
      <c r="D9" s="4">
        <f>'T-1'!N57</f>
        <v>2025</v>
      </c>
      <c r="E9" s="4">
        <f t="shared" si="0"/>
        <v>-115</v>
      </c>
    </row>
    <row r="10" spans="1:15">
      <c r="B10" t="s">
        <v>1697</v>
      </c>
      <c r="C10" s="221">
        <f>C9+C8</f>
        <v>5417.2</v>
      </c>
      <c r="D10" s="221">
        <f>D9+D8</f>
        <v>5110</v>
      </c>
      <c r="E10" s="221">
        <f>E9+E8</f>
        <v>307.19999999999936</v>
      </c>
    </row>
    <row r="11" spans="1:15">
      <c r="B11" t="s">
        <v>91</v>
      </c>
      <c r="C11" s="923">
        <v>2060</v>
      </c>
      <c r="D11" s="4">
        <f>'T-1'!N70</f>
        <v>4961.0000000000009</v>
      </c>
      <c r="E11" s="4">
        <f t="shared" si="0"/>
        <v>-2901.0000000000009</v>
      </c>
    </row>
    <row r="12" spans="1:15">
      <c r="B12" t="s">
        <v>147</v>
      </c>
      <c r="C12" s="221">
        <f>C11+C10</f>
        <v>7477.2</v>
      </c>
      <c r="D12" s="221">
        <f>D11+D10</f>
        <v>10071</v>
      </c>
      <c r="E12" s="221">
        <f t="shared" si="0"/>
        <v>-2593.8000000000002</v>
      </c>
    </row>
    <row r="13" spans="1:15" ht="15">
      <c r="B13" s="506" t="s">
        <v>1712</v>
      </c>
      <c r="C13" s="310">
        <f>(C5-C12)/C5</f>
        <v>0.19600000000000001</v>
      </c>
      <c r="D13" s="310">
        <f>(D5-D12)/D5</f>
        <v>0.18121951219512195</v>
      </c>
      <c r="E13" s="310">
        <f t="shared" si="0"/>
        <v>1.4780487804878062E-2</v>
      </c>
      <c r="G13" s="4"/>
      <c r="K13" s="1960"/>
      <c r="L13" s="660"/>
      <c r="M13" s="1961"/>
      <c r="N13" s="1961"/>
      <c r="O13" s="1961"/>
    </row>
    <row r="14" spans="1:15" ht="15">
      <c r="B14" s="506" t="s">
        <v>1713</v>
      </c>
      <c r="C14" s="310">
        <f>((C5-C11)-C10)/(C5-C11)</f>
        <v>0.251767955801105</v>
      </c>
      <c r="D14" s="310">
        <f>((D5-D11)-D10)/(D5-D11)</f>
        <v>0.3037198528409864</v>
      </c>
      <c r="E14" s="310">
        <f t="shared" si="0"/>
        <v>-5.1951897039881401E-2</v>
      </c>
      <c r="K14" s="1960"/>
      <c r="L14" s="660"/>
      <c r="M14" s="1961"/>
      <c r="N14" s="1961"/>
      <c r="O14" s="1961"/>
    </row>
    <row r="15" spans="1:15" ht="14.25">
      <c r="C15" s="310"/>
      <c r="D15" s="310"/>
      <c r="E15" s="310"/>
      <c r="K15" s="347"/>
      <c r="L15" s="348"/>
      <c r="M15" s="349"/>
      <c r="N15" s="349"/>
      <c r="O15" s="350"/>
    </row>
    <row r="16" spans="1:15" ht="14.25">
      <c r="B16" s="2" t="s">
        <v>1714</v>
      </c>
      <c r="K16" s="347"/>
      <c r="L16" s="348"/>
      <c r="M16" s="351"/>
      <c r="N16" s="351"/>
      <c r="O16" s="352"/>
    </row>
    <row r="17" spans="2:15" ht="14.25">
      <c r="B17" t="s">
        <v>45</v>
      </c>
      <c r="C17" s="9">
        <f>C22/C8*10</f>
        <v>459.13264142335771</v>
      </c>
      <c r="D17" s="9">
        <f>D22/D8*10</f>
        <v>246.5370424752588</v>
      </c>
      <c r="E17" s="9">
        <f>D17-C17</f>
        <v>-212.59559894809891</v>
      </c>
      <c r="K17" s="347"/>
      <c r="L17" s="348"/>
      <c r="M17" s="351"/>
      <c r="N17" s="351"/>
      <c r="O17" s="350"/>
    </row>
    <row r="18" spans="2:15" ht="14.25">
      <c r="B18" t="s">
        <v>77</v>
      </c>
      <c r="C18" s="9">
        <f>C23/C9*10</f>
        <v>616.26701570680632</v>
      </c>
      <c r="D18" s="9">
        <f>D23/D9*10</f>
        <v>305.74934382501743</v>
      </c>
      <c r="E18" s="9">
        <f>D18-C18</f>
        <v>-310.51767188178889</v>
      </c>
      <c r="K18" s="347"/>
      <c r="L18" s="348"/>
      <c r="M18" s="351"/>
      <c r="N18" s="351"/>
      <c r="O18" s="352"/>
    </row>
    <row r="19" spans="2:15" ht="15" thickBot="1">
      <c r="B19" t="s">
        <v>91</v>
      </c>
      <c r="C19" s="9">
        <f>C24/C11*10</f>
        <v>646.66990291262141</v>
      </c>
      <c r="D19" s="9">
        <f>D24/D11*10</f>
        <v>326.89493209990013</v>
      </c>
      <c r="E19" s="9">
        <f>D19-C19</f>
        <v>-319.77497081272128</v>
      </c>
      <c r="K19" s="347"/>
      <c r="L19" s="348"/>
      <c r="M19" s="351"/>
      <c r="N19" s="351"/>
      <c r="O19" s="352"/>
    </row>
    <row r="20" spans="2:15" ht="18.75" thickBot="1">
      <c r="B20" t="s">
        <v>147</v>
      </c>
      <c r="C20" s="212">
        <f>C25/C12*10</f>
        <v>550.93885411651422</v>
      </c>
      <c r="D20" s="212">
        <f>D25/D12*10</f>
        <v>298.02750029087861</v>
      </c>
      <c r="E20" s="212">
        <f>D20-C20</f>
        <v>-252.91135382563562</v>
      </c>
      <c r="K20" s="802"/>
      <c r="L20" s="348"/>
      <c r="M20" s="351"/>
      <c r="N20" s="351"/>
      <c r="O20" s="352"/>
    </row>
    <row r="21" spans="2:15" ht="18.75" thickBot="1">
      <c r="B21" s="2" t="s">
        <v>1715</v>
      </c>
      <c r="K21" s="802"/>
      <c r="L21" s="348"/>
      <c r="M21" s="661"/>
      <c r="N21" s="661"/>
      <c r="O21" s="662"/>
    </row>
    <row r="22" spans="2:15" ht="24" thickBot="1">
      <c r="B22" t="s">
        <v>45</v>
      </c>
      <c r="C22" s="910">
        <v>161027</v>
      </c>
      <c r="D22" s="7">
        <f>'T-7 (Curr)'!AL35-'T-7 (Curr)'!AI35</f>
        <v>76056.677603617354</v>
      </c>
      <c r="E22" s="7">
        <f>C22-D22</f>
        <v>84970.322396382646</v>
      </c>
      <c r="G22" s="7"/>
      <c r="K22" s="803"/>
      <c r="L22" s="664"/>
      <c r="M22" s="661"/>
      <c r="N22" s="661"/>
      <c r="O22" s="661"/>
    </row>
    <row r="23" spans="2:15" ht="18.75" thickBot="1">
      <c r="B23" t="s">
        <v>77</v>
      </c>
      <c r="C23" s="910">
        <v>117707</v>
      </c>
      <c r="D23" s="7">
        <f>'T-7 (Curr)'!AL53-'T-7 (Curr)'!AI53</f>
        <v>61914.242124566023</v>
      </c>
      <c r="E23" s="7">
        <f>C23-D23</f>
        <v>55792.757875433977</v>
      </c>
      <c r="F23" s="7"/>
      <c r="G23" s="7"/>
      <c r="K23" s="804">
        <v>409.49</v>
      </c>
      <c r="L23" s="348"/>
      <c r="M23" s="349"/>
      <c r="N23" s="349"/>
      <c r="O23" s="350"/>
    </row>
    <row r="24" spans="2:15" ht="18.75" thickBot="1">
      <c r="B24" t="s">
        <v>91</v>
      </c>
      <c r="C24" s="910">
        <v>133214</v>
      </c>
      <c r="D24" s="7">
        <f>'T-7 (Curr)'!AL66-'T-7 (Curr)'!AI66</f>
        <v>162172.57581476049</v>
      </c>
      <c r="E24" s="7">
        <f>C24-D24</f>
        <v>-28958.575814760494</v>
      </c>
      <c r="K24" s="804">
        <v>160</v>
      </c>
      <c r="L24" s="348"/>
      <c r="M24" s="353"/>
      <c r="N24" s="353"/>
      <c r="O24" s="350"/>
    </row>
    <row r="25" spans="2:15" ht="18.75" thickBot="1">
      <c r="B25" t="s">
        <v>147</v>
      </c>
      <c r="C25" s="12">
        <f>SUM(C22:C24)</f>
        <v>411948</v>
      </c>
      <c r="D25" s="12">
        <f>SUM(D22:D24)</f>
        <v>300143.49554294383</v>
      </c>
      <c r="E25" s="12">
        <f>SUM(E22:E24)</f>
        <v>111804.50445705614</v>
      </c>
      <c r="K25" s="804">
        <v>103.39</v>
      </c>
      <c r="L25" s="348"/>
      <c r="M25" s="351"/>
      <c r="N25" s="351"/>
      <c r="O25" s="352"/>
    </row>
    <row r="26" spans="2:15" ht="18.75" thickBot="1">
      <c r="C26" s="7"/>
      <c r="D26" s="7"/>
      <c r="E26" s="7"/>
      <c r="K26" s="804">
        <v>27.42</v>
      </c>
      <c r="L26" s="348"/>
      <c r="M26" s="351"/>
      <c r="N26" s="351"/>
      <c r="O26" s="352"/>
    </row>
    <row r="27" spans="2:15" ht="18.75" thickBot="1">
      <c r="B27" t="s">
        <v>386</v>
      </c>
      <c r="C27" s="910">
        <v>26769</v>
      </c>
      <c r="D27" s="7">
        <f>'F-22'!C8+'F-22'!C9</f>
        <v>53609.166554662806</v>
      </c>
      <c r="E27" s="7">
        <f>C27-D27</f>
        <v>-26840.166554662806</v>
      </c>
      <c r="K27" s="804">
        <v>36.24</v>
      </c>
      <c r="L27" s="348"/>
      <c r="M27" s="351"/>
      <c r="N27" s="351"/>
      <c r="O27" s="352"/>
    </row>
    <row r="28" spans="2:15" ht="18.75" thickBot="1">
      <c r="B28" t="s">
        <v>255</v>
      </c>
      <c r="C28" s="12">
        <f>C27+C25</f>
        <v>438717</v>
      </c>
      <c r="D28" s="12">
        <f>D27+D25</f>
        <v>353752.66209760663</v>
      </c>
      <c r="E28" s="12">
        <f>E27+E25</f>
        <v>84964.337902393338</v>
      </c>
      <c r="K28" s="804">
        <v>34.369999999999997</v>
      </c>
      <c r="L28" s="348"/>
      <c r="M28" s="661"/>
      <c r="N28" s="661"/>
      <c r="O28" s="662"/>
    </row>
    <row r="29" spans="2:15" ht="24" thickBot="1">
      <c r="C29" s="12"/>
      <c r="D29" s="12"/>
      <c r="E29" s="12"/>
      <c r="K29" s="803"/>
      <c r="L29" s="348"/>
      <c r="M29" s="351"/>
      <c r="N29" s="351"/>
      <c r="O29" s="662"/>
    </row>
    <row r="30" spans="2:15" ht="18.75" thickBot="1">
      <c r="C30" s="7"/>
      <c r="D30" s="7"/>
      <c r="E30" s="7"/>
      <c r="K30" s="804">
        <v>48</v>
      </c>
      <c r="L30" s="348"/>
      <c r="M30" s="351"/>
      <c r="N30" s="351"/>
      <c r="O30" s="352"/>
    </row>
    <row r="31" spans="2:15" ht="14.25">
      <c r="B31" s="2" t="s">
        <v>1716</v>
      </c>
      <c r="C31" s="7"/>
      <c r="D31" s="7"/>
      <c r="E31" s="7"/>
      <c r="K31" s="347"/>
      <c r="L31" s="348"/>
      <c r="M31" s="351"/>
      <c r="N31" s="351"/>
      <c r="O31" s="352"/>
    </row>
    <row r="32" spans="2:15" ht="15">
      <c r="B32" t="s">
        <v>676</v>
      </c>
      <c r="C32" s="910">
        <v>361007</v>
      </c>
      <c r="D32" s="7">
        <f>'F-22'!C12</f>
        <v>485922.87102627999</v>
      </c>
      <c r="E32" s="7">
        <f t="shared" ref="E32:E44" si="1">C32-D32</f>
        <v>-124915.87102627999</v>
      </c>
      <c r="F32">
        <f>C32/100</f>
        <v>3610.07</v>
      </c>
      <c r="K32" s="663"/>
      <c r="L32" s="664"/>
      <c r="M32" s="665"/>
      <c r="N32" s="665"/>
      <c r="O32" s="661"/>
    </row>
    <row r="33" spans="2:6">
      <c r="B33" t="s">
        <v>1717</v>
      </c>
      <c r="C33" s="910">
        <v>47483</v>
      </c>
      <c r="D33" s="7">
        <f>'F-12'!W33</f>
        <v>58368.022321780569</v>
      </c>
      <c r="E33" s="7">
        <f t="shared" si="1"/>
        <v>-10885.022321780569</v>
      </c>
      <c r="F33">
        <f t="shared" ref="F33:F46" si="2">C33/100</f>
        <v>474.83</v>
      </c>
    </row>
    <row r="34" spans="2:6">
      <c r="B34" t="s">
        <v>1034</v>
      </c>
      <c r="C34" s="910">
        <v>11039</v>
      </c>
      <c r="D34" s="7">
        <f>'F-14'!F66</f>
        <v>17375.903063534577</v>
      </c>
      <c r="E34" s="7">
        <f t="shared" si="1"/>
        <v>-6336.9030635345771</v>
      </c>
      <c r="F34">
        <f t="shared" si="2"/>
        <v>110.39</v>
      </c>
    </row>
    <row r="35" spans="2:6">
      <c r="B35" t="s">
        <v>1261</v>
      </c>
      <c r="C35" s="910">
        <v>15603</v>
      </c>
      <c r="D35" s="7">
        <f>'F-13'!E16</f>
        <v>30235.604208343204</v>
      </c>
      <c r="E35" s="7">
        <f t="shared" si="1"/>
        <v>-14632.604208343204</v>
      </c>
      <c r="F35">
        <f t="shared" si="2"/>
        <v>156.03</v>
      </c>
    </row>
    <row r="36" spans="2:6">
      <c r="B36" t="s">
        <v>1718</v>
      </c>
      <c r="C36" s="910">
        <v>2787</v>
      </c>
      <c r="D36" s="7">
        <f>'F-6'!L15</f>
        <v>5831.8520046395488</v>
      </c>
      <c r="E36" s="7">
        <f t="shared" si="1"/>
        <v>-3044.8520046395488</v>
      </c>
      <c r="F36">
        <f t="shared" si="2"/>
        <v>27.87</v>
      </c>
    </row>
    <row r="37" spans="2:6">
      <c r="B37" t="s">
        <v>1719</v>
      </c>
      <c r="C37" s="910">
        <v>4652</v>
      </c>
      <c r="D37" s="7">
        <f>'F-22'!C15</f>
        <v>3790.1740655555832</v>
      </c>
      <c r="E37" s="7">
        <f t="shared" si="1"/>
        <v>861.82593444441682</v>
      </c>
      <c r="F37">
        <f t="shared" si="2"/>
        <v>46.52</v>
      </c>
    </row>
    <row r="38" spans="2:6">
      <c r="B38" t="s">
        <v>1720</v>
      </c>
      <c r="C38" s="910">
        <v>4450</v>
      </c>
      <c r="D38" s="7">
        <f ca="1">'F-22'!C19</f>
        <v>11156.053270117805</v>
      </c>
      <c r="E38" s="7">
        <f t="shared" ca="1" si="1"/>
        <v>-6706.0532701178054</v>
      </c>
      <c r="F38">
        <f t="shared" si="2"/>
        <v>44.5</v>
      </c>
    </row>
    <row r="39" spans="2:6">
      <c r="B39" t="s">
        <v>946</v>
      </c>
      <c r="C39" s="12">
        <f>SUM(C32:C38)</f>
        <v>447021</v>
      </c>
      <c r="D39" s="12">
        <f ca="1">SUM(D32:D38)</f>
        <v>612680.47996025125</v>
      </c>
      <c r="E39" s="12">
        <f ca="1">SUM(E32:E38)</f>
        <v>-165659.47996025128</v>
      </c>
      <c r="F39">
        <f t="shared" si="2"/>
        <v>4470.21</v>
      </c>
    </row>
    <row r="40" spans="2:6">
      <c r="B40" t="s">
        <v>1721</v>
      </c>
      <c r="C40" s="910">
        <v>2118</v>
      </c>
      <c r="D40" s="7">
        <f>'F-12'!W34</f>
        <v>1896.8374600012612</v>
      </c>
      <c r="E40" s="7">
        <f t="shared" si="1"/>
        <v>221.16253999873879</v>
      </c>
      <c r="F40">
        <f t="shared" si="2"/>
        <v>21.18</v>
      </c>
    </row>
    <row r="41" spans="2:6">
      <c r="B41" t="s">
        <v>1722</v>
      </c>
      <c r="C41" s="12">
        <f>C39-C40</f>
        <v>444903</v>
      </c>
      <c r="D41" s="12">
        <f ca="1">D39-D40</f>
        <v>610783.64250025002</v>
      </c>
      <c r="E41" s="12">
        <f ca="1">E39-E40</f>
        <v>-165880.64250025002</v>
      </c>
      <c r="F41">
        <f t="shared" si="2"/>
        <v>4449.03</v>
      </c>
    </row>
    <row r="42" spans="2:6">
      <c r="B42" t="s">
        <v>1723</v>
      </c>
      <c r="C42" s="910">
        <v>4800</v>
      </c>
      <c r="D42" s="7">
        <v>4800</v>
      </c>
      <c r="E42" s="7">
        <f t="shared" si="1"/>
        <v>0</v>
      </c>
      <c r="F42">
        <f t="shared" si="2"/>
        <v>48</v>
      </c>
    </row>
    <row r="43" spans="2:6">
      <c r="B43" s="506" t="s">
        <v>1977</v>
      </c>
      <c r="C43" s="910">
        <v>15000</v>
      </c>
      <c r="D43" s="7"/>
      <c r="E43" s="7"/>
      <c r="F43">
        <f t="shared" si="2"/>
        <v>150</v>
      </c>
    </row>
    <row r="44" spans="2:6">
      <c r="B44" t="s">
        <v>1724</v>
      </c>
      <c r="C44" s="910">
        <v>0</v>
      </c>
      <c r="D44" s="7">
        <f>'F-22'!C27</f>
        <v>0</v>
      </c>
      <c r="E44" s="7">
        <f t="shared" si="1"/>
        <v>0</v>
      </c>
      <c r="F44">
        <f t="shared" si="2"/>
        <v>0</v>
      </c>
    </row>
    <row r="45" spans="2:6">
      <c r="B45" t="s">
        <v>1725</v>
      </c>
      <c r="C45" s="12">
        <f>C41+C42+C44-C43</f>
        <v>434703</v>
      </c>
      <c r="D45" s="12">
        <f ca="1">D41+D42+D44</f>
        <v>615583.64250025002</v>
      </c>
      <c r="E45" s="12">
        <f ca="1">E41+E42+E44</f>
        <v>-165880.64250025002</v>
      </c>
      <c r="F45">
        <f t="shared" si="2"/>
        <v>4347.03</v>
      </c>
    </row>
    <row r="46" spans="2:6">
      <c r="B46" t="s">
        <v>1726</v>
      </c>
      <c r="C46" s="7">
        <f>C28-C45</f>
        <v>4014</v>
      </c>
      <c r="D46" s="7">
        <f ca="1">D28-D45</f>
        <v>-261830.98040264338</v>
      </c>
      <c r="E46" s="7">
        <f ca="1">C46-D46</f>
        <v>265844.98040264338</v>
      </c>
      <c r="F46">
        <f t="shared" si="2"/>
        <v>40.14</v>
      </c>
    </row>
    <row r="47" spans="2:6">
      <c r="C47" s="7"/>
      <c r="D47" s="7"/>
      <c r="E47" s="7"/>
    </row>
    <row r="48" spans="2:6">
      <c r="D48" s="7"/>
    </row>
    <row r="49" spans="2:5">
      <c r="B49" t="s">
        <v>1727</v>
      </c>
    </row>
    <row r="50" spans="2:5">
      <c r="B50" t="s">
        <v>1728</v>
      </c>
      <c r="C50" s="337">
        <f>C28-C24</f>
        <v>305503</v>
      </c>
      <c r="D50" s="337">
        <f>D28-D24</f>
        <v>191580.08628284614</v>
      </c>
      <c r="E50" s="337">
        <f>D50-C50</f>
        <v>-113922.91371715386</v>
      </c>
    </row>
    <row r="51" spans="2:5">
      <c r="B51" t="s">
        <v>1729</v>
      </c>
      <c r="C51" s="337">
        <f>C45-(C11*C6*10)</f>
        <v>354738.00860215054</v>
      </c>
      <c r="D51" s="337">
        <f ca="1">D45-(D11*D6*10)</f>
        <v>419594.75118631707</v>
      </c>
      <c r="E51" s="337">
        <f ca="1">D51-C51</f>
        <v>64856.742584166524</v>
      </c>
    </row>
    <row r="52" spans="2:5">
      <c r="C52" s="337">
        <f>C50-C51</f>
        <v>-49235.008602150541</v>
      </c>
      <c r="D52" s="337">
        <f ca="1">D50-D51</f>
        <v>-228014.66490347093</v>
      </c>
      <c r="E52" s="337">
        <f ca="1">D52-C52</f>
        <v>-178779.65630132038</v>
      </c>
    </row>
    <row r="53" spans="2:5">
      <c r="B53" t="s">
        <v>1730</v>
      </c>
      <c r="C53" s="337">
        <f>(C11*(C19-C6*100))/10</f>
        <v>53249.008602150541</v>
      </c>
      <c r="D53" s="337">
        <f>(D11*(D19-D6*100))/10</f>
        <v>-33816.315499172459</v>
      </c>
      <c r="E53" s="337">
        <f>D53-C53</f>
        <v>-87065.324101323</v>
      </c>
    </row>
    <row r="54" spans="2:5">
      <c r="B54" t="s">
        <v>1731</v>
      </c>
      <c r="C54" s="337">
        <f>C52+C53</f>
        <v>4014</v>
      </c>
      <c r="D54" s="337">
        <f ca="1">D52+D53</f>
        <v>-261830.98040264338</v>
      </c>
      <c r="E54" s="337">
        <f ca="1">D54-C54</f>
        <v>-265844.98040264338</v>
      </c>
    </row>
  </sheetData>
  <mergeCells count="4">
    <mergeCell ref="K13:K14"/>
    <mergeCell ref="M13:M14"/>
    <mergeCell ref="N13:N14"/>
    <mergeCell ref="O13:O14"/>
  </mergeCells>
  <phoneticPr fontId="0" type="noConversion"/>
  <printOptions horizontalCentered="1" gridLines="1"/>
  <pageMargins left="0.25" right="0" top="0.75" bottom="0.75" header="0" footer="0"/>
  <pageSetup paperSize="9" scale="115" orientation="portrait"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80"/>
  <dimension ref="A1:AI42"/>
  <sheetViews>
    <sheetView workbookViewId="0">
      <selection activeCell="A2" sqref="A2:E22"/>
    </sheetView>
  </sheetViews>
  <sheetFormatPr defaultRowHeight="12.75"/>
  <cols>
    <col min="1" max="1" width="27.28515625" customWidth="1"/>
    <col min="2" max="2" width="12.5703125" customWidth="1"/>
    <col min="3" max="3" width="13.85546875" customWidth="1"/>
    <col min="4" max="4" width="14.7109375" bestFit="1" customWidth="1"/>
    <col min="5" max="5" width="13.7109375" bestFit="1" customWidth="1"/>
  </cols>
  <sheetData>
    <row r="1" spans="1:7" ht="13.5" thickBot="1">
      <c r="A1" s="2" t="s">
        <v>1774</v>
      </c>
      <c r="B1" s="2"/>
      <c r="C1" s="2"/>
      <c r="D1" s="2"/>
      <c r="E1" s="2"/>
    </row>
    <row r="2" spans="1:7" ht="15">
      <c r="A2" s="1963"/>
      <c r="B2" s="666" t="s">
        <v>1371</v>
      </c>
      <c r="C2" s="1965" t="s">
        <v>1775</v>
      </c>
      <c r="D2" s="1965" t="s">
        <v>1776</v>
      </c>
      <c r="E2" s="1965" t="s">
        <v>1711</v>
      </c>
    </row>
    <row r="3" spans="1:7" ht="15.75" thickBot="1">
      <c r="A3" s="1964" t="s">
        <v>1777</v>
      </c>
      <c r="B3" s="667" t="s">
        <v>286</v>
      </c>
      <c r="C3" s="1966">
        <v>4260</v>
      </c>
      <c r="D3" s="1966">
        <f>'T-1'!N72</f>
        <v>10071.000000000002</v>
      </c>
      <c r="E3" s="1966">
        <f t="shared" ref="E3:E9" si="0">+C3-D3</f>
        <v>-5811.0000000000018</v>
      </c>
    </row>
    <row r="4" spans="1:7" s="10" customFormat="1" ht="15" thickBot="1">
      <c r="A4" s="361" t="s">
        <v>1777</v>
      </c>
      <c r="B4" s="362" t="s">
        <v>286</v>
      </c>
      <c r="C4" s="387">
        <f>summary!D12</f>
        <v>7477.2</v>
      </c>
      <c r="D4" s="387">
        <f>'T-1'!N72</f>
        <v>10071.000000000002</v>
      </c>
      <c r="E4" s="387">
        <f>C4-D4</f>
        <v>-2593.800000000002</v>
      </c>
      <c r="F4" s="506"/>
      <c r="G4" s="506"/>
    </row>
    <row r="5" spans="1:7" ht="15" thickBot="1">
      <c r="A5" s="360" t="s">
        <v>1778</v>
      </c>
      <c r="B5" s="359" t="s">
        <v>1779</v>
      </c>
      <c r="C5" s="388">
        <f>C6/C4*10</f>
        <v>5.5093885411651407</v>
      </c>
      <c r="D5" s="388">
        <f>'T-7 (Curr)'!Z67/100</f>
        <v>5.5735690169606427</v>
      </c>
      <c r="E5" s="389">
        <f t="shared" si="0"/>
        <v>-6.4180475795502012E-2</v>
      </c>
    </row>
    <row r="6" spans="1:7" ht="15" thickBot="1">
      <c r="A6" s="356" t="s">
        <v>1780</v>
      </c>
      <c r="B6" s="339" t="s">
        <v>1781</v>
      </c>
      <c r="C6" s="408">
        <f>summary!D23/100</f>
        <v>4119.4799999999996</v>
      </c>
      <c r="D6" s="408">
        <f>'F-22'!C6/100+'F-22'!C7/100</f>
        <v>5831.8520046395479</v>
      </c>
      <c r="E6" s="389">
        <f t="shared" si="0"/>
        <v>-1712.3720046395483</v>
      </c>
    </row>
    <row r="7" spans="1:7" ht="15" thickBot="1">
      <c r="A7" s="356" t="s">
        <v>1782</v>
      </c>
      <c r="B7" s="339" t="s">
        <v>1781</v>
      </c>
      <c r="C7" s="408">
        <f>Sheet2!C36/100</f>
        <v>27.87</v>
      </c>
      <c r="D7" s="408">
        <f>'F-6'!L15/100</f>
        <v>58.318520046395491</v>
      </c>
      <c r="E7" s="389">
        <f t="shared" si="0"/>
        <v>-30.44852004639549</v>
      </c>
    </row>
    <row r="8" spans="1:7" ht="15" thickBot="1">
      <c r="A8" s="356" t="s">
        <v>1783</v>
      </c>
      <c r="B8" s="339" t="s">
        <v>1781</v>
      </c>
      <c r="C8" s="408">
        <f>+C6-C7</f>
        <v>4091.6099999999997</v>
      </c>
      <c r="D8" s="408">
        <f>+D6-D7</f>
        <v>5773.533484593152</v>
      </c>
      <c r="E8" s="408">
        <f t="shared" si="0"/>
        <v>-1681.9234845931524</v>
      </c>
    </row>
    <row r="9" spans="1:7" ht="15" thickBot="1">
      <c r="A9" s="356" t="s">
        <v>386</v>
      </c>
      <c r="B9" s="339" t="s">
        <v>1781</v>
      </c>
      <c r="C9" s="389">
        <f>Sheet2!C27/100</f>
        <v>267.69</v>
      </c>
      <c r="D9" s="389">
        <f>'F-6'!L33/100</f>
        <v>536.09166554662806</v>
      </c>
      <c r="E9" s="389">
        <f t="shared" si="0"/>
        <v>-268.40166554662807</v>
      </c>
    </row>
    <row r="10" spans="1:7" ht="15.75" thickBot="1">
      <c r="A10" s="668" t="s">
        <v>1784</v>
      </c>
      <c r="B10" s="669" t="s">
        <v>1781</v>
      </c>
      <c r="C10" s="670">
        <f>+C8+C9</f>
        <v>4359.2999999999993</v>
      </c>
      <c r="D10" s="670">
        <f>+D8+D9</f>
        <v>6309.6251501397801</v>
      </c>
      <c r="E10" s="671">
        <f>+E8+E9</f>
        <v>-1950.3251501397804</v>
      </c>
    </row>
    <row r="11" spans="1:7" ht="15" thickBot="1">
      <c r="A11" s="360" t="s">
        <v>1696</v>
      </c>
      <c r="B11" s="359" t="s">
        <v>387</v>
      </c>
      <c r="C11" s="390">
        <f>+(C12-C4)/C12</f>
        <v>0.19600000000000001</v>
      </c>
      <c r="D11" s="390">
        <f>+(D12-D4)/D12</f>
        <v>0.18121951219512181</v>
      </c>
      <c r="E11" s="390">
        <f>D11-C11</f>
        <v>-1.4780487804878201E-2</v>
      </c>
    </row>
    <row r="12" spans="1:7" ht="15" thickBot="1">
      <c r="A12" s="360" t="s">
        <v>1785</v>
      </c>
      <c r="B12" s="359" t="s">
        <v>286</v>
      </c>
      <c r="C12" s="391">
        <f>Sheet2!C5</f>
        <v>9300</v>
      </c>
      <c r="D12" s="391">
        <f>'T-1'!N73</f>
        <v>12300</v>
      </c>
      <c r="E12" s="391">
        <f>+C12-D12</f>
        <v>-3000</v>
      </c>
    </row>
    <row r="13" spans="1:7" ht="15" thickBot="1">
      <c r="A13" s="360" t="s">
        <v>1786</v>
      </c>
      <c r="B13" s="359" t="s">
        <v>1779</v>
      </c>
      <c r="C13" s="388">
        <f>C15/C12*10</f>
        <v>3.8817956989247318</v>
      </c>
      <c r="D13" s="388">
        <f>D15/D12*10</f>
        <v>3.9505924473681295</v>
      </c>
      <c r="E13" s="388">
        <f t="shared" ref="E13:E21" si="1">+C13-D13</f>
        <v>-6.8796748443397782E-2</v>
      </c>
      <c r="F13" s="345"/>
      <c r="G13" s="345"/>
    </row>
    <row r="14" spans="1:7" ht="6" customHeight="1" thickBot="1">
      <c r="A14" s="360"/>
      <c r="B14" s="359"/>
      <c r="C14" s="388"/>
      <c r="D14" s="388"/>
      <c r="E14" s="388"/>
      <c r="F14" s="345"/>
      <c r="G14" s="345"/>
    </row>
    <row r="15" spans="1:7" ht="15" thickBot="1">
      <c r="A15" s="356" t="s">
        <v>676</v>
      </c>
      <c r="B15" s="339" t="s">
        <v>1781</v>
      </c>
      <c r="C15" s="408">
        <f>Sheet2!C32/100</f>
        <v>3610.07</v>
      </c>
      <c r="D15" s="408">
        <f>'F-6'!L9/100</f>
        <v>4859.2287102627997</v>
      </c>
      <c r="E15" s="389">
        <f t="shared" si="1"/>
        <v>-1249.1587102627996</v>
      </c>
    </row>
    <row r="16" spans="1:7" ht="15" thickBot="1">
      <c r="A16" s="356" t="s">
        <v>1787</v>
      </c>
      <c r="B16" s="339" t="s">
        <v>1781</v>
      </c>
      <c r="C16" s="389">
        <f>(Sheet2!C33+Sheet2!C34+Sheet2!C35-Sheet2!C40)/100</f>
        <v>720.07</v>
      </c>
      <c r="D16" s="389">
        <f ca="1">('F-6'!L12+'F-6'!L13+'F-6'!L14-'F-6'!L23-'F-6'!L24+'F-6'!L21)/100</f>
        <v>1061.2511853668441</v>
      </c>
      <c r="E16" s="389">
        <f t="shared" ca="1" si="1"/>
        <v>-341.18118536684403</v>
      </c>
    </row>
    <row r="17" spans="1:35" ht="15" thickBot="1">
      <c r="A17" s="356" t="s">
        <v>1788</v>
      </c>
      <c r="B17" s="339" t="s">
        <v>1781</v>
      </c>
      <c r="C17" s="389">
        <f>Sheet2!C38/100</f>
        <v>44.5</v>
      </c>
      <c r="D17" s="389">
        <f ca="1">('F-6'!L17+'F-6'!L18+'F-6'!L19+'F-6'!L22)/100</f>
        <v>79.72986049725057</v>
      </c>
      <c r="E17" s="389">
        <f t="shared" ca="1" si="1"/>
        <v>-35.22986049725057</v>
      </c>
    </row>
    <row r="18" spans="1:35" ht="15" thickBot="1">
      <c r="A18" s="356" t="s">
        <v>730</v>
      </c>
      <c r="B18" s="339" t="s">
        <v>1781</v>
      </c>
      <c r="C18" s="389">
        <f>Sheet2!C37/100</f>
        <v>46.52</v>
      </c>
      <c r="D18" s="389">
        <f>'F-6'!L16/100</f>
        <v>37.901740655555834</v>
      </c>
      <c r="E18" s="389">
        <f t="shared" si="1"/>
        <v>8.6182593444441693</v>
      </c>
    </row>
    <row r="19" spans="1:35" s="2" customFormat="1" ht="15.75" thickBot="1">
      <c r="A19" s="668" t="s">
        <v>1789</v>
      </c>
      <c r="B19" s="669" t="s">
        <v>1781</v>
      </c>
      <c r="C19" s="670">
        <f>+C15+C16+C17+C18</f>
        <v>4421.1600000000008</v>
      </c>
      <c r="D19" s="670">
        <f ca="1">+D15+D16+D17+D18</f>
        <v>6038.1114967824496</v>
      </c>
      <c r="E19" s="671">
        <f t="shared" ca="1" si="1"/>
        <v>-1616.9514967824489</v>
      </c>
    </row>
    <row r="20" spans="1:35" ht="15" thickBot="1">
      <c r="A20" s="358" t="s">
        <v>2412</v>
      </c>
      <c r="B20" s="339" t="s">
        <v>1781</v>
      </c>
      <c r="C20" s="389">
        <v>150</v>
      </c>
      <c r="D20" s="389">
        <f>'F-22'!C27/100</f>
        <v>0</v>
      </c>
      <c r="E20" s="389">
        <f t="shared" si="1"/>
        <v>150</v>
      </c>
    </row>
    <row r="21" spans="1:35" ht="15" thickBot="1">
      <c r="A21" s="358" t="s">
        <v>1790</v>
      </c>
      <c r="B21" s="339" t="s">
        <v>1781</v>
      </c>
      <c r="C21" s="389">
        <f>Sheet2!C42/100</f>
        <v>48</v>
      </c>
      <c r="D21" s="389">
        <f ca="1">('F-6'!L20)/100</f>
        <v>82.485924841900143</v>
      </c>
      <c r="E21" s="392">
        <f t="shared" ca="1" si="1"/>
        <v>-34.485924841900143</v>
      </c>
    </row>
    <row r="22" spans="1:35" s="357" customFormat="1" ht="17.25" customHeight="1" thickBot="1">
      <c r="A22" s="668" t="s">
        <v>1791</v>
      </c>
      <c r="B22" s="672" t="s">
        <v>1781</v>
      </c>
      <c r="C22" s="673">
        <f>C10-C19+C20-C21</f>
        <v>40.139999999998508</v>
      </c>
      <c r="D22" s="673">
        <f ca="1">D10-D19-D20-D21</f>
        <v>189.02772851543028</v>
      </c>
      <c r="E22" s="674">
        <f ca="1">C22-D22</f>
        <v>-148.88772851543177</v>
      </c>
      <c r="F22" s="675"/>
      <c r="G22" s="675"/>
      <c r="H22" s="675"/>
      <c r="I22" s="675"/>
      <c r="J22" s="675"/>
      <c r="K22" s="675"/>
      <c r="L22" s="675"/>
      <c r="M22" s="675"/>
      <c r="N22" s="675"/>
      <c r="O22" s="675"/>
      <c r="P22" s="675"/>
      <c r="Q22" s="675"/>
      <c r="R22" s="675"/>
      <c r="S22" s="675"/>
      <c r="T22" s="675"/>
      <c r="U22" s="675"/>
      <c r="V22" s="675"/>
      <c r="W22" s="675"/>
      <c r="X22" s="675"/>
      <c r="Y22" s="675"/>
      <c r="Z22" s="675"/>
      <c r="AA22" s="675"/>
      <c r="AB22" s="675"/>
      <c r="AC22" s="675"/>
      <c r="AD22" s="675"/>
      <c r="AE22" s="675"/>
      <c r="AF22" s="675"/>
      <c r="AG22" s="675"/>
      <c r="AH22" s="675"/>
      <c r="AI22" s="675"/>
    </row>
    <row r="24" spans="1:35">
      <c r="C24" s="1359"/>
      <c r="D24" s="7"/>
    </row>
    <row r="27" spans="1:35">
      <c r="B27" s="1962" t="s">
        <v>1792</v>
      </c>
      <c r="C27" s="1962"/>
      <c r="D27" s="1962"/>
      <c r="E27" s="1962"/>
    </row>
    <row r="28" spans="1:35" ht="45">
      <c r="B28" s="676" t="s">
        <v>1793</v>
      </c>
      <c r="C28" s="677" t="s">
        <v>1794</v>
      </c>
      <c r="D28" s="677" t="s">
        <v>1795</v>
      </c>
      <c r="E28" s="677" t="s">
        <v>1796</v>
      </c>
    </row>
    <row r="29" spans="1:35" ht="15">
      <c r="B29" s="678" t="s">
        <v>1797</v>
      </c>
      <c r="C29" s="678">
        <v>473.44</v>
      </c>
      <c r="D29" s="678">
        <v>412.13</v>
      </c>
      <c r="E29" s="395">
        <f>D29-C29</f>
        <v>-61.31</v>
      </c>
    </row>
    <row r="30" spans="1:35" ht="15">
      <c r="B30" s="678" t="s">
        <v>1639</v>
      </c>
      <c r="C30" s="678">
        <v>562.92999999999995</v>
      </c>
      <c r="D30" s="678">
        <v>452.63</v>
      </c>
      <c r="E30" s="395">
        <f t="shared" ref="E30:E42" si="2">D30-C30</f>
        <v>-110.29999999999995</v>
      </c>
    </row>
    <row r="31" spans="1:35" ht="15">
      <c r="B31" s="678" t="s">
        <v>1640</v>
      </c>
      <c r="C31" s="678">
        <v>618.49</v>
      </c>
      <c r="D31" s="678">
        <v>489.44</v>
      </c>
      <c r="E31" s="395">
        <f t="shared" si="2"/>
        <v>-129.05000000000001</v>
      </c>
    </row>
    <row r="32" spans="1:35" ht="15">
      <c r="B32" s="678" t="s">
        <v>1641</v>
      </c>
      <c r="C32" s="678">
        <v>653.89</v>
      </c>
      <c r="D32" s="678">
        <v>601.94000000000005</v>
      </c>
      <c r="E32" s="395">
        <f t="shared" si="2"/>
        <v>-51.949999999999932</v>
      </c>
    </row>
    <row r="33" spans="2:5" ht="15">
      <c r="B33" s="678" t="s">
        <v>1642</v>
      </c>
      <c r="C33" s="678">
        <v>697.18</v>
      </c>
      <c r="D33" s="678">
        <v>652.41</v>
      </c>
      <c r="E33" s="395">
        <f t="shared" si="2"/>
        <v>-44.769999999999982</v>
      </c>
    </row>
    <row r="34" spans="2:5" ht="15">
      <c r="B34" s="678" t="s">
        <v>1643</v>
      </c>
      <c r="C34" s="678">
        <v>760.5</v>
      </c>
      <c r="D34" s="678">
        <v>730.94</v>
      </c>
      <c r="E34" s="395">
        <f t="shared" si="2"/>
        <v>-29.559999999999945</v>
      </c>
    </row>
    <row r="35" spans="2:5" ht="15">
      <c r="B35" s="678" t="s">
        <v>1644</v>
      </c>
      <c r="C35" s="678">
        <v>809.26</v>
      </c>
      <c r="D35" s="678">
        <v>786.75</v>
      </c>
      <c r="E35" s="395">
        <f t="shared" si="2"/>
        <v>-22.509999999999991</v>
      </c>
    </row>
    <row r="36" spans="2:5" ht="15">
      <c r="B36" s="678" t="s">
        <v>1633</v>
      </c>
      <c r="C36" s="678">
        <v>875.68</v>
      </c>
      <c r="D36" s="678">
        <v>907.82</v>
      </c>
      <c r="E36" s="395">
        <f t="shared" si="2"/>
        <v>32.1400000000001</v>
      </c>
    </row>
    <row r="37" spans="2:5" ht="15">
      <c r="B37" s="678" t="s">
        <v>1635</v>
      </c>
      <c r="C37" s="678">
        <v>1132.6600000000001</v>
      </c>
      <c r="D37" s="678">
        <v>1083.51</v>
      </c>
      <c r="E37" s="395">
        <f t="shared" si="2"/>
        <v>-49.150000000000091</v>
      </c>
    </row>
    <row r="38" spans="2:5" ht="15">
      <c r="B38" s="678" t="s">
        <v>1637</v>
      </c>
      <c r="C38" s="678">
        <v>1544.14</v>
      </c>
      <c r="D38" s="678">
        <v>1557.01</v>
      </c>
      <c r="E38" s="395">
        <f t="shared" si="2"/>
        <v>12.869999999999891</v>
      </c>
    </row>
    <row r="39" spans="2:5" ht="15">
      <c r="B39" s="678" t="s">
        <v>1798</v>
      </c>
      <c r="C39" s="678">
        <v>1388.93</v>
      </c>
      <c r="D39" s="678">
        <v>1361.33</v>
      </c>
      <c r="E39" s="395">
        <f t="shared" si="2"/>
        <v>-27.600000000000136</v>
      </c>
    </row>
    <row r="40" spans="2:5" ht="15">
      <c r="B40" s="678" t="s">
        <v>1799</v>
      </c>
      <c r="C40" s="678">
        <f>1397.55+284.97+14.14+44.73+2.31-4.15</f>
        <v>1739.55</v>
      </c>
      <c r="D40" s="678">
        <v>1699.6</v>
      </c>
      <c r="E40" s="395">
        <f t="shared" si="2"/>
        <v>-39.950000000000045</v>
      </c>
    </row>
    <row r="41" spans="2:5" ht="15">
      <c r="B41" s="678" t="s">
        <v>1800</v>
      </c>
      <c r="D41" s="678"/>
      <c r="E41" s="395"/>
    </row>
    <row r="42" spans="2:5" ht="15">
      <c r="B42" s="679" t="s">
        <v>147</v>
      </c>
      <c r="C42" s="680">
        <f>SUM(C29:C41)</f>
        <v>11256.65</v>
      </c>
      <c r="D42" s="680">
        <f>SUM(D29:D41)</f>
        <v>10735.51</v>
      </c>
      <c r="E42" s="396">
        <f t="shared" si="2"/>
        <v>-521.13999999999942</v>
      </c>
    </row>
  </sheetData>
  <mergeCells count="5">
    <mergeCell ref="B27:E27"/>
    <mergeCell ref="A2:A3"/>
    <mergeCell ref="C2:C3"/>
    <mergeCell ref="D2:D3"/>
    <mergeCell ref="E2:E3"/>
  </mergeCells>
  <phoneticPr fontId="57" type="noConversion"/>
  <printOptions horizontalCentered="1"/>
  <pageMargins left="0.5" right="0.25" top="0.75" bottom="0.25" header="0" footer="0"/>
  <pageSetup paperSize="9" scale="110" orientation="portrait"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77"/>
  <dimension ref="A1:F22"/>
  <sheetViews>
    <sheetView zoomScale="110" zoomScaleNormal="110" workbookViewId="0">
      <selection activeCell="C8" sqref="C8"/>
    </sheetView>
  </sheetViews>
  <sheetFormatPr defaultRowHeight="12.75"/>
  <cols>
    <col min="1" max="1" width="51.140625" bestFit="1" customWidth="1"/>
    <col min="2" max="3" width="9.7109375" bestFit="1" customWidth="1"/>
    <col min="4" max="4" width="12.140625" bestFit="1" customWidth="1"/>
  </cols>
  <sheetData>
    <row r="1" spans="1:6" ht="18">
      <c r="A1" s="1967" t="s">
        <v>2140</v>
      </c>
      <c r="B1" s="1968"/>
      <c r="C1" s="1968"/>
      <c r="D1" s="1969"/>
    </row>
    <row r="2" spans="1:6" ht="15.75">
      <c r="A2" s="94"/>
      <c r="D2" s="456" t="s">
        <v>1732</v>
      </c>
    </row>
    <row r="3" spans="1:6" ht="15.75">
      <c r="A3" s="335" t="s">
        <v>1733</v>
      </c>
      <c r="B3" s="341" t="s">
        <v>1734</v>
      </c>
      <c r="C3" s="341" t="s">
        <v>1735</v>
      </c>
      <c r="D3" s="373" t="s">
        <v>2141</v>
      </c>
    </row>
    <row r="4" spans="1:6">
      <c r="A4" s="94"/>
      <c r="D4" s="90"/>
    </row>
    <row r="5" spans="1:6">
      <c r="A5" s="94" t="s">
        <v>1736</v>
      </c>
      <c r="B5" s="7">
        <f>'F-22'!B12/100</f>
        <v>3333.6576999979206</v>
      </c>
      <c r="C5" s="7">
        <f>'F-22'!C12/100+'F-22'!C13/100</f>
        <v>4859.2287102627997</v>
      </c>
      <c r="D5" s="93">
        <f>'F-22'!D12/100</f>
        <v>5100.0671600000005</v>
      </c>
    </row>
    <row r="6" spans="1:6">
      <c r="A6" s="94" t="s">
        <v>1737</v>
      </c>
      <c r="B6" s="7">
        <f>'F-22'!B14/100+'F-22'!B22/100-'F-22'!B25/100</f>
        <v>800.47445701400216</v>
      </c>
      <c r="C6" s="7">
        <f ca="1">'F-22'!C14/100+'F-22'!C22/100</f>
        <v>1126.8906068015233</v>
      </c>
      <c r="D6" s="93">
        <f ca="1">'F-22'!D14/100+'F-22'!D22/100</f>
        <v>1321.6726378129167</v>
      </c>
    </row>
    <row r="7" spans="1:6">
      <c r="A7" s="94" t="s">
        <v>1738</v>
      </c>
      <c r="B7" s="7">
        <f>'F-22'!B15/100</f>
        <v>24.452570470999991</v>
      </c>
      <c r="C7" s="7">
        <f>'F-22'!C15/100</f>
        <v>37.901740655555834</v>
      </c>
      <c r="D7" s="93">
        <f ca="1">'F-22'!D15/100</f>
        <v>97.062046700311043</v>
      </c>
    </row>
    <row r="8" spans="1:6">
      <c r="A8" s="94" t="s">
        <v>1739</v>
      </c>
      <c r="B8" s="7">
        <f>'F-22'!B19/100</f>
        <v>38.292756400000002</v>
      </c>
      <c r="C8" s="7">
        <f ca="1">'F-22'!C19/100</f>
        <v>111.56053270117805</v>
      </c>
      <c r="D8" s="93">
        <f ca="1">'F-22'!D19/100</f>
        <v>164.03198841437757</v>
      </c>
    </row>
    <row r="9" spans="1:6">
      <c r="A9" s="94" t="s">
        <v>1740</v>
      </c>
      <c r="B9" s="7"/>
      <c r="C9" s="7">
        <v>0</v>
      </c>
      <c r="D9" s="93">
        <f>'F-6'!P27/100</f>
        <v>0</v>
      </c>
    </row>
    <row r="10" spans="1:6">
      <c r="A10" s="725" t="s">
        <v>1741</v>
      </c>
      <c r="B10" s="7"/>
      <c r="C10" s="7"/>
      <c r="D10" s="93">
        <f ca="1">'F-6'!P28/100</f>
        <v>-714.55220626323364</v>
      </c>
    </row>
    <row r="11" spans="1:6">
      <c r="A11" s="94" t="s">
        <v>1742</v>
      </c>
      <c r="B11" s="7"/>
      <c r="C11" s="7">
        <f ca="1">'F-22'!C27/100+'F-6'!L20/100</f>
        <v>82.485924841900143</v>
      </c>
      <c r="D11" s="93">
        <f ca="1">'F-22'!D27/100+'F-6'!P20/100</f>
        <v>109.44288984158993</v>
      </c>
      <c r="E11" s="7"/>
    </row>
    <row r="12" spans="1:6">
      <c r="A12" s="94"/>
      <c r="B12" s="7"/>
      <c r="C12" s="7"/>
      <c r="D12" s="93"/>
    </row>
    <row r="13" spans="1:6">
      <c r="A13" s="94" t="s">
        <v>1743</v>
      </c>
      <c r="B13" s="12">
        <f>SUM(B5:B12)</f>
        <v>4196.8774838829231</v>
      </c>
      <c r="C13" s="12">
        <f ca="1">SUM(C5:C12)</f>
        <v>6218.0675152629565</v>
      </c>
      <c r="D13" s="95">
        <f ca="1">SUM(D5:D12)</f>
        <v>6077.7245165059621</v>
      </c>
    </row>
    <row r="14" spans="1:6">
      <c r="A14" s="94" t="s">
        <v>1744</v>
      </c>
      <c r="B14" s="76">
        <f>-('F-22'!B8+'F-22'!B9)/100</f>
        <v>-460.63692871399996</v>
      </c>
      <c r="C14" s="76">
        <f>-('F-22'!C8+'F-22'!C9)/100</f>
        <v>-536.09166554662806</v>
      </c>
      <c r="D14" s="334">
        <f>-('F-22'!D8+'F-22'!D9)/100</f>
        <v>-289.33400493333335</v>
      </c>
      <c r="F14" s="7">
        <f ca="1">D13-143-98-7.78</f>
        <v>5828.9445165059624</v>
      </c>
    </row>
    <row r="15" spans="1:6">
      <c r="A15" s="94" t="s">
        <v>1745</v>
      </c>
      <c r="B15" s="76">
        <f>-'F-22'!B23/100</f>
        <v>599.78994031863715</v>
      </c>
      <c r="C15" s="76"/>
      <c r="D15" s="334"/>
      <c r="F15">
        <f>2973+143+98+7.78</f>
        <v>3221.78</v>
      </c>
    </row>
    <row r="16" spans="1:6">
      <c r="A16" s="94" t="s">
        <v>1746</v>
      </c>
      <c r="B16" s="7">
        <f>B13+B14+B15</f>
        <v>4336.0304954875601</v>
      </c>
      <c r="C16" s="7">
        <f ca="1">C13+C14</f>
        <v>5681.9758497163284</v>
      </c>
      <c r="D16" s="93">
        <f ca="1">D13+D14</f>
        <v>5788.3905115726284</v>
      </c>
    </row>
    <row r="17" spans="1:4">
      <c r="A17" s="94" t="s">
        <v>1747</v>
      </c>
      <c r="B17" s="7">
        <f>'F-22'!B6/100</f>
        <v>4142.3408642189997</v>
      </c>
      <c r="C17" s="7">
        <f>'F-22'!C6/100+'F-22'!C7/100</f>
        <v>5831.8520046395479</v>
      </c>
      <c r="D17" s="93">
        <f>'F-22'!D6/100</f>
        <v>4796.823828129206</v>
      </c>
    </row>
    <row r="18" spans="1:4" ht="13.5" thickBot="1">
      <c r="A18" s="96" t="s">
        <v>1748</v>
      </c>
      <c r="B18" s="406">
        <f>B17-B16</f>
        <v>-193.68963126856033</v>
      </c>
      <c r="C18" s="406">
        <f ca="1">C17-C16</f>
        <v>149.87615492321947</v>
      </c>
      <c r="D18" s="407">
        <f ca="1">D17-D16</f>
        <v>-991.56668344342233</v>
      </c>
    </row>
    <row r="20" spans="1:4">
      <c r="C20" s="7"/>
    </row>
    <row r="22" spans="1:4">
      <c r="C22" s="7"/>
    </row>
  </sheetData>
  <mergeCells count="1">
    <mergeCell ref="A1:D1"/>
  </mergeCells>
  <phoneticPr fontId="0" type="noConversion"/>
  <printOptions horizontalCentered="1" gridLines="1"/>
  <pageMargins left="0.25" right="0" top="0.75" bottom="0.5" header="0" footer="0"/>
  <pageSetup paperSize="9" scale="136" orientation="landscape" verticalDpi="300"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78"/>
  <dimension ref="A1:I33"/>
  <sheetViews>
    <sheetView topLeftCell="A7" workbookViewId="0">
      <selection activeCell="D11" sqref="D11"/>
    </sheetView>
  </sheetViews>
  <sheetFormatPr defaultRowHeight="12.75"/>
  <cols>
    <col min="1" max="1" width="5" customWidth="1"/>
    <col min="2" max="2" width="33.7109375" customWidth="1"/>
    <col min="3" max="3" width="10.140625" customWidth="1"/>
    <col min="4" max="4" width="10.28515625" customWidth="1"/>
    <col min="5" max="5" width="11.140625" customWidth="1"/>
    <col min="6" max="6" width="10" bestFit="1" customWidth="1"/>
  </cols>
  <sheetData>
    <row r="1" spans="1:8">
      <c r="B1" s="2" t="s">
        <v>389</v>
      </c>
    </row>
    <row r="2" spans="1:8" ht="15.75">
      <c r="A2" s="124" t="s">
        <v>109</v>
      </c>
      <c r="B2" s="5" t="s">
        <v>1749</v>
      </c>
    </row>
    <row r="3" spans="1:8" ht="34.5" thickBot="1">
      <c r="A3" s="315"/>
      <c r="B3" s="315"/>
      <c r="C3" s="322" t="s">
        <v>2086</v>
      </c>
      <c r="D3" s="322" t="s">
        <v>1750</v>
      </c>
      <c r="E3" s="322" t="s">
        <v>1751</v>
      </c>
      <c r="F3" s="322" t="s">
        <v>1752</v>
      </c>
      <c r="G3" s="314"/>
    </row>
    <row r="4" spans="1:8" ht="13.5" thickTop="1"/>
    <row r="5" spans="1:8">
      <c r="B5" t="s">
        <v>1753</v>
      </c>
    </row>
    <row r="6" spans="1:8">
      <c r="A6">
        <v>1</v>
      </c>
      <c r="B6" t="s">
        <v>1754</v>
      </c>
      <c r="C6" s="9">
        <f>'T-1'!G73</f>
        <v>9313.2066041351354</v>
      </c>
      <c r="D6" s="9">
        <f>Sheet2!C5</f>
        <v>9300</v>
      </c>
      <c r="E6" s="9">
        <f>'T-1'!N73</f>
        <v>12300</v>
      </c>
      <c r="F6" s="9">
        <f>'T-1'!S73</f>
        <v>12800</v>
      </c>
    </row>
    <row r="7" spans="1:8">
      <c r="A7">
        <v>2</v>
      </c>
      <c r="B7" t="s">
        <v>1755</v>
      </c>
      <c r="C7" s="7">
        <f>(3.04+3.226)/2+0.25+0.00154</f>
        <v>3.3845399999999999</v>
      </c>
      <c r="D7" s="7">
        <f>(3.37)+0.28+0.00154</f>
        <v>3.6515400000000002</v>
      </c>
      <c r="E7" s="7">
        <f>'F-5'!K14/100</f>
        <v>3.9505924473681295</v>
      </c>
      <c r="F7" s="7">
        <f>'F-5'!O14/100</f>
        <v>3.9844274687500003</v>
      </c>
      <c r="H7">
        <f>120/7750</f>
        <v>1.5483870967741935E-2</v>
      </c>
    </row>
    <row r="8" spans="1:8">
      <c r="A8">
        <v>3</v>
      </c>
      <c r="B8" t="s">
        <v>1756</v>
      </c>
      <c r="C8" s="9">
        <f>'T-4 '!D71</f>
        <v>1524.242</v>
      </c>
      <c r="D8">
        <v>1350</v>
      </c>
      <c r="E8" s="9">
        <f>'T-4 '!L71</f>
        <v>1710.27</v>
      </c>
      <c r="F8" s="9">
        <f>'T-4 '!M71</f>
        <v>1850</v>
      </c>
      <c r="H8" s="298"/>
    </row>
    <row r="9" spans="1:8">
      <c r="A9">
        <v>4</v>
      </c>
      <c r="B9" t="s">
        <v>1757</v>
      </c>
      <c r="H9" s="7"/>
    </row>
    <row r="10" spans="1:8">
      <c r="A10">
        <v>5</v>
      </c>
      <c r="B10" t="s">
        <v>1758</v>
      </c>
    </row>
    <row r="11" spans="1:8" ht="13.5" thickBot="1">
      <c r="A11" s="16"/>
      <c r="B11" s="16" t="s">
        <v>1759</v>
      </c>
      <c r="C11" s="15">
        <f>C6*C7*10</f>
        <v>315209.20279959531</v>
      </c>
      <c r="D11" s="15">
        <f>D6*D7*10</f>
        <v>339593.22</v>
      </c>
      <c r="E11" s="15">
        <f>'F-6'!L9</f>
        <v>485922.87102627999</v>
      </c>
      <c r="F11" s="15">
        <f>'F-6'!P9</f>
        <v>510006.71600000001</v>
      </c>
    </row>
    <row r="12" spans="1:8" ht="13.5" thickTop="1">
      <c r="B12" t="s">
        <v>1760</v>
      </c>
    </row>
    <row r="13" spans="1:8">
      <c r="E13" s="9"/>
    </row>
    <row r="14" spans="1:8" ht="15.75">
      <c r="A14" s="124" t="s">
        <v>137</v>
      </c>
      <c r="B14" s="5" t="s">
        <v>1761</v>
      </c>
    </row>
    <row r="15" spans="1:8" ht="34.5" thickBot="1">
      <c r="A15" s="16"/>
      <c r="B15" s="17"/>
      <c r="C15" s="322" t="s">
        <v>2086</v>
      </c>
      <c r="D15" s="322" t="s">
        <v>1762</v>
      </c>
      <c r="E15" s="322" t="s">
        <v>1751</v>
      </c>
      <c r="F15" s="322" t="s">
        <v>1752</v>
      </c>
    </row>
    <row r="16" spans="1:8" ht="13.5" thickTop="1">
      <c r="B16" s="2" t="s">
        <v>1763</v>
      </c>
    </row>
    <row r="17" spans="1:9">
      <c r="A17">
        <v>1</v>
      </c>
      <c r="B17" t="s">
        <v>1764</v>
      </c>
      <c r="C17" s="9">
        <f>'T-1'!G73</f>
        <v>9313.2066041351354</v>
      </c>
      <c r="D17" s="9">
        <f>'T-1'!K73</f>
        <v>6346.5334769000001</v>
      </c>
      <c r="E17">
        <f>'T-1'!N73</f>
        <v>12300</v>
      </c>
      <c r="F17" s="9">
        <f>'T-1'!S73</f>
        <v>12800</v>
      </c>
    </row>
    <row r="18" spans="1:9">
      <c r="A18">
        <v>2</v>
      </c>
      <c r="B18" t="s">
        <v>1765</v>
      </c>
      <c r="C18" s="9">
        <f>'T-1'!G72</f>
        <v>7355.7998001920314</v>
      </c>
      <c r="D18" s="9">
        <f>'T-1'!K72</f>
        <v>4817.4833339082707</v>
      </c>
      <c r="E18" s="9">
        <f>'T-1'!N72</f>
        <v>10071.000000000002</v>
      </c>
      <c r="F18" s="9">
        <f>'T-1'!S72</f>
        <v>10482.000001999999</v>
      </c>
    </row>
    <row r="19" spans="1:9">
      <c r="A19">
        <v>3</v>
      </c>
      <c r="B19" s="2" t="s">
        <v>1766</v>
      </c>
      <c r="C19" s="99">
        <f>1-(C18/C17)</f>
        <v>0.21017538718340045</v>
      </c>
      <c r="D19" s="99">
        <f>1-(D18/D17)</f>
        <v>0.24092682226559414</v>
      </c>
      <c r="E19" s="99">
        <f>1-(E18/E17)</f>
        <v>0.18121951219512178</v>
      </c>
      <c r="F19" s="99">
        <f>1-(F18/F17)</f>
        <v>0.18109374984375004</v>
      </c>
      <c r="G19" s="107"/>
    </row>
    <row r="20" spans="1:9">
      <c r="B20" s="2"/>
      <c r="C20" s="99"/>
      <c r="D20" s="99"/>
      <c r="E20" s="99"/>
      <c r="F20" s="99"/>
    </row>
    <row r="21" spans="1:9">
      <c r="B21" s="2" t="s">
        <v>1767</v>
      </c>
      <c r="C21" s="9">
        <f>C17-'T-1'!G70</f>
        <v>6678.6251313846351</v>
      </c>
      <c r="D21" s="9">
        <f>D17-'T-1'!K70</f>
        <v>4219.9520167000001</v>
      </c>
      <c r="E21" s="9">
        <f>E17-'T-1'!N70</f>
        <v>7338.9999999999991</v>
      </c>
      <c r="F21" s="9">
        <f>F17-'T-1'!S70</f>
        <v>7755</v>
      </c>
    </row>
    <row r="22" spans="1:9">
      <c r="B22" s="2" t="s">
        <v>1768</v>
      </c>
      <c r="C22" s="9">
        <f>C18-'T-1'!G70</f>
        <v>4721.2183274415311</v>
      </c>
      <c r="D22" s="9">
        <f>D18-'T-1'!K70</f>
        <v>2690.9018737082706</v>
      </c>
      <c r="E22" s="9">
        <f>E18-'T-1'!N70</f>
        <v>5110.0000000000009</v>
      </c>
      <c r="F22" s="9">
        <f>F18-'T-1'!S70</f>
        <v>5437.0000019999989</v>
      </c>
    </row>
    <row r="23" spans="1:9">
      <c r="B23" s="2" t="s">
        <v>1766</v>
      </c>
      <c r="C23" s="99">
        <f>1-(C22/C21)</f>
        <v>0.29308529307098385</v>
      </c>
      <c r="D23" s="99">
        <f>1-(D22/D21)</f>
        <v>0.3623382770563931</v>
      </c>
      <c r="E23" s="99">
        <f>1-(E22/E21)</f>
        <v>0.30371985284098635</v>
      </c>
      <c r="F23" s="99">
        <f>1-(F22/F21)</f>
        <v>0.29890393268858817</v>
      </c>
    </row>
    <row r="24" spans="1:9">
      <c r="B24" s="2"/>
      <c r="C24" s="99"/>
      <c r="D24" s="99"/>
      <c r="E24" s="99"/>
      <c r="F24" s="99"/>
    </row>
    <row r="25" spans="1:9">
      <c r="B25" s="2"/>
      <c r="C25" s="99"/>
      <c r="D25" s="99"/>
      <c r="E25" s="99"/>
      <c r="F25" s="99"/>
    </row>
    <row r="26" spans="1:9">
      <c r="B26" s="2" t="s">
        <v>1769</v>
      </c>
    </row>
    <row r="27" spans="1:9">
      <c r="B27" t="s">
        <v>1770</v>
      </c>
      <c r="C27" s="107">
        <f>'T-1'!G76</f>
        <v>0.92932847030704879</v>
      </c>
      <c r="D27" s="107">
        <f>'T-1'!K76</f>
        <v>0.94642487429461031</v>
      </c>
      <c r="E27" s="107">
        <f>'T-1'!N76</f>
        <v>0.97199999999999998</v>
      </c>
      <c r="F27" s="366">
        <f>'T-1'!S76</f>
        <v>0.99</v>
      </c>
    </row>
    <row r="28" spans="1:9">
      <c r="B28" s="2" t="s">
        <v>1771</v>
      </c>
      <c r="C28" s="99">
        <f>1-(1-C19)*C27</f>
        <v>0.26599350076029249</v>
      </c>
      <c r="D28" s="99">
        <f>1-(1-D19)*D27</f>
        <v>0.28159426318230452</v>
      </c>
      <c r="E28" s="99">
        <f>1-(1-E19)*E27</f>
        <v>0.20414536585365839</v>
      </c>
      <c r="F28" s="99">
        <f>1-(1-F19)*F27</f>
        <v>0.18928281234531252</v>
      </c>
    </row>
    <row r="29" spans="1:9">
      <c r="C29" s="133"/>
      <c r="D29" s="133"/>
      <c r="E29" s="133"/>
      <c r="F29" s="133"/>
    </row>
    <row r="30" spans="1:9">
      <c r="B30" s="787" t="s">
        <v>1772</v>
      </c>
      <c r="C30" s="512">
        <f>(290965-113602)/(330988.2-108329.98)</f>
        <v>0.79657063637713432</v>
      </c>
      <c r="D30" s="788">
        <v>0.92</v>
      </c>
      <c r="E30" s="788">
        <v>0.93</v>
      </c>
      <c r="F30" s="788">
        <v>0.95</v>
      </c>
      <c r="I30">
        <v>88409.60603119999</v>
      </c>
    </row>
    <row r="31" spans="1:9">
      <c r="B31" s="787" t="s">
        <v>1771</v>
      </c>
      <c r="C31" s="789">
        <f>1-(1-C23)*C30</f>
        <v>0.4368925020371982</v>
      </c>
      <c r="D31" s="789">
        <f>1-(1-D23)*D30</f>
        <v>0.41335121489188165</v>
      </c>
      <c r="E31" s="789">
        <f>1-(1-E23)*E30</f>
        <v>0.35245946314211729</v>
      </c>
      <c r="F31" s="789">
        <f>1-(1-F23)*F30</f>
        <v>0.33395873605415882</v>
      </c>
      <c r="I31">
        <v>261810.4431792</v>
      </c>
    </row>
    <row r="32" spans="1:9">
      <c r="C32" s="133"/>
      <c r="D32" s="133"/>
      <c r="E32" s="133"/>
      <c r="F32" s="133"/>
    </row>
    <row r="33" spans="2:6">
      <c r="B33" t="s">
        <v>1773</v>
      </c>
      <c r="C33" s="99">
        <v>0.99</v>
      </c>
      <c r="D33" s="133"/>
      <c r="E33" s="99">
        <v>0.99</v>
      </c>
      <c r="F33" s="99">
        <v>0.99</v>
      </c>
    </row>
  </sheetData>
  <phoneticPr fontId="0" type="noConversion"/>
  <printOptions horizontalCentered="1" gridLines="1"/>
  <pageMargins left="0.25" right="0" top="1.5" bottom="0.5" header="0" footer="0"/>
  <pageSetup scale="125" orientation="portrait" verticalDpi="300"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81">
    <pageSetUpPr fitToPage="1"/>
  </sheetPr>
  <dimension ref="A1:K23"/>
  <sheetViews>
    <sheetView showGridLines="0" zoomScaleSheetLayoutView="85" workbookViewId="0">
      <selection activeCell="F5" sqref="F5"/>
    </sheetView>
  </sheetViews>
  <sheetFormatPr defaultColWidth="14.7109375" defaultRowHeight="12.75" customHeight="1"/>
  <cols>
    <col min="1" max="1" width="4.140625" style="276" customWidth="1"/>
    <col min="2" max="2" width="29.7109375" style="277" bestFit="1" customWidth="1"/>
    <col min="3" max="3" width="22.5703125" style="278" bestFit="1" customWidth="1"/>
    <col min="4" max="4" width="10.5703125" style="278" bestFit="1" customWidth="1"/>
    <col min="5" max="16384" width="14.7109375" style="276"/>
  </cols>
  <sheetData>
    <row r="1" spans="1:11" s="279" customFormat="1" ht="16.5" thickBot="1">
      <c r="A1" s="649"/>
      <c r="B1" s="1976" t="s">
        <v>1801</v>
      </c>
      <c r="C1" s="1976"/>
      <c r="D1" s="1976"/>
      <c r="E1" s="1976"/>
      <c r="F1" s="1976"/>
      <c r="G1" s="1976"/>
      <c r="H1" s="1976"/>
      <c r="I1" s="1976"/>
      <c r="J1" s="1976"/>
      <c r="K1" s="1976"/>
    </row>
    <row r="2" spans="1:11" ht="12.75" customHeight="1" thickBot="1">
      <c r="A2" s="811"/>
      <c r="B2" s="1970"/>
      <c r="C2" s="1971"/>
      <c r="D2" s="1971"/>
      <c r="E2" s="1971"/>
      <c r="F2" s="1971"/>
      <c r="G2" s="1971"/>
      <c r="H2" s="1972"/>
      <c r="I2" s="796"/>
      <c r="J2" s="782"/>
      <c r="K2" s="782"/>
    </row>
    <row r="3" spans="1:11" ht="12.75" customHeight="1" thickBot="1">
      <c r="A3" s="811"/>
      <c r="B3" s="1973" t="s">
        <v>2083</v>
      </c>
      <c r="C3" s="1974"/>
      <c r="D3" s="1974"/>
      <c r="E3" s="1974"/>
      <c r="F3" s="1974"/>
      <c r="G3" s="1974"/>
      <c r="H3" s="1975"/>
      <c r="I3" s="782"/>
      <c r="J3" s="782"/>
      <c r="K3" s="782"/>
    </row>
    <row r="4" spans="1:11" ht="12.75" customHeight="1">
      <c r="A4" s="811"/>
      <c r="B4" s="790" t="s">
        <v>1716</v>
      </c>
      <c r="C4" s="791" t="s">
        <v>2082</v>
      </c>
      <c r="D4" s="791" t="s">
        <v>1802</v>
      </c>
      <c r="E4" s="791" t="s">
        <v>1803</v>
      </c>
      <c r="F4" s="791" t="s">
        <v>2084</v>
      </c>
      <c r="G4" s="791" t="s">
        <v>1804</v>
      </c>
      <c r="H4" s="797" t="s">
        <v>2085</v>
      </c>
      <c r="I4" s="798" t="s">
        <v>1805</v>
      </c>
      <c r="J4" s="798" t="s">
        <v>1806</v>
      </c>
      <c r="K4" s="798" t="s">
        <v>1807</v>
      </c>
    </row>
    <row r="5" spans="1:11" ht="12.75" customHeight="1">
      <c r="A5" s="811"/>
      <c r="B5" s="792" t="s">
        <v>1808</v>
      </c>
      <c r="C5" s="946">
        <v>2898.2</v>
      </c>
      <c r="D5" s="686">
        <v>1815.64</v>
      </c>
      <c r="E5" s="686">
        <v>642.95000000000005</v>
      </c>
      <c r="F5" s="949">
        <v>3142.3820698660002</v>
      </c>
      <c r="G5" s="793">
        <v>-47.81</v>
      </c>
      <c r="H5" s="952"/>
      <c r="I5" s="686">
        <v>2458.59</v>
      </c>
      <c r="J5" s="686">
        <v>626.6</v>
      </c>
      <c r="K5" s="686">
        <v>16.350000000000001</v>
      </c>
    </row>
    <row r="6" spans="1:11" ht="12.75" customHeight="1">
      <c r="A6" s="811"/>
      <c r="B6" s="792" t="s">
        <v>1809</v>
      </c>
      <c r="C6" s="946">
        <v>240.8</v>
      </c>
      <c r="D6" s="686">
        <v>136.96</v>
      </c>
      <c r="E6" s="686">
        <v>48.79</v>
      </c>
      <c r="F6" s="949">
        <v>252.1113411</v>
      </c>
      <c r="G6" s="793">
        <v>-14.25</v>
      </c>
      <c r="H6" s="952"/>
      <c r="I6" s="686">
        <v>185.75</v>
      </c>
      <c r="J6" s="686">
        <v>50</v>
      </c>
      <c r="K6" s="686">
        <v>-1.21</v>
      </c>
    </row>
    <row r="7" spans="1:11" ht="12.75" customHeight="1">
      <c r="A7" s="811"/>
      <c r="B7" s="792" t="s">
        <v>1810</v>
      </c>
      <c r="C7" s="946">
        <v>1.48</v>
      </c>
      <c r="D7" s="686">
        <v>0.91</v>
      </c>
      <c r="E7" s="686">
        <v>0.31</v>
      </c>
      <c r="F7" s="949">
        <v>1.4826842</v>
      </c>
      <c r="G7" s="793">
        <v>0</v>
      </c>
      <c r="H7" s="952"/>
      <c r="I7" s="686">
        <v>1.22</v>
      </c>
      <c r="J7" s="686">
        <v>0.30499999999999999</v>
      </c>
      <c r="K7" s="686">
        <v>5.0000000000000001E-3</v>
      </c>
    </row>
    <row r="8" spans="1:11" ht="12.75" customHeight="1">
      <c r="A8" s="811"/>
      <c r="B8" s="790" t="s">
        <v>1811</v>
      </c>
      <c r="C8" s="947">
        <f>SUM(C5:C7)</f>
        <v>3140.48</v>
      </c>
      <c r="D8" s="791">
        <v>1953.51</v>
      </c>
      <c r="E8" s="791">
        <v>692.05</v>
      </c>
      <c r="F8" s="950">
        <f>SUM(F5:F7)</f>
        <v>3395.9760951660005</v>
      </c>
      <c r="G8" s="791">
        <v>-62.06</v>
      </c>
      <c r="H8" s="953">
        <v>3367.72</v>
      </c>
      <c r="I8" s="791">
        <v>2645.56</v>
      </c>
      <c r="J8" s="791">
        <v>676.90499999999997</v>
      </c>
      <c r="K8" s="791">
        <v>15.145</v>
      </c>
    </row>
    <row r="9" spans="1:11" ht="12.75" customHeight="1">
      <c r="A9" s="811"/>
      <c r="B9" s="792" t="s">
        <v>1812</v>
      </c>
      <c r="C9" s="946">
        <v>409.49</v>
      </c>
      <c r="D9" s="686">
        <v>382.47</v>
      </c>
      <c r="E9" s="686">
        <v>79.849999999999994</v>
      </c>
      <c r="F9" s="949">
        <v>483.67676769316074</v>
      </c>
      <c r="G9" s="793">
        <v>101.3</v>
      </c>
      <c r="H9" s="954">
        <v>483.67676769316074</v>
      </c>
      <c r="I9" s="686">
        <v>462.32</v>
      </c>
      <c r="J9" s="686">
        <v>90.254999999999995</v>
      </c>
      <c r="K9" s="686">
        <v>-10.404999999999999</v>
      </c>
    </row>
    <row r="10" spans="1:11" ht="12.75" customHeight="1">
      <c r="A10" s="811"/>
      <c r="B10" s="792" t="s">
        <v>1295</v>
      </c>
      <c r="C10" s="946">
        <v>160</v>
      </c>
      <c r="D10" s="686">
        <v>14.91</v>
      </c>
      <c r="E10" s="686">
        <v>5.75</v>
      </c>
      <c r="F10" s="946">
        <v>137.05000000000001</v>
      </c>
      <c r="G10" s="793">
        <v>-71.58</v>
      </c>
      <c r="H10" s="954">
        <v>137.05000000000001</v>
      </c>
      <c r="I10" s="686">
        <v>20.66</v>
      </c>
      <c r="J10" s="686">
        <v>23.06</v>
      </c>
      <c r="K10" s="686">
        <v>-17.309999999999999</v>
      </c>
    </row>
    <row r="11" spans="1:11" ht="12.75" customHeight="1">
      <c r="A11" s="811"/>
      <c r="B11" s="792" t="s">
        <v>1813</v>
      </c>
      <c r="C11" s="946">
        <f>63.66+39.51</f>
        <v>103.16999999999999</v>
      </c>
      <c r="D11" s="686">
        <v>48.67</v>
      </c>
      <c r="E11" s="799">
        <v>109.45</v>
      </c>
      <c r="F11" s="946">
        <v>113.27</v>
      </c>
      <c r="G11" s="793">
        <v>105.32</v>
      </c>
      <c r="H11" s="954">
        <v>113.27</v>
      </c>
      <c r="I11" s="686">
        <v>52.8</v>
      </c>
      <c r="J11" s="686">
        <v>13.2</v>
      </c>
      <c r="K11" s="686">
        <v>23.25</v>
      </c>
    </row>
    <row r="12" spans="1:11" ht="12.75" customHeight="1">
      <c r="A12" s="811"/>
      <c r="B12" s="792" t="s">
        <v>1814</v>
      </c>
      <c r="C12" s="946">
        <v>27.42</v>
      </c>
      <c r="D12" s="686">
        <v>350.16</v>
      </c>
      <c r="E12" s="686">
        <v>8.5299999999999994</v>
      </c>
      <c r="F12" s="949">
        <v>45.025525739999992</v>
      </c>
      <c r="G12" s="793">
        <v>335.3</v>
      </c>
      <c r="H12" s="954">
        <v>45.025525739999992</v>
      </c>
      <c r="I12" s="686">
        <v>23.39</v>
      </c>
      <c r="J12" s="686">
        <v>5.8475000000000001</v>
      </c>
      <c r="K12" s="686">
        <v>2.6825000000000001</v>
      </c>
    </row>
    <row r="13" spans="1:11" ht="12.75" customHeight="1">
      <c r="A13" s="811"/>
      <c r="B13" s="792" t="s">
        <v>730</v>
      </c>
      <c r="C13" s="946">
        <v>36.340000000000003</v>
      </c>
      <c r="D13" s="686">
        <v>48.31</v>
      </c>
      <c r="E13" s="686">
        <v>16.399999999999999</v>
      </c>
      <c r="F13" s="949">
        <v>24.452520932885594</v>
      </c>
      <c r="G13" s="793">
        <v>3.31</v>
      </c>
      <c r="H13" s="954">
        <v>24.452520932885594</v>
      </c>
      <c r="I13" s="686">
        <v>64.709999999999994</v>
      </c>
      <c r="J13" s="686">
        <v>15.35</v>
      </c>
      <c r="K13" s="686">
        <v>1.05</v>
      </c>
    </row>
    <row r="14" spans="1:11" ht="12.75" customHeight="1">
      <c r="A14" s="811"/>
      <c r="B14" s="792" t="s">
        <v>1815</v>
      </c>
      <c r="C14" s="946">
        <v>34.369999999999997</v>
      </c>
      <c r="D14" s="686">
        <v>87.75</v>
      </c>
      <c r="E14" s="686">
        <v>10.94</v>
      </c>
      <c r="F14" s="949">
        <v>42.935717459999999</v>
      </c>
      <c r="G14" s="793">
        <v>45.49</v>
      </c>
      <c r="H14" s="954">
        <v>42.935717459999999</v>
      </c>
      <c r="I14" s="686">
        <v>53.2</v>
      </c>
      <c r="J14" s="686">
        <v>13.3</v>
      </c>
      <c r="K14" s="686">
        <v>-2.36</v>
      </c>
    </row>
    <row r="15" spans="1:11" ht="12.75" customHeight="1">
      <c r="A15" s="811"/>
      <c r="B15" s="790" t="s">
        <v>1816</v>
      </c>
      <c r="C15" s="947">
        <f>SUM(C9:C14)-0.01</f>
        <v>770.78</v>
      </c>
      <c r="D15" s="791">
        <v>932.27</v>
      </c>
      <c r="E15" s="791">
        <v>230.92</v>
      </c>
      <c r="F15" s="950">
        <f>SUM(F9:F14)</f>
        <v>846.41053182604639</v>
      </c>
      <c r="G15" s="791">
        <v>519.14</v>
      </c>
      <c r="H15" s="955">
        <f>SUM(H9:H14)</f>
        <v>846.41053182604639</v>
      </c>
      <c r="I15" s="791">
        <v>677.08</v>
      </c>
      <c r="J15" s="791">
        <v>161.01249999999999</v>
      </c>
      <c r="K15" s="791">
        <v>-3.0924999999999998</v>
      </c>
    </row>
    <row r="16" spans="1:11" ht="12.75" customHeight="1">
      <c r="A16" s="811"/>
      <c r="B16" s="792" t="s">
        <v>1817</v>
      </c>
      <c r="C16" s="946">
        <v>48</v>
      </c>
      <c r="D16" s="686">
        <v>5.8380000000000001</v>
      </c>
      <c r="E16" s="686">
        <v>12</v>
      </c>
      <c r="F16" s="949">
        <f>52.794+11.925</f>
        <v>64.718999999999994</v>
      </c>
      <c r="G16" s="793">
        <v>10.058</v>
      </c>
      <c r="H16" s="954">
        <v>64.718999999999994</v>
      </c>
      <c r="I16" s="686">
        <v>17.78</v>
      </c>
      <c r="J16" s="686">
        <v>1.9450000000000001</v>
      </c>
      <c r="K16" s="686">
        <v>10.055</v>
      </c>
    </row>
    <row r="17" spans="2:11" ht="12.75" customHeight="1">
      <c r="B17" s="790" t="s">
        <v>1818</v>
      </c>
      <c r="C17" s="947">
        <f>C15+C16</f>
        <v>818.78</v>
      </c>
      <c r="D17" s="791">
        <v>938.10799999999995</v>
      </c>
      <c r="E17" s="791">
        <v>242.92</v>
      </c>
      <c r="F17" s="950">
        <f>F15+F16</f>
        <v>911.12953182604633</v>
      </c>
      <c r="G17" s="791">
        <v>529.19799999999998</v>
      </c>
      <c r="H17" s="955">
        <f>H15+H16</f>
        <v>911.12953182604633</v>
      </c>
      <c r="I17" s="791">
        <v>694.86</v>
      </c>
      <c r="J17" s="791">
        <v>162.95750000000001</v>
      </c>
      <c r="K17" s="791">
        <v>6.9625000000000004</v>
      </c>
    </row>
    <row r="18" spans="2:11" ht="12.75" customHeight="1">
      <c r="B18" s="792" t="s">
        <v>1819</v>
      </c>
      <c r="C18" s="946">
        <v>237.45</v>
      </c>
      <c r="D18" s="686">
        <v>233.25</v>
      </c>
      <c r="E18" s="686">
        <v>29.06</v>
      </c>
      <c r="F18" s="949">
        <v>167.42575286099998</v>
      </c>
      <c r="G18" s="793">
        <v>70.92</v>
      </c>
      <c r="H18" s="954">
        <v>110.76311743199997</v>
      </c>
      <c r="I18" s="686">
        <v>262.31</v>
      </c>
      <c r="J18" s="686">
        <v>47.847499999999997</v>
      </c>
      <c r="K18" s="686">
        <v>-18.787500000000001</v>
      </c>
    </row>
    <row r="19" spans="2:11" ht="12.75" customHeight="1">
      <c r="B19" s="790" t="s">
        <v>1820</v>
      </c>
      <c r="C19" s="947">
        <f>C17-C18</f>
        <v>581.32999999999993</v>
      </c>
      <c r="D19" s="791">
        <v>704.85799999999995</v>
      </c>
      <c r="E19" s="800">
        <v>213.86</v>
      </c>
      <c r="F19" s="950">
        <f>F17-F18</f>
        <v>743.70377896504635</v>
      </c>
      <c r="G19" s="791">
        <v>458.27800000000002</v>
      </c>
      <c r="H19" s="955">
        <f>H17-H18</f>
        <v>800.36641439404639</v>
      </c>
      <c r="I19" s="791">
        <v>432.55</v>
      </c>
      <c r="J19" s="791">
        <v>115.11</v>
      </c>
      <c r="K19" s="791">
        <v>25.75</v>
      </c>
    </row>
    <row r="20" spans="2:11" ht="12.75" customHeight="1">
      <c r="B20" s="792" t="s">
        <v>1821</v>
      </c>
      <c r="C20" s="946" t="s">
        <v>1822</v>
      </c>
      <c r="D20" s="686" t="s">
        <v>1822</v>
      </c>
      <c r="E20" s="686" t="s">
        <v>1822</v>
      </c>
      <c r="F20" s="946" t="s">
        <v>1822</v>
      </c>
      <c r="G20" s="793">
        <v>0</v>
      </c>
      <c r="H20" s="952" t="s">
        <v>1822</v>
      </c>
      <c r="I20" s="686" t="s">
        <v>1822</v>
      </c>
      <c r="J20" s="686" t="s">
        <v>1822</v>
      </c>
      <c r="K20" s="686" t="s">
        <v>1822</v>
      </c>
    </row>
    <row r="21" spans="2:11" ht="12.75" customHeight="1">
      <c r="B21" s="790" t="s">
        <v>1823</v>
      </c>
      <c r="C21" s="947">
        <f>C8+C19</f>
        <v>3721.81</v>
      </c>
      <c r="D21" s="791">
        <v>2658.3679999999999</v>
      </c>
      <c r="E21" s="791">
        <v>905.91</v>
      </c>
      <c r="F21" s="950">
        <f>F8+F19</f>
        <v>4139.6798741310467</v>
      </c>
      <c r="G21" s="791">
        <v>396.21800000000002</v>
      </c>
      <c r="H21" s="955">
        <f>H8+H19</f>
        <v>4168.0864143940462</v>
      </c>
      <c r="I21" s="791">
        <v>3078.11</v>
      </c>
      <c r="J21" s="791">
        <v>792.01499999999999</v>
      </c>
      <c r="K21" s="791">
        <v>40.895000000000003</v>
      </c>
    </row>
    <row r="22" spans="2:11" ht="12.75" customHeight="1">
      <c r="B22" s="792" t="s">
        <v>1824</v>
      </c>
      <c r="C22" s="946">
        <v>3705.75</v>
      </c>
      <c r="D22" s="686">
        <v>2216.7399999999998</v>
      </c>
      <c r="E22" s="686">
        <v>892.89</v>
      </c>
      <c r="F22" s="949">
        <v>4691.8523974610007</v>
      </c>
      <c r="G22" s="793">
        <v>-78.180000000000007</v>
      </c>
      <c r="H22" s="954">
        <v>4691.8523974610007</v>
      </c>
      <c r="I22" s="686">
        <v>3109.63</v>
      </c>
      <c r="J22" s="686">
        <v>796.95249999999999</v>
      </c>
      <c r="K22" s="686">
        <v>95.9375</v>
      </c>
    </row>
    <row r="23" spans="2:11" ht="12.75" customHeight="1" thickBot="1">
      <c r="B23" s="794" t="s">
        <v>1825</v>
      </c>
      <c r="C23" s="948">
        <f>C22-C21</f>
        <v>-16.059999999999945</v>
      </c>
      <c r="D23" s="795">
        <v>-441.62799999999999</v>
      </c>
      <c r="E23" s="801">
        <v>-13.02</v>
      </c>
      <c r="F23" s="951">
        <f>F22-F21</f>
        <v>552.17252332995395</v>
      </c>
      <c r="G23" s="795">
        <v>-474.39800000000002</v>
      </c>
      <c r="H23" s="956">
        <f>(H22-H21)-((H22-(92.9455740111292%*H22)))</f>
        <v>192.78272818100777</v>
      </c>
      <c r="I23" s="791">
        <v>31.52</v>
      </c>
      <c r="J23" s="791">
        <v>4.9375</v>
      </c>
      <c r="K23" s="791">
        <v>55.042499999999997</v>
      </c>
    </row>
  </sheetData>
  <mergeCells count="3">
    <mergeCell ref="B2:H2"/>
    <mergeCell ref="B3:H3"/>
    <mergeCell ref="B1:K1"/>
  </mergeCells>
  <phoneticPr fontId="43" type="noConversion"/>
  <printOptions horizontalCentered="1"/>
  <pageMargins left="0.5" right="0.25" top="0.75" bottom="0.75" header="0.25" footer="0.25"/>
  <pageSetup paperSize="9" orientation="landscape" r:id="rId1"/>
  <headerFooter alignWithMargins="0">
    <oddHeader xml:space="preserve">&amp;R
</oddHeader>
    <oddFooter xml:space="preserve">&amp;C
</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abColor rgb="FFFFFF00"/>
    <pageSetUpPr fitToPage="1"/>
  </sheetPr>
  <dimension ref="A1:P47"/>
  <sheetViews>
    <sheetView showGridLines="0" zoomScaleNormal="100" workbookViewId="0">
      <pane xSplit="2" ySplit="3" topLeftCell="D4" activePane="bottomRight" state="frozen"/>
      <selection pane="topRight" activeCell="C1" sqref="C1"/>
      <selection pane="bottomLeft" activeCell="A4" sqref="A4"/>
      <selection pane="bottomRight" activeCell="B23" sqref="B23"/>
    </sheetView>
  </sheetViews>
  <sheetFormatPr defaultRowHeight="12.75"/>
  <cols>
    <col min="1" max="1" width="23.42578125" customWidth="1"/>
    <col min="2" max="2" width="12.140625" customWidth="1"/>
    <col min="3" max="4" width="10.42578125" customWidth="1"/>
    <col min="5" max="10" width="9.7109375" customWidth="1"/>
    <col min="11" max="12" width="11.140625" customWidth="1"/>
    <col min="13" max="13" width="10.7109375" customWidth="1"/>
    <col min="14" max="14" width="11" customWidth="1"/>
    <col min="15" max="15" width="9.42578125" bestFit="1" customWidth="1"/>
    <col min="16" max="16" width="9.5703125" bestFit="1" customWidth="1"/>
  </cols>
  <sheetData>
    <row r="1" spans="1:16" ht="22.5" customHeight="1">
      <c r="A1" s="1977" t="s">
        <v>389</v>
      </c>
      <c r="B1" s="1959"/>
      <c r="C1" s="1959"/>
      <c r="D1" s="1959"/>
      <c r="E1" s="1959"/>
      <c r="F1" s="1959"/>
      <c r="G1" s="1959"/>
      <c r="H1" s="1959"/>
      <c r="I1" s="1959"/>
      <c r="J1" s="1959"/>
      <c r="K1" s="1959"/>
      <c r="L1" s="1959"/>
      <c r="M1" s="1959"/>
      <c r="N1" s="1978"/>
    </row>
    <row r="2" spans="1:16" ht="51">
      <c r="A2" s="734"/>
      <c r="B2" s="883" t="s">
        <v>1964</v>
      </c>
      <c r="C2" s="883" t="s">
        <v>1965</v>
      </c>
      <c r="D2" s="883" t="s">
        <v>1966</v>
      </c>
      <c r="E2" s="1949" t="s">
        <v>1967</v>
      </c>
      <c r="F2" s="1949"/>
      <c r="G2" s="1949"/>
      <c r="H2" s="1949"/>
      <c r="I2" s="1949"/>
      <c r="J2" s="1949"/>
      <c r="K2" s="883" t="s">
        <v>1968</v>
      </c>
      <c r="L2" s="883" t="s">
        <v>1969</v>
      </c>
      <c r="M2" s="883" t="s">
        <v>1982</v>
      </c>
      <c r="N2" s="735" t="s">
        <v>1970</v>
      </c>
    </row>
    <row r="3" spans="1:16">
      <c r="A3" s="98"/>
      <c r="B3" s="23"/>
      <c r="C3" s="502"/>
      <c r="D3" s="23"/>
      <c r="E3" s="908">
        <v>44652</v>
      </c>
      <c r="F3" s="908">
        <v>44682</v>
      </c>
      <c r="G3" s="908">
        <v>44713</v>
      </c>
      <c r="H3" s="908">
        <v>44743</v>
      </c>
      <c r="I3" s="908">
        <v>44774</v>
      </c>
      <c r="J3" s="908">
        <v>44805</v>
      </c>
      <c r="K3" s="730"/>
      <c r="L3" s="730"/>
      <c r="M3" s="502"/>
      <c r="N3" s="393"/>
    </row>
    <row r="4" spans="1:16" ht="14.25">
      <c r="A4" s="681" t="s">
        <v>1851</v>
      </c>
      <c r="B4" s="731">
        <f>'T-4 '!D71</f>
        <v>1524.242</v>
      </c>
      <c r="C4" s="906">
        <v>1600</v>
      </c>
      <c r="D4" s="896">
        <v>1650</v>
      </c>
      <c r="E4" s="731">
        <f>'T-4 '!E71</f>
        <v>1520.9259999999999</v>
      </c>
      <c r="F4" s="731">
        <f>'T-4 '!F71</f>
        <v>1463.9690000000001</v>
      </c>
      <c r="G4" s="731">
        <f>'T-4 '!G71</f>
        <v>1479.3019999999999</v>
      </c>
      <c r="H4" s="731">
        <f>'T-4 '!H71</f>
        <v>1621.384</v>
      </c>
      <c r="I4" s="731">
        <f>'T-4 '!I71</f>
        <v>1710.27</v>
      </c>
      <c r="J4" s="731">
        <f>'T-4 '!J71</f>
        <v>1706.0160000000001</v>
      </c>
      <c r="K4" s="732">
        <f>MAX(E4:J4)</f>
        <v>1710.27</v>
      </c>
      <c r="L4" s="732">
        <f>K4</f>
        <v>1710.27</v>
      </c>
      <c r="M4" s="502">
        <f>'T-4 '!L71</f>
        <v>1710.27</v>
      </c>
      <c r="N4" s="502">
        <f>'T-4 '!M71</f>
        <v>1850</v>
      </c>
    </row>
    <row r="5" spans="1:16">
      <c r="A5" s="681" t="s">
        <v>1852</v>
      </c>
      <c r="B5" s="79">
        <f>'T-4 '!C5</f>
        <v>9313.2066041351354</v>
      </c>
      <c r="C5" s="907">
        <v>9000</v>
      </c>
      <c r="D5" s="899">
        <v>9300</v>
      </c>
      <c r="E5" s="79">
        <f>'T-4 '!D5</f>
        <v>978.43448799999987</v>
      </c>
      <c r="F5" s="79">
        <f>'T-4 '!E5</f>
        <v>996.15429359999996</v>
      </c>
      <c r="G5" s="79">
        <f>'T-4 '!F5</f>
        <v>970.47501099999977</v>
      </c>
      <c r="H5" s="79">
        <f>'T-4 '!G5</f>
        <v>1073.1963099999998</v>
      </c>
      <c r="I5" s="79">
        <f>'T-4 '!H5</f>
        <v>1103.4421853000001</v>
      </c>
      <c r="J5" s="79">
        <f>'T-4 '!I5</f>
        <v>1224.8311890000002</v>
      </c>
      <c r="K5" s="470">
        <f>SUM(E5:J5)</f>
        <v>6346.5334769000001</v>
      </c>
      <c r="L5" s="894">
        <f>'F-4'!G44</f>
        <v>5953.4665230999999</v>
      </c>
      <c r="M5" s="470">
        <f>'T-1'!N73</f>
        <v>12300</v>
      </c>
      <c r="N5" s="736">
        <f>'T-1'!S73</f>
        <v>12800</v>
      </c>
      <c r="O5" s="927"/>
      <c r="P5" s="4"/>
    </row>
    <row r="6" spans="1:16">
      <c r="A6" s="681" t="s">
        <v>1978</v>
      </c>
      <c r="B6" s="79">
        <v>552</v>
      </c>
      <c r="C6" s="907"/>
      <c r="D6" s="899"/>
      <c r="E6" s="79"/>
      <c r="F6" s="79"/>
      <c r="G6" s="895">
        <f>110.366</f>
        <v>110.366</v>
      </c>
      <c r="H6" s="895">
        <v>176.714</v>
      </c>
      <c r="I6" s="895">
        <v>224.37100000000001</v>
      </c>
      <c r="J6" s="895">
        <v>304.154</v>
      </c>
      <c r="K6" s="470">
        <f>SUM(E6:J6)</f>
        <v>815.60500000000002</v>
      </c>
      <c r="L6" s="894">
        <f>'T-1'!N65-K6</f>
        <v>1284.395</v>
      </c>
      <c r="M6" s="470">
        <f>K6+L6</f>
        <v>2100</v>
      </c>
      <c r="N6" s="736">
        <f>'T-1'!S65</f>
        <v>2000</v>
      </c>
      <c r="O6" s="927"/>
    </row>
    <row r="7" spans="1:16">
      <c r="A7" s="91" t="s">
        <v>1979</v>
      </c>
      <c r="B7" s="470">
        <f>B5-B6</f>
        <v>8761.2066041351354</v>
      </c>
      <c r="C7" s="907"/>
      <c r="D7" s="899"/>
      <c r="E7" s="79"/>
      <c r="F7" s="79"/>
      <c r="G7" s="895">
        <f>G5-G6</f>
        <v>860.10901099999978</v>
      </c>
      <c r="H7" s="895">
        <f t="shared" ref="H7:J7" si="0">H5-H6</f>
        <v>896.48230999999987</v>
      </c>
      <c r="I7" s="895">
        <f t="shared" si="0"/>
        <v>879.07118530000014</v>
      </c>
      <c r="J7" s="895">
        <f t="shared" si="0"/>
        <v>920.67718900000023</v>
      </c>
      <c r="K7" s="470">
        <f>K5-K6</f>
        <v>5530.9284769000005</v>
      </c>
      <c r="L7" s="470">
        <f>L5-L6</f>
        <v>4669.0715230999995</v>
      </c>
      <c r="M7" s="899">
        <f>M5-M6</f>
        <v>10200</v>
      </c>
      <c r="N7" s="736">
        <f>N5-N6</f>
        <v>10800</v>
      </c>
      <c r="O7" s="506"/>
    </row>
    <row r="8" spans="1:16">
      <c r="A8" s="681" t="s">
        <v>1853</v>
      </c>
      <c r="B8" s="79"/>
      <c r="C8" s="79"/>
      <c r="D8" s="79"/>
      <c r="E8" s="79"/>
      <c r="F8" s="79"/>
      <c r="G8" s="79"/>
      <c r="H8" s="79"/>
      <c r="I8" s="79"/>
      <c r="J8" s="79"/>
      <c r="K8" s="79"/>
      <c r="L8" s="79"/>
      <c r="M8" s="79"/>
      <c r="N8" s="393"/>
    </row>
    <row r="9" spans="1:16">
      <c r="A9" s="681" t="s">
        <v>91</v>
      </c>
      <c r="B9" s="79">
        <f>('T-4 '!C65)</f>
        <v>2645.5494727505002</v>
      </c>
      <c r="C9" s="899">
        <v>1750</v>
      </c>
      <c r="D9" s="79">
        <f>Sheet2!C11</f>
        <v>2060</v>
      </c>
      <c r="E9" s="895">
        <f>'T-4 '!D65*0+196.996</f>
        <v>196.99600000000001</v>
      </c>
      <c r="F9" s="895">
        <f>'T-4 '!E65*0+281.418</f>
        <v>281.41800000000001</v>
      </c>
      <c r="G9" s="895">
        <f>'T-4 '!F65*0+327.08</f>
        <v>327.08</v>
      </c>
      <c r="H9" s="895">
        <f>'T-4 '!G65*0+363.712</f>
        <v>363.71199999999999</v>
      </c>
      <c r="I9" s="895">
        <f>'T-4 '!H65*0+459.331</f>
        <v>459.33100000000002</v>
      </c>
      <c r="J9" s="895">
        <f>'T-4 '!I65*0+502.187</f>
        <v>502.18700000000001</v>
      </c>
      <c r="K9" s="470">
        <f>SUM(E9:J9)</f>
        <v>2130.7239999999997</v>
      </c>
      <c r="L9" s="470">
        <f>'T-1'!N70-K9</f>
        <v>2830.2760000000012</v>
      </c>
      <c r="M9" s="470">
        <f>'T-1'!N70</f>
        <v>4961.0000000000009</v>
      </c>
      <c r="N9" s="736">
        <f>'T-1'!S70</f>
        <v>5045</v>
      </c>
    </row>
    <row r="10" spans="1:16">
      <c r="A10" s="681" t="s">
        <v>77</v>
      </c>
      <c r="B10" s="79">
        <f>('T-4 '!C52)</f>
        <v>1836.6852453448</v>
      </c>
      <c r="C10" s="899">
        <v>1850</v>
      </c>
      <c r="D10" s="79">
        <f>Sheet2!C9</f>
        <v>1910</v>
      </c>
      <c r="E10" s="933">
        <f>'T-4 '!D52</f>
        <v>164.36273499999999</v>
      </c>
      <c r="F10" s="933">
        <f>'T-4 '!E52</f>
        <v>166.50549696499991</v>
      </c>
      <c r="G10" s="933">
        <f>'T-4 '!F52</f>
        <v>174.65764847930879</v>
      </c>
      <c r="H10" s="933">
        <f>'T-4 '!G52</f>
        <v>161.07818402199999</v>
      </c>
      <c r="I10" s="933">
        <f>'T-4 '!H52</f>
        <v>180.30913411229997</v>
      </c>
      <c r="J10" s="933">
        <f>'T-4 '!I52</f>
        <v>174.04056962999999</v>
      </c>
      <c r="K10" s="470">
        <f>SUM(E10:J10)</f>
        <v>1020.9537682086086</v>
      </c>
      <c r="L10" s="470">
        <f>'T-1'!N57-K10</f>
        <v>1004.0462317913914</v>
      </c>
      <c r="M10" s="470">
        <f>'T-1'!N57</f>
        <v>2025</v>
      </c>
      <c r="N10" s="736">
        <f>'T-1'!S57</f>
        <v>2123.0000019999998</v>
      </c>
    </row>
    <row r="11" spans="1:16">
      <c r="A11" s="681" t="s">
        <v>45</v>
      </c>
      <c r="B11" s="79">
        <f>('T-4 '!C34)</f>
        <v>2873.565261891601</v>
      </c>
      <c r="C11" s="899">
        <v>3510</v>
      </c>
      <c r="D11" s="79">
        <f>Sheet2!C8</f>
        <v>3507.2</v>
      </c>
      <c r="E11" s="933">
        <f>'T-4 '!D34</f>
        <v>260.89979605910014</v>
      </c>
      <c r="F11" s="933">
        <f>'T-4 '!E34</f>
        <v>279.77166203270025</v>
      </c>
      <c r="G11" s="933">
        <f>'T-4 '!F34</f>
        <v>328.12636764850021</v>
      </c>
      <c r="H11" s="933">
        <f>'T-4 '!G34</f>
        <v>295.31027724891993</v>
      </c>
      <c r="I11" s="933">
        <f>'T-4 '!H34</f>
        <v>252.06635692430018</v>
      </c>
      <c r="J11" s="933">
        <f>'T-4 '!I34</f>
        <v>249.63204578614011</v>
      </c>
      <c r="K11" s="470">
        <f>SUM(E11:J11)</f>
        <v>1665.8065056996606</v>
      </c>
      <c r="L11" s="470">
        <f>'T-1'!N38-K11</f>
        <v>1419.1934943003398</v>
      </c>
      <c r="M11" s="470">
        <f>'T-1'!N38</f>
        <v>3085.0000000000005</v>
      </c>
      <c r="N11" s="736">
        <f>'T-1'!S38</f>
        <v>3313.9999999999995</v>
      </c>
    </row>
    <row r="12" spans="1:16">
      <c r="A12" s="681" t="s">
        <v>147</v>
      </c>
      <c r="B12" s="470">
        <f>SUM(B9:B11)</f>
        <v>7355.7999799869012</v>
      </c>
      <c r="C12" s="470">
        <f>SUM(C9:C11)</f>
        <v>7110</v>
      </c>
      <c r="D12" s="470">
        <f t="shared" ref="D12" si="1">SUM(D9:D11)</f>
        <v>7477.2</v>
      </c>
      <c r="E12" s="470">
        <f t="shared" ref="E12:J12" si="2">SUM(E9:E11)</f>
        <v>622.25853105910016</v>
      </c>
      <c r="F12" s="470">
        <f t="shared" si="2"/>
        <v>727.69515899770022</v>
      </c>
      <c r="G12" s="470">
        <f t="shared" si="2"/>
        <v>829.86401612780901</v>
      </c>
      <c r="H12" s="470">
        <f t="shared" si="2"/>
        <v>820.10046127091982</v>
      </c>
      <c r="I12" s="470">
        <f t="shared" si="2"/>
        <v>891.70649103660014</v>
      </c>
      <c r="J12" s="470">
        <f t="shared" si="2"/>
        <v>925.85961541614017</v>
      </c>
      <c r="K12" s="470">
        <f t="shared" ref="K12:L12" si="3">SUM(K9:K11)</f>
        <v>4817.4842739082687</v>
      </c>
      <c r="L12" s="470">
        <f t="shared" si="3"/>
        <v>5253.5157260917322</v>
      </c>
      <c r="M12" s="470">
        <f t="shared" ref="M12" si="4">SUM(M9:M11)</f>
        <v>10071.000000000002</v>
      </c>
      <c r="N12" s="736">
        <f t="shared" ref="N12" si="5">SUM(N9:N11)</f>
        <v>10482.000001999999</v>
      </c>
      <c r="O12" s="221"/>
      <c r="P12" s="4"/>
    </row>
    <row r="13" spans="1:16">
      <c r="A13" s="681" t="s">
        <v>1980</v>
      </c>
      <c r="B13" s="909">
        <f>B6</f>
        <v>552</v>
      </c>
      <c r="C13" s="909"/>
      <c r="D13" s="909"/>
      <c r="E13" s="909"/>
      <c r="F13" s="909"/>
      <c r="G13" s="909">
        <f>G6</f>
        <v>110.366</v>
      </c>
      <c r="H13" s="909">
        <f t="shared" ref="H13:J13" si="6">H6</f>
        <v>176.714</v>
      </c>
      <c r="I13" s="909">
        <f t="shared" si="6"/>
        <v>224.37100000000001</v>
      </c>
      <c r="J13" s="909">
        <f t="shared" si="6"/>
        <v>304.154</v>
      </c>
      <c r="K13" s="909">
        <f>SUM(G13:J13)</f>
        <v>815.60500000000002</v>
      </c>
      <c r="L13" s="909">
        <f>L6</f>
        <v>1284.395</v>
      </c>
      <c r="M13" s="909">
        <f>M6</f>
        <v>2100</v>
      </c>
      <c r="N13" s="1064">
        <f>N6</f>
        <v>2000</v>
      </c>
      <c r="O13" s="221"/>
      <c r="P13" s="4"/>
    </row>
    <row r="14" spans="1:16">
      <c r="A14" s="681" t="s">
        <v>1981</v>
      </c>
      <c r="B14" s="909">
        <f>B12-B13</f>
        <v>6803.7999799869012</v>
      </c>
      <c r="C14" s="909"/>
      <c r="D14" s="909"/>
      <c r="E14" s="909"/>
      <c r="F14" s="909"/>
      <c r="G14" s="909">
        <f>G12-G13</f>
        <v>719.49801612780902</v>
      </c>
      <c r="H14" s="909">
        <f t="shared" ref="H14:J14" si="7">H12-H13</f>
        <v>643.38646127091988</v>
      </c>
      <c r="I14" s="909">
        <f t="shared" si="7"/>
        <v>667.33549103660016</v>
      </c>
      <c r="J14" s="909">
        <f t="shared" si="7"/>
        <v>621.70561541614018</v>
      </c>
      <c r="K14" s="909">
        <f>K12-K13</f>
        <v>4001.8792739082687</v>
      </c>
      <c r="L14" s="909">
        <f t="shared" ref="L14:M14" si="8">L12-L13</f>
        <v>3969.1207260917322</v>
      </c>
      <c r="M14" s="909">
        <f t="shared" si="8"/>
        <v>7971.0000000000018</v>
      </c>
      <c r="N14" s="1064">
        <f>N12-N13</f>
        <v>8482.0000019999989</v>
      </c>
      <c r="O14" s="221"/>
      <c r="P14" s="4"/>
    </row>
    <row r="15" spans="1:16">
      <c r="A15" s="681" t="s">
        <v>1854</v>
      </c>
      <c r="B15" s="909"/>
      <c r="C15" s="909"/>
      <c r="D15" s="909"/>
      <c r="E15" s="909"/>
      <c r="F15" s="909"/>
      <c r="G15" s="909"/>
      <c r="H15" s="909"/>
      <c r="I15" s="909"/>
      <c r="J15" s="909"/>
      <c r="K15" s="909"/>
      <c r="L15" s="909"/>
      <c r="M15" s="909"/>
      <c r="N15" s="1064"/>
      <c r="P15" s="4"/>
    </row>
    <row r="16" spans="1:16">
      <c r="A16" s="681" t="s">
        <v>91</v>
      </c>
      <c r="B16" s="1093"/>
      <c r="C16" s="470"/>
      <c r="D16" s="470"/>
      <c r="E16" s="470"/>
      <c r="F16" s="470"/>
      <c r="G16" s="470"/>
      <c r="H16" s="470"/>
      <c r="I16" s="470"/>
      <c r="J16" s="470"/>
      <c r="K16" s="470"/>
      <c r="L16" s="470"/>
      <c r="M16" s="470"/>
      <c r="N16" s="736"/>
      <c r="P16" s="4"/>
    </row>
    <row r="17" spans="1:16">
      <c r="A17" s="681" t="s">
        <v>77</v>
      </c>
      <c r="B17" s="470"/>
      <c r="C17" s="470"/>
      <c r="D17" s="470"/>
      <c r="E17" s="470"/>
      <c r="F17" s="470"/>
      <c r="G17" s="470"/>
      <c r="H17" s="470"/>
      <c r="I17" s="470"/>
      <c r="J17" s="470"/>
      <c r="K17" s="470"/>
      <c r="L17" s="470"/>
      <c r="M17" s="470"/>
      <c r="N17" s="736"/>
      <c r="P17" s="4"/>
    </row>
    <row r="18" spans="1:16">
      <c r="A18" s="681" t="s">
        <v>147</v>
      </c>
      <c r="B18" s="470"/>
      <c r="C18" s="470"/>
      <c r="D18" s="470"/>
      <c r="E18" s="470"/>
      <c r="F18" s="470"/>
      <c r="G18" s="470"/>
      <c r="H18" s="470"/>
      <c r="I18" s="470"/>
      <c r="J18" s="470"/>
      <c r="K18" s="470"/>
      <c r="L18" s="470"/>
      <c r="M18" s="470"/>
      <c r="N18" s="736"/>
      <c r="P18" s="4"/>
    </row>
    <row r="19" spans="1:16">
      <c r="A19" s="681" t="s">
        <v>1855</v>
      </c>
      <c r="B19" s="23"/>
      <c r="C19" s="23"/>
      <c r="D19" s="23"/>
      <c r="E19" s="23"/>
      <c r="F19" s="23"/>
      <c r="G19" s="23"/>
      <c r="H19" s="23"/>
      <c r="I19" s="23"/>
      <c r="J19" s="23"/>
      <c r="K19" s="23"/>
      <c r="L19" s="23"/>
      <c r="M19" s="23"/>
      <c r="N19" s="393"/>
    </row>
    <row r="20" spans="1:16">
      <c r="A20" s="681" t="s">
        <v>91</v>
      </c>
      <c r="B20" s="733">
        <f>'T-6'!I66</f>
        <v>182008.40258128001</v>
      </c>
      <c r="C20" s="896">
        <v>128788.3</v>
      </c>
      <c r="D20" s="36">
        <f>Sheet2!C24</f>
        <v>133214</v>
      </c>
      <c r="E20" s="898">
        <v>14566.83</v>
      </c>
      <c r="F20" s="898">
        <v>19369.080000000002</v>
      </c>
      <c r="G20" s="898">
        <v>21731.5</v>
      </c>
      <c r="H20" s="898">
        <v>23654.45</v>
      </c>
      <c r="I20" s="898">
        <v>28528.59</v>
      </c>
      <c r="J20" s="898">
        <v>31238.15</v>
      </c>
      <c r="K20" s="37">
        <f>'T-6 (six mth)'!I69</f>
        <v>139088.59969301996</v>
      </c>
      <c r="L20" s="37">
        <f>'T-7 (Curr)'!AL66-'T-7 (Curr)'!AI66</f>
        <v>162172.57581476049</v>
      </c>
      <c r="M20" s="354">
        <f>'T-7 (Curr)'!AL66-'T-7 (Curr)'!AI66+'T-6 (six mth)'!I69</f>
        <v>301261.17550778046</v>
      </c>
      <c r="N20" s="434">
        <f>'T-8'!BQ66-'T-8'!BN66</f>
        <v>309688.81590243429</v>
      </c>
      <c r="P20" s="7"/>
    </row>
    <row r="21" spans="1:16">
      <c r="A21" s="681" t="s">
        <v>77</v>
      </c>
      <c r="B21" s="733">
        <f>'T-6'!I54</f>
        <v>115738.56271043902</v>
      </c>
      <c r="C21" s="897">
        <v>115931.53</v>
      </c>
      <c r="D21" s="36">
        <f>Sheet2!C23</f>
        <v>117707</v>
      </c>
      <c r="E21" s="898">
        <v>10629.78</v>
      </c>
      <c r="F21" s="898">
        <v>10363.049999999999</v>
      </c>
      <c r="G21" s="898">
        <v>10888.99</v>
      </c>
      <c r="H21" s="898">
        <v>10110.969999999999</v>
      </c>
      <c r="I21" s="898">
        <v>11020.94</v>
      </c>
      <c r="J21" s="898">
        <v>10516.03</v>
      </c>
      <c r="K21" s="37">
        <f>'T-6 (six mth)'!I56</f>
        <v>63529.750353141004</v>
      </c>
      <c r="L21" s="37">
        <f>'T-7 (Curr)'!AL53-'T-7 (Curr)'!AI53</f>
        <v>61914.242124566023</v>
      </c>
      <c r="M21" s="354">
        <f>'T-7 (Curr)'!AL53-'T-7 (Curr)'!AI53+'T-6 (six mth)'!I56</f>
        <v>125443.99247770703</v>
      </c>
      <c r="N21" s="434">
        <f>'T-8'!BQ53-'T-8'!BN53</f>
        <v>131803.4288594519</v>
      </c>
      <c r="P21" s="7"/>
    </row>
    <row r="22" spans="1:16">
      <c r="A22" s="681" t="s">
        <v>45</v>
      </c>
      <c r="B22" s="733">
        <f>'T-6'!I37</f>
        <v>137906.39402722349</v>
      </c>
      <c r="C22" s="897">
        <v>159151.01</v>
      </c>
      <c r="D22" s="36">
        <f>Sheet2!C22</f>
        <v>161027</v>
      </c>
      <c r="E22" s="898">
        <v>13099.54</v>
      </c>
      <c r="F22" s="898">
        <v>14638.57</v>
      </c>
      <c r="G22" s="898">
        <v>15448.71</v>
      </c>
      <c r="H22" s="898">
        <v>14117.49</v>
      </c>
      <c r="I22" s="898">
        <v>11695.57</v>
      </c>
      <c r="J22" s="898">
        <v>11793.39</v>
      </c>
      <c r="K22" s="37">
        <f>'T-6 (six mth)'!I38</f>
        <v>80423.354874849989</v>
      </c>
      <c r="L22" s="37">
        <f>'T-7 (Curr)'!AL35-'T-7 (Curr)'!AI35</f>
        <v>76056.677603617354</v>
      </c>
      <c r="M22" s="354">
        <f>'T-7 (Curr)'!AL35-'T-7 (Curr)'!AI35+'T-6 (six mth)'!I38</f>
        <v>156480.03247846733</v>
      </c>
      <c r="N22" s="434">
        <f>'T-8'!BQ34-'T-8'!BN34</f>
        <v>175690.13805103442</v>
      </c>
      <c r="P22" s="7"/>
    </row>
    <row r="23" spans="1:16">
      <c r="A23" s="681" t="s">
        <v>147</v>
      </c>
      <c r="B23" s="1065">
        <f>SUM(B20:B22)</f>
        <v>435653.35931894253</v>
      </c>
      <c r="C23" s="37">
        <f>SUM(C20:C22)</f>
        <v>403870.84</v>
      </c>
      <c r="D23" s="37">
        <f>SUM(D20:D22)</f>
        <v>411948</v>
      </c>
      <c r="E23" s="37">
        <f t="shared" ref="E23:N23" si="9">SUM(E20:E22)</f>
        <v>38296.15</v>
      </c>
      <c r="F23" s="37">
        <f t="shared" si="9"/>
        <v>44370.7</v>
      </c>
      <c r="G23" s="37">
        <f t="shared" si="9"/>
        <v>48069.2</v>
      </c>
      <c r="H23" s="37">
        <f t="shared" si="9"/>
        <v>47882.909999999996</v>
      </c>
      <c r="I23" s="37">
        <f t="shared" si="9"/>
        <v>51245.1</v>
      </c>
      <c r="J23" s="37">
        <f t="shared" si="9"/>
        <v>53547.57</v>
      </c>
      <c r="K23" s="37">
        <f t="shared" si="9"/>
        <v>283041.704921011</v>
      </c>
      <c r="L23" s="37">
        <f t="shared" si="9"/>
        <v>300143.49554294389</v>
      </c>
      <c r="M23" s="37">
        <f t="shared" si="9"/>
        <v>583185.20046395482</v>
      </c>
      <c r="N23" s="737">
        <f t="shared" si="9"/>
        <v>617182.38281292061</v>
      </c>
      <c r="P23" s="7"/>
    </row>
    <row r="24" spans="1:16">
      <c r="A24" s="681" t="s">
        <v>2179</v>
      </c>
      <c r="B24" s="1066">
        <f>B13*5.45*10</f>
        <v>30084</v>
      </c>
      <c r="C24" s="354"/>
      <c r="D24" s="354"/>
      <c r="E24" s="354"/>
      <c r="F24" s="354"/>
      <c r="G24" s="1066">
        <f t="shared" ref="G24:N24" si="10">G13*5.45*10</f>
        <v>6014.9470000000001</v>
      </c>
      <c r="H24" s="1066">
        <f t="shared" si="10"/>
        <v>9630.9130000000005</v>
      </c>
      <c r="I24" s="1066">
        <f t="shared" si="10"/>
        <v>12228.219499999999</v>
      </c>
      <c r="J24" s="1066">
        <f t="shared" si="10"/>
        <v>16576.393</v>
      </c>
      <c r="K24" s="1066">
        <f t="shared" si="10"/>
        <v>44450.472500000003</v>
      </c>
      <c r="L24" s="1066">
        <f t="shared" si="10"/>
        <v>69999.527499999997</v>
      </c>
      <c r="M24" s="1066">
        <f t="shared" si="10"/>
        <v>114450</v>
      </c>
      <c r="N24" s="738">
        <f t="shared" si="10"/>
        <v>109000</v>
      </c>
      <c r="P24" s="7"/>
    </row>
    <row r="25" spans="1:16">
      <c r="A25" s="681" t="s">
        <v>2182</v>
      </c>
      <c r="B25" s="1066">
        <f>B23-B24</f>
        <v>405569.35931894253</v>
      </c>
      <c r="C25" s="354"/>
      <c r="D25" s="354"/>
      <c r="E25" s="354"/>
      <c r="F25" s="354"/>
      <c r="G25" s="1066">
        <f t="shared" ref="G25:M25" si="11">G23-G24</f>
        <v>42054.252999999997</v>
      </c>
      <c r="H25" s="1066">
        <f t="shared" si="11"/>
        <v>38251.996999999996</v>
      </c>
      <c r="I25" s="1066">
        <f t="shared" si="11"/>
        <v>39016.880499999999</v>
      </c>
      <c r="J25" s="1066">
        <f t="shared" si="11"/>
        <v>36971.176999999996</v>
      </c>
      <c r="K25" s="1066">
        <f t="shared" si="11"/>
        <v>238591.23242101099</v>
      </c>
      <c r="L25" s="1066">
        <f t="shared" si="11"/>
        <v>230143.96804294389</v>
      </c>
      <c r="M25" s="1066">
        <f t="shared" si="11"/>
        <v>468735.20046395482</v>
      </c>
      <c r="N25" s="738">
        <f>N23-N24</f>
        <v>508182.38281292061</v>
      </c>
      <c r="P25" s="7"/>
    </row>
    <row r="26" spans="1:16">
      <c r="A26" s="98"/>
      <c r="B26" s="23"/>
      <c r="C26" s="23"/>
      <c r="D26" s="36"/>
      <c r="E26" s="36"/>
      <c r="F26" s="36"/>
      <c r="G26" s="36"/>
      <c r="H26" s="36"/>
      <c r="I26" s="36"/>
      <c r="J26" s="36"/>
      <c r="K26" s="23"/>
      <c r="L26" s="23"/>
      <c r="M26" s="23"/>
      <c r="N26" s="393"/>
    </row>
    <row r="27" spans="1:16">
      <c r="A27" s="681" t="s">
        <v>1856</v>
      </c>
      <c r="B27" s="23"/>
      <c r="C27" s="23"/>
      <c r="D27" s="36"/>
      <c r="E27" s="36"/>
      <c r="F27" s="36"/>
      <c r="G27" s="36"/>
      <c r="H27" s="36"/>
      <c r="I27" s="36"/>
      <c r="J27" s="36"/>
      <c r="K27" s="23"/>
      <c r="L27" s="23"/>
      <c r="M27" s="23"/>
      <c r="N27" s="393"/>
    </row>
    <row r="28" spans="1:16">
      <c r="A28" s="681" t="s">
        <v>91</v>
      </c>
      <c r="B28" s="904">
        <v>184440.19</v>
      </c>
      <c r="C28" s="900">
        <f t="shared" ref="C28" si="12">C20</f>
        <v>128788.3</v>
      </c>
      <c r="D28" s="900">
        <f>D20</f>
        <v>133214</v>
      </c>
      <c r="E28" s="901">
        <v>16006.38</v>
      </c>
      <c r="F28" s="901">
        <v>19757.28</v>
      </c>
      <c r="G28" s="901">
        <v>24758.69</v>
      </c>
      <c r="H28" s="901">
        <v>25778.65</v>
      </c>
      <c r="I28" s="901">
        <v>29038.16</v>
      </c>
      <c r="J28" s="901">
        <v>35071.19</v>
      </c>
      <c r="K28" s="37">
        <f>SUM(E28:J28)</f>
        <v>150410.35</v>
      </c>
      <c r="L28" s="886">
        <f>L20</f>
        <v>162172.57581476049</v>
      </c>
      <c r="M28" s="902">
        <f>M20</f>
        <v>301261.17550778046</v>
      </c>
      <c r="N28" s="903">
        <f t="shared" ref="N28" si="13">N20</f>
        <v>309688.81590243429</v>
      </c>
      <c r="O28" s="7"/>
    </row>
    <row r="29" spans="1:16">
      <c r="A29" s="681" t="s">
        <v>77</v>
      </c>
      <c r="B29" s="904">
        <v>116258.91</v>
      </c>
      <c r="C29" s="900">
        <f>C21</f>
        <v>115931.53</v>
      </c>
      <c r="D29" s="900">
        <f>D21</f>
        <v>117707</v>
      </c>
      <c r="E29" s="901">
        <v>10432.9</v>
      </c>
      <c r="F29" s="901">
        <v>10479.02</v>
      </c>
      <c r="G29" s="901">
        <v>10909.9</v>
      </c>
      <c r="H29" s="901">
        <v>10225.58</v>
      </c>
      <c r="I29" s="901">
        <v>11096.57</v>
      </c>
      <c r="J29" s="901">
        <v>10967.09</v>
      </c>
      <c r="K29" s="37">
        <f>SUM(E29:J29)</f>
        <v>64111.06</v>
      </c>
      <c r="L29" s="886">
        <f>L21</f>
        <v>61914.242124566023</v>
      </c>
      <c r="M29" s="902">
        <f>M21</f>
        <v>125443.99247770703</v>
      </c>
      <c r="N29" s="903">
        <f>N21</f>
        <v>131803.4288594519</v>
      </c>
    </row>
    <row r="30" spans="1:16">
      <c r="A30" s="681" t="s">
        <v>45</v>
      </c>
      <c r="B30" s="904">
        <v>104165.97</v>
      </c>
      <c r="C30" s="900">
        <f>C31-C29-C28</f>
        <v>142996.17640000005</v>
      </c>
      <c r="D30" s="900">
        <f>D31-D29-D28</f>
        <v>156907.52000000002</v>
      </c>
      <c r="E30" s="901">
        <v>5756.5</v>
      </c>
      <c r="F30" s="901">
        <v>7291.87</v>
      </c>
      <c r="G30" s="901">
        <v>10747.09</v>
      </c>
      <c r="H30" s="901">
        <v>10471.959999999999</v>
      </c>
      <c r="I30" s="901">
        <v>9019.85</v>
      </c>
      <c r="J30" s="901">
        <v>10069.030000000001</v>
      </c>
      <c r="K30" s="37">
        <f>SUM(E30:J30)</f>
        <v>53356.299999999996</v>
      </c>
      <c r="L30" s="886">
        <f>L22*0.8</f>
        <v>60845.342082893883</v>
      </c>
      <c r="M30" s="354">
        <f>M31-M29-M28</f>
        <v>140150.84686547657</v>
      </c>
      <c r="N30" s="738">
        <f>N31-N29-N28</f>
        <v>169518.3142229052</v>
      </c>
    </row>
    <row r="31" spans="1:16">
      <c r="A31" s="681" t="s">
        <v>147</v>
      </c>
      <c r="B31" s="1065">
        <f>SUM(B28:B30)</f>
        <v>404865.06999999995</v>
      </c>
      <c r="C31" s="37">
        <f>C23*C37</f>
        <v>387716.00640000001</v>
      </c>
      <c r="D31" s="37">
        <f>D23*D37</f>
        <v>407828.52</v>
      </c>
      <c r="E31" s="37">
        <f t="shared" ref="E31:K31" si="14">SUM(E28:E30)</f>
        <v>32195.78</v>
      </c>
      <c r="F31" s="37">
        <f t="shared" si="14"/>
        <v>37528.17</v>
      </c>
      <c r="G31" s="37">
        <f t="shared" si="14"/>
        <v>46415.679999999993</v>
      </c>
      <c r="H31" s="37">
        <f t="shared" si="14"/>
        <v>46476.19</v>
      </c>
      <c r="I31" s="37">
        <f t="shared" si="14"/>
        <v>49154.579999999994</v>
      </c>
      <c r="J31" s="37">
        <f t="shared" si="14"/>
        <v>56107.31</v>
      </c>
      <c r="K31" s="37">
        <f t="shared" si="14"/>
        <v>267877.71000000002</v>
      </c>
      <c r="L31" s="37">
        <f>SUM(L28:L30)</f>
        <v>284932.1600222204</v>
      </c>
      <c r="M31" s="37">
        <f>M23*M37</f>
        <v>566856.01485096407</v>
      </c>
      <c r="N31" s="737">
        <f>N23*N37</f>
        <v>611010.55898479139</v>
      </c>
    </row>
    <row r="32" spans="1:16">
      <c r="A32" s="681" t="s">
        <v>2180</v>
      </c>
      <c r="B32" s="1067">
        <f>B24</f>
        <v>30084</v>
      </c>
      <c r="C32" s="354"/>
      <c r="D32" s="354"/>
      <c r="E32" s="354"/>
      <c r="F32" s="354"/>
      <c r="G32" s="1067">
        <f t="shared" ref="G32:N32" si="15">G24</f>
        <v>6014.9470000000001</v>
      </c>
      <c r="H32" s="1067">
        <f t="shared" si="15"/>
        <v>9630.9130000000005</v>
      </c>
      <c r="I32" s="1067">
        <f t="shared" si="15"/>
        <v>12228.219499999999</v>
      </c>
      <c r="J32" s="1067">
        <f t="shared" si="15"/>
        <v>16576.393</v>
      </c>
      <c r="K32" s="1067">
        <f t="shared" si="15"/>
        <v>44450.472500000003</v>
      </c>
      <c r="L32" s="1067">
        <f t="shared" si="15"/>
        <v>69999.527499999997</v>
      </c>
      <c r="M32" s="1067">
        <f t="shared" si="15"/>
        <v>114450</v>
      </c>
      <c r="N32" s="738">
        <f t="shared" si="15"/>
        <v>109000</v>
      </c>
    </row>
    <row r="33" spans="1:15">
      <c r="A33" s="681" t="s">
        <v>2181</v>
      </c>
      <c r="B33" s="1067">
        <f>B31-B32</f>
        <v>374781.06999999995</v>
      </c>
      <c r="C33" s="1094"/>
      <c r="D33" s="354"/>
      <c r="E33" s="354"/>
      <c r="F33" s="354"/>
      <c r="G33" s="1067">
        <f t="shared" ref="G33:M33" si="16">G31-G32</f>
        <v>40400.732999999993</v>
      </c>
      <c r="H33" s="1067">
        <f t="shared" si="16"/>
        <v>36845.277000000002</v>
      </c>
      <c r="I33" s="1067">
        <f t="shared" si="16"/>
        <v>36926.360499999995</v>
      </c>
      <c r="J33" s="1067">
        <f t="shared" si="16"/>
        <v>39530.917000000001</v>
      </c>
      <c r="K33" s="1067">
        <f t="shared" si="16"/>
        <v>223427.23750000002</v>
      </c>
      <c r="L33" s="1067">
        <f t="shared" si="16"/>
        <v>214932.6325222204</v>
      </c>
      <c r="M33" s="1067">
        <f t="shared" si="16"/>
        <v>452406.01485096407</v>
      </c>
      <c r="N33" s="738">
        <f>N31-N32</f>
        <v>502010.55898479139</v>
      </c>
    </row>
    <row r="34" spans="1:15">
      <c r="A34" s="681"/>
      <c r="B34" s="37"/>
      <c r="C34" s="37"/>
      <c r="D34" s="37"/>
      <c r="E34" s="37"/>
      <c r="F34" s="37"/>
      <c r="G34" s="37"/>
      <c r="H34" s="37"/>
      <c r="I34" s="37"/>
      <c r="J34" s="37"/>
      <c r="K34" s="37"/>
      <c r="L34" s="37"/>
      <c r="M34" s="37"/>
      <c r="N34" s="737"/>
    </row>
    <row r="35" spans="1:15">
      <c r="A35" s="1090" t="s">
        <v>2183</v>
      </c>
      <c r="B35" s="1091"/>
      <c r="C35" s="1091"/>
      <c r="D35" s="1091"/>
      <c r="E35" s="1091"/>
      <c r="F35" s="1091"/>
      <c r="G35" s="1091"/>
      <c r="H35" s="1091"/>
      <c r="I35" s="1091"/>
      <c r="J35" s="1091"/>
      <c r="K35" s="1091"/>
      <c r="L35" s="1091"/>
      <c r="M35" s="1091"/>
      <c r="N35" s="1092"/>
    </row>
    <row r="36" spans="1:15">
      <c r="A36" s="1081" t="s">
        <v>1712</v>
      </c>
      <c r="B36" s="1082">
        <f t="shared" ref="B36:N36" si="17">(B5-B12)/B5</f>
        <v>0.21017536787803362</v>
      </c>
      <c r="C36" s="1082">
        <f t="shared" si="17"/>
        <v>0.21</v>
      </c>
      <c r="D36" s="1082">
        <f t="shared" si="17"/>
        <v>0.19600000000000001</v>
      </c>
      <c r="E36" s="1082">
        <f t="shared" si="17"/>
        <v>0.36402637203534444</v>
      </c>
      <c r="F36" s="1082">
        <f t="shared" si="17"/>
        <v>0.26949553530720211</v>
      </c>
      <c r="G36" s="1082">
        <f t="shared" si="17"/>
        <v>0.14488883616622128</v>
      </c>
      <c r="H36" s="1082">
        <f t="shared" si="17"/>
        <v>0.23583369265319226</v>
      </c>
      <c r="I36" s="1082">
        <f t="shared" si="17"/>
        <v>0.19188653205771175</v>
      </c>
      <c r="J36" s="1082">
        <f t="shared" si="17"/>
        <v>0.24409206449743662</v>
      </c>
      <c r="K36" s="1082">
        <f t="shared" si="17"/>
        <v>0.24092667415324248</v>
      </c>
      <c r="L36" s="1082">
        <f t="shared" si="17"/>
        <v>0.11757029191184565</v>
      </c>
      <c r="M36" s="1083">
        <f t="shared" si="17"/>
        <v>0.18121951219512181</v>
      </c>
      <c r="N36" s="1084">
        <f t="shared" si="17"/>
        <v>0.1810937498437501</v>
      </c>
      <c r="O36" s="727"/>
    </row>
    <row r="37" spans="1:15">
      <c r="A37" s="1081" t="s">
        <v>1700</v>
      </c>
      <c r="B37" s="1082">
        <f>B31/B23</f>
        <v>0.92932847030704879</v>
      </c>
      <c r="C37" s="1085">
        <v>0.96</v>
      </c>
      <c r="D37" s="1085">
        <v>0.99</v>
      </c>
      <c r="E37" s="1082">
        <f t="shared" ref="E37:L37" si="18">E31/E23</f>
        <v>0.84070539727883864</v>
      </c>
      <c r="F37" s="1082">
        <f t="shared" si="18"/>
        <v>0.84578719740729813</v>
      </c>
      <c r="G37" s="1082">
        <f t="shared" si="18"/>
        <v>0.96560125818611497</v>
      </c>
      <c r="H37" s="1082">
        <f t="shared" si="18"/>
        <v>0.97062166856609189</v>
      </c>
      <c r="I37" s="1082">
        <f t="shared" si="18"/>
        <v>0.95920546549816466</v>
      </c>
      <c r="J37" s="1082">
        <f t="shared" si="18"/>
        <v>1.0478031029232513</v>
      </c>
      <c r="K37" s="1082">
        <f t="shared" si="18"/>
        <v>0.94642487429461031</v>
      </c>
      <c r="L37" s="1082">
        <f t="shared" si="18"/>
        <v>0.94931978954530738</v>
      </c>
      <c r="M37" s="1082">
        <f>'T-1'!N76</f>
        <v>0.97199999999999998</v>
      </c>
      <c r="N37" s="1086">
        <f>'T-1'!S76</f>
        <v>0.99</v>
      </c>
      <c r="O37" s="728"/>
    </row>
    <row r="38" spans="1:15">
      <c r="A38" s="1081" t="s">
        <v>1857</v>
      </c>
      <c r="B38" s="1087">
        <f t="shared" ref="B38:L38" si="19">1-(100%-B36)*B37</f>
        <v>0.26599348281926538</v>
      </c>
      <c r="C38" s="1087">
        <f>1-(100%-C36)*C37</f>
        <v>0.24160000000000004</v>
      </c>
      <c r="D38" s="1087">
        <f>1-(100%-D36)*D37</f>
        <v>0.20404</v>
      </c>
      <c r="E38" s="1087">
        <f t="shared" si="19"/>
        <v>0.46533353844310998</v>
      </c>
      <c r="F38" s="1087">
        <f t="shared" si="19"/>
        <v>0.38214867611395997</v>
      </c>
      <c r="G38" s="1087">
        <f t="shared" si="19"/>
        <v>0.17430358431311022</v>
      </c>
      <c r="H38" s="1087">
        <f t="shared" si="19"/>
        <v>0.25828362370105251</v>
      </c>
      <c r="I38" s="1087">
        <f t="shared" si="19"/>
        <v>0.2248531448070813</v>
      </c>
      <c r="J38" s="1087">
        <f t="shared" si="19"/>
        <v>0.2079573196561052</v>
      </c>
      <c r="K38" s="1087">
        <f t="shared" si="19"/>
        <v>0.28159412300509079</v>
      </c>
      <c r="L38" s="1087">
        <f t="shared" si="19"/>
        <v>0.16229201522922632</v>
      </c>
      <c r="M38" s="1088">
        <f t="shared" ref="M38:N38" si="20">1-(100%-M36)*M37</f>
        <v>0.20414536585365839</v>
      </c>
      <c r="N38" s="1089">
        <f t="shared" si="20"/>
        <v>0.18928281234531263</v>
      </c>
      <c r="O38" s="729"/>
    </row>
    <row r="39" spans="1:15" ht="13.5" thickBot="1">
      <c r="A39" s="739"/>
      <c r="B39" s="435"/>
      <c r="C39" s="435"/>
      <c r="D39" s="435"/>
      <c r="E39" s="435"/>
      <c r="F39" s="435"/>
      <c r="G39" s="435"/>
      <c r="H39" s="435"/>
      <c r="I39" s="435"/>
      <c r="J39" s="435"/>
      <c r="K39" s="435"/>
      <c r="L39" s="435"/>
      <c r="M39" s="435"/>
      <c r="N39" s="740"/>
    </row>
    <row r="40" spans="1:15" ht="13.5" thickBot="1"/>
    <row r="41" spans="1:15">
      <c r="A41" s="1068" t="s">
        <v>2178</v>
      </c>
      <c r="B41" s="1979"/>
      <c r="C41" s="1980"/>
      <c r="D41" s="1980"/>
      <c r="E41" s="1980"/>
      <c r="F41" s="1980"/>
      <c r="G41" s="1980"/>
      <c r="H41" s="1980"/>
      <c r="I41" s="1980"/>
      <c r="J41" s="1980"/>
      <c r="K41" s="1980"/>
      <c r="L41" s="1980"/>
      <c r="M41" s="1980"/>
      <c r="N41" s="1981"/>
    </row>
    <row r="42" spans="1:15">
      <c r="A42" s="1069" t="s">
        <v>1712</v>
      </c>
      <c r="B42" s="1071">
        <f>(B7-B14)/B7</f>
        <v>0.22341747119904382</v>
      </c>
      <c r="C42" s="1072"/>
      <c r="D42" s="1072"/>
      <c r="E42" s="1072"/>
      <c r="F42" s="1072"/>
      <c r="G42" s="1073">
        <f>(G7-G14)/G7</f>
        <v>0.16348043454248939</v>
      </c>
      <c r="H42" s="1073">
        <f t="shared" ref="H42:M42" si="21">(H7-H14)/H7</f>
        <v>0.28232107416495483</v>
      </c>
      <c r="I42" s="1073">
        <f t="shared" si="21"/>
        <v>0.24086296741843616</v>
      </c>
      <c r="J42" s="1073">
        <f t="shared" si="21"/>
        <v>0.32473007603087251</v>
      </c>
      <c r="K42" s="1073">
        <f t="shared" si="21"/>
        <v>0.27645434385525453</v>
      </c>
      <c r="L42" s="1073">
        <f t="shared" si="21"/>
        <v>0.14991220278920456</v>
      </c>
      <c r="M42" s="1073">
        <f t="shared" si="21"/>
        <v>0.21852941176470569</v>
      </c>
      <c r="N42" s="1074">
        <f t="shared" ref="N42" si="22">(N7-N14)/N7</f>
        <v>0.21462962944444455</v>
      </c>
    </row>
    <row r="43" spans="1:15">
      <c r="A43" s="1069" t="s">
        <v>1700</v>
      </c>
      <c r="B43" s="1071">
        <f>B33/B25</f>
        <v>0.92408625402411015</v>
      </c>
      <c r="C43" s="1075"/>
      <c r="D43" s="1075"/>
      <c r="E43" s="1076"/>
      <c r="F43" s="1076"/>
      <c r="G43" s="1073">
        <f t="shared" ref="G43:M43" si="23">G33/G25</f>
        <v>0.96068126569743129</v>
      </c>
      <c r="H43" s="1073">
        <f t="shared" si="23"/>
        <v>0.96322492653128688</v>
      </c>
      <c r="I43" s="1073">
        <f t="shared" si="23"/>
        <v>0.94642011423747718</v>
      </c>
      <c r="J43" s="1073">
        <f t="shared" si="23"/>
        <v>1.0692360970817891</v>
      </c>
      <c r="K43" s="1073">
        <f t="shared" si="23"/>
        <v>0.93644362046693719</v>
      </c>
      <c r="L43" s="1073">
        <f t="shared" si="23"/>
        <v>0.93390513055773372</v>
      </c>
      <c r="M43" s="1073">
        <f t="shared" si="23"/>
        <v>0.9651633041494897</v>
      </c>
      <c r="N43" s="1074">
        <f>N33/N25</f>
        <v>0.98785510077313865</v>
      </c>
    </row>
    <row r="44" spans="1:15" ht="13.5" thickBot="1">
      <c r="A44" s="1070" t="s">
        <v>1857</v>
      </c>
      <c r="B44" s="1077">
        <f>1-(1-B42)*B43</f>
        <v>0.2823707600197537</v>
      </c>
      <c r="C44" s="1078"/>
      <c r="D44" s="1078"/>
      <c r="E44" s="1078"/>
      <c r="F44" s="1078"/>
      <c r="G44" s="1079">
        <f>1-(1-G42)*G43</f>
        <v>0.1963713250756135</v>
      </c>
      <c r="H44" s="1079">
        <f t="shared" ref="H44:N44" si="24">1-(1-H42)*H43</f>
        <v>0.3087137693894858</v>
      </c>
      <c r="I44" s="1079">
        <f t="shared" si="24"/>
        <v>0.28153744290225691</v>
      </c>
      <c r="J44" s="1079">
        <f t="shared" si="24"/>
        <v>0.27797702201853358</v>
      </c>
      <c r="K44" s="1079">
        <f t="shared" si="24"/>
        <v>0.32244028618668885</v>
      </c>
      <c r="L44" s="1079">
        <f t="shared" si="24"/>
        <v>0.20609864476031581</v>
      </c>
      <c r="M44" s="1079">
        <f t="shared" si="24"/>
        <v>0.24575326496317795</v>
      </c>
      <c r="N44" s="1080">
        <f t="shared" si="24"/>
        <v>0.22416787345060452</v>
      </c>
    </row>
    <row r="46" spans="1:15">
      <c r="B46" s="99"/>
    </row>
    <row r="47" spans="1:15">
      <c r="M47" s="506"/>
    </row>
  </sheetData>
  <mergeCells count="3">
    <mergeCell ref="E2:J2"/>
    <mergeCell ref="A1:N1"/>
    <mergeCell ref="B41:N41"/>
  </mergeCells>
  <printOptions horizontalCentered="1" gridLines="1"/>
  <pageMargins left="0.19685039370078741" right="0" top="0.78740157480314965" bottom="0.19685039370078741" header="0" footer="0"/>
  <pageSetup paperSize="9" scale="92" orientation="landscape"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73">
    <tabColor rgb="FF00B050"/>
    <pageSetUpPr fitToPage="1"/>
  </sheetPr>
  <dimension ref="A1:O286"/>
  <sheetViews>
    <sheetView topLeftCell="A4" workbookViewId="0">
      <pane xSplit="1" ySplit="6" topLeftCell="B83" activePane="bottomRight" state="frozen"/>
      <selection activeCell="G8" sqref="G8"/>
      <selection pane="topRight" activeCell="G8" sqref="G8"/>
      <selection pane="bottomLeft" activeCell="G8" sqref="G8"/>
      <selection pane="bottomRight" activeCell="C94" sqref="C94"/>
    </sheetView>
  </sheetViews>
  <sheetFormatPr defaultRowHeight="12.75"/>
  <cols>
    <col min="1" max="1" width="22.85546875" customWidth="1"/>
    <col min="2" max="2" width="10.28515625" customWidth="1"/>
    <col min="3" max="3" width="12.140625" bestFit="1" customWidth="1"/>
    <col min="4" max="4" width="9.5703125" customWidth="1"/>
    <col min="5" max="5" width="29.5703125" customWidth="1"/>
    <col min="6" max="6" width="15.7109375" customWidth="1"/>
    <col min="7" max="7" width="12.85546875" customWidth="1"/>
    <col min="8" max="8" width="13.42578125" customWidth="1"/>
    <col min="9" max="9" width="11.85546875" customWidth="1"/>
    <col min="10" max="10" width="8.42578125" bestFit="1" customWidth="1"/>
    <col min="11" max="11" width="30.28515625" bestFit="1" customWidth="1"/>
    <col min="17" max="17" width="13.28515625" customWidth="1"/>
  </cols>
  <sheetData>
    <row r="1" spans="1:5">
      <c r="A1" s="2" t="s">
        <v>1585</v>
      </c>
    </row>
    <row r="2" spans="1:5">
      <c r="A2" s="2" t="s">
        <v>1586</v>
      </c>
    </row>
    <row r="3" spans="1:5">
      <c r="A3" s="2" t="s">
        <v>1587</v>
      </c>
    </row>
    <row r="4" spans="1:5">
      <c r="D4" s="887" t="s">
        <v>1963</v>
      </c>
    </row>
    <row r="5" spans="1:5">
      <c r="A5" s="506" t="s">
        <v>1588</v>
      </c>
      <c r="B5" s="269">
        <v>0</v>
      </c>
    </row>
    <row r="6" spans="1:5" ht="12.75" customHeight="1">
      <c r="A6" s="2" t="s">
        <v>1589</v>
      </c>
      <c r="B6" s="916" t="s">
        <v>1590</v>
      </c>
      <c r="C6" s="3" t="s">
        <v>1591</v>
      </c>
      <c r="D6" s="3" t="s">
        <v>1961</v>
      </c>
    </row>
    <row r="7" spans="1:5">
      <c r="A7" t="s">
        <v>1592</v>
      </c>
      <c r="B7" s="7">
        <f>28570.41041*0</f>
        <v>0</v>
      </c>
      <c r="C7" s="7">
        <f>B10*0</f>
        <v>0</v>
      </c>
      <c r="D7" s="7">
        <f>C10</f>
        <v>0</v>
      </c>
      <c r="E7" s="7"/>
    </row>
    <row r="8" spans="1:5">
      <c r="A8" s="506"/>
      <c r="C8" s="7"/>
      <c r="D8" s="7"/>
      <c r="E8" s="7"/>
    </row>
    <row r="9" spans="1:5">
      <c r="A9" s="506" t="s">
        <v>1593</v>
      </c>
      <c r="B9">
        <v>0</v>
      </c>
      <c r="C9" s="7">
        <f>'F-23 CASHFLOW'!B32</f>
        <v>0</v>
      </c>
      <c r="D9" s="7">
        <f>'F-23 CASHFLOW'!C32</f>
        <v>0</v>
      </c>
    </row>
    <row r="10" spans="1:5">
      <c r="A10" s="506" t="s">
        <v>1594</v>
      </c>
      <c r="B10" s="7">
        <f>(B7+B8-B9)*0</f>
        <v>0</v>
      </c>
      <c r="C10" s="7">
        <f>C7+C8-C9</f>
        <v>0</v>
      </c>
      <c r="D10" s="7">
        <f>D7+D8-D9</f>
        <v>0</v>
      </c>
    </row>
    <row r="12" spans="1:5">
      <c r="A12" s="506" t="s">
        <v>1595</v>
      </c>
      <c r="B12" s="7">
        <v>0</v>
      </c>
      <c r="C12" s="7">
        <v>0</v>
      </c>
      <c r="D12" s="7">
        <v>0</v>
      </c>
    </row>
    <row r="13" spans="1:5">
      <c r="A13" s="506" t="s">
        <v>1596</v>
      </c>
      <c r="B13" s="7">
        <v>0</v>
      </c>
      <c r="C13" s="7">
        <v>0</v>
      </c>
      <c r="D13" s="7">
        <v>0</v>
      </c>
    </row>
    <row r="14" spans="1:5">
      <c r="A14" s="3" t="s">
        <v>1597</v>
      </c>
      <c r="B14" s="12">
        <f>SUM(B12:B13)</f>
        <v>0</v>
      </c>
      <c r="C14" s="12">
        <f>SUM(C12:C13)</f>
        <v>0</v>
      </c>
      <c r="D14" s="12">
        <f>SUM(D12:D13)</f>
        <v>0</v>
      </c>
    </row>
    <row r="15" spans="1:5">
      <c r="A15" s="2" t="s">
        <v>1598</v>
      </c>
      <c r="B15" s="12"/>
      <c r="C15" s="12"/>
      <c r="D15" s="12"/>
    </row>
    <row r="16" spans="1:5">
      <c r="A16" s="506" t="s">
        <v>1599</v>
      </c>
      <c r="B16" s="269">
        <v>0</v>
      </c>
      <c r="C16" s="12"/>
      <c r="D16" s="12"/>
    </row>
    <row r="17" spans="1:7">
      <c r="A17" s="506" t="s">
        <v>1592</v>
      </c>
      <c r="B17" s="312">
        <f>5782.32542*0</f>
        <v>0</v>
      </c>
      <c r="C17" s="12">
        <f>B20*0</f>
        <v>0</v>
      </c>
      <c r="D17" s="12">
        <f>C20*0</f>
        <v>0</v>
      </c>
      <c r="G17" s="7"/>
    </row>
    <row r="18" spans="1:7">
      <c r="A18" s="506" t="s">
        <v>1600</v>
      </c>
      <c r="B18" s="911">
        <f>(15680.09982-13729.55033)*0+91788/10^5</f>
        <v>0.91788000000000003</v>
      </c>
      <c r="C18" s="312">
        <v>0</v>
      </c>
      <c r="D18" s="312">
        <v>0</v>
      </c>
      <c r="F18" s="7"/>
    </row>
    <row r="19" spans="1:7">
      <c r="A19" s="506" t="s">
        <v>1601</v>
      </c>
      <c r="B19" s="312">
        <v>0</v>
      </c>
      <c r="C19" s="312">
        <v>0</v>
      </c>
      <c r="D19" s="312">
        <v>0</v>
      </c>
      <c r="F19" s="312"/>
    </row>
    <row r="20" spans="1:7">
      <c r="A20" s="506" t="s">
        <v>1594</v>
      </c>
      <c r="B20" s="914">
        <f>B17+B18-B19</f>
        <v>0.91788000000000003</v>
      </c>
      <c r="C20" s="12">
        <f>C17+C18-C19</f>
        <v>0</v>
      </c>
      <c r="D20" s="12">
        <f>D17+D18-D19</f>
        <v>0</v>
      </c>
      <c r="F20" s="7"/>
    </row>
    <row r="21" spans="1:7">
      <c r="A21" s="506"/>
      <c r="B21" s="12"/>
      <c r="C21" s="12"/>
      <c r="D21" s="12"/>
    </row>
    <row r="22" spans="1:7">
      <c r="A22" s="506" t="s">
        <v>1602</v>
      </c>
      <c r="B22" s="12">
        <f>(223.38-B23)*0</f>
        <v>0</v>
      </c>
      <c r="C22" s="12">
        <f>C17*$B$16</f>
        <v>0</v>
      </c>
      <c r="D22" s="12">
        <f>D17*$B$16</f>
        <v>0</v>
      </c>
      <c r="F22" s="7"/>
    </row>
    <row r="23" spans="1:7">
      <c r="A23" s="506" t="s">
        <v>1596</v>
      </c>
      <c r="B23" s="12">
        <f>115.21*0</f>
        <v>0</v>
      </c>
      <c r="C23" s="12">
        <f>C18*$B$16/2</f>
        <v>0</v>
      </c>
      <c r="D23" s="12">
        <f>D18*$B$16/2</f>
        <v>0</v>
      </c>
      <c r="F23" s="7"/>
    </row>
    <row r="24" spans="1:7">
      <c r="A24" s="3" t="s">
        <v>1603</v>
      </c>
      <c r="B24" s="12">
        <f>B23+B22</f>
        <v>0</v>
      </c>
      <c r="C24" s="12">
        <f>C23+C22</f>
        <v>0</v>
      </c>
      <c r="D24" s="12">
        <f>D23+D22</f>
        <v>0</v>
      </c>
      <c r="F24" s="7"/>
    </row>
    <row r="25" spans="1:7">
      <c r="A25" s="3"/>
      <c r="B25" s="12"/>
      <c r="C25" s="12"/>
      <c r="D25" s="12"/>
    </row>
    <row r="26" spans="1:7">
      <c r="A26" s="2" t="s">
        <v>1598</v>
      </c>
      <c r="B26" s="12"/>
      <c r="C26" s="12"/>
      <c r="D26" s="12"/>
    </row>
    <row r="27" spans="1:7">
      <c r="A27" s="506" t="s">
        <v>1599</v>
      </c>
      <c r="B27" s="269">
        <v>0</v>
      </c>
      <c r="C27" s="12"/>
      <c r="D27" s="12"/>
    </row>
    <row r="28" spans="1:7">
      <c r="A28" s="506" t="s">
        <v>1592</v>
      </c>
      <c r="B28" s="312">
        <f>10413.40289*0</f>
        <v>0</v>
      </c>
      <c r="C28" s="12">
        <f>B31*0</f>
        <v>0</v>
      </c>
      <c r="D28" s="12">
        <f>C31</f>
        <v>0</v>
      </c>
    </row>
    <row r="29" spans="1:7">
      <c r="A29" s="506" t="s">
        <v>1600</v>
      </c>
      <c r="B29" s="312">
        <f>19.47*0</f>
        <v>0</v>
      </c>
      <c r="C29" s="312">
        <v>0</v>
      </c>
      <c r="D29" s="312">
        <v>0</v>
      </c>
    </row>
    <row r="30" spans="1:7">
      <c r="A30" s="506" t="s">
        <v>1601</v>
      </c>
      <c r="B30" s="312">
        <v>0</v>
      </c>
      <c r="C30" s="312">
        <v>0</v>
      </c>
      <c r="D30" s="312">
        <v>0</v>
      </c>
      <c r="F30" s="312"/>
    </row>
    <row r="31" spans="1:7">
      <c r="A31" s="506" t="s">
        <v>1594</v>
      </c>
      <c r="B31" s="12">
        <f>(B28+B29-B30)*0</f>
        <v>0</v>
      </c>
      <c r="C31" s="12">
        <f>C28+C29-C30</f>
        <v>0</v>
      </c>
      <c r="D31" s="12">
        <f>D28+D29-D30</f>
        <v>0</v>
      </c>
    </row>
    <row r="32" spans="1:7">
      <c r="A32" s="506"/>
      <c r="B32" s="12"/>
      <c r="C32" s="12"/>
      <c r="D32" s="12"/>
    </row>
    <row r="33" spans="1:6">
      <c r="A33" s="506" t="s">
        <v>1602</v>
      </c>
      <c r="B33" s="12">
        <v>0</v>
      </c>
      <c r="C33" s="12">
        <v>0</v>
      </c>
      <c r="D33" s="12">
        <f>D28*$B$27</f>
        <v>0</v>
      </c>
    </row>
    <row r="34" spans="1:6">
      <c r="A34" s="506" t="s">
        <v>1596</v>
      </c>
      <c r="B34" s="12">
        <v>0</v>
      </c>
      <c r="C34" s="7">
        <f>C29*$B$27/4</f>
        <v>0</v>
      </c>
      <c r="D34" s="7">
        <f>D29*$B$27/2</f>
        <v>0</v>
      </c>
    </row>
    <row r="35" spans="1:6">
      <c r="A35" s="3" t="s">
        <v>1604</v>
      </c>
      <c r="B35" s="12">
        <f>B34+B33</f>
        <v>0</v>
      </c>
      <c r="C35" s="12">
        <f>C34+C33</f>
        <v>0</v>
      </c>
      <c r="D35" s="12">
        <f>D34+D33</f>
        <v>0</v>
      </c>
    </row>
    <row r="36" spans="1:6">
      <c r="A36" s="2" t="s">
        <v>1605</v>
      </c>
      <c r="B36" s="7"/>
    </row>
    <row r="37" spans="1:6">
      <c r="A37" s="506" t="s">
        <v>1599</v>
      </c>
      <c r="B37" s="270">
        <v>0</v>
      </c>
    </row>
    <row r="38" spans="1:6">
      <c r="A38" s="506" t="s">
        <v>1592</v>
      </c>
      <c r="B38" s="7">
        <f>9095.91571*0</f>
        <v>0</v>
      </c>
      <c r="C38" s="7">
        <f>B41*0</f>
        <v>0</v>
      </c>
      <c r="D38" s="7">
        <f>C41</f>
        <v>0</v>
      </c>
      <c r="E38" s="7"/>
    </row>
    <row r="39" spans="1:6">
      <c r="A39" s="506" t="s">
        <v>1600</v>
      </c>
      <c r="B39" s="7">
        <v>0</v>
      </c>
      <c r="C39" s="7">
        <v>0</v>
      </c>
      <c r="D39" s="7">
        <v>0</v>
      </c>
    </row>
    <row r="40" spans="1:6">
      <c r="A40" s="506" t="s">
        <v>1601</v>
      </c>
      <c r="C40" s="7">
        <v>0</v>
      </c>
      <c r="D40" s="7">
        <f>C38/20*2</f>
        <v>0</v>
      </c>
    </row>
    <row r="41" spans="1:6">
      <c r="A41" s="506" t="s">
        <v>1594</v>
      </c>
      <c r="B41" s="7">
        <f>(B38+B39-B40)*0</f>
        <v>0</v>
      </c>
      <c r="C41" s="7">
        <f>C38+C39-C40</f>
        <v>0</v>
      </c>
      <c r="D41" s="7">
        <f>D38+D39-D40</f>
        <v>0</v>
      </c>
    </row>
    <row r="42" spans="1:6">
      <c r="A42" s="506"/>
      <c r="E42" s="7"/>
    </row>
    <row r="43" spans="1:6">
      <c r="A43" s="506" t="s">
        <v>1602</v>
      </c>
      <c r="B43" s="690">
        <f>(B38*B37*0+886.85)*0</f>
        <v>0</v>
      </c>
      <c r="C43" s="7">
        <f>C38*B37</f>
        <v>0</v>
      </c>
      <c r="D43" s="7">
        <f>D38*B37</f>
        <v>0</v>
      </c>
      <c r="F43" s="7">
        <f>C49-B52</f>
        <v>5272.9301909279293</v>
      </c>
    </row>
    <row r="44" spans="1:6">
      <c r="A44" s="506" t="s">
        <v>1596</v>
      </c>
      <c r="B44" s="7">
        <v>0</v>
      </c>
      <c r="C44" s="7">
        <v>0</v>
      </c>
      <c r="D44" s="7">
        <v>0</v>
      </c>
      <c r="F44" s="7">
        <f>C51</f>
        <v>2054.5860381855859</v>
      </c>
    </row>
    <row r="45" spans="1:6">
      <c r="A45" s="3" t="s">
        <v>1606</v>
      </c>
      <c r="B45" s="12">
        <f>B44+B43</f>
        <v>0</v>
      </c>
      <c r="C45" s="12">
        <f>C44+C43</f>
        <v>0</v>
      </c>
      <c r="D45" s="12">
        <f>D44+D43</f>
        <v>0</v>
      </c>
    </row>
    <row r="46" spans="1:6" ht="10.5" customHeight="1"/>
    <row r="47" spans="1:6">
      <c r="A47" s="2" t="s">
        <v>2277</v>
      </c>
      <c r="E47" s="1282" t="s">
        <v>1591</v>
      </c>
      <c r="F47" s="1282" t="s">
        <v>1961</v>
      </c>
    </row>
    <row r="48" spans="1:6">
      <c r="A48" s="506" t="s">
        <v>1599</v>
      </c>
      <c r="B48" s="269">
        <v>0.08</v>
      </c>
      <c r="C48" s="1280">
        <f>7.55%+3%</f>
        <v>0.1055</v>
      </c>
      <c r="D48" s="1280">
        <f>8.7%+3%</f>
        <v>0.11699999999999999</v>
      </c>
      <c r="E48" s="1283">
        <f>H138</f>
        <v>0.1055</v>
      </c>
      <c r="F48" s="1283">
        <f>I138</f>
        <v>0.11699999999999999</v>
      </c>
    </row>
    <row r="49" spans="1:11">
      <c r="A49" s="506" t="s">
        <v>1592</v>
      </c>
      <c r="B49" s="7">
        <v>0</v>
      </c>
      <c r="C49" s="7">
        <f>(SUM(CWIP!K30:K34)+CWIP!K27)*0.7</f>
        <v>10272.930190927929</v>
      </c>
      <c r="D49" s="7">
        <f ca="1">C52</f>
        <v>49853.802285162375</v>
      </c>
      <c r="E49" s="1284">
        <f>C49</f>
        <v>10272.930190927929</v>
      </c>
      <c r="F49" s="1284">
        <f>E52</f>
        <v>31537.444152742344</v>
      </c>
    </row>
    <row r="50" spans="1:11">
      <c r="A50" s="506" t="s">
        <v>1600</v>
      </c>
      <c r="B50" s="917">
        <v>5000</v>
      </c>
      <c r="C50" s="298">
        <f ca="1">(SUM(CWIP!U30:V34)+CWIP!V27)*0.7</f>
        <v>41635.458132420034</v>
      </c>
      <c r="D50">
        <f ca="1">(SUM(CWIP!AF30:AG34)+CWIP!AG27)*0.7</f>
        <v>45091.139996356149</v>
      </c>
      <c r="E50" s="1284">
        <f>F146</f>
        <v>23319.1</v>
      </c>
      <c r="F50" s="1284">
        <f>H146</f>
        <v>33440.400000000001</v>
      </c>
      <c r="G50" s="8"/>
      <c r="H50" s="8"/>
      <c r="I50" s="308"/>
      <c r="K50" s="308"/>
    </row>
    <row r="51" spans="1:11">
      <c r="A51" s="506" t="s">
        <v>1601</v>
      </c>
      <c r="B51" s="7">
        <v>0</v>
      </c>
      <c r="C51" s="7">
        <f>C49*0.2</f>
        <v>2054.5860381855859</v>
      </c>
      <c r="D51">
        <f ca="1">D49*0.15</f>
        <v>7478.0703427743556</v>
      </c>
      <c r="E51" s="1285">
        <f>C51</f>
        <v>2054.5860381855859</v>
      </c>
      <c r="F51" s="1285">
        <v>0</v>
      </c>
      <c r="G51" s="107"/>
      <c r="I51" s="107"/>
      <c r="K51" s="7"/>
    </row>
    <row r="52" spans="1:11">
      <c r="A52" s="506" t="s">
        <v>1594</v>
      </c>
      <c r="B52" s="918">
        <f>B49+B50-B51</f>
        <v>5000</v>
      </c>
      <c r="C52" s="298">
        <f ca="1">C49+C50-C51</f>
        <v>49853.802285162375</v>
      </c>
      <c r="D52" s="7">
        <f ca="1">D49+D50-D51</f>
        <v>87466.871938744167</v>
      </c>
      <c r="E52" s="1284">
        <f>E49+E50-E51</f>
        <v>31537.444152742344</v>
      </c>
      <c r="F52" s="1284">
        <f>F49+F50-F51</f>
        <v>64977.844152742342</v>
      </c>
      <c r="G52" s="107"/>
      <c r="I52" s="107"/>
      <c r="K52" s="7"/>
    </row>
    <row r="53" spans="1:11">
      <c r="A53" s="506"/>
      <c r="E53" s="1285"/>
      <c r="F53" s="1285"/>
      <c r="G53" s="107"/>
      <c r="I53" s="107"/>
      <c r="K53" s="7"/>
    </row>
    <row r="54" spans="1:11">
      <c r="A54" s="506" t="s">
        <v>1602</v>
      </c>
      <c r="B54" s="7">
        <v>0</v>
      </c>
      <c r="C54" s="7">
        <f>C49*$C48</f>
        <v>1083.7941351428965</v>
      </c>
      <c r="D54" s="7">
        <f ca="1">D49*$D48</f>
        <v>5832.8948673639979</v>
      </c>
      <c r="E54" s="1284">
        <f>E49*E48</f>
        <v>1083.7941351428965</v>
      </c>
      <c r="F54" s="1284">
        <f>F49*F48</f>
        <v>3689.8809658708542</v>
      </c>
      <c r="G54" s="107"/>
      <c r="I54" s="107"/>
      <c r="K54" s="7"/>
    </row>
    <row r="55" spans="1:11">
      <c r="A55" s="506" t="s">
        <v>1596</v>
      </c>
      <c r="B55" s="910">
        <f>0.473219178*100</f>
        <v>47.321917800000001</v>
      </c>
      <c r="C55" s="7">
        <f ca="1">C50*$C48*2/12</f>
        <v>732.09013882838553</v>
      </c>
      <c r="D55" s="7">
        <f ca="1">D50*$D48*4/12</f>
        <v>1758.5544598578897</v>
      </c>
      <c r="E55" s="1284">
        <f>E50/2*E48</f>
        <v>1230.0825249999998</v>
      </c>
      <c r="F55" s="1284">
        <f>F50/2*F48</f>
        <v>1956.2634</v>
      </c>
      <c r="G55" s="107"/>
      <c r="I55" s="107"/>
      <c r="K55" s="7"/>
    </row>
    <row r="56" spans="1:11">
      <c r="A56" s="3" t="s">
        <v>1608</v>
      </c>
      <c r="B56" s="12">
        <f>B55+B54</f>
        <v>47.321917800000001</v>
      </c>
      <c r="C56" s="12">
        <f ca="1">C55+C54</f>
        <v>1815.884273971282</v>
      </c>
      <c r="D56" s="12">
        <f ca="1">D54+D55</f>
        <v>7591.4493272218879</v>
      </c>
      <c r="E56" s="1286">
        <f>E54+E55</f>
        <v>2313.8766601428961</v>
      </c>
      <c r="F56" s="1286">
        <f>F54+F55</f>
        <v>5646.144365870854</v>
      </c>
      <c r="G56" s="107"/>
      <c r="I56" s="107"/>
      <c r="K56" s="7"/>
    </row>
    <row r="57" spans="1:11">
      <c r="A57" s="506"/>
      <c r="C57" s="162"/>
      <c r="D57" s="162"/>
      <c r="G57" s="107"/>
      <c r="I57" s="107"/>
      <c r="K57" s="7"/>
    </row>
    <row r="58" spans="1:11">
      <c r="H58" s="2"/>
      <c r="J58" s="12"/>
      <c r="K58" s="12"/>
    </row>
    <row r="59" spans="1:11">
      <c r="A59" s="2" t="s">
        <v>1609</v>
      </c>
    </row>
    <row r="60" spans="1:11">
      <c r="A60" s="506" t="s">
        <v>1599</v>
      </c>
      <c r="B60" s="271">
        <v>0</v>
      </c>
      <c r="H60" s="7"/>
      <c r="K60" s="7"/>
    </row>
    <row r="61" spans="1:11">
      <c r="A61" s="506" t="s">
        <v>1592</v>
      </c>
      <c r="B61" s="7">
        <v>0</v>
      </c>
      <c r="C61" s="7">
        <f>B64*0</f>
        <v>0</v>
      </c>
      <c r="D61" s="7">
        <f>C64</f>
        <v>0</v>
      </c>
    </row>
    <row r="62" spans="1:11">
      <c r="A62" s="506" t="s">
        <v>1600</v>
      </c>
      <c r="B62" s="7">
        <v>0</v>
      </c>
      <c r="C62" s="7">
        <f>'F-23 CASHFLOW'!B16</f>
        <v>0</v>
      </c>
      <c r="D62" s="7">
        <f>'F-23 CASHFLOW'!C16</f>
        <v>0</v>
      </c>
      <c r="G62" s="307"/>
    </row>
    <row r="63" spans="1:11">
      <c r="A63" s="506" t="s">
        <v>1601</v>
      </c>
      <c r="G63" s="309"/>
      <c r="K63" s="7"/>
    </row>
    <row r="64" spans="1:11">
      <c r="A64" s="506" t="s">
        <v>1594</v>
      </c>
      <c r="B64" s="7">
        <f>(B61+B62-B63)*0</f>
        <v>0</v>
      </c>
      <c r="C64" s="7">
        <f>C61+C62-C63</f>
        <v>0</v>
      </c>
      <c r="D64" s="7">
        <f>D61+D62-D63</f>
        <v>0</v>
      </c>
      <c r="G64" s="309"/>
    </row>
    <row r="65" spans="1:8">
      <c r="A65" s="506"/>
    </row>
    <row r="66" spans="1:8">
      <c r="A66" s="506" t="s">
        <v>1602</v>
      </c>
      <c r="B66" s="7">
        <v>0</v>
      </c>
      <c r="C66" s="7">
        <f>B61*$B$60*0</f>
        <v>0</v>
      </c>
      <c r="D66" s="7">
        <f>B61*$B$60*0</f>
        <v>0</v>
      </c>
    </row>
    <row r="67" spans="1:8">
      <c r="A67" s="506" t="s">
        <v>1596</v>
      </c>
      <c r="B67" s="7">
        <v>0</v>
      </c>
      <c r="C67" s="7">
        <f>C62*$B$60/2</f>
        <v>0</v>
      </c>
      <c r="D67" s="7">
        <f>D62*$B$60/2</f>
        <v>0</v>
      </c>
    </row>
    <row r="68" spans="1:8">
      <c r="A68" s="3" t="s">
        <v>1112</v>
      </c>
      <c r="B68" s="12">
        <f>B67+B66</f>
        <v>0</v>
      </c>
      <c r="C68" s="12">
        <f>C67+C66</f>
        <v>0</v>
      </c>
      <c r="D68" s="12">
        <f>D67+D66</f>
        <v>0</v>
      </c>
    </row>
    <row r="70" spans="1:8">
      <c r="A70" s="2" t="s">
        <v>1610</v>
      </c>
    </row>
    <row r="71" spans="1:8">
      <c r="A71" s="506" t="s">
        <v>1599</v>
      </c>
      <c r="B71" s="214">
        <v>0</v>
      </c>
      <c r="F71" s="2"/>
    </row>
    <row r="72" spans="1:8">
      <c r="A72" s="506" t="s">
        <v>1592</v>
      </c>
      <c r="B72">
        <v>0</v>
      </c>
      <c r="C72" s="7">
        <f>B75</f>
        <v>0</v>
      </c>
      <c r="D72" s="7">
        <f>C75</f>
        <v>0</v>
      </c>
      <c r="H72" s="325"/>
    </row>
    <row r="73" spans="1:8">
      <c r="A73" s="506" t="s">
        <v>1600</v>
      </c>
      <c r="B73" s="7">
        <v>0</v>
      </c>
      <c r="C73" s="7">
        <f>'F-23 CASHFLOW'!B17</f>
        <v>0</v>
      </c>
      <c r="D73" s="7">
        <f>'F-23 CASHFLOW'!C17</f>
        <v>0</v>
      </c>
      <c r="H73" s="107"/>
    </row>
    <row r="74" spans="1:8">
      <c r="A74" s="506" t="s">
        <v>1601</v>
      </c>
      <c r="B74" s="7">
        <v>0</v>
      </c>
      <c r="C74" s="7">
        <v>0</v>
      </c>
      <c r="D74" s="7">
        <v>0</v>
      </c>
    </row>
    <row r="75" spans="1:8">
      <c r="A75" s="506" t="s">
        <v>1594</v>
      </c>
      <c r="B75" s="7">
        <f>B72+B73-B74</f>
        <v>0</v>
      </c>
      <c r="C75" s="7">
        <f>C72+C73-C74</f>
        <v>0</v>
      </c>
      <c r="D75" s="7">
        <f>D72+D73-D74</f>
        <v>0</v>
      </c>
    </row>
    <row r="76" spans="1:8">
      <c r="A76" s="506"/>
    </row>
    <row r="77" spans="1:8">
      <c r="A77" s="506" t="s">
        <v>1602</v>
      </c>
      <c r="B77" s="7">
        <v>0</v>
      </c>
      <c r="C77" s="7">
        <f>C72*B71</f>
        <v>0</v>
      </c>
      <c r="D77" s="7">
        <f>D72*B71</f>
        <v>0</v>
      </c>
    </row>
    <row r="78" spans="1:8">
      <c r="A78" s="506" t="s">
        <v>1596</v>
      </c>
      <c r="B78" s="312">
        <v>0</v>
      </c>
      <c r="C78" s="7">
        <f>C73*$B$71/12*6</f>
        <v>0</v>
      </c>
      <c r="D78" s="7">
        <f>D73*$B$71/12*6</f>
        <v>0</v>
      </c>
    </row>
    <row r="79" spans="1:8">
      <c r="A79" s="3" t="s">
        <v>1112</v>
      </c>
      <c r="B79" s="12">
        <f>B78+B77</f>
        <v>0</v>
      </c>
      <c r="C79" s="12">
        <f>C78+C77</f>
        <v>0</v>
      </c>
      <c r="D79" s="12">
        <f>D78+D77</f>
        <v>0</v>
      </c>
    </row>
    <row r="80" spans="1:8">
      <c r="A80" s="3"/>
      <c r="B80" s="12"/>
      <c r="C80" s="12"/>
      <c r="D80" s="12"/>
    </row>
    <row r="81" spans="1:15">
      <c r="A81" s="2" t="s">
        <v>1611</v>
      </c>
    </row>
    <row r="82" spans="1:15">
      <c r="A82" s="506" t="s">
        <v>1599</v>
      </c>
      <c r="B82" s="214">
        <v>0</v>
      </c>
    </row>
    <row r="83" spans="1:15">
      <c r="A83" s="506" t="s">
        <v>1592</v>
      </c>
      <c r="B83">
        <v>0</v>
      </c>
      <c r="C83" s="7">
        <f>B86</f>
        <v>0</v>
      </c>
      <c r="D83" s="7">
        <f>C86</f>
        <v>0</v>
      </c>
    </row>
    <row r="84" spans="1:15">
      <c r="A84" s="506" t="s">
        <v>1600</v>
      </c>
      <c r="B84" s="7">
        <v>0</v>
      </c>
      <c r="C84" s="7">
        <f>'F-23 CASHFLOW'!B18</f>
        <v>0</v>
      </c>
      <c r="D84" s="7">
        <f>'F-23 CASHFLOW'!C18</f>
        <v>0</v>
      </c>
    </row>
    <row r="85" spans="1:15">
      <c r="A85" s="506" t="s">
        <v>1601</v>
      </c>
      <c r="B85" s="7">
        <v>0</v>
      </c>
      <c r="C85" s="7">
        <v>0</v>
      </c>
      <c r="D85" s="7">
        <v>0</v>
      </c>
    </row>
    <row r="86" spans="1:15">
      <c r="A86" s="506" t="s">
        <v>1594</v>
      </c>
      <c r="B86" s="7">
        <f>B83+B84-B85</f>
        <v>0</v>
      </c>
      <c r="C86" s="7">
        <f>C83+C84-C85</f>
        <v>0</v>
      </c>
      <c r="D86" s="7">
        <f>D83+D84-D85</f>
        <v>0</v>
      </c>
    </row>
    <row r="87" spans="1:15">
      <c r="A87" s="506"/>
    </row>
    <row r="88" spans="1:15">
      <c r="A88" s="506" t="s">
        <v>1602</v>
      </c>
      <c r="B88" s="7">
        <v>0</v>
      </c>
      <c r="C88" s="7">
        <f>C83*B82</f>
        <v>0</v>
      </c>
      <c r="D88" s="7">
        <f>D83*B82</f>
        <v>0</v>
      </c>
    </row>
    <row r="89" spans="1:15">
      <c r="A89" s="506" t="s">
        <v>1596</v>
      </c>
      <c r="B89" s="312">
        <v>0</v>
      </c>
      <c r="C89" s="7">
        <f>C84*$B$82/12*6</f>
        <v>0</v>
      </c>
      <c r="D89" s="7">
        <f>D84*$B$82/12*1</f>
        <v>0</v>
      </c>
    </row>
    <row r="90" spans="1:15">
      <c r="A90" s="3" t="s">
        <v>1112</v>
      </c>
      <c r="B90" s="12">
        <f>B89+B88</f>
        <v>0</v>
      </c>
      <c r="C90" s="12">
        <f>C89+C88</f>
        <v>0</v>
      </c>
      <c r="D90" s="12">
        <f>D89+D88</f>
        <v>0</v>
      </c>
    </row>
    <row r="91" spans="1:15">
      <c r="A91" s="3"/>
      <c r="B91" s="12"/>
      <c r="C91" s="12"/>
      <c r="D91" s="12"/>
    </row>
    <row r="92" spans="1:15">
      <c r="A92" s="2" t="s">
        <v>2278</v>
      </c>
      <c r="B92" s="12"/>
      <c r="C92" s="12"/>
      <c r="D92" s="12"/>
      <c r="G92" s="2"/>
    </row>
    <row r="93" spans="1:15">
      <c r="A93" s="506" t="s">
        <v>1599</v>
      </c>
      <c r="B93" s="214">
        <f>7%*0</f>
        <v>0</v>
      </c>
      <c r="C93" s="1280">
        <f>7.55%+3%</f>
        <v>0.1055</v>
      </c>
      <c r="D93" s="1280">
        <f>8.7%+3%</f>
        <v>0.11699999999999999</v>
      </c>
      <c r="E93" s="214"/>
      <c r="F93" s="214"/>
      <c r="G93" s="375"/>
      <c r="H93" s="375"/>
      <c r="I93" s="375"/>
      <c r="J93" s="375"/>
      <c r="K93" s="375"/>
      <c r="L93" s="376"/>
      <c r="M93" s="376"/>
      <c r="N93" s="376"/>
      <c r="O93" s="376"/>
    </row>
    <row r="94" spans="1:15">
      <c r="A94" s="506" t="s">
        <v>2279</v>
      </c>
      <c r="B94" s="910">
        <f>1412600007.71/10^5</f>
        <v>14126.0000771</v>
      </c>
      <c r="C94" s="312">
        <f>H137</f>
        <v>55760.544172717164</v>
      </c>
      <c r="D94" s="312">
        <f ca="1">I137</f>
        <v>50386.669759149634</v>
      </c>
      <c r="E94" s="7"/>
      <c r="F94" s="7"/>
      <c r="G94" s="374"/>
      <c r="H94" s="464"/>
      <c r="I94" s="374"/>
      <c r="J94" s="506"/>
      <c r="K94" s="506"/>
      <c r="L94" s="7"/>
      <c r="M94" s="7"/>
      <c r="N94" s="312"/>
    </row>
    <row r="95" spans="1:15">
      <c r="A95" s="506"/>
      <c r="B95" s="7"/>
      <c r="C95" s="7"/>
      <c r="D95" s="12"/>
      <c r="E95" s="7"/>
      <c r="G95" s="374"/>
      <c r="H95" s="464"/>
      <c r="I95" s="374"/>
      <c r="J95" s="506"/>
      <c r="K95" s="506"/>
      <c r="L95" s="7"/>
      <c r="M95" s="7"/>
      <c r="N95" s="312"/>
    </row>
    <row r="96" spans="1:15">
      <c r="A96" s="506" t="s">
        <v>1601</v>
      </c>
      <c r="B96" s="910">
        <v>1102.4309023999995</v>
      </c>
      <c r="C96" s="7"/>
      <c r="D96" s="12"/>
      <c r="G96" s="374"/>
      <c r="H96" s="464"/>
      <c r="I96" s="8"/>
      <c r="J96" s="506"/>
      <c r="K96" s="506"/>
      <c r="L96" s="7"/>
      <c r="M96" s="7"/>
      <c r="N96" s="312"/>
    </row>
    <row r="97" spans="1:15">
      <c r="A97" s="506" t="s">
        <v>1594</v>
      </c>
      <c r="B97" s="910">
        <f>B94+B95-B96</f>
        <v>13023.5691747</v>
      </c>
      <c r="C97" s="910">
        <f>C94+C95-C96</f>
        <v>55760.544172717164</v>
      </c>
      <c r="D97" s="910">
        <f ca="1">D94+D95-D96</f>
        <v>50386.669759149634</v>
      </c>
      <c r="E97" s="7"/>
      <c r="F97" s="7"/>
      <c r="G97" s="374"/>
      <c r="H97" s="464"/>
      <c r="I97" s="8"/>
      <c r="J97" s="506"/>
      <c r="K97" s="506"/>
      <c r="L97" s="7"/>
      <c r="M97" s="7"/>
      <c r="N97" s="312"/>
    </row>
    <row r="98" spans="1:15">
      <c r="A98" s="506"/>
      <c r="D98" s="12"/>
      <c r="E98" s="77"/>
      <c r="G98" s="374"/>
      <c r="H98" s="464"/>
      <c r="I98" s="8"/>
      <c r="J98" s="506"/>
      <c r="K98" s="506"/>
      <c r="L98" s="7"/>
      <c r="M98" s="7"/>
      <c r="N98" s="312"/>
    </row>
    <row r="99" spans="1:15">
      <c r="A99" s="506" t="s">
        <v>728</v>
      </c>
      <c r="B99" s="910">
        <f>9.511805882*100</f>
        <v>951.1805882000001</v>
      </c>
      <c r="C99" s="7">
        <f>C94*C93</f>
        <v>5882.7374102216609</v>
      </c>
      <c r="D99" s="7">
        <f ca="1">D94*D93</f>
        <v>5895.2403618205071</v>
      </c>
      <c r="E99" s="7"/>
      <c r="F99" s="7"/>
      <c r="G99" s="374"/>
      <c r="H99" s="464"/>
      <c r="I99" s="8"/>
      <c r="J99" s="506"/>
      <c r="K99" s="506"/>
      <c r="L99" s="7"/>
      <c r="M99" s="7"/>
      <c r="N99" s="312"/>
    </row>
    <row r="100" spans="1:15">
      <c r="A100" s="506" t="s">
        <v>1596</v>
      </c>
      <c r="B100" s="7">
        <v>0</v>
      </c>
      <c r="C100" s="7">
        <f>C95*B93/2</f>
        <v>0</v>
      </c>
      <c r="D100" s="312">
        <f>D95*B93/2</f>
        <v>0</v>
      </c>
      <c r="E100" s="7"/>
      <c r="F100" s="7"/>
      <c r="G100" s="374"/>
      <c r="H100" s="464"/>
      <c r="I100" s="8"/>
      <c r="J100" s="506"/>
      <c r="K100" s="506"/>
      <c r="L100" s="7"/>
      <c r="M100" s="7"/>
      <c r="N100" s="312"/>
    </row>
    <row r="101" spans="1:15">
      <c r="A101" s="3" t="s">
        <v>1112</v>
      </c>
      <c r="B101" s="12">
        <f>B100+B99</f>
        <v>951.1805882000001</v>
      </c>
      <c r="C101" s="12">
        <f>C100+C99</f>
        <v>5882.7374102216609</v>
      </c>
      <c r="D101" s="12">
        <f ca="1">D100+D99</f>
        <v>5895.2403618205071</v>
      </c>
      <c r="E101" s="12"/>
      <c r="F101" s="12"/>
      <c r="G101" s="374"/>
      <c r="H101" s="464"/>
      <c r="I101" s="8"/>
      <c r="J101" s="506"/>
      <c r="K101" s="506"/>
      <c r="L101" s="7"/>
      <c r="M101" s="7"/>
      <c r="N101" s="312"/>
    </row>
    <row r="102" spans="1:15">
      <c r="A102" s="3" t="s">
        <v>1613</v>
      </c>
      <c r="B102" s="214">
        <v>4.2500000000000003E-2</v>
      </c>
      <c r="C102" s="12"/>
      <c r="D102" s="12"/>
      <c r="G102" s="374"/>
      <c r="H102" s="464"/>
      <c r="I102" s="8"/>
      <c r="J102" s="506"/>
      <c r="K102" s="506"/>
      <c r="L102" s="7"/>
      <c r="M102" s="7"/>
      <c r="N102" s="312"/>
    </row>
    <row r="103" spans="1:15">
      <c r="A103" s="643" t="s">
        <v>1614</v>
      </c>
      <c r="B103" s="911">
        <v>76465.563298199995</v>
      </c>
      <c r="C103" s="312">
        <f>B106</f>
        <v>90402.466758899987</v>
      </c>
      <c r="D103" s="312">
        <f>C106</f>
        <v>106751.49675889999</v>
      </c>
      <c r="E103" s="7"/>
      <c r="G103" s="374"/>
      <c r="H103" s="464"/>
      <c r="I103" s="8"/>
      <c r="J103" s="506"/>
      <c r="K103" s="506"/>
      <c r="L103" s="7"/>
      <c r="M103" s="7"/>
      <c r="N103" s="312"/>
    </row>
    <row r="104" spans="1:15">
      <c r="A104" s="561" t="s">
        <v>1615</v>
      </c>
      <c r="B104" s="911">
        <v>13936.903460699992</v>
      </c>
      <c r="C104" s="312">
        <f>'F-23 CASHFLOW'!B8</f>
        <v>17952.16</v>
      </c>
      <c r="D104" s="312">
        <f>'F-23 CASHFLOW'!C8</f>
        <v>9000</v>
      </c>
      <c r="E104" s="7"/>
      <c r="G104" s="374"/>
      <c r="H104" s="464"/>
      <c r="I104" s="8"/>
      <c r="J104" s="506"/>
      <c r="K104" s="506"/>
      <c r="L104" s="7"/>
      <c r="M104" s="7"/>
      <c r="N104" s="312"/>
    </row>
    <row r="105" spans="1:15">
      <c r="A105" s="643" t="s">
        <v>1616</v>
      </c>
      <c r="B105" s="312"/>
      <c r="C105" s="312">
        <f>'F-23 CASHFLOW'!B31</f>
        <v>1603.13</v>
      </c>
      <c r="D105" s="312">
        <f>'F-23 CASHFLOW'!C31</f>
        <v>2500</v>
      </c>
      <c r="G105" s="374"/>
      <c r="H105" s="464"/>
      <c r="I105" s="8"/>
      <c r="J105" s="506"/>
      <c r="K105" s="506"/>
      <c r="L105" s="7"/>
      <c r="M105" s="7"/>
      <c r="N105" s="312"/>
    </row>
    <row r="106" spans="1:15">
      <c r="A106" s="643" t="s">
        <v>1617</v>
      </c>
      <c r="B106" s="911">
        <f>B103+B104-B105</f>
        <v>90402.466758899987</v>
      </c>
      <c r="C106" s="312">
        <f>C103+C104-C105</f>
        <v>106751.49675889999</v>
      </c>
      <c r="D106" s="312">
        <f>D103+D104-D105</f>
        <v>113251.49675889999</v>
      </c>
      <c r="E106" s="7"/>
      <c r="F106" s="374"/>
      <c r="G106" s="374"/>
      <c r="H106" s="464"/>
      <c r="I106" s="8"/>
      <c r="J106" s="506"/>
      <c r="K106" s="506"/>
      <c r="L106" s="7"/>
      <c r="M106" s="7"/>
      <c r="N106" s="312"/>
    </row>
    <row r="107" spans="1:15">
      <c r="A107" s="506" t="s">
        <v>1602</v>
      </c>
      <c r="B107" s="911">
        <f>32.9506924*100</f>
        <v>3295.0692400000003</v>
      </c>
      <c r="C107" s="312">
        <f>C103*B102</f>
        <v>3842.1048372532496</v>
      </c>
      <c r="D107" s="312">
        <f>D103*B102</f>
        <v>4536.9386122532496</v>
      </c>
      <c r="E107" s="7"/>
      <c r="F107" s="374"/>
      <c r="G107" s="448"/>
      <c r="L107" s="7"/>
      <c r="M107" s="12"/>
      <c r="N107" s="12"/>
      <c r="O107" s="12"/>
    </row>
    <row r="108" spans="1:15">
      <c r="A108" s="506" t="s">
        <v>1596</v>
      </c>
      <c r="B108" s="12"/>
      <c r="C108" s="312">
        <f>(C104-C105)/2*B102</f>
        <v>347.41688749999997</v>
      </c>
      <c r="D108" s="312">
        <f>(D104-D105)/2*B102</f>
        <v>138.125</v>
      </c>
      <c r="E108" s="9"/>
      <c r="F108" s="133"/>
      <c r="L108" s="7"/>
    </row>
    <row r="109" spans="1:15">
      <c r="A109" s="3" t="s">
        <v>1112</v>
      </c>
      <c r="B109" s="914">
        <f>B107+B108</f>
        <v>3295.0692400000003</v>
      </c>
      <c r="C109" s="12">
        <f>C107+C108</f>
        <v>4189.5217247532491</v>
      </c>
      <c r="D109" s="12">
        <f>D107+D108</f>
        <v>4675.0636122532496</v>
      </c>
      <c r="F109" s="7"/>
      <c r="G109" s="2"/>
      <c r="L109" s="7"/>
      <c r="N109" s="376"/>
      <c r="O109" s="376"/>
    </row>
    <row r="110" spans="1:15">
      <c r="A110" s="2" t="s">
        <v>1618</v>
      </c>
      <c r="B110" s="914">
        <f>B45+B14+B24+B35+B56+B68+B79+B90+B101+B109</f>
        <v>4293.5717460000005</v>
      </c>
      <c r="C110" s="12">
        <f ca="1">C45+C14+C24+C35+C56+C68+C79+C90+C101+C109</f>
        <v>11888.143408946191</v>
      </c>
      <c r="D110" s="12">
        <f ca="1">D45+D14+D24+D35+D56+D68+D79+D90+D101+D109</f>
        <v>18161.753301295645</v>
      </c>
      <c r="E110" s="7"/>
      <c r="G110" s="506"/>
      <c r="H110" s="655"/>
      <c r="I110" s="8"/>
      <c r="J110" s="506"/>
      <c r="L110" s="7"/>
      <c r="M110" s="7"/>
      <c r="N110" s="7"/>
    </row>
    <row r="111" spans="1:15">
      <c r="A111" t="s">
        <v>1619</v>
      </c>
      <c r="B111" s="7"/>
      <c r="E111" s="99"/>
      <c r="L111" s="7"/>
      <c r="N111" s="7"/>
    </row>
    <row r="112" spans="1:15">
      <c r="A112" s="1" t="s">
        <v>618</v>
      </c>
      <c r="B112" s="7">
        <f>B13</f>
        <v>0</v>
      </c>
      <c r="C112" s="7">
        <f>C13</f>
        <v>0</v>
      </c>
      <c r="D112" s="7">
        <f>D13</f>
        <v>0</v>
      </c>
      <c r="G112" s="374"/>
      <c r="H112" s="327"/>
      <c r="I112" s="107"/>
      <c r="K112" s="506"/>
      <c r="M112" s="7"/>
      <c r="N112" s="7"/>
      <c r="O112" s="7"/>
    </row>
    <row r="113" spans="1:15">
      <c r="A113" s="1" t="s">
        <v>1620</v>
      </c>
      <c r="B113" s="7">
        <v>0</v>
      </c>
      <c r="C113" s="7">
        <f>C44</f>
        <v>0</v>
      </c>
      <c r="D113" s="7">
        <f>D44</f>
        <v>0</v>
      </c>
      <c r="K113" s="506"/>
      <c r="M113" s="506"/>
      <c r="N113" s="7"/>
      <c r="O113" s="7"/>
    </row>
    <row r="114" spans="1:15">
      <c r="A114" s="1" t="s">
        <v>1607</v>
      </c>
      <c r="B114" s="7">
        <v>0</v>
      </c>
      <c r="C114" s="7">
        <f ca="1">C55</f>
        <v>732.09013882838553</v>
      </c>
      <c r="D114" s="7">
        <f ca="1">D55</f>
        <v>1758.5544598578897</v>
      </c>
      <c r="K114" s="3"/>
      <c r="L114" s="12"/>
      <c r="M114" s="12"/>
      <c r="N114" s="12"/>
      <c r="O114" s="12"/>
    </row>
    <row r="115" spans="1:15">
      <c r="A115" s="1" t="s">
        <v>1609</v>
      </c>
      <c r="B115" s="7">
        <f>B67</f>
        <v>0</v>
      </c>
      <c r="C115" s="7">
        <f>C67</f>
        <v>0</v>
      </c>
      <c r="D115" s="7">
        <f>D67</f>
        <v>0</v>
      </c>
      <c r="G115" s="12"/>
      <c r="K115" s="506"/>
      <c r="N115" s="12"/>
      <c r="O115" s="12"/>
    </row>
    <row r="116" spans="1:15">
      <c r="A116" s="1" t="s">
        <v>1621</v>
      </c>
      <c r="B116" s="7">
        <f>B23+B34</f>
        <v>0</v>
      </c>
      <c r="C116" s="7">
        <f>C23+C34</f>
        <v>0</v>
      </c>
      <c r="D116" s="7">
        <f>D23+D34</f>
        <v>0</v>
      </c>
      <c r="H116" s="327"/>
      <c r="I116" s="377"/>
      <c r="J116" s="506"/>
      <c r="K116" s="506"/>
      <c r="L116" s="7"/>
    </row>
    <row r="117" spans="1:15">
      <c r="A117" s="1" t="s">
        <v>1622</v>
      </c>
      <c r="B117" s="7">
        <f>B89</f>
        <v>0</v>
      </c>
      <c r="C117" s="7">
        <f>C89</f>
        <v>0</v>
      </c>
      <c r="D117" s="7">
        <f>D89</f>
        <v>0</v>
      </c>
      <c r="L117" s="7"/>
    </row>
    <row r="118" spans="1:15">
      <c r="A118" s="1" t="s">
        <v>1623</v>
      </c>
      <c r="B118" s="7">
        <f>B78</f>
        <v>0</v>
      </c>
      <c r="C118" s="7">
        <f>C78</f>
        <v>0</v>
      </c>
      <c r="D118" s="7">
        <f>D78</f>
        <v>0</v>
      </c>
    </row>
    <row r="119" spans="1:15">
      <c r="A119" s="1" t="s">
        <v>147</v>
      </c>
      <c r="B119" s="7">
        <f>SUM(B112:B118)</f>
        <v>0</v>
      </c>
      <c r="C119" s="7">
        <f ca="1">SUM(C112:C118)</f>
        <v>732.09013882838553</v>
      </c>
      <c r="D119" s="7">
        <f ca="1">SUM(D112:D118)</f>
        <v>1758.5544598578897</v>
      </c>
    </row>
    <row r="120" spans="1:15">
      <c r="A120" t="s">
        <v>1624</v>
      </c>
      <c r="B120" s="684">
        <f>B110-B119</f>
        <v>4293.5717460000005</v>
      </c>
      <c r="C120" s="12">
        <f ca="1">C110-C119</f>
        <v>11156.053270117805</v>
      </c>
      <c r="D120" s="12">
        <f ca="1">D110-D119</f>
        <v>16403.198841437756</v>
      </c>
    </row>
    <row r="121" spans="1:15">
      <c r="A121" s="2" t="s">
        <v>1962</v>
      </c>
      <c r="B121" s="683">
        <f>B10+B20+B31+B41+B52+B64+B75+B86+B97</f>
        <v>18024.487054699999</v>
      </c>
      <c r="C121" s="12">
        <f ca="1">C10+C20+C31+C41+C52+C64+C75+C86+C97</f>
        <v>105614.34645787954</v>
      </c>
      <c r="D121" s="12">
        <f ca="1">D10+D20+D31+D41+D52+D64+D75+D86+D97</f>
        <v>137853.54169789382</v>
      </c>
    </row>
    <row r="122" spans="1:15">
      <c r="A122" s="2"/>
      <c r="B122" s="12"/>
      <c r="C122" s="12"/>
      <c r="D122" s="12"/>
    </row>
    <row r="123" spans="1:15">
      <c r="A123" s="2"/>
      <c r="C123" s="12"/>
      <c r="D123" s="12"/>
    </row>
    <row r="124" spans="1:15">
      <c r="A124" s="2"/>
      <c r="B124" s="12">
        <v>4293.5717459999996</v>
      </c>
      <c r="C124" s="12"/>
      <c r="D124" s="12"/>
    </row>
    <row r="125" spans="1:15">
      <c r="A125" s="2"/>
      <c r="B125" s="888">
        <f>B120-B124</f>
        <v>0</v>
      </c>
      <c r="C125" s="12"/>
      <c r="D125" s="12"/>
    </row>
    <row r="126" spans="1:15">
      <c r="B126" s="12">
        <v>18024.487054699999</v>
      </c>
      <c r="C126" s="7"/>
    </row>
    <row r="127" spans="1:15">
      <c r="B127" s="889">
        <f>B121-B126</f>
        <v>0</v>
      </c>
    </row>
    <row r="128" spans="1:15">
      <c r="D128" s="302" t="s">
        <v>2249</v>
      </c>
    </row>
    <row r="130" spans="4:11" ht="25.5">
      <c r="D130" s="1271" t="s">
        <v>2235</v>
      </c>
      <c r="E130" s="1272" t="s">
        <v>791</v>
      </c>
      <c r="F130" s="945" t="s">
        <v>1702</v>
      </c>
      <c r="G130" s="883" t="s">
        <v>2254</v>
      </c>
      <c r="H130" s="945" t="s">
        <v>1703</v>
      </c>
      <c r="I130" s="945" t="s">
        <v>2136</v>
      </c>
    </row>
    <row r="131" spans="4:11">
      <c r="D131" s="696">
        <v>1</v>
      </c>
      <c r="E131" s="1274" t="s">
        <v>2268</v>
      </c>
      <c r="F131" s="1278">
        <f>('F-12'!I35+'F-14'!D66)</f>
        <v>59694.984195200006</v>
      </c>
      <c r="G131" s="1278">
        <f>'F-12'!P35+'F-14'!E66</f>
        <v>33718.440260399999</v>
      </c>
      <c r="H131" s="1278">
        <f>'F-12'!W35+'F-14'!F66</f>
        <v>73847.087925313885</v>
      </c>
      <c r="I131" s="1278">
        <f>'F-12'!AD35+'F-14'!G66</f>
        <v>87713.103284999786</v>
      </c>
      <c r="J131" s="7">
        <f>I131</f>
        <v>87713.103284999786</v>
      </c>
    </row>
    <row r="132" spans="4:11">
      <c r="D132" s="696">
        <v>2</v>
      </c>
      <c r="E132" s="697" t="s">
        <v>2250</v>
      </c>
      <c r="F132" s="1278">
        <f>F131/12</f>
        <v>4974.5820162666669</v>
      </c>
      <c r="G132" s="1278">
        <f>G131/6</f>
        <v>5619.7400434000001</v>
      </c>
      <c r="H132" s="1278">
        <f t="shared" ref="H132:I132" si="0">H131/12</f>
        <v>6153.9239937761567</v>
      </c>
      <c r="I132" s="1278">
        <f t="shared" si="0"/>
        <v>7309.4252737499819</v>
      </c>
      <c r="J132">
        <f>J131/12</f>
        <v>7309.4252737499819</v>
      </c>
    </row>
    <row r="133" spans="4:11">
      <c r="D133" s="696">
        <v>3</v>
      </c>
      <c r="E133" s="1274" t="s">
        <v>2452</v>
      </c>
      <c r="F133" s="1278">
        <f>4691.852397461*100</f>
        <v>469185.23974609998</v>
      </c>
      <c r="G133" s="1278">
        <f>'F-6'!H36</f>
        <v>267422.0621556</v>
      </c>
      <c r="H133" s="1281">
        <f>'F-6'!L36+'F-6'!L37</f>
        <v>583185.20046395482</v>
      </c>
      <c r="I133" s="1278">
        <f>'F-6'!P9</f>
        <v>510006.71600000001</v>
      </c>
      <c r="J133">
        <v>510006</v>
      </c>
    </row>
    <row r="134" spans="4:11">
      <c r="D134" s="696">
        <v>4</v>
      </c>
      <c r="E134" s="697" t="s">
        <v>2453</v>
      </c>
      <c r="F134" s="1278">
        <f>F133/12</f>
        <v>39098.769978841665</v>
      </c>
      <c r="G134" s="1278">
        <f>G133/6</f>
        <v>44570.343692599999</v>
      </c>
      <c r="H134" s="1278">
        <f t="shared" ref="H134:I134" si="1">H133/12</f>
        <v>48598.766705329566</v>
      </c>
      <c r="I134" s="1278">
        <f t="shared" si="1"/>
        <v>42500.559666666668</v>
      </c>
      <c r="J134">
        <f>J133/12</f>
        <v>42500.5</v>
      </c>
    </row>
    <row r="135" spans="4:11">
      <c r="D135" s="696">
        <v>5</v>
      </c>
      <c r="E135" s="1274" t="s">
        <v>2255</v>
      </c>
      <c r="F135" s="1278">
        <f>'F-13'!C16</f>
        <v>13705.430551199999</v>
      </c>
      <c r="G135" s="1278">
        <f>'F-13'!D16</f>
        <v>11306.999999999998</v>
      </c>
      <c r="H135" s="1278">
        <f>'F-13'!E16</f>
        <v>30235.604208343204</v>
      </c>
      <c r="I135" s="1278">
        <f ca="1">'F-13'!F16</f>
        <v>34601.089123978767</v>
      </c>
      <c r="J135" s="7">
        <f ca="1">I135</f>
        <v>34601.089123978767</v>
      </c>
    </row>
    <row r="136" spans="4:11" ht="25.5">
      <c r="D136" s="696">
        <v>6</v>
      </c>
      <c r="E136" s="1273" t="s">
        <v>2251</v>
      </c>
      <c r="F136" s="1278">
        <f>40%*(F135/12)</f>
        <v>456.84768503999999</v>
      </c>
      <c r="G136" s="1278">
        <f>40%*(G135/6)</f>
        <v>753.8</v>
      </c>
      <c r="H136" s="1278">
        <f t="shared" ref="H136" si="2">40%*(H135/12)</f>
        <v>1007.8534736114402</v>
      </c>
      <c r="I136" s="1278">
        <f ca="1">20%*(I135/12)</f>
        <v>576.68481873297947</v>
      </c>
      <c r="J136">
        <f ca="1">J135/12*0.2</f>
        <v>576.68481873297947</v>
      </c>
    </row>
    <row r="137" spans="4:11" ht="15">
      <c r="D137" s="1271">
        <v>7</v>
      </c>
      <c r="E137" s="1272" t="s">
        <v>2252</v>
      </c>
      <c r="F137" s="1279">
        <f>F132+F134+F136</f>
        <v>44530.199680148326</v>
      </c>
      <c r="G137" s="1279">
        <f t="shared" ref="G137:H137" si="3">G132+G134+G136</f>
        <v>50943.883736000003</v>
      </c>
      <c r="H137" s="1279">
        <f t="shared" si="3"/>
        <v>55760.544172717164</v>
      </c>
      <c r="I137" s="1279">
        <f ca="1">I132+I134+I136</f>
        <v>50386.669759149634</v>
      </c>
      <c r="J137" s="1735">
        <f ca="1">J132+J134+J136</f>
        <v>50386.610092482966</v>
      </c>
    </row>
    <row r="138" spans="4:11">
      <c r="D138" s="696">
        <v>8</v>
      </c>
      <c r="E138" s="697" t="s">
        <v>2253</v>
      </c>
      <c r="F138" s="1280">
        <f>7.4%+3%</f>
        <v>0.10400000000000001</v>
      </c>
      <c r="G138" s="1280">
        <f>7.55%+3%</f>
        <v>0.1055</v>
      </c>
      <c r="H138" s="1280">
        <f>G138</f>
        <v>0.1055</v>
      </c>
      <c r="I138" s="1280">
        <f>8.7%+3%</f>
        <v>0.11699999999999999</v>
      </c>
      <c r="J138" s="107">
        <f>I138</f>
        <v>0.11699999999999999</v>
      </c>
    </row>
    <row r="139" spans="4:11" ht="15">
      <c r="D139" s="1271">
        <v>9</v>
      </c>
      <c r="E139" s="1272" t="s">
        <v>2249</v>
      </c>
      <c r="F139" s="1279">
        <f>F137*F138</f>
        <v>4631.140766735426</v>
      </c>
      <c r="G139" s="1279">
        <f t="shared" ref="G139:I139" si="4">G137*G138</f>
        <v>5374.5797341480002</v>
      </c>
      <c r="H139" s="1279">
        <f t="shared" si="4"/>
        <v>5882.7374102216609</v>
      </c>
      <c r="I139" s="1279">
        <f t="shared" ca="1" si="4"/>
        <v>5895.2403618205071</v>
      </c>
      <c r="J139" s="1735">
        <f ca="1">J137*J138</f>
        <v>5895.2333808205067</v>
      </c>
    </row>
    <row r="141" spans="4:11">
      <c r="D141" s="302" t="s">
        <v>2256</v>
      </c>
    </row>
    <row r="143" spans="4:11" ht="25.5">
      <c r="D143" s="1275" t="s">
        <v>2235</v>
      </c>
      <c r="E143" s="1276" t="s">
        <v>791</v>
      </c>
      <c r="F143" s="945" t="s">
        <v>1702</v>
      </c>
      <c r="G143" s="883" t="s">
        <v>2254</v>
      </c>
      <c r="H143" s="945" t="s">
        <v>1703</v>
      </c>
      <c r="I143" s="945" t="s">
        <v>2136</v>
      </c>
    </row>
    <row r="144" spans="4:11">
      <c r="D144" s="696">
        <v>1</v>
      </c>
      <c r="E144" s="502" t="s">
        <v>2262</v>
      </c>
      <c r="F144" s="1278">
        <f>333.13*100</f>
        <v>33313</v>
      </c>
      <c r="G144" s="23"/>
      <c r="H144" s="1278">
        <f>477.72*100</f>
        <v>47772</v>
      </c>
      <c r="I144" s="1278">
        <f>H144*(1+((H144-F144)/F144))</f>
        <v>68506.708612253482</v>
      </c>
      <c r="K144" s="133"/>
    </row>
    <row r="145" spans="4:9">
      <c r="D145" s="696">
        <v>2</v>
      </c>
      <c r="E145" s="23" t="s">
        <v>2257</v>
      </c>
      <c r="F145" s="1278">
        <f>117.39*100</f>
        <v>11739</v>
      </c>
      <c r="G145" s="23"/>
      <c r="H145" s="1277"/>
      <c r="I145" s="1278"/>
    </row>
    <row r="146" spans="4:9">
      <c r="D146" s="696">
        <v>3</v>
      </c>
      <c r="E146" s="23" t="s">
        <v>2258</v>
      </c>
      <c r="F146" s="1278">
        <f>70%*F144</f>
        <v>23319.1</v>
      </c>
      <c r="G146" s="23">
        <f t="shared" ref="G146:I146" si="5">70%*G144</f>
        <v>0</v>
      </c>
      <c r="H146" s="1278">
        <f t="shared" si="5"/>
        <v>33440.400000000001</v>
      </c>
      <c r="I146" s="1278">
        <f t="shared" si="5"/>
        <v>47954.696028577433</v>
      </c>
    </row>
    <row r="147" spans="4:9" ht="25.5">
      <c r="D147" s="696">
        <v>4</v>
      </c>
      <c r="E147" s="68" t="s">
        <v>2259</v>
      </c>
      <c r="F147" s="1278">
        <f>F146/2</f>
        <v>11659.55</v>
      </c>
      <c r="G147" s="23">
        <f t="shared" ref="G147:I147" si="6">G146/2</f>
        <v>0</v>
      </c>
      <c r="H147" s="1278">
        <f t="shared" si="6"/>
        <v>16720.2</v>
      </c>
      <c r="I147" s="1278">
        <f t="shared" si="6"/>
        <v>23977.348014288717</v>
      </c>
    </row>
    <row r="148" spans="4:9">
      <c r="D148" s="696">
        <v>5</v>
      </c>
      <c r="E148" s="23" t="s">
        <v>2260</v>
      </c>
      <c r="F148" s="1280">
        <f>7.4%+3%</f>
        <v>0.10400000000000001</v>
      </c>
      <c r="G148" s="1280">
        <f>7.55%+3%</f>
        <v>0.1055</v>
      </c>
      <c r="H148" s="1280">
        <f>G148</f>
        <v>0.1055</v>
      </c>
      <c r="I148" s="1280">
        <f>8.7%+3%</f>
        <v>0.11699999999999999</v>
      </c>
    </row>
    <row r="149" spans="4:9" ht="15">
      <c r="D149" s="945">
        <v>6</v>
      </c>
      <c r="E149" s="462" t="s">
        <v>2261</v>
      </c>
      <c r="F149" s="37">
        <f>F147*F148</f>
        <v>1212.5932</v>
      </c>
      <c r="G149" s="28">
        <f t="shared" ref="G149:I149" si="7">G147*G148</f>
        <v>0</v>
      </c>
      <c r="H149" s="37">
        <f t="shared" si="7"/>
        <v>1763.9811</v>
      </c>
      <c r="I149" s="37">
        <f t="shared" si="7"/>
        <v>2805.3497176717797</v>
      </c>
    </row>
    <row r="151" spans="4:9" ht="12.75" customHeight="1">
      <c r="D151" s="302" t="s">
        <v>2269</v>
      </c>
      <c r="G151">
        <f>333.13-117.39</f>
        <v>215.74</v>
      </c>
    </row>
    <row r="153" spans="4:9" ht="25.5">
      <c r="D153" s="1271" t="s">
        <v>2235</v>
      </c>
      <c r="E153" s="1272" t="s">
        <v>791</v>
      </c>
      <c r="F153" s="945" t="s">
        <v>1702</v>
      </c>
      <c r="G153" s="883" t="s">
        <v>2254</v>
      </c>
      <c r="H153" s="945" t="s">
        <v>1703</v>
      </c>
      <c r="I153" s="945" t="s">
        <v>2136</v>
      </c>
    </row>
    <row r="154" spans="4:9">
      <c r="D154" s="696">
        <v>1</v>
      </c>
      <c r="E154" s="502" t="s">
        <v>2275</v>
      </c>
      <c r="F154" s="23">
        <f>300*100</f>
        <v>30000</v>
      </c>
      <c r="G154" s="78"/>
      <c r="H154" s="78">
        <f>F156</f>
        <v>34402.800000000003</v>
      </c>
      <c r="I154" s="78">
        <f>H156</f>
        <v>41822.400000000001</v>
      </c>
    </row>
    <row r="155" spans="4:9">
      <c r="D155" s="696">
        <v>2</v>
      </c>
      <c r="E155" s="502" t="s">
        <v>1665</v>
      </c>
      <c r="F155" s="646">
        <f>(117.39+29.37)*100*30%</f>
        <v>4402.8</v>
      </c>
      <c r="G155" s="23"/>
      <c r="H155" s="78">
        <f>(31.58+215.74)*100*30%</f>
        <v>7419.5999999999995</v>
      </c>
      <c r="I155" s="78">
        <f>143.32*100*30%</f>
        <v>4299.5999999999995</v>
      </c>
    </row>
    <row r="156" spans="4:9">
      <c r="D156" s="696">
        <v>3</v>
      </c>
      <c r="E156" s="502" t="s">
        <v>2276</v>
      </c>
      <c r="F156" s="78">
        <f>F154+F155</f>
        <v>34402.800000000003</v>
      </c>
      <c r="G156" s="23"/>
      <c r="H156" s="78">
        <f>H154+H155</f>
        <v>41822.400000000001</v>
      </c>
      <c r="I156" s="78">
        <f>I154+I155</f>
        <v>46122</v>
      </c>
    </row>
    <row r="157" spans="4:9">
      <c r="D157" s="696">
        <v>4</v>
      </c>
      <c r="E157" s="502" t="s">
        <v>2270</v>
      </c>
      <c r="F157" s="1287">
        <v>0.16</v>
      </c>
      <c r="G157" s="23"/>
      <c r="H157" s="1287">
        <f>F157</f>
        <v>0.16</v>
      </c>
      <c r="I157" s="1287">
        <f>H157</f>
        <v>0.16</v>
      </c>
    </row>
    <row r="158" spans="4:9">
      <c r="D158" s="696">
        <v>5</v>
      </c>
      <c r="E158" s="502" t="s">
        <v>2271</v>
      </c>
      <c r="F158" s="78">
        <f>(F154*F157)+(F155/2*F157)</f>
        <v>5152.2240000000002</v>
      </c>
      <c r="G158" s="23"/>
      <c r="H158" s="78">
        <f>(H154*H157)+(H155/2*H157)</f>
        <v>6098.0160000000005</v>
      </c>
      <c r="I158" s="78">
        <f>(I154*I157)+(I155/2*I157)</f>
        <v>7035.5520000000006</v>
      </c>
    </row>
    <row r="159" spans="4:9">
      <c r="D159" s="696">
        <v>6</v>
      </c>
      <c r="E159" s="502" t="s">
        <v>2272</v>
      </c>
      <c r="F159" s="323">
        <v>0.25169999999999998</v>
      </c>
      <c r="G159" s="23"/>
      <c r="H159" s="323">
        <f>F159</f>
        <v>0.25169999999999998</v>
      </c>
      <c r="I159" s="323">
        <f>H159</f>
        <v>0.25169999999999998</v>
      </c>
    </row>
    <row r="160" spans="4:9">
      <c r="D160" s="696">
        <v>7</v>
      </c>
      <c r="E160" s="502" t="s">
        <v>2273</v>
      </c>
      <c r="F160" s="78">
        <f>F158/(1-F159)</f>
        <v>6885.2385406922367</v>
      </c>
      <c r="G160" s="23"/>
      <c r="H160" s="78">
        <f>H158/(1-H159)</f>
        <v>8149.1594280368845</v>
      </c>
      <c r="I160" s="78">
        <f>I158/(1-I159)</f>
        <v>9402.0473072297227</v>
      </c>
    </row>
    <row r="161" spans="4:9">
      <c r="D161" s="945">
        <v>8</v>
      </c>
      <c r="E161" s="28" t="s">
        <v>2274</v>
      </c>
      <c r="F161" s="1288">
        <f>F160-F158</f>
        <v>1733.0145406922366</v>
      </c>
      <c r="G161" s="28"/>
      <c r="H161" s="1288">
        <f>H160-H158</f>
        <v>2051.143428036884</v>
      </c>
      <c r="I161" s="1288">
        <f>I160-I158</f>
        <v>2366.4953072297221</v>
      </c>
    </row>
    <row r="163" spans="4:9">
      <c r="D163" s="302" t="s">
        <v>1263</v>
      </c>
    </row>
    <row r="165" spans="4:9" ht="25.5">
      <c r="D165" s="1271" t="s">
        <v>2235</v>
      </c>
      <c r="E165" s="1272" t="s">
        <v>791</v>
      </c>
      <c r="F165" s="945" t="s">
        <v>1702</v>
      </c>
      <c r="G165" s="883" t="s">
        <v>2254</v>
      </c>
      <c r="H165" s="945" t="s">
        <v>1703</v>
      </c>
      <c r="I165" s="945" t="s">
        <v>2136</v>
      </c>
    </row>
    <row r="166" spans="4:9">
      <c r="D166" s="29">
        <v>1</v>
      </c>
      <c r="E166" s="23" t="s">
        <v>1539</v>
      </c>
      <c r="F166" s="23"/>
      <c r="G166" s="23"/>
      <c r="H166" s="23"/>
      <c r="I166" s="23"/>
    </row>
    <row r="167" spans="4:9">
      <c r="D167" s="29">
        <v>2</v>
      </c>
      <c r="E167" s="23" t="s">
        <v>2263</v>
      </c>
      <c r="F167" s="23"/>
      <c r="G167" s="23"/>
      <c r="H167" s="23"/>
      <c r="I167" s="23"/>
    </row>
    <row r="168" spans="4:9">
      <c r="D168" s="29">
        <v>3</v>
      </c>
      <c r="E168" s="23" t="s">
        <v>2264</v>
      </c>
      <c r="F168" s="23">
        <f>F166+F167</f>
        <v>0</v>
      </c>
      <c r="G168" s="23">
        <f t="shared" ref="G168:I168" si="8">G166+G167</f>
        <v>0</v>
      </c>
      <c r="H168" s="23">
        <f t="shared" si="8"/>
        <v>0</v>
      </c>
      <c r="I168" s="23">
        <f t="shared" si="8"/>
        <v>0</v>
      </c>
    </row>
    <row r="169" spans="4:9">
      <c r="D169" s="29">
        <v>4</v>
      </c>
      <c r="E169" s="23" t="s">
        <v>2265</v>
      </c>
      <c r="F169" s="23">
        <f>(F166+F168)/2</f>
        <v>0</v>
      </c>
      <c r="G169" s="23">
        <f t="shared" ref="G169:I169" si="9">(G166+G168)/2</f>
        <v>0</v>
      </c>
      <c r="H169" s="23">
        <f t="shared" si="9"/>
        <v>0</v>
      </c>
      <c r="I169" s="23">
        <f t="shared" si="9"/>
        <v>0</v>
      </c>
    </row>
    <row r="170" spans="4:9">
      <c r="D170" s="29">
        <v>5</v>
      </c>
      <c r="E170" s="23" t="s">
        <v>2266</v>
      </c>
      <c r="F170" s="23"/>
      <c r="G170" s="23"/>
      <c r="H170" s="23"/>
      <c r="I170" s="23"/>
    </row>
    <row r="171" spans="4:9">
      <c r="D171" s="29">
        <v>6</v>
      </c>
      <c r="E171" s="23" t="s">
        <v>2267</v>
      </c>
      <c r="F171" s="23">
        <f>F169*F170</f>
        <v>0</v>
      </c>
      <c r="G171" s="23">
        <f t="shared" ref="G171:I171" si="10">G169*G170</f>
        <v>0</v>
      </c>
      <c r="H171" s="23">
        <f t="shared" si="10"/>
        <v>0</v>
      </c>
      <c r="I171" s="23">
        <f t="shared" si="10"/>
        <v>0</v>
      </c>
    </row>
    <row r="258" spans="1:6">
      <c r="A258" s="302" t="s">
        <v>1625</v>
      </c>
      <c r="B258" s="12"/>
      <c r="C258" s="12"/>
      <c r="D258" s="12"/>
    </row>
    <row r="259" spans="1:6">
      <c r="A259" s="2" t="s">
        <v>1626</v>
      </c>
      <c r="B259" s="12"/>
      <c r="C259" s="12"/>
      <c r="D259" s="12"/>
    </row>
    <row r="260" spans="1:6">
      <c r="A260" s="302" t="s">
        <v>1627</v>
      </c>
      <c r="B260" s="12"/>
      <c r="C260" s="12"/>
      <c r="D260" s="12"/>
      <c r="E260" s="304" t="s">
        <v>1628</v>
      </c>
      <c r="F260" s="304" t="s">
        <v>1629</v>
      </c>
    </row>
    <row r="261" spans="1:6">
      <c r="A261" s="506" t="s">
        <v>1630</v>
      </c>
      <c r="C261" s="564">
        <v>53957952</v>
      </c>
      <c r="D261" s="12"/>
    </row>
    <row r="262" spans="1:6">
      <c r="A262" s="506" t="s">
        <v>1631</v>
      </c>
      <c r="C262" s="564">
        <v>97699351</v>
      </c>
      <c r="D262" s="12"/>
    </row>
    <row r="263" spans="1:6">
      <c r="A263" s="506" t="s">
        <v>1632</v>
      </c>
      <c r="C263" s="564">
        <v>86774167</v>
      </c>
      <c r="D263" s="12"/>
      <c r="E263" t="s">
        <v>1633</v>
      </c>
      <c r="F263" s="212">
        <f>SUM(C261:C263)</f>
        <v>238431470</v>
      </c>
    </row>
    <row r="264" spans="1:6">
      <c r="A264" s="506" t="s">
        <v>1634</v>
      </c>
      <c r="C264" s="564">
        <v>11353909</v>
      </c>
      <c r="D264" s="12"/>
      <c r="E264" t="s">
        <v>1635</v>
      </c>
      <c r="F264" s="9">
        <f>C264</f>
        <v>11353909</v>
      </c>
    </row>
    <row r="265" spans="1:6">
      <c r="A265" s="506" t="s">
        <v>1636</v>
      </c>
      <c r="C265" s="564">
        <v>3006692</v>
      </c>
      <c r="D265" s="12"/>
      <c r="E265" t="s">
        <v>1637</v>
      </c>
      <c r="F265" s="9">
        <f>C265</f>
        <v>3006692</v>
      </c>
    </row>
    <row r="266" spans="1:6">
      <c r="A266" s="3" t="s">
        <v>147</v>
      </c>
      <c r="C266" s="212">
        <f>SUM(C261:C265)</f>
        <v>252792071</v>
      </c>
      <c r="D266" s="12"/>
    </row>
    <row r="267" spans="1:6">
      <c r="A267" s="2"/>
      <c r="B267" s="12"/>
      <c r="C267" s="12"/>
      <c r="D267" s="12"/>
    </row>
    <row r="268" spans="1:6">
      <c r="A268" s="302" t="s">
        <v>1638</v>
      </c>
      <c r="B268" s="12"/>
      <c r="C268" s="12"/>
      <c r="D268" s="12"/>
      <c r="E268" s="304" t="s">
        <v>1628</v>
      </c>
      <c r="F268" s="304" t="s">
        <v>1629</v>
      </c>
    </row>
    <row r="269" spans="1:6">
      <c r="A269" s="3" t="s">
        <v>1639</v>
      </c>
      <c r="B269" s="656">
        <v>36876</v>
      </c>
      <c r="C269" s="564">
        <f>95500000*0.7</f>
        <v>66849999.999999993</v>
      </c>
      <c r="D269" s="12"/>
      <c r="E269" s="303">
        <f>B269+365*6</f>
        <v>39066</v>
      </c>
      <c r="F269" s="9">
        <f>C269</f>
        <v>66849999.999999993</v>
      </c>
    </row>
    <row r="270" spans="1:6">
      <c r="A270" s="3" t="s">
        <v>1640</v>
      </c>
      <c r="B270" s="656">
        <v>37083</v>
      </c>
      <c r="C270" s="564">
        <f>85368000*0.7</f>
        <v>59757599.999999993</v>
      </c>
      <c r="D270" s="12"/>
      <c r="E270" s="303">
        <f t="shared" ref="E270:E285" si="11">B270+365*6</f>
        <v>39273</v>
      </c>
      <c r="F270" s="9">
        <f t="shared" ref="F270:F285" si="12">C270</f>
        <v>59757599.999999993</v>
      </c>
    </row>
    <row r="271" spans="1:6">
      <c r="A271" s="3"/>
      <c r="B271" s="656">
        <v>37230</v>
      </c>
      <c r="C271" s="564">
        <f>3157000*0.7</f>
        <v>2209900</v>
      </c>
      <c r="D271" s="12"/>
      <c r="E271" s="303">
        <f t="shared" si="11"/>
        <v>39420</v>
      </c>
      <c r="F271" s="9">
        <f t="shared" si="12"/>
        <v>2209900</v>
      </c>
    </row>
    <row r="272" spans="1:6">
      <c r="A272" s="3"/>
      <c r="B272" s="656">
        <v>37346</v>
      </c>
      <c r="C272" s="564">
        <f>45275000*0.7</f>
        <v>31692499.999999996</v>
      </c>
      <c r="D272" s="12"/>
      <c r="E272" s="303">
        <f t="shared" si="11"/>
        <v>39536</v>
      </c>
      <c r="F272" s="9">
        <f t="shared" si="12"/>
        <v>31692499.999999996</v>
      </c>
    </row>
    <row r="273" spans="1:6">
      <c r="A273" s="3" t="s">
        <v>1641</v>
      </c>
      <c r="B273" s="656">
        <v>37384</v>
      </c>
      <c r="C273" s="564">
        <f>45276000*0.7</f>
        <v>31693199.999999996</v>
      </c>
      <c r="D273" s="12"/>
      <c r="E273" s="303">
        <f t="shared" si="11"/>
        <v>39574</v>
      </c>
      <c r="F273" s="9">
        <f t="shared" si="12"/>
        <v>31693199.999999996</v>
      </c>
    </row>
    <row r="274" spans="1:6">
      <c r="A274" s="1"/>
      <c r="B274" s="656">
        <v>37448</v>
      </c>
      <c r="C274" s="564">
        <f>2573000*0.7</f>
        <v>1801100</v>
      </c>
      <c r="D274" s="12"/>
      <c r="E274" s="303">
        <f t="shared" si="11"/>
        <v>39638</v>
      </c>
      <c r="F274" s="9">
        <f t="shared" si="12"/>
        <v>1801100</v>
      </c>
    </row>
    <row r="275" spans="1:6">
      <c r="A275" s="1"/>
      <c r="B275" s="656">
        <v>37532</v>
      </c>
      <c r="C275" s="564">
        <f>43537000*0.7</f>
        <v>30475899.999999996</v>
      </c>
      <c r="D275" s="12"/>
      <c r="E275" s="303">
        <f t="shared" si="11"/>
        <v>39722</v>
      </c>
      <c r="F275" s="9">
        <f t="shared" si="12"/>
        <v>30475899.999999996</v>
      </c>
    </row>
    <row r="276" spans="1:6">
      <c r="A276" s="1"/>
      <c r="B276" s="656">
        <v>37573</v>
      </c>
      <c r="C276" s="564">
        <f>27130000*0.7</f>
        <v>18991000</v>
      </c>
      <c r="D276" s="12"/>
      <c r="E276" s="303">
        <f t="shared" si="11"/>
        <v>39763</v>
      </c>
      <c r="F276" s="9">
        <f t="shared" si="12"/>
        <v>18991000</v>
      </c>
    </row>
    <row r="277" spans="1:6">
      <c r="A277" s="1"/>
      <c r="B277" s="656">
        <v>37636</v>
      </c>
      <c r="C277" s="564">
        <f>58773000*0.7</f>
        <v>41141100</v>
      </c>
      <c r="D277" s="12"/>
      <c r="E277" s="303">
        <f t="shared" si="11"/>
        <v>39826</v>
      </c>
      <c r="F277" s="9">
        <f t="shared" si="12"/>
        <v>41141100</v>
      </c>
    </row>
    <row r="278" spans="1:6">
      <c r="A278" s="1"/>
      <c r="B278" s="656">
        <v>37709</v>
      </c>
      <c r="C278" s="564">
        <f>70026000*0.7</f>
        <v>49018200</v>
      </c>
      <c r="D278" s="12"/>
      <c r="E278" s="303">
        <f t="shared" si="11"/>
        <v>39899</v>
      </c>
      <c r="F278" s="9">
        <f t="shared" si="12"/>
        <v>49018200</v>
      </c>
    </row>
    <row r="279" spans="1:6">
      <c r="A279" s="3" t="s">
        <v>1642</v>
      </c>
      <c r="B279" s="656">
        <v>37805</v>
      </c>
      <c r="C279" s="564">
        <f>57674000*0.7</f>
        <v>40371800</v>
      </c>
      <c r="D279" s="12"/>
      <c r="E279" s="303">
        <f t="shared" si="11"/>
        <v>39995</v>
      </c>
      <c r="F279" s="9">
        <f t="shared" si="12"/>
        <v>40371800</v>
      </c>
    </row>
    <row r="280" spans="1:6">
      <c r="A280" s="3"/>
      <c r="B280" s="656">
        <v>37845</v>
      </c>
      <c r="C280" s="564">
        <f>33174000*0.7</f>
        <v>23221800</v>
      </c>
      <c r="D280" s="12"/>
      <c r="E280" s="303">
        <f t="shared" si="11"/>
        <v>40035</v>
      </c>
      <c r="F280" s="9">
        <f t="shared" si="12"/>
        <v>23221800</v>
      </c>
    </row>
    <row r="281" spans="1:6">
      <c r="A281" s="1"/>
      <c r="B281" s="656">
        <v>37916</v>
      </c>
      <c r="C281">
        <f>73200000*0.7</f>
        <v>51240000</v>
      </c>
      <c r="E281" s="303">
        <f t="shared" si="11"/>
        <v>40106</v>
      </c>
      <c r="F281" s="9">
        <f t="shared" si="12"/>
        <v>51240000</v>
      </c>
    </row>
    <row r="282" spans="1:6">
      <c r="A282" s="1"/>
      <c r="B282" s="656">
        <v>37994</v>
      </c>
      <c r="C282">
        <f>48704000*0.7</f>
        <v>34092800</v>
      </c>
      <c r="E282" s="303">
        <f t="shared" si="11"/>
        <v>40184</v>
      </c>
      <c r="F282" s="9">
        <f t="shared" si="12"/>
        <v>34092800</v>
      </c>
    </row>
    <row r="283" spans="1:6">
      <c r="A283" s="1"/>
      <c r="B283" s="656">
        <v>38016</v>
      </c>
      <c r="C283">
        <f>50000000*0.7</f>
        <v>35000000</v>
      </c>
      <c r="E283" s="303">
        <f t="shared" si="11"/>
        <v>40206</v>
      </c>
      <c r="F283" s="9">
        <f t="shared" si="12"/>
        <v>35000000</v>
      </c>
    </row>
    <row r="284" spans="1:6">
      <c r="A284" s="3" t="s">
        <v>1643</v>
      </c>
      <c r="B284" s="656">
        <v>38159</v>
      </c>
      <c r="C284">
        <f>36400000*0.7</f>
        <v>25480000</v>
      </c>
      <c r="E284" s="303">
        <f t="shared" si="11"/>
        <v>40349</v>
      </c>
      <c r="F284" s="9">
        <f t="shared" si="12"/>
        <v>25480000</v>
      </c>
    </row>
    <row r="285" spans="1:6">
      <c r="A285" s="3" t="s">
        <v>1644</v>
      </c>
      <c r="B285" s="656">
        <v>38444</v>
      </c>
      <c r="C285">
        <f>162518000*0.7</f>
        <v>113762600</v>
      </c>
      <c r="E285" s="303">
        <f t="shared" si="11"/>
        <v>40634</v>
      </c>
      <c r="F285" s="9">
        <f t="shared" si="12"/>
        <v>113762600</v>
      </c>
    </row>
    <row r="286" spans="1:6">
      <c r="C286" s="212">
        <f>SUM(C269:C285)</f>
        <v>656799500</v>
      </c>
      <c r="F286" s="212">
        <f>SUM(F269:F285)</f>
        <v>656799500</v>
      </c>
    </row>
  </sheetData>
  <phoneticPr fontId="0" type="noConversion"/>
  <printOptions horizontalCentered="1" gridLines="1"/>
  <pageMargins left="0.25" right="0" top="0" bottom="0" header="0.5" footer="0.5"/>
  <pageSetup paperSize="9" scale="54" orientation="portrait"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74">
    <pageSetUpPr fitToPage="1"/>
  </sheetPr>
  <dimension ref="A2:S135"/>
  <sheetViews>
    <sheetView workbookViewId="0">
      <pane xSplit="1" ySplit="3" topLeftCell="D53" activePane="bottomRight" state="frozen"/>
      <selection activeCell="G8" sqref="G8"/>
      <selection pane="topRight" activeCell="G8" sqref="G8"/>
      <selection pane="bottomLeft" activeCell="G8" sqref="G8"/>
      <selection pane="bottomRight" activeCell="F57" sqref="F57"/>
    </sheetView>
  </sheetViews>
  <sheetFormatPr defaultRowHeight="12.75"/>
  <cols>
    <col min="1" max="1" width="20.28515625" customWidth="1"/>
    <col min="2" max="3" width="9.85546875" bestFit="1" customWidth="1"/>
    <col min="4" max="5" width="12" customWidth="1"/>
    <col min="6" max="8" width="11.140625" customWidth="1"/>
    <col min="9" max="12" width="11.140625" hidden="1" customWidth="1"/>
    <col min="14" max="14" width="20" customWidth="1"/>
    <col min="15" max="15" width="20.7109375" customWidth="1"/>
    <col min="16" max="16" width="22.140625" customWidth="1"/>
    <col min="17" max="17" width="16" customWidth="1"/>
    <col min="18" max="18" width="18.85546875" customWidth="1"/>
  </cols>
  <sheetData>
    <row r="2" spans="1:17">
      <c r="A2" s="2" t="s">
        <v>1645</v>
      </c>
      <c r="B2" s="2"/>
      <c r="C2" s="2"/>
      <c r="D2" s="2"/>
      <c r="E2" s="2"/>
    </row>
    <row r="3" spans="1:17" ht="13.5" thickBot="1">
      <c r="A3" s="16"/>
      <c r="B3" s="18" t="s">
        <v>1646</v>
      </c>
      <c r="C3" s="19"/>
      <c r="D3" s="19"/>
      <c r="E3" s="19"/>
      <c r="F3" s="921" t="s">
        <v>850</v>
      </c>
      <c r="G3" s="890" t="s">
        <v>851</v>
      </c>
      <c r="H3" s="890" t="s">
        <v>1959</v>
      </c>
      <c r="I3" s="1727" t="s">
        <v>2446</v>
      </c>
      <c r="J3" s="1727" t="s">
        <v>2447</v>
      </c>
      <c r="K3" s="1727" t="s">
        <v>2448</v>
      </c>
      <c r="L3" s="1727" t="s">
        <v>2449</v>
      </c>
    </row>
    <row r="4" spans="1:17" ht="13.5" thickTop="1">
      <c r="A4" s="2"/>
      <c r="B4" s="657"/>
    </row>
    <row r="5" spans="1:17">
      <c r="A5" s="2" t="s">
        <v>1647</v>
      </c>
      <c r="B5" s="657"/>
      <c r="C5" s="2"/>
      <c r="D5" s="2"/>
      <c r="E5" s="2"/>
    </row>
    <row r="6" spans="1:17">
      <c r="A6" s="2" t="s">
        <v>1648</v>
      </c>
      <c r="B6" s="657" t="s">
        <v>1649</v>
      </c>
      <c r="C6" s="161" t="s">
        <v>1650</v>
      </c>
      <c r="D6" s="161" t="s">
        <v>2456</v>
      </c>
      <c r="E6" s="161" t="s">
        <v>2454</v>
      </c>
      <c r="N6" s="1982" t="s">
        <v>1651</v>
      </c>
      <c r="O6" s="1982"/>
      <c r="P6" s="1982"/>
    </row>
    <row r="7" spans="1:17">
      <c r="A7" s="506" t="s">
        <v>559</v>
      </c>
      <c r="B7" s="11">
        <v>0</v>
      </c>
      <c r="C7" s="225">
        <v>0</v>
      </c>
      <c r="D7" s="225">
        <v>0</v>
      </c>
      <c r="E7" s="225">
        <v>0</v>
      </c>
      <c r="F7" s="312">
        <v>0</v>
      </c>
      <c r="G7" s="312">
        <f>F33*0</f>
        <v>0</v>
      </c>
      <c r="H7" s="312">
        <f>G33</f>
        <v>0</v>
      </c>
      <c r="I7" s="1699">
        <f t="shared" ref="I7:L7" si="0">H33</f>
        <v>0</v>
      </c>
      <c r="J7" s="1699">
        <f t="shared" si="0"/>
        <v>0</v>
      </c>
      <c r="K7" s="1699">
        <f t="shared" si="0"/>
        <v>0</v>
      </c>
      <c r="L7" s="1699">
        <f t="shared" si="0"/>
        <v>0</v>
      </c>
      <c r="N7" s="694" t="s">
        <v>1652</v>
      </c>
      <c r="O7" s="694" t="s">
        <v>1541</v>
      </c>
      <c r="P7" s="502" t="s">
        <v>2288</v>
      </c>
      <c r="Q7" s="502" t="s">
        <v>2289</v>
      </c>
    </row>
    <row r="8" spans="1:17">
      <c r="A8" s="506" t="s">
        <v>1167</v>
      </c>
      <c r="B8" s="658">
        <v>3.0200000000000001E-2</v>
      </c>
      <c r="C8" s="226">
        <v>1.7999999999999999E-2</v>
      </c>
      <c r="D8" s="226">
        <v>3.3399999999999999E-2</v>
      </c>
      <c r="E8" s="226">
        <v>3.3399999999999999E-2</v>
      </c>
      <c r="F8" s="911">
        <f>16.054176341*100</f>
        <v>1605.4176341000002</v>
      </c>
      <c r="G8" s="312">
        <f>F34</f>
        <v>4556.7079372999997</v>
      </c>
      <c r="H8" s="312">
        <f>G34</f>
        <v>4592.3779372999998</v>
      </c>
      <c r="I8" s="1699">
        <f t="shared" ref="I8:L13" si="1">H34</f>
        <v>4592.3779372999998</v>
      </c>
      <c r="J8" s="1699">
        <f t="shared" si="1"/>
        <v>4592.3779372999998</v>
      </c>
      <c r="K8" s="1699">
        <f t="shared" si="1"/>
        <v>4592.3779372999998</v>
      </c>
      <c r="L8" s="1699">
        <f t="shared" si="1"/>
        <v>4592.3779372999998</v>
      </c>
      <c r="N8" s="23">
        <v>1</v>
      </c>
      <c r="O8" s="23" t="s">
        <v>1653</v>
      </c>
      <c r="P8" s="36">
        <v>10768.903776044999</v>
      </c>
      <c r="Q8" s="36">
        <v>10768.903776044999</v>
      </c>
    </row>
    <row r="9" spans="1:17">
      <c r="A9" s="506" t="s">
        <v>1654</v>
      </c>
      <c r="B9" s="658">
        <f>7.84%</f>
        <v>7.8399999999999997E-2</v>
      </c>
      <c r="C9" s="226">
        <v>3.7999999999999999E-2</v>
      </c>
      <c r="D9" s="226">
        <v>5.28E-2</v>
      </c>
      <c r="E9" s="226">
        <v>4.6699999999999998E-2</v>
      </c>
      <c r="F9" s="911">
        <f>623.136100391*100</f>
        <v>62313.6100391</v>
      </c>
      <c r="G9" s="312">
        <f t="shared" ref="G9:H13" si="2">F35</f>
        <v>72937.643982875001</v>
      </c>
      <c r="H9" s="312">
        <f t="shared" ca="1" si="2"/>
        <v>136993.28405478553</v>
      </c>
      <c r="I9" s="1699">
        <f t="shared" ca="1" si="1"/>
        <v>217454.935799281</v>
      </c>
      <c r="J9" s="1699">
        <f t="shared" ca="1" si="1"/>
        <v>217454.935799281</v>
      </c>
      <c r="K9" s="1699">
        <f t="shared" ca="1" si="1"/>
        <v>217454.935799281</v>
      </c>
      <c r="L9" s="1699">
        <f t="shared" ca="1" si="1"/>
        <v>217454.935799281</v>
      </c>
      <c r="N9" s="23">
        <v>2</v>
      </c>
      <c r="O9" s="23" t="s">
        <v>1655</v>
      </c>
      <c r="P9" s="36">
        <v>2556</v>
      </c>
      <c r="Q9" s="36">
        <v>4108</v>
      </c>
    </row>
    <row r="10" spans="1:17">
      <c r="A10" s="506" t="s">
        <v>1170</v>
      </c>
      <c r="B10" s="658">
        <f>7.84%</f>
        <v>7.8399999999999997E-2</v>
      </c>
      <c r="C10" s="226">
        <v>3.7999999999999999E-2</v>
      </c>
      <c r="D10" s="226">
        <v>5.28E-2</v>
      </c>
      <c r="E10" s="226">
        <v>4.6699999999999998E-2</v>
      </c>
      <c r="F10" s="911">
        <f>1314.164619747*100</f>
        <v>131416.46197469998</v>
      </c>
      <c r="G10" s="312">
        <f t="shared" si="2"/>
        <v>151146.81072742498</v>
      </c>
      <c r="H10" s="312">
        <f t="shared" si="2"/>
        <v>151146.81072742498</v>
      </c>
      <c r="I10" s="1699">
        <f t="shared" si="1"/>
        <v>151146.81072742498</v>
      </c>
      <c r="J10" s="1699">
        <f t="shared" si="1"/>
        <v>151146.81072742498</v>
      </c>
      <c r="K10" s="1699">
        <f t="shared" si="1"/>
        <v>151146.81072742498</v>
      </c>
      <c r="L10" s="1699">
        <f t="shared" si="1"/>
        <v>151146.81072742498</v>
      </c>
      <c r="N10" s="23">
        <v>3</v>
      </c>
      <c r="O10" s="23" t="s">
        <v>1656</v>
      </c>
      <c r="P10" s="36">
        <v>2192</v>
      </c>
      <c r="Q10" s="36">
        <v>2192</v>
      </c>
    </row>
    <row r="11" spans="1:17">
      <c r="A11" s="506" t="s">
        <v>561</v>
      </c>
      <c r="B11" s="658">
        <v>0.12770000000000001</v>
      </c>
      <c r="C11" s="226">
        <v>4.5499999999999999E-2</v>
      </c>
      <c r="D11" s="226">
        <v>6.3299999999999995E-2</v>
      </c>
      <c r="E11" s="226">
        <v>6.3299999999999995E-2</v>
      </c>
      <c r="F11" s="911">
        <f>2.017583268*100</f>
        <v>201.75832680000002</v>
      </c>
      <c r="G11" s="312">
        <f t="shared" si="2"/>
        <v>301.84260949999998</v>
      </c>
      <c r="H11" s="312">
        <f t="shared" si="2"/>
        <v>371.84260949999998</v>
      </c>
      <c r="I11" s="1699">
        <f t="shared" si="1"/>
        <v>461.84260949999998</v>
      </c>
      <c r="J11" s="1699">
        <f t="shared" si="1"/>
        <v>461.84260949999998</v>
      </c>
      <c r="K11" s="1699">
        <f t="shared" si="1"/>
        <v>461.84260949999998</v>
      </c>
      <c r="L11" s="1699">
        <f t="shared" si="1"/>
        <v>461.84260949999998</v>
      </c>
      <c r="N11" s="23">
        <v>4</v>
      </c>
      <c r="O11" s="23" t="s">
        <v>1657</v>
      </c>
      <c r="P11" s="36">
        <v>14367</v>
      </c>
      <c r="Q11" s="36">
        <v>14367</v>
      </c>
    </row>
    <row r="12" spans="1:17">
      <c r="A12" s="506" t="s">
        <v>1173</v>
      </c>
      <c r="B12" s="658">
        <v>0.33400000000000002</v>
      </c>
      <c r="C12" s="226">
        <v>0.12859999999999999</v>
      </c>
      <c r="D12" s="226">
        <v>9.5000000000000001E-2</v>
      </c>
      <c r="E12" s="226">
        <v>9.5000000000000001E-2</v>
      </c>
      <c r="F12" s="911">
        <f>0.480672165*100</f>
        <v>48.067216500000001</v>
      </c>
      <c r="G12" s="312">
        <f>F38</f>
        <v>187.13667240000001</v>
      </c>
      <c r="H12" s="312">
        <f t="shared" si="2"/>
        <v>207.13667240000001</v>
      </c>
      <c r="I12" s="1699">
        <f t="shared" si="1"/>
        <v>252.13667240000001</v>
      </c>
      <c r="J12" s="1699">
        <f t="shared" si="1"/>
        <v>252.13667240000001</v>
      </c>
      <c r="K12" s="1699">
        <f t="shared" si="1"/>
        <v>252.13667240000001</v>
      </c>
      <c r="L12" s="1699">
        <f t="shared" si="1"/>
        <v>252.13667240000001</v>
      </c>
      <c r="N12" s="23">
        <v>5</v>
      </c>
      <c r="O12" s="23" t="s">
        <v>1658</v>
      </c>
      <c r="P12" s="36">
        <v>5329</v>
      </c>
      <c r="Q12" s="36">
        <v>5329</v>
      </c>
    </row>
    <row r="13" spans="1:17">
      <c r="A13" s="506" t="s">
        <v>1659</v>
      </c>
      <c r="B13" s="658">
        <v>0.12770000000000001</v>
      </c>
      <c r="C13" s="226">
        <v>0.09</v>
      </c>
      <c r="D13" s="226">
        <v>6.3299999999999995E-2</v>
      </c>
      <c r="E13" s="226">
        <v>6.3299999999999995E-2</v>
      </c>
      <c r="F13" s="911">
        <f>(7.45303117*100)-F14</f>
        <v>243.2952573</v>
      </c>
      <c r="G13" s="312">
        <f t="shared" si="2"/>
        <v>418.37095944999987</v>
      </c>
      <c r="H13" s="312">
        <f t="shared" si="2"/>
        <v>494.37414004999988</v>
      </c>
      <c r="I13" s="1699">
        <f t="shared" si="1"/>
        <v>594.37414004999982</v>
      </c>
      <c r="J13" s="1699">
        <f t="shared" si="1"/>
        <v>594.37414004999982</v>
      </c>
      <c r="K13" s="1699">
        <f t="shared" si="1"/>
        <v>594.37414004999982</v>
      </c>
      <c r="L13" s="1699">
        <f t="shared" si="1"/>
        <v>594.37414004999982</v>
      </c>
      <c r="M13" s="312"/>
      <c r="N13" s="23">
        <v>6</v>
      </c>
      <c r="O13" s="23" t="s">
        <v>1660</v>
      </c>
      <c r="P13" s="36">
        <f>819+291+895</f>
        <v>2005</v>
      </c>
      <c r="Q13" s="36">
        <f>819+291+895</f>
        <v>2005</v>
      </c>
    </row>
    <row r="14" spans="1:17">
      <c r="A14" s="506" t="s">
        <v>1661</v>
      </c>
      <c r="B14" s="658"/>
      <c r="C14" s="226">
        <v>0.09</v>
      </c>
      <c r="D14" s="226">
        <v>0.15</v>
      </c>
      <c r="E14" s="226">
        <v>0.15</v>
      </c>
      <c r="F14" s="911">
        <f>5.020078597*100</f>
        <v>502.00785970000004</v>
      </c>
      <c r="G14" s="312">
        <f>F40</f>
        <v>3243.08356185</v>
      </c>
      <c r="H14" s="312">
        <f>G40</f>
        <v>3268.08356185</v>
      </c>
      <c r="I14" s="1699">
        <f t="shared" ref="I14:L14" si="3">H40</f>
        <v>3298.08356185</v>
      </c>
      <c r="J14" s="1699">
        <f t="shared" si="3"/>
        <v>3298.08356185</v>
      </c>
      <c r="K14" s="1699">
        <f t="shared" si="3"/>
        <v>3298.08356185</v>
      </c>
      <c r="L14" s="1699">
        <f t="shared" si="3"/>
        <v>3298.08356185</v>
      </c>
      <c r="N14" s="23">
        <v>7</v>
      </c>
      <c r="O14" s="23" t="s">
        <v>1662</v>
      </c>
      <c r="P14" s="36">
        <v>191</v>
      </c>
      <c r="Q14" s="36">
        <v>191</v>
      </c>
    </row>
    <row r="15" spans="1:17">
      <c r="A15" s="506" t="s">
        <v>2455</v>
      </c>
      <c r="B15" s="658"/>
      <c r="C15" s="226"/>
      <c r="D15" s="226"/>
      <c r="E15" s="226">
        <v>0.3</v>
      </c>
      <c r="F15" s="911">
        <v>0</v>
      </c>
      <c r="G15" s="312">
        <f>F41</f>
        <v>2566</v>
      </c>
      <c r="H15" s="312">
        <f>G41</f>
        <v>3870</v>
      </c>
      <c r="I15" s="1699"/>
      <c r="J15" s="1699"/>
      <c r="K15" s="1699"/>
      <c r="L15" s="1699"/>
      <c r="N15" s="23"/>
      <c r="O15" s="23"/>
      <c r="P15" s="36"/>
      <c r="Q15" s="36"/>
    </row>
    <row r="16" spans="1:17" ht="13.5" thickBot="1">
      <c r="A16" s="659" t="s">
        <v>147</v>
      </c>
      <c r="B16" s="16"/>
      <c r="C16" s="17"/>
      <c r="D16" s="17"/>
      <c r="E16" s="17"/>
      <c r="F16" s="14">
        <f>SUM(F7:F15)</f>
        <v>196330.61830819998</v>
      </c>
      <c r="G16" s="14">
        <f t="shared" ref="G16:L16" si="4">SUM(G7:G15)</f>
        <v>235357.59645079999</v>
      </c>
      <c r="H16" s="14">
        <f t="shared" ca="1" si="4"/>
        <v>300943.90970331046</v>
      </c>
      <c r="I16" s="14">
        <f t="shared" ca="1" si="4"/>
        <v>377800.56144780596</v>
      </c>
      <c r="J16" s="14">
        <f t="shared" ca="1" si="4"/>
        <v>377800.56144780596</v>
      </c>
      <c r="K16" s="14">
        <f t="shared" ca="1" si="4"/>
        <v>377800.56144780596</v>
      </c>
      <c r="L16" s="14">
        <f t="shared" ca="1" si="4"/>
        <v>377800.56144780596</v>
      </c>
      <c r="N16" s="23">
        <v>8</v>
      </c>
      <c r="O16" s="23" t="s">
        <v>1663</v>
      </c>
      <c r="P16" s="36">
        <v>212</v>
      </c>
      <c r="Q16" s="36">
        <v>212</v>
      </c>
    </row>
    <row r="17" spans="1:17" ht="13.5" thickTop="1">
      <c r="F17" s="9"/>
      <c r="H17" s="312"/>
      <c r="I17" s="312"/>
      <c r="J17" s="312"/>
      <c r="K17" s="312"/>
      <c r="L17" s="312"/>
      <c r="N17" s="23">
        <v>9</v>
      </c>
      <c r="O17" s="23" t="s">
        <v>1664</v>
      </c>
      <c r="P17" s="36">
        <v>45</v>
      </c>
      <c r="Q17" s="36">
        <v>45</v>
      </c>
    </row>
    <row r="18" spans="1:17">
      <c r="A18" s="2"/>
      <c r="F18" s="337"/>
      <c r="N18" s="23">
        <v>10</v>
      </c>
      <c r="O18" s="23" t="s">
        <v>1666</v>
      </c>
      <c r="P18" s="36">
        <v>488</v>
      </c>
      <c r="Q18" s="36">
        <v>488</v>
      </c>
    </row>
    <row r="19" spans="1:17" ht="13.5" thickBot="1">
      <c r="A19" s="17" t="s">
        <v>1665</v>
      </c>
      <c r="B19" s="16"/>
      <c r="C19" s="16"/>
      <c r="D19" s="16"/>
      <c r="E19" s="16"/>
      <c r="F19" s="15"/>
      <c r="G19" s="15"/>
      <c r="H19" s="15"/>
      <c r="I19" s="15"/>
      <c r="J19" s="15"/>
      <c r="K19" s="15"/>
      <c r="L19" s="15"/>
      <c r="N19" s="23">
        <v>11</v>
      </c>
      <c r="O19" s="23" t="s">
        <v>1667</v>
      </c>
      <c r="P19" s="36">
        <f>823+128</f>
        <v>951</v>
      </c>
      <c r="Q19" s="36">
        <f>823+128</f>
        <v>951</v>
      </c>
    </row>
    <row r="20" spans="1:17" ht="13.5" thickTop="1">
      <c r="A20" s="506" t="s">
        <v>559</v>
      </c>
      <c r="F20" s="7">
        <f>CWIP!K11</f>
        <v>0</v>
      </c>
      <c r="G20" s="7">
        <f>CWIP!U11+CWIP!V11</f>
        <v>0</v>
      </c>
      <c r="H20" s="7">
        <f>CWIP!AF11+CWIP!AG11</f>
        <v>0</v>
      </c>
      <c r="I20" s="457"/>
      <c r="J20" s="457"/>
      <c r="K20" s="457"/>
      <c r="L20" s="457"/>
      <c r="N20" s="23">
        <v>12</v>
      </c>
      <c r="O20" s="23" t="s">
        <v>1580</v>
      </c>
      <c r="P20" s="36">
        <v>570</v>
      </c>
      <c r="Q20" s="36">
        <v>570</v>
      </c>
    </row>
    <row r="21" spans="1:17">
      <c r="A21" s="506" t="s">
        <v>1167</v>
      </c>
      <c r="F21" s="910">
        <f>295129030.32/10^5</f>
        <v>2951.2903031999999</v>
      </c>
      <c r="G21" s="7">
        <f>CWIP!U12+CWIP!V12</f>
        <v>35.67</v>
      </c>
      <c r="H21" s="7">
        <f>CWIP!AF12+CWIP!AG12</f>
        <v>0</v>
      </c>
      <c r="I21" s="457"/>
      <c r="J21" s="457"/>
      <c r="K21" s="457"/>
      <c r="L21" s="457"/>
      <c r="N21" s="23">
        <v>13</v>
      </c>
      <c r="O21" s="23" t="s">
        <v>1668</v>
      </c>
      <c r="P21" s="36">
        <v>1590</v>
      </c>
      <c r="Q21" s="36">
        <v>1590</v>
      </c>
    </row>
    <row r="22" spans="1:17">
      <c r="A22" s="506" t="s">
        <v>1654</v>
      </c>
      <c r="F22" s="910">
        <f>((3035438269.65)/10^5)-F23</f>
        <v>10624.033943775001</v>
      </c>
      <c r="G22" s="7">
        <f ca="1">CWIP!U35+CWIP!V35-G27-G28</f>
        <v>64055.64007191053</v>
      </c>
      <c r="H22" s="7">
        <f ca="1">CWIP!AF35+CWIP!AG35-H27-H28</f>
        <v>80461.651744495466</v>
      </c>
      <c r="I22" s="457"/>
      <c r="J22" s="457"/>
      <c r="K22" s="457"/>
      <c r="L22" s="457"/>
      <c r="N22" s="23">
        <v>14</v>
      </c>
      <c r="O22" s="23" t="s">
        <v>1669</v>
      </c>
      <c r="P22" s="36"/>
      <c r="Q22" s="7"/>
    </row>
    <row r="23" spans="1:17" ht="15">
      <c r="A23" s="506" t="s">
        <v>1170</v>
      </c>
      <c r="F23" s="910">
        <f>(65%*3035438269.65)/10^5</f>
        <v>19730.348752725</v>
      </c>
      <c r="G23" s="7">
        <v>0</v>
      </c>
      <c r="H23" s="7">
        <v>0</v>
      </c>
      <c r="I23" s="457"/>
      <c r="J23" s="457"/>
      <c r="K23" s="457"/>
      <c r="L23" s="457"/>
      <c r="N23" s="693"/>
      <c r="O23" s="693" t="s">
        <v>231</v>
      </c>
      <c r="P23" s="37">
        <f>SUM(P8:P22)</f>
        <v>41264.903776045001</v>
      </c>
      <c r="Q23" s="12">
        <f>SUM(Q8:Q22)</f>
        <v>42816.903776045001</v>
      </c>
    </row>
    <row r="24" spans="1:17">
      <c r="A24" s="506" t="s">
        <v>561</v>
      </c>
      <c r="F24" s="910">
        <f>10008428.27/10^5</f>
        <v>100.08428269999999</v>
      </c>
      <c r="G24" s="7">
        <f>CWIP!U37+CWIP!V37</f>
        <v>70</v>
      </c>
      <c r="H24" s="7">
        <f>CWIP!AF37+CWIP!AG37</f>
        <v>90</v>
      </c>
      <c r="I24" s="457"/>
      <c r="J24" s="457"/>
      <c r="K24" s="457"/>
      <c r="L24" s="457"/>
    </row>
    <row r="25" spans="1:17">
      <c r="A25" s="506" t="s">
        <v>1173</v>
      </c>
      <c r="F25" s="910">
        <f>13906945.59/10^5</f>
        <v>139.06945590000001</v>
      </c>
      <c r="G25" s="7">
        <f>CWIP!U38+CWIP!V38</f>
        <v>20</v>
      </c>
      <c r="H25" s="7">
        <f>CWIP!AF38+CWIP!AG38</f>
        <v>45</v>
      </c>
      <c r="I25" s="457"/>
      <c r="J25" s="457"/>
      <c r="K25" s="457"/>
      <c r="L25" s="457"/>
      <c r="P25" s="340"/>
    </row>
    <row r="26" spans="1:17">
      <c r="A26" s="506" t="s">
        <v>1659</v>
      </c>
      <c r="F26" s="910">
        <f>(548215140.43/10^5)-F27-F28</f>
        <v>175.07570214999987</v>
      </c>
      <c r="G26" s="7">
        <f>CWIP!U39+CWIP!V39</f>
        <v>76.003180600000007</v>
      </c>
      <c r="H26" s="7">
        <f>CWIP!AF39+CWIP!AG39</f>
        <v>100</v>
      </c>
      <c r="I26" s="457"/>
      <c r="J26" s="457"/>
      <c r="K26" s="457"/>
      <c r="L26" s="457"/>
      <c r="N26" t="s">
        <v>1670</v>
      </c>
      <c r="P26" s="340"/>
    </row>
    <row r="27" spans="1:17" ht="15">
      <c r="A27" s="506" t="s">
        <v>1671</v>
      </c>
      <c r="F27" s="910">
        <f>(50%*548215140.43)/10^5</f>
        <v>2741.0757021499999</v>
      </c>
      <c r="G27" s="7">
        <v>25</v>
      </c>
      <c r="H27" s="7">
        <v>30</v>
      </c>
      <c r="I27" s="457"/>
      <c r="J27" s="457"/>
      <c r="K27" s="457"/>
      <c r="L27" s="457"/>
      <c r="N27" s="695" t="s">
        <v>214</v>
      </c>
      <c r="O27" s="695" t="s">
        <v>1672</v>
      </c>
      <c r="P27" t="s">
        <v>2288</v>
      </c>
      <c r="Q27" s="502" t="s">
        <v>2289</v>
      </c>
    </row>
    <row r="28" spans="1:17" ht="15">
      <c r="A28" s="506" t="s">
        <v>2455</v>
      </c>
      <c r="F28" s="910">
        <v>2566</v>
      </c>
      <c r="G28" s="7">
        <v>1304</v>
      </c>
      <c r="H28" s="7">
        <v>1003</v>
      </c>
      <c r="I28" s="457"/>
      <c r="J28" s="457"/>
      <c r="K28" s="457"/>
      <c r="L28" s="457"/>
      <c r="N28" s="695"/>
      <c r="O28" s="695"/>
      <c r="Q28" s="506"/>
    </row>
    <row r="29" spans="1:17">
      <c r="A29" s="506" t="s">
        <v>1673</v>
      </c>
      <c r="F29" s="7"/>
      <c r="G29" s="7"/>
      <c r="N29" s="696">
        <v>1</v>
      </c>
      <c r="O29" s="697" t="s">
        <v>572</v>
      </c>
      <c r="P29">
        <v>88617</v>
      </c>
      <c r="Q29">
        <v>102873</v>
      </c>
    </row>
    <row r="30" spans="1:17" ht="13.5" thickBot="1">
      <c r="A30" s="659" t="s">
        <v>147</v>
      </c>
      <c r="B30" s="16"/>
      <c r="C30" s="17"/>
      <c r="D30" s="17"/>
      <c r="E30" s="17"/>
      <c r="F30" s="14">
        <f>SUM(F20:F29)</f>
        <v>39026.978142600005</v>
      </c>
      <c r="G30" s="14">
        <f ca="1">SUM(G20:G29)</f>
        <v>65586.313252510532</v>
      </c>
      <c r="H30" s="14">
        <f ca="1">SUM(H20:H29)</f>
        <v>81729.651744495466</v>
      </c>
      <c r="I30" s="14">
        <f t="shared" ref="I30:L30" si="5">SUM(I20:I29)</f>
        <v>0</v>
      </c>
      <c r="J30" s="14">
        <f t="shared" si="5"/>
        <v>0</v>
      </c>
      <c r="K30" s="14">
        <f t="shared" si="5"/>
        <v>0</v>
      </c>
      <c r="L30" s="14">
        <f t="shared" si="5"/>
        <v>0</v>
      </c>
      <c r="N30" s="696">
        <v>2</v>
      </c>
      <c r="O30" s="697" t="s">
        <v>1674</v>
      </c>
      <c r="P30">
        <f>28570+8772</f>
        <v>37342</v>
      </c>
      <c r="Q30">
        <f>28570+8772</f>
        <v>37342</v>
      </c>
    </row>
    <row r="31" spans="1:17" ht="13.5" thickTop="1">
      <c r="A31" s="506"/>
      <c r="N31" s="696">
        <v>3</v>
      </c>
      <c r="O31" s="697" t="s">
        <v>1584</v>
      </c>
      <c r="P31">
        <f>21444+3021+5420</f>
        <v>29885</v>
      </c>
      <c r="Q31">
        <f>21444+3021+5420</f>
        <v>29885</v>
      </c>
    </row>
    <row r="32" spans="1:17">
      <c r="A32" s="2" t="s">
        <v>1675</v>
      </c>
      <c r="C32" s="2"/>
      <c r="D32" s="2"/>
      <c r="E32" s="2"/>
      <c r="F32" s="337"/>
      <c r="N32" s="696">
        <v>4</v>
      </c>
      <c r="O32" s="697" t="s">
        <v>1676</v>
      </c>
      <c r="P32">
        <v>49292</v>
      </c>
      <c r="Q32">
        <v>49292</v>
      </c>
    </row>
    <row r="33" spans="1:17">
      <c r="A33" s="506" t="s">
        <v>559</v>
      </c>
      <c r="C33" s="506"/>
      <c r="D33" s="506"/>
      <c r="E33" s="506"/>
      <c r="F33" s="312">
        <f>(F20+F7)*0</f>
        <v>0</v>
      </c>
      <c r="G33" s="312">
        <f>G20+G7</f>
        <v>0</v>
      </c>
      <c r="H33" s="312">
        <f>H20+H7</f>
        <v>0</v>
      </c>
      <c r="I33" s="1699">
        <f t="shared" ref="I33:L33" si="6">I20+I7</f>
        <v>0</v>
      </c>
      <c r="J33" s="1699">
        <f t="shared" si="6"/>
        <v>0</v>
      </c>
      <c r="K33" s="1699">
        <f t="shared" si="6"/>
        <v>0</v>
      </c>
      <c r="L33" s="1699">
        <f t="shared" si="6"/>
        <v>0</v>
      </c>
      <c r="N33" s="696">
        <v>5</v>
      </c>
      <c r="O33" s="697" t="s">
        <v>1677</v>
      </c>
      <c r="P33">
        <v>111425</v>
      </c>
      <c r="Q33">
        <v>111425</v>
      </c>
    </row>
    <row r="34" spans="1:17">
      <c r="A34" s="506" t="s">
        <v>1167</v>
      </c>
      <c r="C34" s="506"/>
      <c r="D34" s="506"/>
      <c r="E34" s="506"/>
      <c r="F34" s="911">
        <f>F21+F8</f>
        <v>4556.7079372999997</v>
      </c>
      <c r="G34" s="312">
        <f>G21+G8</f>
        <v>4592.3779372999998</v>
      </c>
      <c r="H34" s="312">
        <f>H21+H8</f>
        <v>4592.3779372999998</v>
      </c>
      <c r="I34" s="1699">
        <f>I21+I8</f>
        <v>4592.3779372999998</v>
      </c>
      <c r="J34" s="1699">
        <f t="shared" ref="J34:L34" si="7">J21+J8</f>
        <v>4592.3779372999998</v>
      </c>
      <c r="K34" s="1699">
        <f t="shared" si="7"/>
        <v>4592.3779372999998</v>
      </c>
      <c r="L34" s="1699">
        <f t="shared" si="7"/>
        <v>4592.3779372999998</v>
      </c>
      <c r="O34" s="698" t="s">
        <v>571</v>
      </c>
      <c r="P34">
        <v>8000</v>
      </c>
      <c r="Q34">
        <v>9000</v>
      </c>
    </row>
    <row r="35" spans="1:17">
      <c r="A35" s="506" t="s">
        <v>1654</v>
      </c>
      <c r="C35" s="506"/>
      <c r="D35" s="506"/>
      <c r="E35" s="506"/>
      <c r="F35" s="911">
        <f>F22+F9+F29</f>
        <v>72937.643982875001</v>
      </c>
      <c r="G35" s="312">
        <f ca="1">G22+G9+G29</f>
        <v>136993.28405478553</v>
      </c>
      <c r="H35" s="312">
        <f ca="1">H22+H9+H29</f>
        <v>217454.935799281</v>
      </c>
      <c r="I35" s="1699">
        <f t="shared" ref="I35:L35" ca="1" si="8">I22+I9+I29</f>
        <v>217454.935799281</v>
      </c>
      <c r="J35" s="1699">
        <f t="shared" ca="1" si="8"/>
        <v>217454.935799281</v>
      </c>
      <c r="K35" s="1699">
        <f t="shared" ca="1" si="8"/>
        <v>217454.935799281</v>
      </c>
      <c r="L35" s="1699">
        <f t="shared" ca="1" si="8"/>
        <v>217454.935799281</v>
      </c>
      <c r="O35" s="698" t="s">
        <v>147</v>
      </c>
      <c r="P35" s="2">
        <f>SUM(P29:P34)</f>
        <v>324561</v>
      </c>
      <c r="Q35" s="2">
        <f>SUM(Q29:Q34)</f>
        <v>339817</v>
      </c>
    </row>
    <row r="36" spans="1:17">
      <c r="A36" s="506" t="s">
        <v>1170</v>
      </c>
      <c r="C36" s="312"/>
      <c r="D36" s="312"/>
      <c r="E36" s="312"/>
      <c r="F36" s="911">
        <f t="shared" ref="F36:H40" si="9">F23+F10</f>
        <v>151146.81072742498</v>
      </c>
      <c r="G36" s="312">
        <f t="shared" si="9"/>
        <v>151146.81072742498</v>
      </c>
      <c r="H36" s="312">
        <f t="shared" si="9"/>
        <v>151146.81072742498</v>
      </c>
      <c r="I36" s="1699">
        <f t="shared" ref="I36:L36" si="10">I23+I10</f>
        <v>151146.81072742498</v>
      </c>
      <c r="J36" s="1699">
        <f t="shared" si="10"/>
        <v>151146.81072742498</v>
      </c>
      <c r="K36" s="1699">
        <f t="shared" si="10"/>
        <v>151146.81072742498</v>
      </c>
      <c r="L36" s="1699">
        <f t="shared" si="10"/>
        <v>151146.81072742498</v>
      </c>
      <c r="P36">
        <f>P35*100</f>
        <v>32456100</v>
      </c>
      <c r="Q36">
        <f>Q35*100</f>
        <v>33981700</v>
      </c>
    </row>
    <row r="37" spans="1:17">
      <c r="A37" s="506" t="s">
        <v>561</v>
      </c>
      <c r="C37" s="312"/>
      <c r="D37" s="312"/>
      <c r="E37" s="312"/>
      <c r="F37" s="911">
        <f t="shared" si="9"/>
        <v>301.84260949999998</v>
      </c>
      <c r="G37" s="312">
        <f t="shared" si="9"/>
        <v>371.84260949999998</v>
      </c>
      <c r="H37" s="312">
        <f t="shared" si="9"/>
        <v>461.84260949999998</v>
      </c>
      <c r="I37" s="1699">
        <f t="shared" ref="I37:L37" si="11">I24+I11</f>
        <v>461.84260949999998</v>
      </c>
      <c r="J37" s="1699">
        <f t="shared" si="11"/>
        <v>461.84260949999998</v>
      </c>
      <c r="K37" s="1699">
        <f t="shared" si="11"/>
        <v>461.84260949999998</v>
      </c>
      <c r="L37" s="1699">
        <f t="shared" si="11"/>
        <v>461.84260949999998</v>
      </c>
      <c r="P37">
        <f>P36+P25</f>
        <v>32456100</v>
      </c>
    </row>
    <row r="38" spans="1:17">
      <c r="A38" s="506" t="s">
        <v>1173</v>
      </c>
      <c r="C38" s="312"/>
      <c r="D38" s="312"/>
      <c r="E38" s="312"/>
      <c r="F38" s="911">
        <f t="shared" si="9"/>
        <v>187.13667240000001</v>
      </c>
      <c r="G38" s="312">
        <f t="shared" si="9"/>
        <v>207.13667240000001</v>
      </c>
      <c r="H38" s="312">
        <f t="shared" si="9"/>
        <v>252.13667240000001</v>
      </c>
      <c r="I38" s="1699">
        <f t="shared" ref="I38:L38" si="12">I25+I12</f>
        <v>252.13667240000001</v>
      </c>
      <c r="J38" s="1699">
        <f t="shared" si="12"/>
        <v>252.13667240000001</v>
      </c>
      <c r="K38" s="1699">
        <f t="shared" si="12"/>
        <v>252.13667240000001</v>
      </c>
      <c r="L38" s="1699">
        <f t="shared" si="12"/>
        <v>252.13667240000001</v>
      </c>
      <c r="P38">
        <f>P35+15850</f>
        <v>340411</v>
      </c>
    </row>
    <row r="39" spans="1:17">
      <c r="A39" s="506" t="s">
        <v>1659</v>
      </c>
      <c r="C39" s="506"/>
      <c r="D39" s="506"/>
      <c r="E39" s="506"/>
      <c r="F39" s="911">
        <f t="shared" si="9"/>
        <v>418.37095944999987</v>
      </c>
      <c r="G39" s="312">
        <f t="shared" si="9"/>
        <v>494.37414004999988</v>
      </c>
      <c r="H39" s="312">
        <f t="shared" si="9"/>
        <v>594.37414004999982</v>
      </c>
      <c r="I39" s="1699">
        <f t="shared" ref="I39:L39" si="13">I26+I13</f>
        <v>594.37414004999982</v>
      </c>
      <c r="J39" s="1699">
        <f t="shared" si="13"/>
        <v>594.37414004999982</v>
      </c>
      <c r="K39" s="1699">
        <f t="shared" si="13"/>
        <v>594.37414004999982</v>
      </c>
      <c r="L39" s="1699">
        <f t="shared" si="13"/>
        <v>594.37414004999982</v>
      </c>
    </row>
    <row r="40" spans="1:17">
      <c r="A40" s="506" t="s">
        <v>1671</v>
      </c>
      <c r="C40" s="506"/>
      <c r="D40" s="506"/>
      <c r="E40" s="506"/>
      <c r="F40" s="911">
        <f t="shared" si="9"/>
        <v>3243.08356185</v>
      </c>
      <c r="G40" s="312">
        <f t="shared" si="9"/>
        <v>3268.08356185</v>
      </c>
      <c r="H40" s="312">
        <f t="shared" si="9"/>
        <v>3298.08356185</v>
      </c>
      <c r="I40" s="1699">
        <f t="shared" ref="I40:L40" si="14">I27+I14</f>
        <v>3298.08356185</v>
      </c>
      <c r="J40" s="1699">
        <f t="shared" si="14"/>
        <v>3298.08356185</v>
      </c>
      <c r="K40" s="1699">
        <f t="shared" si="14"/>
        <v>3298.08356185</v>
      </c>
      <c r="L40" s="1699">
        <f t="shared" si="14"/>
        <v>3298.08356185</v>
      </c>
    </row>
    <row r="41" spans="1:17">
      <c r="A41" s="506" t="s">
        <v>2455</v>
      </c>
      <c r="C41" s="506"/>
      <c r="D41" s="506"/>
      <c r="E41" s="506"/>
      <c r="F41" s="911">
        <f>F28+F15</f>
        <v>2566</v>
      </c>
      <c r="G41" s="312">
        <f t="shared" ref="G41:H41" si="15">G28+G15</f>
        <v>3870</v>
      </c>
      <c r="H41" s="312">
        <f t="shared" si="15"/>
        <v>4873</v>
      </c>
      <c r="I41" s="1699"/>
      <c r="J41" s="1699"/>
      <c r="K41" s="1699"/>
      <c r="L41" s="1699"/>
    </row>
    <row r="42" spans="1:17" ht="13.5" thickBot="1">
      <c r="A42" s="659" t="s">
        <v>147</v>
      </c>
      <c r="B42" s="16"/>
      <c r="C42" s="17"/>
      <c r="D42" s="17"/>
      <c r="E42" s="17"/>
      <c r="F42" s="14">
        <f>SUM(F33:F41)</f>
        <v>235357.59645079999</v>
      </c>
      <c r="G42" s="14">
        <f t="shared" ref="G42:H42" ca="1" si="16">SUM(G33:G41)</f>
        <v>300943.90970331046</v>
      </c>
      <c r="H42" s="14">
        <f t="shared" ca="1" si="16"/>
        <v>382673.56144780596</v>
      </c>
      <c r="I42" s="14">
        <f t="shared" ref="I42:L42" ca="1" si="17">SUM(I33:I40)</f>
        <v>377800.56144780596</v>
      </c>
      <c r="J42" s="14">
        <f t="shared" ca="1" si="17"/>
        <v>377800.56144780596</v>
      </c>
      <c r="K42" s="14">
        <f t="shared" ca="1" si="17"/>
        <v>377800.56144780596</v>
      </c>
      <c r="L42" s="14">
        <f t="shared" ca="1" si="17"/>
        <v>377800.56144780596</v>
      </c>
    </row>
    <row r="43" spans="1:17" ht="13.5" thickTop="1">
      <c r="F43" s="7"/>
    </row>
    <row r="44" spans="1:17">
      <c r="A44" s="2" t="s">
        <v>1678</v>
      </c>
      <c r="B44" s="2"/>
      <c r="C44" s="2"/>
      <c r="D44" s="2"/>
      <c r="E44" s="2"/>
    </row>
    <row r="45" spans="1:17">
      <c r="A45" t="s">
        <v>1679</v>
      </c>
      <c r="C45" s="7"/>
      <c r="D45" s="7"/>
      <c r="E45" s="7"/>
      <c r="F45" s="910">
        <f>CWIP!B40</f>
        <v>4947.0111005999979</v>
      </c>
      <c r="G45" s="7">
        <f>F49</f>
        <v>3695.5437539684644</v>
      </c>
      <c r="H45" s="7">
        <f ca="1">G49</f>
        <v>23470.726647151023</v>
      </c>
      <c r="I45" s="457">
        <f t="shared" ref="I45:L45" ca="1" si="18">H49</f>
        <v>34189.599738068457</v>
      </c>
      <c r="J45" s="457">
        <f t="shared" ca="1" si="18"/>
        <v>34189.599738068457</v>
      </c>
      <c r="K45" s="457">
        <f t="shared" ca="1" si="18"/>
        <v>34189.599738068457</v>
      </c>
      <c r="L45" s="457">
        <f t="shared" ca="1" si="18"/>
        <v>34189.599738068457</v>
      </c>
    </row>
    <row r="46" spans="1:17">
      <c r="A46" t="s">
        <v>1680</v>
      </c>
      <c r="C46" s="7"/>
      <c r="D46" s="7"/>
      <c r="E46" s="7"/>
      <c r="F46" s="910">
        <f>CWIP!B42+CWIP!B43</f>
        <v>6650.86</v>
      </c>
      <c r="G46" s="7">
        <f>F50</f>
        <v>4506.34728</v>
      </c>
      <c r="H46" s="7">
        <f>G50</f>
        <v>6040</v>
      </c>
      <c r="I46" s="457">
        <f t="shared" ref="I46:L46" si="19">H50</f>
        <v>6670</v>
      </c>
      <c r="J46" s="457">
        <f t="shared" si="19"/>
        <v>0</v>
      </c>
      <c r="K46" s="457">
        <f t="shared" si="19"/>
        <v>0</v>
      </c>
      <c r="L46" s="457">
        <f t="shared" si="19"/>
        <v>0</v>
      </c>
    </row>
    <row r="47" spans="1:17">
      <c r="A47" t="s">
        <v>1665</v>
      </c>
      <c r="C47" s="7"/>
      <c r="D47" s="7"/>
      <c r="E47" s="7"/>
      <c r="F47" s="910">
        <f>CWIP!J40</f>
        <v>37775.510795968468</v>
      </c>
      <c r="G47" s="7">
        <f ca="1">CWIP!T40</f>
        <v>85361.496145693091</v>
      </c>
      <c r="H47" s="7">
        <f ca="1">CWIP!AE40</f>
        <v>92448.5248354129</v>
      </c>
      <c r="I47" s="457"/>
      <c r="J47" s="457"/>
      <c r="K47" s="457"/>
      <c r="L47" s="457"/>
    </row>
    <row r="48" spans="1:17">
      <c r="A48" t="s">
        <v>1681</v>
      </c>
      <c r="C48" s="7"/>
      <c r="D48" s="7"/>
      <c r="E48" s="7"/>
      <c r="F48" s="910">
        <f>F30</f>
        <v>39026.978142600005</v>
      </c>
      <c r="G48" s="7">
        <f ca="1">G30</f>
        <v>65586.313252510532</v>
      </c>
      <c r="H48" s="7">
        <f ca="1">H30</f>
        <v>81729.651744495466</v>
      </c>
      <c r="I48" s="457"/>
      <c r="J48" s="457"/>
      <c r="K48" s="457"/>
      <c r="L48" s="457"/>
    </row>
    <row r="49" spans="1:19">
      <c r="A49" t="s">
        <v>1682</v>
      </c>
      <c r="C49" s="12"/>
      <c r="D49" s="12"/>
      <c r="E49" s="12"/>
      <c r="F49" s="914">
        <f>F45+F47-F48</f>
        <v>3695.5437539684644</v>
      </c>
      <c r="G49" s="12">
        <f ca="1">G45+G47-G48</f>
        <v>23470.726647151023</v>
      </c>
      <c r="H49" s="12">
        <f ca="1">H45+H47-H48</f>
        <v>34189.599738068457</v>
      </c>
      <c r="I49" s="1728">
        <f t="shared" ref="I49:L49" ca="1" si="20">I45+I47-I48</f>
        <v>34189.599738068457</v>
      </c>
      <c r="J49" s="1728">
        <f t="shared" ca="1" si="20"/>
        <v>34189.599738068457</v>
      </c>
      <c r="K49" s="1728">
        <f t="shared" ca="1" si="20"/>
        <v>34189.599738068457</v>
      </c>
      <c r="L49" s="1728">
        <f t="shared" ca="1" si="20"/>
        <v>34189.599738068457</v>
      </c>
    </row>
    <row r="50" spans="1:19">
      <c r="A50" t="s">
        <v>1680</v>
      </c>
      <c r="C50" s="12"/>
      <c r="D50" s="12"/>
      <c r="E50" s="12"/>
      <c r="F50" s="914">
        <f>CWIP!L42+CWIP!L43</f>
        <v>4506.34728</v>
      </c>
      <c r="G50" s="12">
        <f>CWIP!W42+CWIP!W43</f>
        <v>6040</v>
      </c>
      <c r="H50" s="12">
        <f>CWIP!AH42+CWIP!AH43</f>
        <v>6670</v>
      </c>
      <c r="I50" s="1728"/>
      <c r="J50" s="1728"/>
      <c r="K50" s="1728"/>
      <c r="L50" s="1728"/>
    </row>
    <row r="51" spans="1:19">
      <c r="A51" t="s">
        <v>1683</v>
      </c>
      <c r="C51" s="12"/>
      <c r="D51" s="12"/>
      <c r="E51" s="12"/>
      <c r="F51" s="914">
        <f>F50+F49</f>
        <v>8201.8910339684644</v>
      </c>
      <c r="G51" s="12">
        <f ca="1">G50+G49</f>
        <v>29510.726647151023</v>
      </c>
      <c r="H51" s="12">
        <f ca="1">H50+H49</f>
        <v>40859.599738068457</v>
      </c>
      <c r="I51" s="12">
        <f t="shared" ref="I51:L51" ca="1" si="21">I50+I49</f>
        <v>34189.599738068457</v>
      </c>
      <c r="J51" s="12">
        <f t="shared" ca="1" si="21"/>
        <v>34189.599738068457</v>
      </c>
      <c r="K51" s="12">
        <f t="shared" ca="1" si="21"/>
        <v>34189.599738068457</v>
      </c>
      <c r="L51" s="12">
        <f t="shared" ca="1" si="21"/>
        <v>34189.599738068457</v>
      </c>
      <c r="N51" s="7">
        <f>23528.72-F51</f>
        <v>15326.828966031537</v>
      </c>
    </row>
    <row r="52" spans="1:19">
      <c r="A52" s="2"/>
      <c r="C52" s="2"/>
      <c r="D52" s="2"/>
      <c r="E52" s="2"/>
      <c r="G52" s="7"/>
    </row>
    <row r="53" spans="1:19">
      <c r="A53" s="2" t="s">
        <v>730</v>
      </c>
      <c r="C53" s="2"/>
      <c r="D53" s="2"/>
      <c r="E53" s="2"/>
      <c r="F53" s="7"/>
      <c r="O53" s="28" t="s">
        <v>2408</v>
      </c>
      <c r="P53" s="28" t="s">
        <v>2409</v>
      </c>
      <c r="Q53" s="28" t="s">
        <v>2408</v>
      </c>
      <c r="R53" s="28" t="s">
        <v>2409</v>
      </c>
    </row>
    <row r="54" spans="1:19">
      <c r="A54" s="2" t="s">
        <v>1684</v>
      </c>
      <c r="B54" s="2"/>
      <c r="C54" s="2"/>
      <c r="D54" s="2"/>
      <c r="E54" s="2"/>
      <c r="F54" s="914">
        <f>6430985638.40146/10^5</f>
        <v>64309.856384014594</v>
      </c>
      <c r="G54" s="12">
        <f>F71</f>
        <v>72421.376974014594</v>
      </c>
      <c r="H54" s="12">
        <f>G71+G66</f>
        <v>82037.531039570167</v>
      </c>
      <c r="I54" s="12">
        <f ca="1">H71+H66</f>
        <v>97676.635709601265</v>
      </c>
      <c r="J54" s="12">
        <f t="shared" ref="J54:L54" si="22">I71+I66</f>
        <v>0</v>
      </c>
      <c r="K54" s="12">
        <f t="shared" si="22"/>
        <v>0</v>
      </c>
      <c r="L54" s="12">
        <f t="shared" si="22"/>
        <v>0</v>
      </c>
      <c r="O54" s="1962" t="s">
        <v>2410</v>
      </c>
      <c r="P54" s="1962"/>
      <c r="Q54" s="1962" t="s">
        <v>2233</v>
      </c>
      <c r="R54" s="1962"/>
    </row>
    <row r="55" spans="1:19">
      <c r="A55" s="2"/>
      <c r="B55" s="13" t="s">
        <v>1685</v>
      </c>
      <c r="C55" s="2"/>
      <c r="D55" s="2"/>
      <c r="E55" s="2"/>
      <c r="O55" s="23"/>
      <c r="P55" s="23"/>
      <c r="Q55" s="23"/>
      <c r="R55" s="23"/>
    </row>
    <row r="56" spans="1:19">
      <c r="A56" s="506" t="s">
        <v>559</v>
      </c>
      <c r="B56" s="13">
        <v>0</v>
      </c>
      <c r="F56" s="223">
        <f>(F7*$C$7*0)</f>
        <v>0</v>
      </c>
      <c r="G56" s="223">
        <f>G7*$C$7</f>
        <v>0</v>
      </c>
      <c r="H56" s="223">
        <f>H7*$C7</f>
        <v>0</v>
      </c>
      <c r="I56" s="1729"/>
      <c r="J56" s="1729"/>
      <c r="K56" s="1729"/>
      <c r="L56" s="1729"/>
      <c r="O56" s="23"/>
      <c r="P56" s="23"/>
      <c r="Q56" s="23"/>
      <c r="R56" s="23"/>
    </row>
    <row r="57" spans="1:19">
      <c r="A57" s="506" t="s">
        <v>1167</v>
      </c>
      <c r="B57" s="13">
        <v>11.99</v>
      </c>
      <c r="C57" s="7"/>
      <c r="D57" s="7"/>
      <c r="E57" s="7"/>
      <c r="F57" s="919">
        <f>(F8*$C8*0)+(0.2299024*100)</f>
        <v>22.99024</v>
      </c>
      <c r="G57" s="217">
        <f t="shared" ref="G57:G63" si="23">(F8*$C8)+(G8-F8)*$D8</f>
        <v>127.47061354067998</v>
      </c>
      <c r="H57" s="217">
        <f t="shared" ref="H57:H64" si="24">(F8*$C8)+(H8-F8)*$E8+(H34-H8)*$E8/2</f>
        <v>128.66199154067999</v>
      </c>
      <c r="I57" s="1730"/>
      <c r="J57" s="1730"/>
      <c r="K57" s="1730"/>
      <c r="L57" s="1730"/>
      <c r="N57" s="506" t="s">
        <v>1167</v>
      </c>
      <c r="O57" s="160">
        <f t="shared" ref="O57:O64" si="25">(F8*$C8)</f>
        <v>28.897517413800003</v>
      </c>
      <c r="P57" s="160">
        <f t="shared" ref="P57:P64" si="26">(G8-F8)*$D8</f>
        <v>98.573096126879975</v>
      </c>
      <c r="Q57" s="160">
        <f t="shared" ref="Q57:Q64" si="27">(F8*$C8)</f>
        <v>28.897517413800003</v>
      </c>
      <c r="R57" s="160">
        <f>(H8-F8)*$E8+(H34-H8)*$E8/2</f>
        <v>99.764474126879989</v>
      </c>
      <c r="S57" s="7">
        <f>R57+Q57</f>
        <v>128.66199154067999</v>
      </c>
    </row>
    <row r="58" spans="1:19">
      <c r="A58" s="506" t="s">
        <v>1654</v>
      </c>
      <c r="B58" s="13">
        <v>1679.41</v>
      </c>
      <c r="C58" s="7"/>
      <c r="D58" s="7"/>
      <c r="E58" s="7"/>
      <c r="F58" s="919">
        <f>(F9*$C9*0)+(75.6123904*100)-F59</f>
        <v>2646.4336640000001</v>
      </c>
      <c r="G58" s="217">
        <f t="shared" si="23"/>
        <v>2928.8661737171201</v>
      </c>
      <c r="H58" s="217">
        <f t="shared" ca="1" si="24"/>
        <v>7734.2375262522837</v>
      </c>
      <c r="I58" s="1730"/>
      <c r="J58" s="1730"/>
      <c r="K58" s="1730"/>
      <c r="L58" s="1730"/>
      <c r="N58" s="506" t="s">
        <v>1654</v>
      </c>
      <c r="O58" s="160">
        <f t="shared" si="25"/>
        <v>2367.9171814858</v>
      </c>
      <c r="P58" s="160">
        <f t="shared" si="26"/>
        <v>560.94899223132006</v>
      </c>
      <c r="Q58" s="160">
        <f t="shared" si="27"/>
        <v>2367.9171814858</v>
      </c>
      <c r="R58" s="160">
        <f t="shared" ref="R58:R64" ca="1" si="28">(H9-F9)*$E9+(H35-H9)*$E9/2</f>
        <v>5366.3203447664837</v>
      </c>
      <c r="S58" s="7">
        <f t="shared" ref="S58:S65" ca="1" si="29">R58+Q58</f>
        <v>7734.2375262522837</v>
      </c>
    </row>
    <row r="59" spans="1:19">
      <c r="A59" s="506" t="s">
        <v>1170</v>
      </c>
      <c r="B59" s="13">
        <v>0</v>
      </c>
      <c r="C59" s="7"/>
      <c r="D59" s="7"/>
      <c r="E59" s="7"/>
      <c r="F59" s="919">
        <f>(F10*$C10*0)+(75.6123904*65%)*100</f>
        <v>4914.8053759999993</v>
      </c>
      <c r="G59" s="217">
        <f t="shared" si="23"/>
        <v>6035.5879691824794</v>
      </c>
      <c r="H59" s="217">
        <f t="shared" si="24"/>
        <v>5915.2328417908566</v>
      </c>
      <c r="I59" s="1730"/>
      <c r="J59" s="1730"/>
      <c r="K59" s="1730"/>
      <c r="L59" s="1730"/>
      <c r="N59" s="506" t="s">
        <v>1170</v>
      </c>
      <c r="O59" s="160">
        <f t="shared" si="25"/>
        <v>4993.8255550385993</v>
      </c>
      <c r="P59" s="160">
        <f t="shared" si="26"/>
        <v>1041.7624141438798</v>
      </c>
      <c r="Q59" s="160">
        <f t="shared" si="27"/>
        <v>4993.8255550385993</v>
      </c>
      <c r="R59" s="160">
        <f t="shared" si="28"/>
        <v>921.40728675225728</v>
      </c>
      <c r="S59" s="7">
        <f t="shared" si="29"/>
        <v>5915.2328417908566</v>
      </c>
    </row>
    <row r="60" spans="1:19">
      <c r="A60" s="506" t="s">
        <v>561</v>
      </c>
      <c r="B60" s="13">
        <v>1.05</v>
      </c>
      <c r="C60" s="7"/>
      <c r="D60" s="7"/>
      <c r="E60" s="7"/>
      <c r="F60" s="919">
        <f>(F11*$C11*0)+(0.29262*100)</f>
        <v>29.262</v>
      </c>
      <c r="G60" s="217">
        <f t="shared" si="23"/>
        <v>15.515338964309997</v>
      </c>
      <c r="H60" s="217">
        <f t="shared" si="24"/>
        <v>22.794838964309996</v>
      </c>
      <c r="I60" s="1730"/>
      <c r="J60" s="1730"/>
      <c r="K60" s="1730"/>
      <c r="L60" s="1730"/>
      <c r="N60" s="506" t="s">
        <v>561</v>
      </c>
      <c r="O60" s="160">
        <f t="shared" si="25"/>
        <v>9.1800038694000001</v>
      </c>
      <c r="P60" s="160">
        <f t="shared" si="26"/>
        <v>6.3353350949099969</v>
      </c>
      <c r="Q60" s="160">
        <f t="shared" si="27"/>
        <v>9.1800038694000001</v>
      </c>
      <c r="R60" s="160">
        <f t="shared" si="28"/>
        <v>13.614835094909996</v>
      </c>
      <c r="S60" s="7">
        <f t="shared" si="29"/>
        <v>22.794838964309996</v>
      </c>
    </row>
    <row r="61" spans="1:19">
      <c r="A61" s="506" t="s">
        <v>1173</v>
      </c>
      <c r="B61" s="13">
        <v>0.23</v>
      </c>
      <c r="C61" s="7"/>
      <c r="D61" s="7"/>
      <c r="E61" s="7"/>
      <c r="F61" s="919">
        <f>(F12*$C12*0)+(0.1301823*100)</f>
        <v>13.018230000000001</v>
      </c>
      <c r="G61" s="217">
        <f t="shared" si="23"/>
        <v>19.393042352400002</v>
      </c>
      <c r="H61" s="217">
        <f t="shared" si="24"/>
        <v>23.4305423524</v>
      </c>
      <c r="I61" s="1730"/>
      <c r="J61" s="1730"/>
      <c r="K61" s="1730"/>
      <c r="L61" s="1730"/>
      <c r="N61" s="506" t="s">
        <v>1173</v>
      </c>
      <c r="O61" s="160">
        <f t="shared" si="25"/>
        <v>6.1814440418999999</v>
      </c>
      <c r="P61" s="160">
        <f t="shared" si="26"/>
        <v>13.211598310500001</v>
      </c>
      <c r="Q61" s="160">
        <f t="shared" si="27"/>
        <v>6.1814440418999999</v>
      </c>
      <c r="R61" s="160">
        <f t="shared" si="28"/>
        <v>17.249098310500003</v>
      </c>
      <c r="S61" s="7">
        <f t="shared" si="29"/>
        <v>23.430542352400003</v>
      </c>
    </row>
    <row r="62" spans="1:19">
      <c r="A62" s="506" t="s">
        <v>1659</v>
      </c>
      <c r="B62" s="13">
        <v>1.36</v>
      </c>
      <c r="C62" s="7"/>
      <c r="D62" s="7"/>
      <c r="E62" s="7"/>
      <c r="F62" s="919">
        <f>(F13*$C13*0)+(0.2552522*100)</f>
        <v>25.525219999999997</v>
      </c>
      <c r="G62" s="217">
        <f t="shared" si="23"/>
        <v>32.978865103094989</v>
      </c>
      <c r="H62" s="217">
        <f t="shared" si="24"/>
        <v>40.95486643507499</v>
      </c>
      <c r="I62" s="1730"/>
      <c r="J62" s="1730"/>
      <c r="K62" s="1730"/>
      <c r="L62" s="1730"/>
      <c r="N62" s="506" t="s">
        <v>1659</v>
      </c>
      <c r="O62" s="160">
        <f t="shared" si="25"/>
        <v>21.896573156999999</v>
      </c>
      <c r="P62" s="160">
        <f t="shared" si="26"/>
        <v>11.08229194609499</v>
      </c>
      <c r="Q62" s="160">
        <f t="shared" si="27"/>
        <v>21.896573156999999</v>
      </c>
      <c r="R62" s="160">
        <f t="shared" si="28"/>
        <v>19.058293278074988</v>
      </c>
      <c r="S62" s="7">
        <f t="shared" si="29"/>
        <v>40.95486643507499</v>
      </c>
    </row>
    <row r="63" spans="1:19">
      <c r="A63" s="506" t="s">
        <v>1671</v>
      </c>
      <c r="B63" s="13"/>
      <c r="C63" s="7"/>
      <c r="D63" s="7"/>
      <c r="E63" s="7"/>
      <c r="F63" s="919">
        <f>(F14*$C14*0)+(4.5948088*100)+(0.0000498*100)</f>
        <v>459.48586</v>
      </c>
      <c r="G63" s="217">
        <f t="shared" si="23"/>
        <v>456.34206269549998</v>
      </c>
      <c r="H63" s="217">
        <f t="shared" si="24"/>
        <v>462.34206269549998</v>
      </c>
      <c r="I63" s="1730"/>
      <c r="J63" s="1730"/>
      <c r="K63" s="1730"/>
      <c r="L63" s="1730"/>
      <c r="N63" s="506" t="s">
        <v>1671</v>
      </c>
      <c r="O63" s="160">
        <f t="shared" si="25"/>
        <v>45.180707373000004</v>
      </c>
      <c r="P63" s="160">
        <f t="shared" si="26"/>
        <v>411.16135532249996</v>
      </c>
      <c r="Q63" s="160">
        <f t="shared" si="27"/>
        <v>45.180707373000004</v>
      </c>
      <c r="R63" s="160">
        <f t="shared" si="28"/>
        <v>417.16135532249996</v>
      </c>
      <c r="S63" s="7">
        <f t="shared" si="29"/>
        <v>462.34206269549998</v>
      </c>
    </row>
    <row r="64" spans="1:19">
      <c r="A64" s="506" t="s">
        <v>2455</v>
      </c>
      <c r="B64" s="13"/>
      <c r="C64" s="7"/>
      <c r="D64" s="7"/>
      <c r="E64" s="7"/>
      <c r="F64" s="919"/>
      <c r="G64" s="217"/>
      <c r="H64" s="217">
        <f t="shared" si="24"/>
        <v>1311.45</v>
      </c>
      <c r="I64" s="1730"/>
      <c r="J64" s="1730"/>
      <c r="K64" s="1730"/>
      <c r="L64" s="1730"/>
      <c r="N64" s="506" t="s">
        <v>2455</v>
      </c>
      <c r="O64" s="160">
        <f t="shared" si="25"/>
        <v>0</v>
      </c>
      <c r="P64" s="160">
        <f t="shared" si="26"/>
        <v>0</v>
      </c>
      <c r="Q64" s="160">
        <f t="shared" si="27"/>
        <v>0</v>
      </c>
      <c r="R64" s="160">
        <f t="shared" si="28"/>
        <v>1311.45</v>
      </c>
      <c r="S64" s="7">
        <f t="shared" si="29"/>
        <v>1311.45</v>
      </c>
    </row>
    <row r="65" spans="1:19" ht="13.5" thickBot="1">
      <c r="A65" s="16" t="s">
        <v>1686</v>
      </c>
      <c r="B65" s="16"/>
      <c r="C65" s="14"/>
      <c r="D65" s="14"/>
      <c r="E65" s="14"/>
      <c r="F65" s="224">
        <f>SUM(F56:F64)</f>
        <v>8111.5205899999992</v>
      </c>
      <c r="G65" s="224">
        <f t="shared" ref="G65:H65" si="30">SUM(G56:G64)</f>
        <v>9616.1540655555837</v>
      </c>
      <c r="H65" s="224">
        <f t="shared" ca="1" si="30"/>
        <v>15639.104670031105</v>
      </c>
      <c r="I65" s="224">
        <f t="shared" ref="I65:L65" si="31">SUM(I56:I63)</f>
        <v>0</v>
      </c>
      <c r="J65" s="224">
        <f t="shared" si="31"/>
        <v>0</v>
      </c>
      <c r="K65" s="224">
        <f t="shared" si="31"/>
        <v>0</v>
      </c>
      <c r="L65" s="224">
        <f t="shared" si="31"/>
        <v>0</v>
      </c>
      <c r="O65" s="36">
        <f>SUM(O57:O64)</f>
        <v>7473.0789823794994</v>
      </c>
      <c r="P65" s="36">
        <f t="shared" ref="P65:R65" si="32">SUM(P57:P64)</f>
        <v>2143.0750831760847</v>
      </c>
      <c r="Q65" s="36">
        <f t="shared" si="32"/>
        <v>7473.0789823794994</v>
      </c>
      <c r="R65" s="36">
        <f t="shared" ca="1" si="32"/>
        <v>8166.025687651605</v>
      </c>
      <c r="S65" s="7">
        <f t="shared" ca="1" si="29"/>
        <v>15639.104670031105</v>
      </c>
    </row>
    <row r="66" spans="1:19" ht="39" thickTop="1">
      <c r="A66" s="66" t="s">
        <v>1687</v>
      </c>
      <c r="C66" s="12"/>
      <c r="D66" s="12"/>
      <c r="E66" s="12"/>
      <c r="F66" s="920">
        <f>56.662635429*100</f>
        <v>5666.2635429000002</v>
      </c>
      <c r="G66" s="162">
        <f>5666.26+3025*5.28%</f>
        <v>5825.9800000000005</v>
      </c>
      <c r="H66" s="162">
        <f>G66+2025*5.28%</f>
        <v>5932.9000000000005</v>
      </c>
      <c r="I66" s="1731"/>
      <c r="J66" s="1731"/>
      <c r="K66" s="1731"/>
      <c r="L66" s="1731"/>
      <c r="N66" s="891">
        <f>0.0000498*100</f>
        <v>4.9800000000000001E-3</v>
      </c>
    </row>
    <row r="67" spans="1:19">
      <c r="C67" s="12"/>
      <c r="D67" s="12"/>
      <c r="E67" s="12"/>
      <c r="F67" s="162">
        <f>F65-F66</f>
        <v>2445.257047099999</v>
      </c>
      <c r="G67" s="162">
        <f>G65-G66</f>
        <v>3790.1740655555832</v>
      </c>
      <c r="H67" s="162">
        <f ca="1">H65-H66</f>
        <v>9706.2046700311039</v>
      </c>
      <c r="I67" s="1731"/>
      <c r="J67" s="1731"/>
      <c r="K67" s="1731"/>
      <c r="L67" s="1731"/>
    </row>
    <row r="68" spans="1:19">
      <c r="C68" s="12"/>
      <c r="D68" s="12"/>
      <c r="E68" s="12"/>
      <c r="F68" s="162"/>
      <c r="G68" s="162"/>
      <c r="H68" s="162"/>
      <c r="I68" s="162"/>
      <c r="J68" s="162"/>
      <c r="K68" s="162"/>
      <c r="L68" s="162"/>
    </row>
    <row r="69" spans="1:19">
      <c r="C69" s="12"/>
      <c r="D69" s="12"/>
      <c r="E69" s="12"/>
      <c r="F69" s="162"/>
      <c r="G69" s="162"/>
      <c r="H69" s="162"/>
      <c r="I69" s="162"/>
      <c r="J69" s="162"/>
      <c r="K69" s="162"/>
      <c r="L69" s="162"/>
    </row>
    <row r="70" spans="1:19">
      <c r="C70" s="2"/>
      <c r="D70" s="2"/>
      <c r="E70" s="2"/>
    </row>
    <row r="71" spans="1:19">
      <c r="A71" s="2" t="s">
        <v>1688</v>
      </c>
      <c r="C71" s="12"/>
      <c r="D71" s="12"/>
      <c r="E71" s="12"/>
      <c r="F71" s="12">
        <f>F54+F65</f>
        <v>72421.376974014594</v>
      </c>
      <c r="G71" s="12">
        <f>G54+G67</f>
        <v>76211.551039570171</v>
      </c>
      <c r="H71" s="12">
        <f ca="1">H54+H67</f>
        <v>91743.735709601271</v>
      </c>
      <c r="I71" s="1728"/>
      <c r="J71" s="1728"/>
      <c r="K71" s="1728"/>
      <c r="L71" s="1728"/>
    </row>
    <row r="72" spans="1:19">
      <c r="C72" s="2"/>
      <c r="D72" s="2"/>
      <c r="E72" s="2"/>
    </row>
    <row r="73" spans="1:19">
      <c r="A73" s="2" t="s">
        <v>1689</v>
      </c>
      <c r="C73" s="12"/>
      <c r="D73" s="12"/>
      <c r="E73" s="12"/>
      <c r="F73" s="12">
        <f>F42-F71</f>
        <v>162936.21947678539</v>
      </c>
      <c r="G73" s="12">
        <f ca="1">G42-G71</f>
        <v>224732.35866374028</v>
      </c>
      <c r="H73" s="12">
        <f ca="1">H42-H71</f>
        <v>290929.8257382047</v>
      </c>
      <c r="I73" s="1728"/>
      <c r="J73" s="1728"/>
      <c r="K73" s="1728"/>
      <c r="L73" s="1728"/>
    </row>
    <row r="74" spans="1:19">
      <c r="C74" s="2"/>
      <c r="D74" s="2"/>
      <c r="E74" s="2"/>
    </row>
    <row r="78" spans="1:19">
      <c r="B78" s="691"/>
      <c r="F78" s="690"/>
      <c r="S78" s="448"/>
    </row>
    <row r="79" spans="1:19">
      <c r="S79" s="7"/>
    </row>
    <row r="123" spans="1:5">
      <c r="A123" s="2"/>
      <c r="B123" s="2"/>
      <c r="C123" s="2"/>
      <c r="D123" s="2"/>
      <c r="E123" s="2"/>
    </row>
    <row r="135" spans="1:5">
      <c r="A135" s="2"/>
      <c r="B135" s="2"/>
      <c r="C135" s="2"/>
      <c r="D135" s="2"/>
      <c r="E135" s="2"/>
    </row>
  </sheetData>
  <mergeCells count="3">
    <mergeCell ref="N6:P6"/>
    <mergeCell ref="O54:P54"/>
    <mergeCell ref="Q54:R54"/>
  </mergeCells>
  <phoneticPr fontId="0" type="noConversion"/>
  <printOptions horizontalCentered="1" gridLines="1"/>
  <pageMargins left="0.25" right="0" top="0.25" bottom="0.25" header="0.25" footer="0.5"/>
  <pageSetup paperSize="9" scale="96" orientation="portrait" horizontalDpi="75" verticalDpi="75"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71"/>
  <dimension ref="A3:AJ95"/>
  <sheetViews>
    <sheetView view="pageBreakPreview" topLeftCell="A3" zoomScale="86" zoomScaleSheetLayoutView="86" workbookViewId="0">
      <pane xSplit="1" ySplit="5" topLeftCell="B8" activePane="bottomRight" state="frozen"/>
      <selection activeCell="G8" sqref="G8"/>
      <selection pane="topRight" activeCell="G8" sqref="G8"/>
      <selection pane="bottomLeft" activeCell="G8" sqref="G8"/>
      <selection pane="bottomRight"/>
    </sheetView>
  </sheetViews>
  <sheetFormatPr defaultRowHeight="12.75"/>
  <cols>
    <col min="1" max="1" width="25.140625" customWidth="1"/>
    <col min="2" max="2" width="11.28515625" bestFit="1" customWidth="1"/>
    <col min="3" max="3" width="12.5703125" bestFit="1" customWidth="1"/>
    <col min="4" max="4" width="7.28515625" customWidth="1"/>
    <col min="5" max="5" width="12.42578125" customWidth="1"/>
    <col min="6" max="6" width="11.5703125" customWidth="1"/>
    <col min="7" max="7" width="9.140625" bestFit="1" customWidth="1"/>
    <col min="8" max="8" width="10.28515625" customWidth="1"/>
    <col min="9" max="9" width="7.5703125" bestFit="1" customWidth="1"/>
    <col min="10" max="10" width="9" customWidth="1"/>
    <col min="11" max="11" width="10.85546875" customWidth="1"/>
    <col min="12" max="12" width="11.5703125" bestFit="1" customWidth="1"/>
    <col min="13" max="13" width="8.85546875" bestFit="1" customWidth="1"/>
    <col min="14" max="14" width="10.5703125" bestFit="1" customWidth="1"/>
    <col min="15" max="15" width="9.42578125" bestFit="1" customWidth="1"/>
    <col min="16" max="16" width="12.140625" bestFit="1" customWidth="1"/>
    <col min="17" max="17" width="11.42578125" bestFit="1" customWidth="1"/>
    <col min="18" max="18" width="12" bestFit="1" customWidth="1"/>
    <col min="19" max="19" width="7.5703125" bestFit="1" customWidth="1"/>
    <col min="20" max="20" width="10.85546875" customWidth="1"/>
    <col min="21" max="22" width="11.28515625" customWidth="1"/>
    <col min="23" max="23" width="11.140625" bestFit="1" customWidth="1"/>
    <col min="24" max="24" width="9.7109375" customWidth="1"/>
    <col min="25" max="25" width="10.42578125" bestFit="1" customWidth="1"/>
    <col min="26" max="26" width="7.5703125" bestFit="1" customWidth="1"/>
    <col min="27" max="27" width="12.140625" bestFit="1" customWidth="1"/>
    <col min="28" max="28" width="9.140625" bestFit="1" customWidth="1"/>
    <col min="29" max="29" width="12.140625" bestFit="1" customWidth="1"/>
    <col min="30" max="30" width="7.42578125" bestFit="1" customWidth="1"/>
    <col min="31" max="31" width="10.140625" customWidth="1"/>
    <col min="32" max="32" width="9.42578125" customWidth="1"/>
    <col min="33" max="34" width="12" bestFit="1" customWidth="1"/>
    <col min="35" max="35" width="11.140625" customWidth="1"/>
    <col min="36" max="36" width="10.28515625" customWidth="1"/>
  </cols>
  <sheetData>
    <row r="3" spans="1:36" ht="13.5" thickBot="1"/>
    <row r="4" spans="1:36" ht="13.5" thickBot="1">
      <c r="A4" s="1684"/>
      <c r="B4" s="1685"/>
      <c r="C4" s="1997" t="s">
        <v>850</v>
      </c>
      <c r="D4" s="1998"/>
      <c r="E4" s="1998"/>
      <c r="F4" s="1998"/>
      <c r="G4" s="1998"/>
      <c r="H4" s="1998"/>
      <c r="I4" s="1998"/>
      <c r="J4" s="1998"/>
      <c r="K4" s="1998"/>
      <c r="L4" s="1999"/>
      <c r="M4" s="1983" t="s">
        <v>851</v>
      </c>
      <c r="N4" s="1984"/>
      <c r="O4" s="1984"/>
      <c r="P4" s="1984"/>
      <c r="Q4" s="1984"/>
      <c r="R4" s="1984"/>
      <c r="S4" s="1984"/>
      <c r="T4" s="1984"/>
      <c r="U4" s="1984"/>
      <c r="V4" s="1984"/>
      <c r="W4" s="1985"/>
      <c r="X4" s="1983" t="s">
        <v>1959</v>
      </c>
      <c r="Y4" s="1984"/>
      <c r="Z4" s="1984"/>
      <c r="AA4" s="1984"/>
      <c r="AB4" s="1984"/>
      <c r="AC4" s="1984"/>
      <c r="AD4" s="1984"/>
      <c r="AE4" s="1984"/>
      <c r="AF4" s="1984"/>
      <c r="AG4" s="1984"/>
      <c r="AH4" s="1985"/>
    </row>
    <row r="5" spans="1:36" ht="13.15" customHeight="1">
      <c r="A5" s="1686"/>
      <c r="B5" s="1994" t="s">
        <v>1958</v>
      </c>
      <c r="C5" s="1986" t="s">
        <v>1527</v>
      </c>
      <c r="D5" s="1989" t="s">
        <v>1528</v>
      </c>
      <c r="E5" s="1989" t="s">
        <v>50</v>
      </c>
      <c r="F5" s="1989" t="s">
        <v>1529</v>
      </c>
      <c r="G5" s="1989" t="s">
        <v>1530</v>
      </c>
      <c r="H5" s="1989" t="s">
        <v>1531</v>
      </c>
      <c r="I5" s="1989" t="s">
        <v>1532</v>
      </c>
      <c r="J5" s="1989" t="s">
        <v>147</v>
      </c>
      <c r="K5" s="1989" t="s">
        <v>1533</v>
      </c>
      <c r="L5" s="1991" t="s">
        <v>2286</v>
      </c>
      <c r="M5" s="1986" t="s">
        <v>1527</v>
      </c>
      <c r="N5" s="1989" t="s">
        <v>1528</v>
      </c>
      <c r="O5" s="1989" t="s">
        <v>50</v>
      </c>
      <c r="P5" s="1989" t="s">
        <v>1529</v>
      </c>
      <c r="Q5" s="1989" t="s">
        <v>1530</v>
      </c>
      <c r="R5" s="1989" t="s">
        <v>1531</v>
      </c>
      <c r="S5" s="1989" t="s">
        <v>1532</v>
      </c>
      <c r="T5" s="1989" t="s">
        <v>147</v>
      </c>
      <c r="U5" s="1989" t="s">
        <v>1534</v>
      </c>
      <c r="V5" s="1989" t="s">
        <v>1535</v>
      </c>
      <c r="W5" s="1991" t="s">
        <v>1536</v>
      </c>
      <c r="X5" s="1986" t="s">
        <v>1527</v>
      </c>
      <c r="Y5" s="1989" t="s">
        <v>1528</v>
      </c>
      <c r="Z5" s="1989" t="s">
        <v>50</v>
      </c>
      <c r="AA5" s="1989" t="s">
        <v>1529</v>
      </c>
      <c r="AB5" s="1989" t="s">
        <v>1530</v>
      </c>
      <c r="AC5" s="1989" t="s">
        <v>1531</v>
      </c>
      <c r="AD5" s="1989" t="s">
        <v>1532</v>
      </c>
      <c r="AE5" s="1989" t="s">
        <v>147</v>
      </c>
      <c r="AF5" s="1989" t="s">
        <v>1534</v>
      </c>
      <c r="AG5" s="1989" t="s">
        <v>1535</v>
      </c>
      <c r="AH5" s="1991" t="s">
        <v>1960</v>
      </c>
      <c r="AI5" s="1991" t="s">
        <v>1537</v>
      </c>
      <c r="AJ5" s="1991" t="s">
        <v>1538</v>
      </c>
    </row>
    <row r="6" spans="1:36">
      <c r="A6" s="654"/>
      <c r="B6" s="1995"/>
      <c r="C6" s="1987"/>
      <c r="D6" s="1956"/>
      <c r="E6" s="1956"/>
      <c r="F6" s="1956"/>
      <c r="G6" s="1956"/>
      <c r="H6" s="1956"/>
      <c r="I6" s="1956"/>
      <c r="J6" s="1956"/>
      <c r="K6" s="1956"/>
      <c r="L6" s="1992"/>
      <c r="M6" s="1987"/>
      <c r="N6" s="1956"/>
      <c r="O6" s="1956"/>
      <c r="P6" s="1956"/>
      <c r="Q6" s="1956"/>
      <c r="R6" s="1956"/>
      <c r="S6" s="1956"/>
      <c r="T6" s="1956"/>
      <c r="U6" s="1956"/>
      <c r="V6" s="1956"/>
      <c r="W6" s="1992"/>
      <c r="X6" s="1987"/>
      <c r="Y6" s="1956"/>
      <c r="Z6" s="1956"/>
      <c r="AA6" s="1956"/>
      <c r="AB6" s="1956"/>
      <c r="AC6" s="1956"/>
      <c r="AD6" s="1956"/>
      <c r="AE6" s="1956"/>
      <c r="AF6" s="1956"/>
      <c r="AG6" s="1956"/>
      <c r="AH6" s="1992"/>
      <c r="AI6" s="1992"/>
      <c r="AJ6" s="1992"/>
    </row>
    <row r="7" spans="1:36" ht="13.9" customHeight="1" thickBot="1">
      <c r="A7" s="1687"/>
      <c r="B7" s="1996"/>
      <c r="C7" s="1988"/>
      <c r="D7" s="1990"/>
      <c r="E7" s="1990"/>
      <c r="F7" s="1990"/>
      <c r="G7" s="1990"/>
      <c r="H7" s="1990"/>
      <c r="I7" s="1990"/>
      <c r="J7" s="1990"/>
      <c r="K7" s="1990"/>
      <c r="L7" s="1993"/>
      <c r="M7" s="1988"/>
      <c r="N7" s="1990"/>
      <c r="O7" s="1990"/>
      <c r="P7" s="1990"/>
      <c r="Q7" s="1990"/>
      <c r="R7" s="1990"/>
      <c r="S7" s="1990"/>
      <c r="T7" s="1990"/>
      <c r="U7" s="1990"/>
      <c r="V7" s="1990"/>
      <c r="W7" s="1993"/>
      <c r="X7" s="1988"/>
      <c r="Y7" s="1990"/>
      <c r="Z7" s="1990"/>
      <c r="AA7" s="1990"/>
      <c r="AB7" s="1990"/>
      <c r="AC7" s="1990"/>
      <c r="AD7" s="1990"/>
      <c r="AE7" s="1990"/>
      <c r="AF7" s="1990"/>
      <c r="AG7" s="1990"/>
      <c r="AH7" s="1993"/>
      <c r="AI7" s="1993"/>
      <c r="AJ7" s="1993"/>
    </row>
    <row r="8" spans="1:36">
      <c r="A8" s="654" t="s">
        <v>1539</v>
      </c>
      <c r="B8" s="1688"/>
      <c r="C8" s="1686"/>
      <c r="D8" s="1689"/>
      <c r="E8" s="1689"/>
      <c r="F8" s="1689"/>
      <c r="G8" s="1689"/>
      <c r="H8" s="1689"/>
      <c r="I8" s="1689"/>
      <c r="J8" s="1639"/>
      <c r="K8" s="1639"/>
      <c r="L8" s="1690"/>
      <c r="M8" s="1686"/>
      <c r="N8" s="1689"/>
      <c r="O8" s="1689"/>
      <c r="P8" s="1689"/>
      <c r="Q8" s="1689"/>
      <c r="R8" s="1689"/>
      <c r="S8" s="1689"/>
      <c r="T8" s="1639"/>
      <c r="U8" s="1639"/>
      <c r="V8" s="1639"/>
      <c r="W8" s="1690"/>
      <c r="X8" s="1686"/>
      <c r="Y8" s="1689"/>
      <c r="Z8" s="1689"/>
      <c r="AA8" s="1689"/>
      <c r="AB8" s="1689"/>
      <c r="AC8" s="1689"/>
      <c r="AD8" s="1689"/>
      <c r="AE8" s="1639"/>
      <c r="AF8" s="1639"/>
      <c r="AG8" s="1639"/>
      <c r="AH8" s="1690"/>
    </row>
    <row r="9" spans="1:36">
      <c r="A9" s="654" t="s">
        <v>1540</v>
      </c>
      <c r="B9" s="1688"/>
      <c r="C9" s="654"/>
      <c r="D9" s="506"/>
      <c r="E9" s="506"/>
      <c r="F9" s="506"/>
      <c r="G9" s="506"/>
      <c r="H9" s="506"/>
      <c r="I9" s="506"/>
      <c r="J9" s="506"/>
      <c r="K9" s="506"/>
      <c r="L9" s="1691"/>
      <c r="M9" s="654"/>
      <c r="N9" s="506"/>
      <c r="O9" s="506"/>
      <c r="P9" s="506"/>
      <c r="Q9" s="506"/>
      <c r="R9" s="506"/>
      <c r="S9" s="506"/>
      <c r="T9" s="312"/>
      <c r="U9" s="506"/>
      <c r="V9" s="506"/>
      <c r="W9" s="1691"/>
      <c r="X9" s="654"/>
      <c r="Y9" s="506"/>
      <c r="Z9" s="506"/>
      <c r="AA9" s="506"/>
      <c r="AB9" s="506"/>
      <c r="AC9" s="506"/>
      <c r="AD9" s="506"/>
      <c r="AE9" s="506"/>
      <c r="AF9" s="506"/>
      <c r="AG9" s="506"/>
      <c r="AH9" s="1691"/>
    </row>
    <row r="10" spans="1:36">
      <c r="A10" s="654" t="s">
        <v>1541</v>
      </c>
      <c r="B10" s="1688"/>
      <c r="C10" s="654"/>
      <c r="D10" s="506"/>
      <c r="E10" s="506"/>
      <c r="F10" s="506"/>
      <c r="G10" s="506"/>
      <c r="H10" s="506"/>
      <c r="I10" s="506"/>
      <c r="J10" s="506"/>
      <c r="K10" s="506"/>
      <c r="L10" s="1691"/>
      <c r="M10" s="654"/>
      <c r="N10" s="506"/>
      <c r="O10" s="506"/>
      <c r="P10" s="506"/>
      <c r="Q10" s="506"/>
      <c r="R10" s="506"/>
      <c r="S10" s="506"/>
      <c r="T10" s="312"/>
      <c r="U10" s="506"/>
      <c r="V10" s="506"/>
      <c r="W10" s="1691"/>
      <c r="X10" s="654"/>
      <c r="Y10" s="506"/>
      <c r="Z10" s="506"/>
      <c r="AA10" s="506"/>
      <c r="AB10" s="506"/>
      <c r="AC10" s="506"/>
      <c r="AD10" s="506"/>
      <c r="AE10" s="506"/>
      <c r="AF10" s="506"/>
      <c r="AG10" s="506"/>
      <c r="AH10" s="1691"/>
    </row>
    <row r="11" spans="1:36">
      <c r="A11" s="131" t="s">
        <v>1542</v>
      </c>
      <c r="B11" s="915">
        <v>0</v>
      </c>
      <c r="C11" s="911"/>
      <c r="D11" s="911"/>
      <c r="E11" s="911"/>
      <c r="F11" s="911">
        <f>SUM(C11:E11)</f>
        <v>0</v>
      </c>
      <c r="G11" s="911"/>
      <c r="H11" s="911">
        <f>F11+G11</f>
        <v>0</v>
      </c>
      <c r="I11" s="911"/>
      <c r="J11" s="911">
        <f>H11+I11</f>
        <v>0</v>
      </c>
      <c r="K11" s="911"/>
      <c r="L11" s="1692">
        <f>J11-K11+B11</f>
        <v>0</v>
      </c>
      <c r="M11" s="654"/>
      <c r="N11" s="506"/>
      <c r="O11" s="312"/>
      <c r="P11" s="312">
        <f>SUM(M11:O11)</f>
        <v>0</v>
      </c>
      <c r="Q11" s="506"/>
      <c r="R11" s="312">
        <f>P11+Q11</f>
        <v>0</v>
      </c>
      <c r="S11" s="506"/>
      <c r="T11" s="312">
        <f>R11+S11</f>
        <v>0</v>
      </c>
      <c r="U11" s="564">
        <f>L11</f>
        <v>0</v>
      </c>
      <c r="V11" s="506">
        <f>T11*100%</f>
        <v>0</v>
      </c>
      <c r="W11" s="1691">
        <f>T11-U11-V11+L11</f>
        <v>0</v>
      </c>
      <c r="X11" s="1693"/>
      <c r="Y11" s="506"/>
      <c r="Z11" s="506"/>
      <c r="AA11" s="506">
        <f>SUM(X11:Z11)</f>
        <v>0</v>
      </c>
      <c r="AB11" s="506"/>
      <c r="AC11" s="506">
        <f>AA11+AB11</f>
        <v>0</v>
      </c>
      <c r="AD11" s="506"/>
      <c r="AE11" s="312">
        <f>AC11+AD11</f>
        <v>0</v>
      </c>
      <c r="AF11" s="506">
        <f>W11</f>
        <v>0</v>
      </c>
      <c r="AG11" s="506">
        <f>AE11*100%</f>
        <v>0</v>
      </c>
      <c r="AH11" s="1694">
        <f>AE11-AF11-AG11+W11</f>
        <v>0</v>
      </c>
      <c r="AI11" t="e">
        <f>V11/T11*100</f>
        <v>#DIV/0!</v>
      </c>
      <c r="AJ11" t="e">
        <f>AG11/AE11*100</f>
        <v>#DIV/0!</v>
      </c>
    </row>
    <row r="12" spans="1:36">
      <c r="A12" s="131" t="s">
        <v>1167</v>
      </c>
      <c r="B12" s="915">
        <v>35.67</v>
      </c>
      <c r="C12" s="913"/>
      <c r="D12" s="911"/>
      <c r="E12" s="911"/>
      <c r="F12" s="911">
        <f>SUM(C12:E12)</f>
        <v>0</v>
      </c>
      <c r="G12" s="911"/>
      <c r="H12" s="911">
        <f>F12+G12</f>
        <v>0</v>
      </c>
      <c r="I12" s="911"/>
      <c r="J12" s="911">
        <f>H12+I12</f>
        <v>0</v>
      </c>
      <c r="K12" s="911"/>
      <c r="L12" s="1692">
        <f>J12-K12+B12</f>
        <v>35.67</v>
      </c>
      <c r="M12" s="654"/>
      <c r="N12" s="312"/>
      <c r="O12" s="506"/>
      <c r="P12" s="312">
        <f>SUM(M12:O12)</f>
        <v>0</v>
      </c>
      <c r="Q12" s="506"/>
      <c r="R12" s="312">
        <f>P12+Q12</f>
        <v>0</v>
      </c>
      <c r="S12" s="506"/>
      <c r="T12" s="312">
        <f>R12+S12</f>
        <v>0</v>
      </c>
      <c r="U12" s="564">
        <f>L12</f>
        <v>35.67</v>
      </c>
      <c r="V12" s="506">
        <f>T12*100%</f>
        <v>0</v>
      </c>
      <c r="W12" s="1694">
        <f>T12-U12-V12+L12</f>
        <v>0</v>
      </c>
      <c r="X12" s="654"/>
      <c r="Y12" s="506"/>
      <c r="Z12" s="506"/>
      <c r="AA12" s="506">
        <f>SUM(X12:Z12)</f>
        <v>0</v>
      </c>
      <c r="AB12" s="506"/>
      <c r="AC12" s="506">
        <f>AA12+AB12</f>
        <v>0</v>
      </c>
      <c r="AD12" s="506"/>
      <c r="AE12" s="312">
        <f>AC12+AD12</f>
        <v>0</v>
      </c>
      <c r="AF12" s="312">
        <f>W12</f>
        <v>0</v>
      </c>
      <c r="AG12" s="506">
        <f>AE12*100%</f>
        <v>0</v>
      </c>
      <c r="AH12" s="1694">
        <f>AE12-AF12-AG12+W12</f>
        <v>0</v>
      </c>
      <c r="AI12" t="e">
        <f>V12/T12*100</f>
        <v>#DIV/0!</v>
      </c>
      <c r="AJ12" t="e">
        <f>AG12/AE12*100</f>
        <v>#DIV/0!</v>
      </c>
    </row>
    <row r="13" spans="1:36">
      <c r="A13" s="654"/>
      <c r="B13" s="912"/>
      <c r="C13" s="913"/>
      <c r="D13" s="911"/>
      <c r="E13" s="911"/>
      <c r="F13" s="911"/>
      <c r="G13" s="911"/>
      <c r="H13" s="911"/>
      <c r="I13" s="911"/>
      <c r="J13" s="911"/>
      <c r="K13" s="911"/>
      <c r="L13" s="1692"/>
      <c r="M13" s="654"/>
      <c r="N13" s="506"/>
      <c r="O13" s="506"/>
      <c r="P13" s="312"/>
      <c r="Q13" s="506"/>
      <c r="R13" s="312"/>
      <c r="S13" s="506"/>
      <c r="T13" s="312"/>
      <c r="U13" s="564"/>
      <c r="V13" s="506"/>
      <c r="W13" s="1694"/>
      <c r="X13" s="654"/>
      <c r="Y13" s="506"/>
      <c r="Z13" s="506"/>
      <c r="AA13" s="506"/>
      <c r="AB13" s="506"/>
      <c r="AC13" s="506"/>
      <c r="AD13" s="506"/>
      <c r="AE13" s="312"/>
      <c r="AF13" s="506"/>
      <c r="AG13" s="506"/>
      <c r="AH13" s="1694"/>
    </row>
    <row r="14" spans="1:36">
      <c r="A14" s="654" t="s">
        <v>1543</v>
      </c>
      <c r="B14" s="912">
        <v>0</v>
      </c>
      <c r="C14" s="913"/>
      <c r="D14" s="911"/>
      <c r="E14" s="911"/>
      <c r="F14" s="911">
        <f t="shared" ref="F14:F34" si="0">SUM(C14:E14)</f>
        <v>0</v>
      </c>
      <c r="G14" s="911"/>
      <c r="H14" s="911">
        <f t="shared" ref="H14:H34" si="1">F14+G14</f>
        <v>0</v>
      </c>
      <c r="I14" s="911"/>
      <c r="J14" s="911">
        <f>H14+I14</f>
        <v>0</v>
      </c>
      <c r="K14" s="911"/>
      <c r="L14" s="1692">
        <f t="shared" ref="L14:L32" si="2">J14-K14+B14</f>
        <v>0</v>
      </c>
      <c r="M14" s="654"/>
      <c r="N14" s="506"/>
      <c r="O14" s="506"/>
      <c r="P14" s="564">
        <f t="shared" ref="P14:P34" si="3">SUM(M14:O14)</f>
        <v>0</v>
      </c>
      <c r="Q14" s="564"/>
      <c r="R14" s="564">
        <f t="shared" ref="R14:R34" si="4">P14+Q14</f>
        <v>0</v>
      </c>
      <c r="S14" s="564"/>
      <c r="T14" s="564">
        <f>R14+S14</f>
        <v>0</v>
      </c>
      <c r="U14" s="564">
        <f>L14</f>
        <v>0</v>
      </c>
      <c r="V14" s="564">
        <f>T14*50%</f>
        <v>0</v>
      </c>
      <c r="W14" s="1695">
        <f t="shared" ref="W14:W34" si="5">T14-U14-V14+L14</f>
        <v>0</v>
      </c>
      <c r="X14" s="654"/>
      <c r="Y14" s="506"/>
      <c r="Z14" s="506"/>
      <c r="AA14" s="506">
        <f t="shared" ref="AA14:AA33" si="6">SUM(X14:Z14)</f>
        <v>0</v>
      </c>
      <c r="AB14" s="506"/>
      <c r="AC14" s="506">
        <f t="shared" ref="AC14:AC34" si="7">AA14+AB14</f>
        <v>0</v>
      </c>
      <c r="AD14" s="506"/>
      <c r="AE14" s="312">
        <f>AC14+AD14</f>
        <v>0</v>
      </c>
      <c r="AF14" s="506">
        <f t="shared" ref="AF14:AF29" si="8">W14</f>
        <v>0</v>
      </c>
      <c r="AG14" s="506">
        <f>AE14*50%</f>
        <v>0</v>
      </c>
      <c r="AH14" s="1694">
        <f t="shared" ref="AH14:AH34" si="9">AE14-AF14-AG14+W14</f>
        <v>0</v>
      </c>
      <c r="AI14" t="e">
        <f t="shared" ref="AI14:AI35" si="10">V14/T14*100</f>
        <v>#DIV/0!</v>
      </c>
      <c r="AJ14" t="e">
        <f t="shared" ref="AJ14:AJ40" si="11">AG14/AE14*100</f>
        <v>#DIV/0!</v>
      </c>
    </row>
    <row r="15" spans="1:36">
      <c r="A15" s="654" t="s">
        <v>50</v>
      </c>
      <c r="B15" s="915">
        <v>0</v>
      </c>
      <c r="C15" s="913"/>
      <c r="D15" s="911"/>
      <c r="E15" s="911"/>
      <c r="F15" s="911">
        <f>SUM(C15:E15)</f>
        <v>0</v>
      </c>
      <c r="G15" s="911"/>
      <c r="H15" s="911">
        <f>F15+G15</f>
        <v>0</v>
      </c>
      <c r="I15" s="911"/>
      <c r="J15" s="911">
        <f>H15+I15</f>
        <v>0</v>
      </c>
      <c r="K15" s="911"/>
      <c r="L15" s="1692">
        <f>J15-K15+B15</f>
        <v>0</v>
      </c>
      <c r="M15" s="312">
        <f>$Q$59*M59</f>
        <v>0</v>
      </c>
      <c r="N15" s="312">
        <f>$Q$59*N59</f>
        <v>0</v>
      </c>
      <c r="O15" s="312">
        <f>$Q$59*O59</f>
        <v>0</v>
      </c>
      <c r="P15" s="312">
        <f>SUM(M15:O15)</f>
        <v>0</v>
      </c>
      <c r="Q15" s="312">
        <f>$Q$59*P59</f>
        <v>0</v>
      </c>
      <c r="R15" s="312">
        <f>P15+Q15</f>
        <v>0</v>
      </c>
      <c r="S15" s="506"/>
      <c r="T15" s="312">
        <f>R15+S15</f>
        <v>0</v>
      </c>
      <c r="U15" s="564">
        <f>L15</f>
        <v>0</v>
      </c>
      <c r="V15" s="1696">
        <f>T15*50%</f>
        <v>0</v>
      </c>
      <c r="W15" s="1694">
        <f>T15-U15-V15+L15</f>
        <v>0</v>
      </c>
      <c r="X15" s="1693">
        <f>$R$59*M59</f>
        <v>0</v>
      </c>
      <c r="Y15" s="312">
        <f>$R$59*N59</f>
        <v>0</v>
      </c>
      <c r="Z15" s="312">
        <f>$R$59*O59</f>
        <v>0</v>
      </c>
      <c r="AA15" s="312">
        <f>SUM(X15:Z15)</f>
        <v>0</v>
      </c>
      <c r="AB15" s="312"/>
      <c r="AC15" s="312">
        <f>AA15+AB15</f>
        <v>0</v>
      </c>
      <c r="AD15" s="506"/>
      <c r="AE15" s="312">
        <f>AC15+AD15</f>
        <v>0</v>
      </c>
      <c r="AF15" s="312">
        <f t="shared" si="8"/>
        <v>0</v>
      </c>
      <c r="AG15" s="312">
        <f>AE15*50%</f>
        <v>0</v>
      </c>
      <c r="AH15" s="1694">
        <f>AE15-AF15-AG15+W15</f>
        <v>0</v>
      </c>
      <c r="AI15" t="e">
        <f t="shared" si="10"/>
        <v>#DIV/0!</v>
      </c>
      <c r="AJ15" t="e">
        <f t="shared" si="11"/>
        <v>#DIV/0!</v>
      </c>
    </row>
    <row r="16" spans="1:36">
      <c r="A16" s="654"/>
      <c r="B16" s="915">
        <v>0</v>
      </c>
      <c r="C16" s="913"/>
      <c r="D16" s="911"/>
      <c r="E16" s="911"/>
      <c r="F16" s="911">
        <f t="shared" si="0"/>
        <v>0</v>
      </c>
      <c r="G16" s="911"/>
      <c r="H16" s="911">
        <f t="shared" si="1"/>
        <v>0</v>
      </c>
      <c r="I16" s="911"/>
      <c r="J16" s="911">
        <f t="shared" ref="J16:J34" si="12">H16+I16</f>
        <v>0</v>
      </c>
      <c r="K16" s="911"/>
      <c r="L16" s="1692">
        <f t="shared" si="2"/>
        <v>0</v>
      </c>
      <c r="M16" s="654"/>
      <c r="N16" s="506"/>
      <c r="O16" s="506"/>
      <c r="P16" s="312">
        <f t="shared" si="3"/>
        <v>0</v>
      </c>
      <c r="Q16" s="506"/>
      <c r="R16" s="312">
        <f t="shared" si="4"/>
        <v>0</v>
      </c>
      <c r="S16" s="506"/>
      <c r="T16" s="312">
        <f t="shared" ref="T16:T34" si="13">R16+S16</f>
        <v>0</v>
      </c>
      <c r="U16" s="564">
        <f t="shared" ref="U16:U24" si="14">L16</f>
        <v>0</v>
      </c>
      <c r="V16" s="1696">
        <f t="shared" ref="V16:V23" si="15">T16*50%</f>
        <v>0</v>
      </c>
      <c r="W16" s="1694">
        <f t="shared" si="5"/>
        <v>0</v>
      </c>
      <c r="X16" s="654"/>
      <c r="Y16" s="506"/>
      <c r="Z16" s="506"/>
      <c r="AA16" s="506">
        <f t="shared" si="6"/>
        <v>0</v>
      </c>
      <c r="AB16" s="506"/>
      <c r="AC16" s="506">
        <f t="shared" si="7"/>
        <v>0</v>
      </c>
      <c r="AD16" s="506"/>
      <c r="AE16" s="312">
        <f t="shared" ref="AE16:AE28" si="16">AC16+AD16</f>
        <v>0</v>
      </c>
      <c r="AF16" s="506">
        <f t="shared" si="8"/>
        <v>0</v>
      </c>
      <c r="AG16" s="312">
        <f t="shared" ref="AG16:AG23" si="17">AE16*50%</f>
        <v>0</v>
      </c>
      <c r="AH16" s="1694">
        <f t="shared" si="9"/>
        <v>0</v>
      </c>
      <c r="AI16" t="e">
        <f t="shared" si="10"/>
        <v>#DIV/0!</v>
      </c>
      <c r="AJ16" t="e">
        <f t="shared" si="11"/>
        <v>#DIV/0!</v>
      </c>
    </row>
    <row r="17" spans="1:36">
      <c r="A17" s="654" t="s">
        <v>1544</v>
      </c>
      <c r="B17" s="915">
        <v>1126.7595000000001</v>
      </c>
      <c r="C17" s="913">
        <f>243.2-9.73</f>
        <v>233.47</v>
      </c>
      <c r="D17" s="911">
        <v>45.6</v>
      </c>
      <c r="E17" s="911">
        <v>15.199999999999982</v>
      </c>
      <c r="F17" s="911">
        <f t="shared" si="0"/>
        <v>294.27</v>
      </c>
      <c r="G17" s="911">
        <v>9.7280000000000015</v>
      </c>
      <c r="H17" s="911">
        <f t="shared" si="1"/>
        <v>303.99799999999999</v>
      </c>
      <c r="I17" s="911"/>
      <c r="J17" s="911">
        <f t="shared" si="12"/>
        <v>303.99799999999999</v>
      </c>
      <c r="K17" s="911">
        <f>1441.27-46.89</f>
        <v>1394.3799999999999</v>
      </c>
      <c r="L17" s="1692">
        <f t="shared" si="2"/>
        <v>36.377500000000282</v>
      </c>
      <c r="M17" s="1693">
        <f>$Q$51*M51</f>
        <v>298.99825600000003</v>
      </c>
      <c r="N17" s="312">
        <f>$Q$51*N51</f>
        <v>56.062172999999994</v>
      </c>
      <c r="O17" s="312">
        <f>$Q$51*O51</f>
        <v>18.687391000000002</v>
      </c>
      <c r="P17" s="312">
        <f t="shared" si="3"/>
        <v>373.74781999999999</v>
      </c>
      <c r="Q17" s="312">
        <f>M17*P51</f>
        <v>11.959930240000002</v>
      </c>
      <c r="R17" s="312">
        <f t="shared" si="4"/>
        <v>385.70775024</v>
      </c>
      <c r="S17" s="312">
        <f>'loan&amp;int'!C118</f>
        <v>0</v>
      </c>
      <c r="T17" s="312">
        <f t="shared" si="13"/>
        <v>385.70775024</v>
      </c>
      <c r="U17" s="312">
        <f t="shared" si="14"/>
        <v>36.377500000000282</v>
      </c>
      <c r="V17" s="1696">
        <f t="shared" si="15"/>
        <v>192.85387512</v>
      </c>
      <c r="W17" s="1694">
        <f t="shared" si="5"/>
        <v>192.85387512</v>
      </c>
      <c r="X17" s="1693">
        <f>$R$51*M51</f>
        <v>584.52236000000005</v>
      </c>
      <c r="Y17" s="312">
        <f>$R$51*N51</f>
        <v>109.5979425</v>
      </c>
      <c r="Z17" s="312">
        <f>$R$51*O51</f>
        <v>36.532647500000003</v>
      </c>
      <c r="AA17" s="312">
        <f t="shared" si="6"/>
        <v>730.65295000000015</v>
      </c>
      <c r="AB17" s="312">
        <f>X17*P51</f>
        <v>23.380894400000003</v>
      </c>
      <c r="AC17" s="312">
        <f t="shared" si="7"/>
        <v>754.03384440000013</v>
      </c>
      <c r="AD17" s="312">
        <f>'loan&amp;int'!D118</f>
        <v>0</v>
      </c>
      <c r="AE17" s="312">
        <f t="shared" si="16"/>
        <v>754.03384440000013</v>
      </c>
      <c r="AF17" s="312">
        <f t="shared" si="8"/>
        <v>192.85387512</v>
      </c>
      <c r="AG17" s="312">
        <f t="shared" si="17"/>
        <v>377.01692220000007</v>
      </c>
      <c r="AH17" s="1694">
        <f t="shared" si="9"/>
        <v>377.01692220000007</v>
      </c>
      <c r="AI17">
        <f t="shared" si="10"/>
        <v>50</v>
      </c>
      <c r="AJ17">
        <f t="shared" si="11"/>
        <v>50</v>
      </c>
    </row>
    <row r="18" spans="1:36">
      <c r="A18" s="654"/>
      <c r="B18" s="915">
        <v>0</v>
      </c>
      <c r="C18" s="913"/>
      <c r="D18" s="911"/>
      <c r="E18" s="911"/>
      <c r="F18" s="911">
        <f t="shared" si="0"/>
        <v>0</v>
      </c>
      <c r="G18" s="911"/>
      <c r="H18" s="911">
        <f t="shared" si="1"/>
        <v>0</v>
      </c>
      <c r="I18" s="911"/>
      <c r="J18" s="911">
        <f t="shared" si="12"/>
        <v>0</v>
      </c>
      <c r="K18" s="911"/>
      <c r="L18" s="1692">
        <f t="shared" si="2"/>
        <v>0</v>
      </c>
      <c r="M18" s="1693"/>
      <c r="N18" s="312"/>
      <c r="O18" s="312"/>
      <c r="P18" s="312"/>
      <c r="Q18" s="312"/>
      <c r="R18" s="312">
        <f t="shared" si="4"/>
        <v>0</v>
      </c>
      <c r="S18" s="506"/>
      <c r="T18" s="312">
        <f t="shared" si="13"/>
        <v>0</v>
      </c>
      <c r="U18" s="312">
        <f t="shared" si="14"/>
        <v>0</v>
      </c>
      <c r="V18" s="1696">
        <f t="shared" si="15"/>
        <v>0</v>
      </c>
      <c r="W18" s="1694">
        <f t="shared" si="5"/>
        <v>0</v>
      </c>
      <c r="X18" s="1693"/>
      <c r="Y18" s="312"/>
      <c r="Z18" s="312"/>
      <c r="AA18" s="564">
        <f t="shared" si="6"/>
        <v>0</v>
      </c>
      <c r="AB18" s="312"/>
      <c r="AC18" s="312">
        <f t="shared" si="7"/>
        <v>0</v>
      </c>
      <c r="AD18" s="506"/>
      <c r="AE18" s="312">
        <f t="shared" si="16"/>
        <v>0</v>
      </c>
      <c r="AF18" s="312">
        <f t="shared" si="8"/>
        <v>0</v>
      </c>
      <c r="AG18" s="312">
        <f t="shared" si="17"/>
        <v>0</v>
      </c>
      <c r="AH18" s="1694">
        <f t="shared" si="9"/>
        <v>0</v>
      </c>
      <c r="AI18" t="e">
        <f t="shared" si="10"/>
        <v>#DIV/0!</v>
      </c>
      <c r="AJ18" t="e">
        <f t="shared" si="11"/>
        <v>#DIV/0!</v>
      </c>
    </row>
    <row r="19" spans="1:36">
      <c r="A19" s="654" t="s">
        <v>1545</v>
      </c>
      <c r="B19" s="915">
        <v>310.7600199999988</v>
      </c>
      <c r="C19" s="913">
        <f>15663.400832+101</f>
        <v>15764.400831999999</v>
      </c>
      <c r="D19" s="911">
        <v>2936.8876560000003</v>
      </c>
      <c r="E19" s="911">
        <v>978.9625519999995</v>
      </c>
      <c r="F19" s="911">
        <f t="shared" si="0"/>
        <v>19680.251039999999</v>
      </c>
      <c r="G19" s="911"/>
      <c r="H19" s="911">
        <f t="shared" si="1"/>
        <v>19680.251039999999</v>
      </c>
      <c r="I19" s="911"/>
      <c r="J19" s="911">
        <f t="shared" si="12"/>
        <v>19680.251039999999</v>
      </c>
      <c r="K19" s="911">
        <f>19747.5+0.6-46.89+101</f>
        <v>19802.21</v>
      </c>
      <c r="L19" s="1692">
        <f t="shared" si="2"/>
        <v>188.80105999999887</v>
      </c>
      <c r="M19" s="1693">
        <f>$Q$53*M53</f>
        <v>12404</v>
      </c>
      <c r="N19" s="312">
        <f>$Q$53*N53</f>
        <v>2325.75</v>
      </c>
      <c r="O19" s="312">
        <f>$Q$53*O53</f>
        <v>775.25</v>
      </c>
      <c r="P19" s="312">
        <f t="shared" si="3"/>
        <v>15505</v>
      </c>
      <c r="Q19" s="312">
        <v>0</v>
      </c>
      <c r="R19" s="312">
        <f t="shared" si="4"/>
        <v>15505</v>
      </c>
      <c r="S19" s="506"/>
      <c r="T19" s="312">
        <f t="shared" si="13"/>
        <v>15505</v>
      </c>
      <c r="U19" s="312">
        <f t="shared" si="14"/>
        <v>188.80105999999887</v>
      </c>
      <c r="V19" s="1696">
        <f>T19/3</f>
        <v>5168.333333333333</v>
      </c>
      <c r="W19" s="1694">
        <f t="shared" si="5"/>
        <v>10336.666666666668</v>
      </c>
      <c r="X19" s="1693">
        <f>$R$53*M53</f>
        <v>9720</v>
      </c>
      <c r="Y19" s="312">
        <f>$R$53*N53</f>
        <v>1822.5</v>
      </c>
      <c r="Z19" s="312">
        <f>$R$53*O53</f>
        <v>607.5</v>
      </c>
      <c r="AA19" s="312">
        <f t="shared" si="6"/>
        <v>12150</v>
      </c>
      <c r="AB19" s="312">
        <f>X19*P53</f>
        <v>194.4</v>
      </c>
      <c r="AC19" s="312">
        <f t="shared" si="7"/>
        <v>12344.4</v>
      </c>
      <c r="AD19" s="506"/>
      <c r="AE19" s="312">
        <f t="shared" si="16"/>
        <v>12344.4</v>
      </c>
      <c r="AF19" s="312">
        <f t="shared" si="8"/>
        <v>10336.666666666668</v>
      </c>
      <c r="AG19" s="312">
        <f t="shared" si="17"/>
        <v>6172.2</v>
      </c>
      <c r="AH19" s="1694">
        <f t="shared" si="9"/>
        <v>6172.2</v>
      </c>
      <c r="AI19" s="9">
        <f t="shared" si="10"/>
        <v>33.333333333333329</v>
      </c>
      <c r="AJ19">
        <f t="shared" si="11"/>
        <v>50</v>
      </c>
    </row>
    <row r="20" spans="1:36">
      <c r="A20" s="654"/>
      <c r="B20" s="915">
        <v>0</v>
      </c>
      <c r="C20" s="913"/>
      <c r="D20" s="911"/>
      <c r="E20" s="911"/>
      <c r="F20" s="911">
        <f t="shared" si="0"/>
        <v>0</v>
      </c>
      <c r="G20" s="911"/>
      <c r="H20" s="911">
        <f t="shared" si="1"/>
        <v>0</v>
      </c>
      <c r="I20" s="911"/>
      <c r="J20" s="911">
        <f t="shared" si="12"/>
        <v>0</v>
      </c>
      <c r="K20" s="911"/>
      <c r="L20" s="1692">
        <f t="shared" si="2"/>
        <v>0</v>
      </c>
      <c r="M20" s="1697">
        <f>$Q$54*M54</f>
        <v>0</v>
      </c>
      <c r="N20" s="564">
        <f>$Q$54*N54</f>
        <v>0</v>
      </c>
      <c r="O20" s="564">
        <f>$Q$54*O54</f>
        <v>0</v>
      </c>
      <c r="P20" s="564">
        <f t="shared" si="3"/>
        <v>0</v>
      </c>
      <c r="Q20" s="564">
        <v>0</v>
      </c>
      <c r="R20" s="564">
        <f t="shared" si="4"/>
        <v>0</v>
      </c>
      <c r="S20" s="564"/>
      <c r="T20" s="564">
        <f t="shared" si="13"/>
        <v>0</v>
      </c>
      <c r="U20" s="564">
        <f t="shared" si="14"/>
        <v>0</v>
      </c>
      <c r="V20" s="564">
        <f>T20*100%</f>
        <v>0</v>
      </c>
      <c r="W20" s="1695">
        <f t="shared" si="5"/>
        <v>0</v>
      </c>
      <c r="X20" s="1693">
        <f>$R$54*M54</f>
        <v>0</v>
      </c>
      <c r="Y20" s="312">
        <f>$R$54*N54</f>
        <v>0</v>
      </c>
      <c r="Z20" s="312">
        <f>$R$54*O54</f>
        <v>0</v>
      </c>
      <c r="AA20" s="564">
        <f t="shared" si="6"/>
        <v>0</v>
      </c>
      <c r="AB20" s="312">
        <f>X20*P54</f>
        <v>0</v>
      </c>
      <c r="AC20" s="312">
        <f t="shared" si="7"/>
        <v>0</v>
      </c>
      <c r="AD20" s="506"/>
      <c r="AE20" s="312">
        <f t="shared" si="16"/>
        <v>0</v>
      </c>
      <c r="AF20" s="312">
        <f t="shared" si="8"/>
        <v>0</v>
      </c>
      <c r="AG20" s="312">
        <f t="shared" si="17"/>
        <v>0</v>
      </c>
      <c r="AH20" s="1694">
        <f t="shared" si="9"/>
        <v>0</v>
      </c>
      <c r="AI20" s="9" t="e">
        <f t="shared" si="10"/>
        <v>#DIV/0!</v>
      </c>
      <c r="AJ20" t="e">
        <f t="shared" si="11"/>
        <v>#DIV/0!</v>
      </c>
    </row>
    <row r="21" spans="1:36">
      <c r="A21" s="654"/>
      <c r="B21" s="915">
        <v>0</v>
      </c>
      <c r="C21" s="913"/>
      <c r="D21" s="911"/>
      <c r="E21" s="911"/>
      <c r="F21" s="911">
        <f t="shared" si="0"/>
        <v>0</v>
      </c>
      <c r="G21" s="911"/>
      <c r="H21" s="911">
        <f t="shared" si="1"/>
        <v>0</v>
      </c>
      <c r="I21" s="911"/>
      <c r="J21" s="911">
        <f t="shared" si="12"/>
        <v>0</v>
      </c>
      <c r="K21" s="911"/>
      <c r="L21" s="1692">
        <f t="shared" si="2"/>
        <v>0</v>
      </c>
      <c r="M21" s="1697">
        <f>$Q$55*M55</f>
        <v>0</v>
      </c>
      <c r="N21" s="564">
        <f>$Q$55*N55</f>
        <v>0</v>
      </c>
      <c r="O21" s="564">
        <f>$Q$55*O55</f>
        <v>0</v>
      </c>
      <c r="P21" s="564">
        <f t="shared" si="3"/>
        <v>0</v>
      </c>
      <c r="Q21" s="564">
        <f>M21*P55</f>
        <v>0</v>
      </c>
      <c r="R21" s="564">
        <f t="shared" si="4"/>
        <v>0</v>
      </c>
      <c r="S21" s="564"/>
      <c r="T21" s="564">
        <f t="shared" si="13"/>
        <v>0</v>
      </c>
      <c r="U21" s="564">
        <f t="shared" si="14"/>
        <v>0</v>
      </c>
      <c r="V21" s="564">
        <f t="shared" si="15"/>
        <v>0</v>
      </c>
      <c r="W21" s="1695">
        <f t="shared" si="5"/>
        <v>0</v>
      </c>
      <c r="X21" s="1693">
        <f>$R$55*M55</f>
        <v>0</v>
      </c>
      <c r="Y21" s="312">
        <f>$R$55*N55</f>
        <v>0</v>
      </c>
      <c r="Z21" s="312">
        <f>$R$55*O55</f>
        <v>0</v>
      </c>
      <c r="AA21" s="506">
        <f t="shared" si="6"/>
        <v>0</v>
      </c>
      <c r="AB21" s="312">
        <f>X21*P55</f>
        <v>0</v>
      </c>
      <c r="AC21" s="312">
        <f t="shared" si="7"/>
        <v>0</v>
      </c>
      <c r="AD21" s="506"/>
      <c r="AE21" s="312">
        <f t="shared" si="16"/>
        <v>0</v>
      </c>
      <c r="AF21" s="312">
        <f t="shared" si="8"/>
        <v>0</v>
      </c>
      <c r="AG21" s="312">
        <f t="shared" si="17"/>
        <v>0</v>
      </c>
      <c r="AH21" s="1694">
        <f t="shared" si="9"/>
        <v>0</v>
      </c>
      <c r="AI21" s="9" t="e">
        <f t="shared" si="10"/>
        <v>#DIV/0!</v>
      </c>
      <c r="AJ21" t="e">
        <f t="shared" si="11"/>
        <v>#DIV/0!</v>
      </c>
    </row>
    <row r="22" spans="1:36">
      <c r="A22" s="654" t="s">
        <v>566</v>
      </c>
      <c r="B22" s="915">
        <v>3378.1981799999994</v>
      </c>
      <c r="C22" s="913"/>
      <c r="D22" s="911"/>
      <c r="E22" s="911"/>
      <c r="F22" s="911">
        <f t="shared" si="0"/>
        <v>0</v>
      </c>
      <c r="G22" s="911"/>
      <c r="H22" s="911">
        <f t="shared" si="1"/>
        <v>0</v>
      </c>
      <c r="I22" s="911"/>
      <c r="J22" s="911">
        <f t="shared" si="12"/>
        <v>0</v>
      </c>
      <c r="K22" s="911">
        <v>3060.99</v>
      </c>
      <c r="L22" s="1692">
        <f t="shared" si="2"/>
        <v>317.20817999999963</v>
      </c>
      <c r="M22" s="1693">
        <f>$M$86*M51</f>
        <v>0</v>
      </c>
      <c r="N22" s="312">
        <f>$M$86*N51</f>
        <v>0</v>
      </c>
      <c r="O22" s="312">
        <f>$M$86*O51</f>
        <v>0</v>
      </c>
      <c r="P22" s="564">
        <f t="shared" si="3"/>
        <v>0</v>
      </c>
      <c r="Q22" s="564"/>
      <c r="R22" s="564">
        <f t="shared" si="4"/>
        <v>0</v>
      </c>
      <c r="S22" s="564"/>
      <c r="T22" s="564">
        <f t="shared" si="13"/>
        <v>0</v>
      </c>
      <c r="U22" s="564">
        <f t="shared" si="14"/>
        <v>317.20817999999963</v>
      </c>
      <c r="V22" s="564">
        <f>T22*40%</f>
        <v>0</v>
      </c>
      <c r="W22" s="1695">
        <f t="shared" si="5"/>
        <v>0</v>
      </c>
      <c r="X22" s="1693">
        <f>$N$86*M51</f>
        <v>0</v>
      </c>
      <c r="Y22" s="312">
        <f>$N$86*N51</f>
        <v>0</v>
      </c>
      <c r="Z22" s="312">
        <f>$N$86*O51</f>
        <v>0</v>
      </c>
      <c r="AA22" s="506">
        <f t="shared" si="6"/>
        <v>0</v>
      </c>
      <c r="AB22" s="312">
        <v>0</v>
      </c>
      <c r="AC22" s="312">
        <f t="shared" si="7"/>
        <v>0</v>
      </c>
      <c r="AD22" s="506"/>
      <c r="AE22" s="312">
        <f t="shared" si="16"/>
        <v>0</v>
      </c>
      <c r="AF22" s="312">
        <f t="shared" si="8"/>
        <v>0</v>
      </c>
      <c r="AG22" s="312">
        <f t="shared" si="17"/>
        <v>0</v>
      </c>
      <c r="AH22" s="1694">
        <f t="shared" si="9"/>
        <v>0</v>
      </c>
      <c r="AI22" s="9" t="e">
        <f t="shared" si="10"/>
        <v>#DIV/0!</v>
      </c>
      <c r="AJ22" t="e">
        <f t="shared" si="11"/>
        <v>#DIV/0!</v>
      </c>
    </row>
    <row r="23" spans="1:36">
      <c r="A23" s="654" t="s">
        <v>571</v>
      </c>
      <c r="B23" s="915">
        <v>0</v>
      </c>
      <c r="C23" s="913"/>
      <c r="D23" s="911"/>
      <c r="E23" s="911"/>
      <c r="F23" s="911">
        <f t="shared" si="0"/>
        <v>0</v>
      </c>
      <c r="G23" s="911"/>
      <c r="H23" s="911">
        <f t="shared" si="1"/>
        <v>0</v>
      </c>
      <c r="I23" s="911"/>
      <c r="J23" s="911">
        <f t="shared" si="12"/>
        <v>0</v>
      </c>
      <c r="K23" s="911"/>
      <c r="L23" s="1692">
        <f t="shared" si="2"/>
        <v>0</v>
      </c>
      <c r="M23" s="1693">
        <f>$M$85*M51</f>
        <v>0</v>
      </c>
      <c r="N23" s="312">
        <f>$M$85*N51</f>
        <v>0</v>
      </c>
      <c r="O23" s="312">
        <f>$M$85*O51</f>
        <v>0</v>
      </c>
      <c r="P23" s="312">
        <f t="shared" si="3"/>
        <v>0</v>
      </c>
      <c r="Q23" s="312"/>
      <c r="R23" s="312">
        <f t="shared" si="4"/>
        <v>0</v>
      </c>
      <c r="S23" s="506"/>
      <c r="T23" s="312">
        <f t="shared" si="13"/>
        <v>0</v>
      </c>
      <c r="U23" s="564">
        <f t="shared" si="14"/>
        <v>0</v>
      </c>
      <c r="V23" s="1696">
        <f t="shared" si="15"/>
        <v>0</v>
      </c>
      <c r="W23" s="1694">
        <f t="shared" si="5"/>
        <v>0</v>
      </c>
      <c r="X23" s="1693">
        <f>$N$85*M51</f>
        <v>0</v>
      </c>
      <c r="Y23" s="312">
        <f>$N$85*N51</f>
        <v>0</v>
      </c>
      <c r="Z23" s="312">
        <f>$N$85*O51</f>
        <v>0</v>
      </c>
      <c r="AA23" s="506">
        <f t="shared" si="6"/>
        <v>0</v>
      </c>
      <c r="AB23" s="312"/>
      <c r="AC23" s="312">
        <f t="shared" si="7"/>
        <v>0</v>
      </c>
      <c r="AD23" s="506"/>
      <c r="AE23" s="312">
        <f t="shared" si="16"/>
        <v>0</v>
      </c>
      <c r="AF23" s="312">
        <f t="shared" si="8"/>
        <v>0</v>
      </c>
      <c r="AG23" s="312">
        <f t="shared" si="17"/>
        <v>0</v>
      </c>
      <c r="AH23" s="1694">
        <f t="shared" si="9"/>
        <v>0</v>
      </c>
      <c r="AI23" s="9" t="e">
        <f t="shared" si="10"/>
        <v>#DIV/0!</v>
      </c>
      <c r="AJ23" t="e">
        <f t="shared" si="11"/>
        <v>#DIV/0!</v>
      </c>
    </row>
    <row r="24" spans="1:36">
      <c r="A24" s="654" t="s">
        <v>572</v>
      </c>
      <c r="B24" s="912">
        <v>0</v>
      </c>
      <c r="C24" s="913"/>
      <c r="D24" s="911"/>
      <c r="E24" s="911"/>
      <c r="F24" s="911">
        <f t="shared" si="0"/>
        <v>0</v>
      </c>
      <c r="G24" s="911"/>
      <c r="H24" s="911">
        <f t="shared" si="1"/>
        <v>0</v>
      </c>
      <c r="I24" s="911"/>
      <c r="J24" s="911">
        <f t="shared" si="12"/>
        <v>0</v>
      </c>
      <c r="K24" s="911"/>
      <c r="L24" s="1692">
        <f t="shared" si="2"/>
        <v>0</v>
      </c>
      <c r="M24" s="1693">
        <f>$M$84*M51</f>
        <v>0</v>
      </c>
      <c r="N24" s="312">
        <f>$M$84*N51</f>
        <v>0</v>
      </c>
      <c r="O24" s="312">
        <f>$M$84*O51</f>
        <v>0</v>
      </c>
      <c r="P24" s="312">
        <f t="shared" si="3"/>
        <v>0</v>
      </c>
      <c r="Q24" s="312">
        <v>0</v>
      </c>
      <c r="R24" s="312">
        <f t="shared" si="4"/>
        <v>0</v>
      </c>
      <c r="S24" s="506"/>
      <c r="T24" s="312">
        <f t="shared" si="13"/>
        <v>0</v>
      </c>
      <c r="U24" s="564">
        <f t="shared" si="14"/>
        <v>0</v>
      </c>
      <c r="V24" s="1696">
        <f>T24*100%</f>
        <v>0</v>
      </c>
      <c r="W24" s="1694">
        <f t="shared" si="5"/>
        <v>0</v>
      </c>
      <c r="X24" s="1693">
        <f>$N$84*M51</f>
        <v>0</v>
      </c>
      <c r="Y24" s="312">
        <f>$N$84*N51</f>
        <v>0</v>
      </c>
      <c r="Z24" s="312">
        <f>$N$84*O51</f>
        <v>0</v>
      </c>
      <c r="AA24" s="506">
        <f t="shared" si="6"/>
        <v>0</v>
      </c>
      <c r="AB24" s="312">
        <f>105*0</f>
        <v>0</v>
      </c>
      <c r="AC24" s="312">
        <f t="shared" si="7"/>
        <v>0</v>
      </c>
      <c r="AD24" s="506"/>
      <c r="AE24" s="312">
        <f t="shared" si="16"/>
        <v>0</v>
      </c>
      <c r="AF24" s="312">
        <f t="shared" si="8"/>
        <v>0</v>
      </c>
      <c r="AG24" s="312">
        <f>AE24*40%</f>
        <v>0</v>
      </c>
      <c r="AH24" s="1694">
        <f t="shared" si="9"/>
        <v>0</v>
      </c>
      <c r="AI24" s="9" t="e">
        <f t="shared" si="10"/>
        <v>#DIV/0!</v>
      </c>
      <c r="AJ24" t="e">
        <f t="shared" si="11"/>
        <v>#DIV/0!</v>
      </c>
    </row>
    <row r="25" spans="1:36">
      <c r="A25" s="654" t="s">
        <v>1546</v>
      </c>
      <c r="B25" s="913">
        <v>0</v>
      </c>
      <c r="C25" s="913"/>
      <c r="D25" s="911"/>
      <c r="E25" s="911"/>
      <c r="F25" s="911">
        <f t="shared" si="0"/>
        <v>0</v>
      </c>
      <c r="G25" s="911"/>
      <c r="H25" s="911">
        <f t="shared" si="1"/>
        <v>0</v>
      </c>
      <c r="I25" s="911"/>
      <c r="J25" s="911">
        <f t="shared" si="12"/>
        <v>0</v>
      </c>
      <c r="K25" s="911"/>
      <c r="L25" s="1692">
        <f t="shared" si="2"/>
        <v>0</v>
      </c>
      <c r="M25" s="1693">
        <f>$M$83*M51</f>
        <v>0</v>
      </c>
      <c r="N25" s="312">
        <f>$M$83*N51</f>
        <v>0</v>
      </c>
      <c r="O25" s="312">
        <f>$M$83*O51</f>
        <v>0</v>
      </c>
      <c r="P25" s="312">
        <f t="shared" si="3"/>
        <v>0</v>
      </c>
      <c r="Q25" s="312">
        <v>0</v>
      </c>
      <c r="R25" s="312">
        <f t="shared" si="4"/>
        <v>0</v>
      </c>
      <c r="S25" s="312"/>
      <c r="T25" s="312">
        <f t="shared" si="13"/>
        <v>0</v>
      </c>
      <c r="U25" s="564">
        <f>L25</f>
        <v>0</v>
      </c>
      <c r="V25" s="1696">
        <f>T25</f>
        <v>0</v>
      </c>
      <c r="W25" s="1692">
        <f t="shared" si="5"/>
        <v>0</v>
      </c>
      <c r="X25" s="1693">
        <f>$N$83*M51</f>
        <v>0</v>
      </c>
      <c r="Y25" s="312">
        <f>$N$83*N51</f>
        <v>0</v>
      </c>
      <c r="Z25" s="312">
        <f>$N$83*O51</f>
        <v>0</v>
      </c>
      <c r="AA25" s="506">
        <f t="shared" si="6"/>
        <v>0</v>
      </c>
      <c r="AB25" s="312">
        <f>105*0</f>
        <v>0</v>
      </c>
      <c r="AC25" s="312">
        <f t="shared" si="7"/>
        <v>0</v>
      </c>
      <c r="AD25" s="312"/>
      <c r="AE25" s="312">
        <f t="shared" si="16"/>
        <v>0</v>
      </c>
      <c r="AF25" s="312">
        <f t="shared" si="8"/>
        <v>0</v>
      </c>
      <c r="AG25" s="312">
        <f>AE25*80%</f>
        <v>0</v>
      </c>
      <c r="AH25" s="1694">
        <f t="shared" si="9"/>
        <v>0</v>
      </c>
      <c r="AI25" s="9" t="e">
        <f>V25/T25*100</f>
        <v>#DIV/0!</v>
      </c>
      <c r="AJ25" t="e">
        <f>AG25/AE25*100</f>
        <v>#DIV/0!</v>
      </c>
    </row>
    <row r="26" spans="1:36">
      <c r="A26" s="654" t="s">
        <v>1547</v>
      </c>
      <c r="B26" s="913">
        <v>95.620220000000245</v>
      </c>
      <c r="C26" s="913"/>
      <c r="D26" s="911"/>
      <c r="E26" s="911"/>
      <c r="F26" s="911">
        <f t="shared" si="0"/>
        <v>0</v>
      </c>
      <c r="G26" s="911"/>
      <c r="H26" s="911">
        <f t="shared" si="1"/>
        <v>0</v>
      </c>
      <c r="I26" s="911"/>
      <c r="J26" s="911">
        <f t="shared" si="12"/>
        <v>0</v>
      </c>
      <c r="K26" s="911">
        <f>46.89*2</f>
        <v>93.78</v>
      </c>
      <c r="L26" s="1692">
        <f t="shared" si="2"/>
        <v>1.8402200000002438</v>
      </c>
      <c r="M26" s="1693">
        <f>$M$79*M51</f>
        <v>0</v>
      </c>
      <c r="N26" s="312">
        <f>$M$79*N51</f>
        <v>0</v>
      </c>
      <c r="O26" s="312">
        <f>$M$79*O51</f>
        <v>0</v>
      </c>
      <c r="P26" s="312">
        <f>SUM(M26:O26)</f>
        <v>0</v>
      </c>
      <c r="Q26" s="312"/>
      <c r="R26" s="312">
        <f>P26+Q26</f>
        <v>0</v>
      </c>
      <c r="S26" s="312">
        <f>'loan&amp;int'!C116+'loan&amp;int'!C117</f>
        <v>0</v>
      </c>
      <c r="T26" s="312">
        <f>R26+S26</f>
        <v>0</v>
      </c>
      <c r="U26" s="312">
        <f>L26</f>
        <v>1.8402200000002438</v>
      </c>
      <c r="V26" s="1696">
        <f>T26*100%</f>
        <v>0</v>
      </c>
      <c r="W26" s="1694">
        <f>T26-U26-V26+L26</f>
        <v>0</v>
      </c>
      <c r="X26" s="1693">
        <f>$N$79*M51</f>
        <v>0</v>
      </c>
      <c r="Y26" s="312">
        <f>$N$79*N51</f>
        <v>0</v>
      </c>
      <c r="Z26" s="312">
        <f>$N$79*O51</f>
        <v>0</v>
      </c>
      <c r="AA26" s="312">
        <f>SUM(X26:Z26)</f>
        <v>0</v>
      </c>
      <c r="AB26" s="312">
        <v>0</v>
      </c>
      <c r="AC26" s="312">
        <f>AA26+AB26</f>
        <v>0</v>
      </c>
      <c r="AD26" s="312">
        <f>'loan&amp;int'!D116+'loan&amp;int'!D117</f>
        <v>0</v>
      </c>
      <c r="AE26" s="312">
        <f>AC26+AD26</f>
        <v>0</v>
      </c>
      <c r="AF26" s="312">
        <f>W26</f>
        <v>0</v>
      </c>
      <c r="AG26" s="312">
        <f>AE26*20%</f>
        <v>0</v>
      </c>
      <c r="AH26" s="1694">
        <f>AE26-AF26-AG26+W26</f>
        <v>0</v>
      </c>
      <c r="AI26" s="9" t="e">
        <f>V26/T26*100</f>
        <v>#DIV/0!</v>
      </c>
      <c r="AJ26" t="e">
        <f>AG26/AE26*100</f>
        <v>#DIV/0!</v>
      </c>
    </row>
    <row r="27" spans="1:36">
      <c r="A27" s="654" t="s">
        <v>2285</v>
      </c>
      <c r="B27" s="913">
        <v>0</v>
      </c>
      <c r="C27" s="913">
        <v>2937</v>
      </c>
      <c r="D27" s="911"/>
      <c r="E27" s="911"/>
      <c r="F27" s="911">
        <f t="shared" si="0"/>
        <v>2937</v>
      </c>
      <c r="G27" s="911"/>
      <c r="H27" s="911">
        <f t="shared" si="1"/>
        <v>2937</v>
      </c>
      <c r="I27" s="911"/>
      <c r="J27" s="911">
        <f t="shared" si="12"/>
        <v>2937</v>
      </c>
      <c r="K27" s="911">
        <v>2937</v>
      </c>
      <c r="L27" s="1692">
        <f t="shared" si="2"/>
        <v>0</v>
      </c>
      <c r="M27" s="1693">
        <f ca="1">('F-23 CASHFLOW'!B10)*0.49</f>
        <v>7622.8824828319157</v>
      </c>
      <c r="N27" s="312">
        <f>$M$82*N51</f>
        <v>0</v>
      </c>
      <c r="O27" s="312">
        <f>$M$82*O51</f>
        <v>0</v>
      </c>
      <c r="P27" s="312">
        <f ca="1">SUM(M27:O27)</f>
        <v>7622.8824828319157</v>
      </c>
      <c r="Q27" s="312"/>
      <c r="R27" s="312">
        <f ca="1">P27+Q27</f>
        <v>7622.8824828319157</v>
      </c>
      <c r="S27" s="312"/>
      <c r="T27" s="312">
        <f ca="1">R27+S27</f>
        <v>7622.8824828319157</v>
      </c>
      <c r="U27" s="564">
        <f>L27</f>
        <v>0</v>
      </c>
      <c r="V27" s="1696">
        <f ca="1">T27*100%</f>
        <v>7622.8824828319157</v>
      </c>
      <c r="W27" s="1694">
        <f ca="1">T27-U27-V27+L27</f>
        <v>0</v>
      </c>
      <c r="X27" s="1693">
        <f ca="1">('F-23 CASHFLOW'!C10)*0.49</f>
        <v>8255.5705311550046</v>
      </c>
      <c r="Y27" s="312">
        <f>$N$82*N51</f>
        <v>0</v>
      </c>
      <c r="Z27" s="312">
        <f>$N$82*O51</f>
        <v>0</v>
      </c>
      <c r="AA27" s="312">
        <f ca="1">SUM(X27:Z27)</f>
        <v>8255.5705311550046</v>
      </c>
      <c r="AB27" s="312"/>
      <c r="AC27" s="312">
        <f ca="1">AA27+AB27</f>
        <v>8255.5705311550046</v>
      </c>
      <c r="AD27" s="312"/>
      <c r="AE27" s="312">
        <f ca="1">AC27+AD27</f>
        <v>8255.5705311550046</v>
      </c>
      <c r="AF27" s="312">
        <f ca="1">W27</f>
        <v>0</v>
      </c>
      <c r="AG27" s="312">
        <f ca="1">AE27*100%</f>
        <v>8255.5705311550046</v>
      </c>
      <c r="AH27" s="1694">
        <f ca="1">AE27-AF27-AG27+W27</f>
        <v>0</v>
      </c>
      <c r="AI27" s="9"/>
    </row>
    <row r="28" spans="1:36">
      <c r="A28" s="654" t="s">
        <v>1548</v>
      </c>
      <c r="B28" s="913">
        <v>0</v>
      </c>
      <c r="C28" s="913"/>
      <c r="D28" s="911"/>
      <c r="E28" s="911"/>
      <c r="F28" s="911">
        <f t="shared" si="0"/>
        <v>0</v>
      </c>
      <c r="G28" s="911"/>
      <c r="H28" s="911">
        <f t="shared" si="1"/>
        <v>0</v>
      </c>
      <c r="I28" s="911"/>
      <c r="J28" s="911">
        <f t="shared" si="12"/>
        <v>0</v>
      </c>
      <c r="K28" s="911"/>
      <c r="L28" s="1692">
        <f t="shared" si="2"/>
        <v>0</v>
      </c>
      <c r="M28" s="1693">
        <f>$M$80*M51</f>
        <v>0</v>
      </c>
      <c r="N28" s="312">
        <f>$M$80*N51</f>
        <v>0</v>
      </c>
      <c r="O28" s="312">
        <f>$M$80*O51</f>
        <v>0</v>
      </c>
      <c r="P28" s="312">
        <f t="shared" si="3"/>
        <v>0</v>
      </c>
      <c r="Q28" s="312"/>
      <c r="R28" s="312">
        <f t="shared" si="4"/>
        <v>0</v>
      </c>
      <c r="S28" s="312"/>
      <c r="T28" s="312">
        <f t="shared" si="13"/>
        <v>0</v>
      </c>
      <c r="U28" s="564">
        <f>L28</f>
        <v>0</v>
      </c>
      <c r="V28" s="1696">
        <f>T28</f>
        <v>0</v>
      </c>
      <c r="W28" s="1692">
        <f t="shared" si="5"/>
        <v>0</v>
      </c>
      <c r="X28" s="1693">
        <f>$N$80*M51</f>
        <v>0</v>
      </c>
      <c r="Y28" s="312">
        <f>$N$80*N51</f>
        <v>0</v>
      </c>
      <c r="Z28" s="312">
        <f>$N$80*O51</f>
        <v>0</v>
      </c>
      <c r="AA28" s="506">
        <f t="shared" si="6"/>
        <v>0</v>
      </c>
      <c r="AB28" s="312"/>
      <c r="AC28" s="312">
        <f t="shared" si="7"/>
        <v>0</v>
      </c>
      <c r="AD28" s="312"/>
      <c r="AE28" s="312">
        <f t="shared" si="16"/>
        <v>0</v>
      </c>
      <c r="AF28" s="312">
        <f t="shared" si="8"/>
        <v>0</v>
      </c>
      <c r="AG28" s="312">
        <f>AE28*50%</f>
        <v>0</v>
      </c>
      <c r="AH28" s="1694">
        <f t="shared" si="9"/>
        <v>0</v>
      </c>
      <c r="AI28" s="9" t="e">
        <f>V28/T28*100</f>
        <v>#DIV/0!</v>
      </c>
      <c r="AJ28" t="e">
        <f>AG28/AE28*100</f>
        <v>#DIV/0!</v>
      </c>
    </row>
    <row r="29" spans="1:36">
      <c r="A29" s="654" t="s">
        <v>573</v>
      </c>
      <c r="B29" s="913">
        <v>0</v>
      </c>
      <c r="C29" s="913"/>
      <c r="D29" s="911"/>
      <c r="E29" s="911"/>
      <c r="F29" s="911">
        <f t="shared" si="0"/>
        <v>0</v>
      </c>
      <c r="G29" s="911"/>
      <c r="H29" s="911">
        <f t="shared" si="1"/>
        <v>0</v>
      </c>
      <c r="I29" s="911"/>
      <c r="J29" s="911">
        <f t="shared" si="12"/>
        <v>0</v>
      </c>
      <c r="K29" s="911"/>
      <c r="L29" s="1692">
        <f t="shared" si="2"/>
        <v>0</v>
      </c>
      <c r="M29" s="1693">
        <f>$M$81*M51</f>
        <v>0</v>
      </c>
      <c r="N29" s="312">
        <f>$M$81*N51</f>
        <v>0</v>
      </c>
      <c r="O29" s="312">
        <f>$M$81*O51</f>
        <v>0</v>
      </c>
      <c r="P29" s="312">
        <f t="shared" si="3"/>
        <v>0</v>
      </c>
      <c r="Q29" s="312"/>
      <c r="R29" s="312">
        <f t="shared" si="4"/>
        <v>0</v>
      </c>
      <c r="S29" s="312"/>
      <c r="T29" s="312">
        <f t="shared" si="13"/>
        <v>0</v>
      </c>
      <c r="U29" s="564">
        <f>L29</f>
        <v>0</v>
      </c>
      <c r="V29" s="1696">
        <f>T29</f>
        <v>0</v>
      </c>
      <c r="W29" s="1692">
        <f t="shared" si="5"/>
        <v>0</v>
      </c>
      <c r="X29" s="1693">
        <f>$N$81*M51</f>
        <v>0</v>
      </c>
      <c r="Y29" s="312">
        <f>$N$81*N51</f>
        <v>0</v>
      </c>
      <c r="Z29" s="312">
        <f>$N$81*O51</f>
        <v>0</v>
      </c>
      <c r="AA29" s="506">
        <f t="shared" si="6"/>
        <v>0</v>
      </c>
      <c r="AB29" s="312"/>
      <c r="AC29" s="312">
        <f t="shared" si="7"/>
        <v>0</v>
      </c>
      <c r="AD29" s="312"/>
      <c r="AE29" s="312">
        <f>AC29+AD29</f>
        <v>0</v>
      </c>
      <c r="AF29" s="312">
        <f t="shared" si="8"/>
        <v>0</v>
      </c>
      <c r="AG29" s="312">
        <f>AE29*70%</f>
        <v>0</v>
      </c>
      <c r="AH29" s="1694">
        <f t="shared" si="9"/>
        <v>0</v>
      </c>
      <c r="AI29" s="9"/>
    </row>
    <row r="30" spans="1:36">
      <c r="A30" s="1698" t="s">
        <v>577</v>
      </c>
      <c r="B30" s="913">
        <v>0</v>
      </c>
      <c r="C30" s="913">
        <f>162.9808953+3000</f>
        <v>3162.9808953000002</v>
      </c>
      <c r="D30" s="911"/>
      <c r="E30" s="911"/>
      <c r="F30" s="911">
        <f t="shared" si="0"/>
        <v>3162.9808953000002</v>
      </c>
      <c r="G30" s="911"/>
      <c r="H30" s="911">
        <f t="shared" si="1"/>
        <v>3162.9808953000002</v>
      </c>
      <c r="I30" s="911"/>
      <c r="J30" s="911">
        <f t="shared" si="12"/>
        <v>3162.9808953000002</v>
      </c>
      <c r="K30" s="911">
        <v>2817</v>
      </c>
      <c r="L30" s="1692">
        <f t="shared" si="2"/>
        <v>345.98089530000016</v>
      </c>
      <c r="M30" s="1693">
        <f>$N$88*0.6+M88</f>
        <v>9829.0191047000008</v>
      </c>
      <c r="N30" s="312">
        <f>$N$88*0.2</f>
        <v>1048</v>
      </c>
      <c r="O30" s="312">
        <f>$N$88*0.05</f>
        <v>262</v>
      </c>
      <c r="P30" s="312">
        <f t="shared" si="3"/>
        <v>11139.019104700001</v>
      </c>
      <c r="Q30" s="312">
        <f>M30*$P$51</f>
        <v>393.16076418800003</v>
      </c>
      <c r="R30" s="312">
        <f t="shared" si="4"/>
        <v>11532.179868888001</v>
      </c>
      <c r="S30" s="1699">
        <f>(70%*R30)*8%*2/12</f>
        <v>107.63367877628799</v>
      </c>
      <c r="T30" s="312">
        <f t="shared" si="13"/>
        <v>11639.813547664289</v>
      </c>
      <c r="U30" s="564">
        <f>L30+M88</f>
        <v>7031</v>
      </c>
      <c r="V30" s="1696">
        <f>(R30-M88)*0.66+S30</f>
        <v>3306.7597831403687</v>
      </c>
      <c r="W30" s="1694">
        <f t="shared" si="5"/>
        <v>1648.0346598239207</v>
      </c>
      <c r="X30" s="1693">
        <f>($O$88*0.6)+N88*0.25</f>
        <v>3357.2</v>
      </c>
      <c r="Y30" s="312">
        <f>$O$88*N51</f>
        <v>511.79999999999995</v>
      </c>
      <c r="Z30" s="312">
        <f>$O$88*O51</f>
        <v>170.60000000000002</v>
      </c>
      <c r="AA30" s="506">
        <f t="shared" si="6"/>
        <v>4039.6</v>
      </c>
      <c r="AB30" s="312">
        <f>X30*$P$51</f>
        <v>134.28799999999998</v>
      </c>
      <c r="AC30" s="312">
        <f t="shared" si="7"/>
        <v>4173.8879999999999</v>
      </c>
      <c r="AD30" s="1699">
        <f>(70%*AC30)*6%*4/12</f>
        <v>58.434431999999994</v>
      </c>
      <c r="AE30" s="312">
        <f t="shared" ref="AE30:AE34" si="18">AC30+AD30</f>
        <v>4232.3224319999999</v>
      </c>
      <c r="AF30" s="312">
        <f>W30</f>
        <v>1648.0346598239207</v>
      </c>
      <c r="AG30" s="1696">
        <f>AC30*0.6+AD30</f>
        <v>2562.7672319999997</v>
      </c>
      <c r="AH30" s="1694">
        <f t="shared" si="9"/>
        <v>1669.5552000000002</v>
      </c>
      <c r="AI30" s="9"/>
    </row>
    <row r="31" spans="1:36">
      <c r="A31" s="1698" t="s">
        <v>578</v>
      </c>
      <c r="B31" s="913">
        <v>0</v>
      </c>
      <c r="C31" s="913">
        <f>650.0759039+600</f>
        <v>1250.0759039</v>
      </c>
      <c r="D31" s="911"/>
      <c r="E31" s="911"/>
      <c r="F31" s="911">
        <f t="shared" si="0"/>
        <v>1250.0759039</v>
      </c>
      <c r="G31" s="911"/>
      <c r="H31" s="911">
        <f t="shared" si="1"/>
        <v>1250.0759039</v>
      </c>
      <c r="I31" s="911"/>
      <c r="J31" s="911">
        <f t="shared" si="12"/>
        <v>1250.0759039</v>
      </c>
      <c r="K31" s="911">
        <f>3.00178+998</f>
        <v>1001.0017800000001</v>
      </c>
      <c r="L31" s="1692">
        <f t="shared" si="2"/>
        <v>249.0741238999999</v>
      </c>
      <c r="M31" s="1693">
        <f>$N$89*0.6+M89</f>
        <v>5805.9240960999996</v>
      </c>
      <c r="N31" s="312">
        <f>$N$89*0.2</f>
        <v>936</v>
      </c>
      <c r="O31" s="312">
        <f>$N$89*0.05</f>
        <v>234</v>
      </c>
      <c r="P31" s="312">
        <f t="shared" si="3"/>
        <v>6975.9240960999996</v>
      </c>
      <c r="Q31" s="312">
        <f>M31*$P$51</f>
        <v>232.236963844</v>
      </c>
      <c r="R31" s="312">
        <f t="shared" si="4"/>
        <v>7208.1610599439991</v>
      </c>
      <c r="S31" s="1699">
        <f>(70%*R31)*8%*2/12</f>
        <v>67.276169892810643</v>
      </c>
      <c r="T31" s="312">
        <f t="shared" si="13"/>
        <v>7275.4372298368098</v>
      </c>
      <c r="U31" s="564">
        <f>L31+M89</f>
        <v>3246.9982199999999</v>
      </c>
      <c r="V31" s="1696">
        <f>(R31-M89)*0.7+S31</f>
        <v>3014.4420445836104</v>
      </c>
      <c r="W31" s="1694">
        <f t="shared" si="5"/>
        <v>1263.0710891531994</v>
      </c>
      <c r="X31" s="1693">
        <f>($O$89*0.6)+N89*0.25</f>
        <v>11166</v>
      </c>
      <c r="Y31" s="312">
        <f>$O$89*N51</f>
        <v>2499</v>
      </c>
      <c r="Z31" s="312">
        <f>$O$89*O51</f>
        <v>833</v>
      </c>
      <c r="AA31" s="506">
        <f t="shared" si="6"/>
        <v>14498</v>
      </c>
      <c r="AB31" s="312">
        <f>X31*$P$51</f>
        <v>446.64</v>
      </c>
      <c r="AC31" s="312">
        <f t="shared" si="7"/>
        <v>14944.64</v>
      </c>
      <c r="AD31" s="1699">
        <f>(70%*AC31)*6%*4/12</f>
        <v>209.22495999999998</v>
      </c>
      <c r="AE31" s="312">
        <f t="shared" si="18"/>
        <v>15153.864959999999</v>
      </c>
      <c r="AF31" s="312">
        <f t="shared" ref="AF31:AF34" si="19">W31</f>
        <v>1263.0710891531994</v>
      </c>
      <c r="AG31" s="1696">
        <f>AC31*0.6+AD31</f>
        <v>9176.0089599999992</v>
      </c>
      <c r="AH31" s="1694">
        <f t="shared" si="9"/>
        <v>5977.8559999999998</v>
      </c>
      <c r="AI31" s="9"/>
    </row>
    <row r="32" spans="1:36">
      <c r="A32" s="1698" t="s">
        <v>579</v>
      </c>
      <c r="B32" s="913">
        <v>0</v>
      </c>
      <c r="C32" s="913">
        <v>316.32054729999999</v>
      </c>
      <c r="D32" s="911"/>
      <c r="E32" s="911"/>
      <c r="F32" s="911">
        <f t="shared" si="0"/>
        <v>316.32054729999999</v>
      </c>
      <c r="G32" s="911"/>
      <c r="H32" s="911">
        <f t="shared" si="1"/>
        <v>316.32054729999999</v>
      </c>
      <c r="I32" s="911"/>
      <c r="J32" s="911">
        <f t="shared" si="12"/>
        <v>316.32054729999999</v>
      </c>
      <c r="K32" s="911">
        <v>256</v>
      </c>
      <c r="L32" s="1692">
        <f t="shared" si="2"/>
        <v>60.320547299999987</v>
      </c>
      <c r="M32" s="1693">
        <f>$N$90*0.6+M90</f>
        <v>11675.0794527</v>
      </c>
      <c r="N32" s="312">
        <f>$N$90*0.2</f>
        <v>2366.8000000000002</v>
      </c>
      <c r="O32" s="312">
        <f>$N$90*0.05</f>
        <v>591.70000000000005</v>
      </c>
      <c r="P32" s="312">
        <f t="shared" si="3"/>
        <v>14633.5794527</v>
      </c>
      <c r="Q32" s="312">
        <f>M32*$P$51</f>
        <v>467.00317810799999</v>
      </c>
      <c r="R32" s="312">
        <f t="shared" si="4"/>
        <v>15100.582630808</v>
      </c>
      <c r="S32" s="1699">
        <f>(70%*R32)*8%*2/12</f>
        <v>140.93877122087466</v>
      </c>
      <c r="T32" s="312">
        <f t="shared" si="13"/>
        <v>15241.521402028875</v>
      </c>
      <c r="U32" s="564">
        <f>L32+M90</f>
        <v>4635</v>
      </c>
      <c r="V32" s="1696">
        <f>(R32-M90)*0.7+S32</f>
        <v>7509.0709958964735</v>
      </c>
      <c r="W32" s="1694">
        <f t="shared" si="5"/>
        <v>3157.7709534324013</v>
      </c>
      <c r="X32" s="1693">
        <f>($O$90*0.6)+N90*0.25</f>
        <v>7488.5</v>
      </c>
      <c r="Y32" s="312">
        <f>$O$90*N51</f>
        <v>1132.5</v>
      </c>
      <c r="Z32" s="312">
        <f>$O$90*O51</f>
        <v>377.5</v>
      </c>
      <c r="AA32" s="506">
        <v>12040</v>
      </c>
      <c r="AB32" s="312">
        <f>X32*$P$51</f>
        <v>299.54000000000002</v>
      </c>
      <c r="AC32" s="312">
        <f t="shared" si="7"/>
        <v>12339.54</v>
      </c>
      <c r="AD32" s="1699">
        <f>(70%*AC32)*6%*4/12</f>
        <v>172.75355999999999</v>
      </c>
      <c r="AE32" s="312">
        <f t="shared" si="18"/>
        <v>12512.29356</v>
      </c>
      <c r="AF32" s="312">
        <f t="shared" si="19"/>
        <v>3157.7709534324013</v>
      </c>
      <c r="AG32" s="1696">
        <f>AC32*0.6+AD32</f>
        <v>7576.4775600000003</v>
      </c>
      <c r="AH32" s="1694">
        <f t="shared" si="9"/>
        <v>4935.8160000000007</v>
      </c>
      <c r="AI32" s="9"/>
    </row>
    <row r="33" spans="1:36">
      <c r="A33" s="1698" t="s">
        <v>580</v>
      </c>
      <c r="B33" s="913">
        <v>0</v>
      </c>
      <c r="C33" s="913">
        <f>7627.41725985458-2937-101-3000-256</f>
        <v>1333.4172598545802</v>
      </c>
      <c r="D33" s="911"/>
      <c r="E33" s="911"/>
      <c r="F33" s="911">
        <f t="shared" si="0"/>
        <v>1333.4172598545802</v>
      </c>
      <c r="G33" s="911">
        <v>292.16000000000003</v>
      </c>
      <c r="H33" s="911">
        <f>F33+G33</f>
        <v>1625.5772598545802</v>
      </c>
      <c r="I33" s="911"/>
      <c r="J33" s="911">
        <f t="shared" si="12"/>
        <v>1625.5772598545802</v>
      </c>
      <c r="K33" s="911">
        <f>6104.83991375458-2937-101-2817+115.16</f>
        <v>364.99991375458023</v>
      </c>
      <c r="L33" s="1692">
        <f>J33-K33+B33</f>
        <v>1260.5773460999999</v>
      </c>
      <c r="M33" s="1693">
        <f>$N$91*0.6+M91</f>
        <v>11079.62274014542</v>
      </c>
      <c r="N33" s="312">
        <f>$N$91*0.2</f>
        <v>2911.4</v>
      </c>
      <c r="O33" s="312">
        <f>$N$91*0.05</f>
        <v>727.85</v>
      </c>
      <c r="P33" s="312">
        <f t="shared" si="3"/>
        <v>14718.87274014542</v>
      </c>
      <c r="Q33" s="312">
        <f>M33*$P$51</f>
        <v>443.18490960581681</v>
      </c>
      <c r="R33" s="312">
        <f t="shared" si="4"/>
        <v>15162.057649751237</v>
      </c>
      <c r="S33" s="1699">
        <f>(70%*R33)*8%*2/12</f>
        <v>141.51253806434488</v>
      </c>
      <c r="T33" s="312">
        <f t="shared" si="13"/>
        <v>15303.570187815581</v>
      </c>
      <c r="U33" s="564">
        <f>L33+M91</f>
        <v>3606.0000862454199</v>
      </c>
      <c r="V33" s="1696">
        <f>(R33-M91)*0.7+S33</f>
        <v>9113.1569747884168</v>
      </c>
      <c r="W33" s="1694">
        <f t="shared" si="5"/>
        <v>3844.9904728817446</v>
      </c>
      <c r="X33" s="1693">
        <f>($O$91*0.6)+N91</f>
        <v>19226.2</v>
      </c>
      <c r="Y33" s="312">
        <f>$O$91*N51</f>
        <v>1167.3</v>
      </c>
      <c r="Z33" s="312">
        <f>$O$91*O51</f>
        <v>389.1</v>
      </c>
      <c r="AA33" s="506">
        <f t="shared" si="6"/>
        <v>20782.599999999999</v>
      </c>
      <c r="AB33" s="312">
        <f>X33*$P$51</f>
        <v>769.048</v>
      </c>
      <c r="AC33" s="312">
        <f t="shared" si="7"/>
        <v>21551.647999999997</v>
      </c>
      <c r="AD33" s="1699">
        <f>(70%*AC33)*6%*4/12</f>
        <v>301.72307199999995</v>
      </c>
      <c r="AE33" s="312">
        <f t="shared" si="18"/>
        <v>21853.371071999998</v>
      </c>
      <c r="AF33" s="312">
        <f t="shared" si="19"/>
        <v>3844.9904728817446</v>
      </c>
      <c r="AG33" s="1696">
        <f>AC33*0.6+AD33</f>
        <v>13232.711871999998</v>
      </c>
      <c r="AH33" s="1694">
        <f t="shared" si="9"/>
        <v>8620.6591999999982</v>
      </c>
      <c r="AI33" s="9"/>
    </row>
    <row r="34" spans="1:36">
      <c r="A34" s="1698" t="s">
        <v>581</v>
      </c>
      <c r="B34" s="913">
        <v>0</v>
      </c>
      <c r="C34" s="913">
        <f>8571.73714961389-600+256</f>
        <v>8227.7371496138894</v>
      </c>
      <c r="D34" s="911"/>
      <c r="E34" s="911"/>
      <c r="F34" s="911">
        <f t="shared" si="0"/>
        <v>8227.7371496138894</v>
      </c>
      <c r="G34" s="911">
        <v>271.57</v>
      </c>
      <c r="H34" s="911">
        <f t="shared" si="1"/>
        <v>8499.3071496138891</v>
      </c>
      <c r="I34" s="911"/>
      <c r="J34" s="911">
        <f t="shared" si="12"/>
        <v>8499.3071496138891</v>
      </c>
      <c r="K34" s="911">
        <f>8668.77286471389-998-256-115.16</f>
        <v>7299.6128647138903</v>
      </c>
      <c r="L34" s="1692">
        <f>J34-K34+B34</f>
        <v>1199.6942848999988</v>
      </c>
      <c r="M34" s="1693">
        <f>$N$92*0.6+M92</f>
        <v>8732.2928503861112</v>
      </c>
      <c r="N34" s="312">
        <f>$N$92*0.2</f>
        <v>2292.2000000000003</v>
      </c>
      <c r="O34" s="312">
        <f>$N$92*0.05</f>
        <v>573.05000000000007</v>
      </c>
      <c r="P34" s="312">
        <f t="shared" si="3"/>
        <v>11597.542850386111</v>
      </c>
      <c r="Q34" s="312">
        <f>M34*$P$51</f>
        <v>349.29171401544448</v>
      </c>
      <c r="R34" s="312">
        <f t="shared" si="4"/>
        <v>11946.834564401555</v>
      </c>
      <c r="S34" s="1699">
        <f ca="1">'loan&amp;int'!C114-SUM(S30:S33)</f>
        <v>274.72898087406736</v>
      </c>
      <c r="T34" s="312">
        <f t="shared" ca="1" si="13"/>
        <v>12221.563545275623</v>
      </c>
      <c r="U34" s="564">
        <f>L34+M92</f>
        <v>3055.3871352861097</v>
      </c>
      <c r="V34" s="1696">
        <f ca="1">(R34-M92)*0.7+S34</f>
        <v>7338.528180684878</v>
      </c>
      <c r="W34" s="1694">
        <f t="shared" ca="1" si="5"/>
        <v>3027.3425142046344</v>
      </c>
      <c r="X34" s="1693">
        <f>($O$92*0.9)+N92*0.25</f>
        <v>17481.25</v>
      </c>
      <c r="Y34" s="312">
        <f>$O$92*N51</f>
        <v>2436</v>
      </c>
      <c r="Z34" s="312">
        <f>$O$92*O51</f>
        <v>812</v>
      </c>
      <c r="AA34" s="506">
        <v>15392</v>
      </c>
      <c r="AB34" s="312">
        <f>X34*$P$51</f>
        <v>699.25</v>
      </c>
      <c r="AC34" s="312">
        <f t="shared" si="7"/>
        <v>16091.25</v>
      </c>
      <c r="AD34" s="1699">
        <f ca="1">'loan&amp;int'!D114-SUM(AD30:AD33)</f>
        <v>1016.4184358578898</v>
      </c>
      <c r="AE34" s="312">
        <f t="shared" ca="1" si="18"/>
        <v>17107.66843585789</v>
      </c>
      <c r="AF34" s="312">
        <f t="shared" ca="1" si="19"/>
        <v>3027.3425142046344</v>
      </c>
      <c r="AG34" s="1696">
        <f ca="1">AC34*0.6+AD34</f>
        <v>10671.16843585789</v>
      </c>
      <c r="AH34" s="1694">
        <f t="shared" ca="1" si="9"/>
        <v>6436.5</v>
      </c>
      <c r="AI34" s="9"/>
    </row>
    <row r="35" spans="1:36">
      <c r="A35" s="338" t="s">
        <v>1549</v>
      </c>
      <c r="B35" s="97">
        <f>SUM(B15:B34)</f>
        <v>4911.3379199999981</v>
      </c>
      <c r="C35" s="97">
        <f>SUM(C14:C34)</f>
        <v>33225.40258796847</v>
      </c>
      <c r="D35" s="12">
        <f>SUM(D14:D34)</f>
        <v>2982.4876560000002</v>
      </c>
      <c r="E35" s="12">
        <f t="shared" ref="E35:K35" si="20">SUM(E14:E34)</f>
        <v>994.16255199999944</v>
      </c>
      <c r="F35" s="12">
        <f t="shared" si="20"/>
        <v>37202.05279596847</v>
      </c>
      <c r="G35" s="12">
        <f t="shared" si="20"/>
        <v>573.45800000000008</v>
      </c>
      <c r="H35" s="12">
        <f t="shared" si="20"/>
        <v>37775.510795968468</v>
      </c>
      <c r="I35" s="12">
        <f t="shared" si="20"/>
        <v>0</v>
      </c>
      <c r="J35" s="12">
        <f t="shared" si="20"/>
        <v>37775.510795968468</v>
      </c>
      <c r="K35" s="12">
        <f t="shared" si="20"/>
        <v>39026.974558468472</v>
      </c>
      <c r="L35" s="95">
        <f>SUM(L14:L34)</f>
        <v>3659.8741574999976</v>
      </c>
      <c r="M35" s="97">
        <f ca="1">SUM(M14:M34)</f>
        <v>67447.818982863449</v>
      </c>
      <c r="N35" s="12">
        <f>SUM(N14:N34)</f>
        <v>11936.212173000002</v>
      </c>
      <c r="O35" s="12">
        <f t="shared" ref="O35:V35" si="21">SUM(O14:O34)</f>
        <v>3182.5373910000003</v>
      </c>
      <c r="P35" s="12">
        <f t="shared" ca="1" si="21"/>
        <v>82566.568546863447</v>
      </c>
      <c r="Q35" s="12">
        <f t="shared" si="21"/>
        <v>1896.8374600012612</v>
      </c>
      <c r="R35" s="12">
        <f t="shared" ca="1" si="21"/>
        <v>84463.406006864709</v>
      </c>
      <c r="S35" s="12">
        <f t="shared" ca="1" si="21"/>
        <v>732.09013882838553</v>
      </c>
      <c r="T35" s="12">
        <f t="shared" ca="1" si="21"/>
        <v>85195.496145693091</v>
      </c>
      <c r="U35" s="12">
        <f t="shared" si="21"/>
        <v>22118.612401531529</v>
      </c>
      <c r="V35" s="12">
        <f t="shared" ca="1" si="21"/>
        <v>43266.027670379</v>
      </c>
      <c r="W35" s="95">
        <f ca="1">SUM(W14:W34)</f>
        <v>23470.73023128257</v>
      </c>
      <c r="X35" s="511">
        <f ca="1">SUM(X14:X34)</f>
        <v>77279.242891155009</v>
      </c>
      <c r="Y35" s="12">
        <f>SUM(Y14:Y34)</f>
        <v>9678.697942499999</v>
      </c>
      <c r="Z35" s="12">
        <f t="shared" ref="Z35:AH35" si="22">SUM(Z14:Z34)</f>
        <v>3226.2326475</v>
      </c>
      <c r="AA35" s="12">
        <f t="shared" ca="1" si="22"/>
        <v>87888.423481155012</v>
      </c>
      <c r="AB35" s="12">
        <f t="shared" si="22"/>
        <v>2566.5468943999999</v>
      </c>
      <c r="AC35" s="12">
        <f t="shared" ca="1" si="22"/>
        <v>90454.970375555</v>
      </c>
      <c r="AD35" s="12">
        <f t="shared" ca="1" si="22"/>
        <v>1758.5544598578897</v>
      </c>
      <c r="AE35" s="12">
        <f t="shared" ca="1" si="22"/>
        <v>92213.5248354129</v>
      </c>
      <c r="AF35" s="12">
        <f t="shared" ca="1" si="22"/>
        <v>23470.73023128257</v>
      </c>
      <c r="AG35" s="12">
        <f t="shared" ca="1" si="22"/>
        <v>58023.921513212888</v>
      </c>
      <c r="AH35" s="12">
        <f t="shared" ca="1" si="22"/>
        <v>34189.603322199997</v>
      </c>
      <c r="AI35" s="9">
        <f t="shared" ca="1" si="10"/>
        <v>50.784407190245858</v>
      </c>
      <c r="AJ35" s="9">
        <f t="shared" ca="1" si="11"/>
        <v>62.923439502802601</v>
      </c>
    </row>
    <row r="36" spans="1:36">
      <c r="A36" s="1700"/>
      <c r="B36" s="1688"/>
      <c r="C36" s="1693"/>
      <c r="D36" s="312"/>
      <c r="E36" s="312"/>
      <c r="F36" s="312"/>
      <c r="G36" s="312"/>
      <c r="H36" s="312"/>
      <c r="I36" s="312"/>
      <c r="J36" s="312"/>
      <c r="K36" s="312"/>
      <c r="L36" s="1694"/>
      <c r="M36" s="654"/>
      <c r="N36" s="312"/>
      <c r="O36" s="506"/>
      <c r="P36" s="312"/>
      <c r="Q36" s="506"/>
      <c r="R36" s="312"/>
      <c r="S36" s="312"/>
      <c r="T36" s="506"/>
      <c r="U36" s="1696"/>
      <c r="V36" s="1696"/>
      <c r="W36" s="1694"/>
      <c r="X36" s="654"/>
      <c r="Y36" s="506"/>
      <c r="Z36" s="506"/>
      <c r="AA36" s="506"/>
      <c r="AB36" s="506"/>
      <c r="AC36" s="312"/>
      <c r="AD36" s="506"/>
      <c r="AE36" s="312"/>
      <c r="AF36" s="506"/>
      <c r="AG36" s="506"/>
      <c r="AH36" s="1694"/>
    </row>
    <row r="37" spans="1:36">
      <c r="A37" s="131" t="s">
        <v>1179</v>
      </c>
      <c r="B37" s="912">
        <v>0</v>
      </c>
      <c r="C37" s="913"/>
      <c r="D37" s="911"/>
      <c r="E37" s="914"/>
      <c r="F37" s="911">
        <f>SUM(C37:E37)</f>
        <v>0</v>
      </c>
      <c r="G37" s="911"/>
      <c r="H37" s="911">
        <f>F37+G37</f>
        <v>0</v>
      </c>
      <c r="I37" s="911"/>
      <c r="J37" s="911">
        <f>H37+I37</f>
        <v>0</v>
      </c>
      <c r="K37" s="911"/>
      <c r="L37" s="1692">
        <f>J37-K37+B37</f>
        <v>0</v>
      </c>
      <c r="M37" s="97">
        <v>70</v>
      </c>
      <c r="N37" s="2"/>
      <c r="O37" s="2"/>
      <c r="P37" s="312">
        <f>SUM(M37:O37)</f>
        <v>70</v>
      </c>
      <c r="Q37" s="506"/>
      <c r="R37" s="312">
        <f>P37+Q37</f>
        <v>70</v>
      </c>
      <c r="S37" s="312"/>
      <c r="T37" s="312">
        <f>R37+S37</f>
        <v>70</v>
      </c>
      <c r="U37" s="1696">
        <f>L37</f>
        <v>0</v>
      </c>
      <c r="V37" s="1696">
        <f>T37*100%</f>
        <v>70</v>
      </c>
      <c r="W37" s="1694">
        <f>T37-U37-V37+L37</f>
        <v>0</v>
      </c>
      <c r="X37" s="97">
        <v>90</v>
      </c>
      <c r="Y37" s="2"/>
      <c r="Z37" s="2"/>
      <c r="AA37" s="2">
        <f>SUM(X37:Z37)</f>
        <v>90</v>
      </c>
      <c r="AB37" s="506"/>
      <c r="AC37" s="312">
        <f>AA37+AB37</f>
        <v>90</v>
      </c>
      <c r="AD37" s="506"/>
      <c r="AE37" s="312">
        <f>AC37+AD37</f>
        <v>90</v>
      </c>
      <c r="AF37" s="312">
        <f>W37</f>
        <v>0</v>
      </c>
      <c r="AG37" s="312">
        <f>AE37*100%</f>
        <v>90</v>
      </c>
      <c r="AH37" s="1694">
        <f>AE37-AF37-AG37+W37</f>
        <v>0</v>
      </c>
      <c r="AI37">
        <f>V37/T37*100</f>
        <v>100</v>
      </c>
      <c r="AJ37">
        <f t="shared" si="11"/>
        <v>100</v>
      </c>
    </row>
    <row r="38" spans="1:36">
      <c r="A38" s="131" t="s">
        <v>1173</v>
      </c>
      <c r="B38" s="912">
        <v>0</v>
      </c>
      <c r="C38" s="913"/>
      <c r="D38" s="914"/>
      <c r="E38" s="914"/>
      <c r="F38" s="911">
        <f>SUM(C38:E38)</f>
        <v>0</v>
      </c>
      <c r="G38" s="911"/>
      <c r="H38" s="911">
        <f>F38+G38</f>
        <v>0</v>
      </c>
      <c r="I38" s="911"/>
      <c r="J38" s="911">
        <f>H38+I38</f>
        <v>0</v>
      </c>
      <c r="K38" s="911"/>
      <c r="L38" s="1692">
        <f>J38-K38+B38</f>
        <v>0</v>
      </c>
      <c r="M38" s="97">
        <v>20</v>
      </c>
      <c r="N38" s="2"/>
      <c r="O38" s="2"/>
      <c r="P38" s="312">
        <f>SUM(M38:O38)</f>
        <v>20</v>
      </c>
      <c r="Q38" s="506"/>
      <c r="R38" s="312">
        <f>P38+Q38</f>
        <v>20</v>
      </c>
      <c r="S38" s="312"/>
      <c r="T38" s="312">
        <f>R38+S38</f>
        <v>20</v>
      </c>
      <c r="U38" s="1696">
        <f>L38</f>
        <v>0</v>
      </c>
      <c r="V38" s="1696">
        <f>T38*100%</f>
        <v>20</v>
      </c>
      <c r="W38" s="1694">
        <f>T38-U38-V38+L38</f>
        <v>0</v>
      </c>
      <c r="X38" s="97">
        <v>45</v>
      </c>
      <c r="Y38" s="2"/>
      <c r="Z38" s="2"/>
      <c r="AA38" s="2">
        <f>SUM(X38:Z38)</f>
        <v>45</v>
      </c>
      <c r="AB38" s="506"/>
      <c r="AC38" s="312">
        <f>AA38+AB38</f>
        <v>45</v>
      </c>
      <c r="AD38" s="506"/>
      <c r="AE38" s="312">
        <f>AC38+AD38</f>
        <v>45</v>
      </c>
      <c r="AF38" s="312">
        <f>W38</f>
        <v>0</v>
      </c>
      <c r="AG38" s="312">
        <f>AE38*100%</f>
        <v>45</v>
      </c>
      <c r="AH38" s="1694">
        <f>AE38-AF38-AG38+W38</f>
        <v>0</v>
      </c>
      <c r="AI38">
        <f>V38/T38*100</f>
        <v>100</v>
      </c>
      <c r="AJ38">
        <f t="shared" si="11"/>
        <v>100</v>
      </c>
    </row>
    <row r="39" spans="1:36">
      <c r="A39" s="131" t="s">
        <v>1550</v>
      </c>
      <c r="B39" s="915">
        <v>3.1806000000074164E-3</v>
      </c>
      <c r="C39" s="913"/>
      <c r="D39" s="911"/>
      <c r="E39" s="911"/>
      <c r="F39" s="911">
        <f>SUM(C39:E39)</f>
        <v>0</v>
      </c>
      <c r="G39" s="911"/>
      <c r="H39" s="911">
        <f>F39+G39</f>
        <v>0</v>
      </c>
      <c r="I39" s="911"/>
      <c r="J39" s="911">
        <f>H39+I39</f>
        <v>0</v>
      </c>
      <c r="K39" s="911"/>
      <c r="L39" s="1692">
        <f>J39-K39+B39</f>
        <v>3.1806000000074164E-3</v>
      </c>
      <c r="M39" s="97">
        <v>76</v>
      </c>
      <c r="N39" s="506"/>
      <c r="O39" s="506"/>
      <c r="P39" s="312">
        <f>SUM(M39:O39)</f>
        <v>76</v>
      </c>
      <c r="Q39" s="506"/>
      <c r="R39" s="312">
        <f>P39+Q39</f>
        <v>76</v>
      </c>
      <c r="S39" s="312"/>
      <c r="T39" s="312">
        <f>R39+S39</f>
        <v>76</v>
      </c>
      <c r="U39" s="1696">
        <f>L39</f>
        <v>3.1806000000074164E-3</v>
      </c>
      <c r="V39" s="1696">
        <f>T39*100%</f>
        <v>76</v>
      </c>
      <c r="W39" s="1694">
        <f>T39-U39-V39+L39</f>
        <v>0</v>
      </c>
      <c r="X39" s="1693">
        <v>100</v>
      </c>
      <c r="Y39" s="506"/>
      <c r="Z39" s="506"/>
      <c r="AA39" s="312">
        <f>SUM(X39:Z39)</f>
        <v>100</v>
      </c>
      <c r="AB39" s="506"/>
      <c r="AC39" s="312">
        <f>AA39+AB39</f>
        <v>100</v>
      </c>
      <c r="AD39" s="506"/>
      <c r="AE39" s="312">
        <f>AC39+AD39</f>
        <v>100</v>
      </c>
      <c r="AF39" s="312">
        <f>W39</f>
        <v>0</v>
      </c>
      <c r="AG39" s="312">
        <f>AE39*100%</f>
        <v>100</v>
      </c>
      <c r="AH39" s="1694">
        <f>AE39-AF39-AG39+W39</f>
        <v>0</v>
      </c>
      <c r="AI39">
        <f>V39/T39*100</f>
        <v>100</v>
      </c>
      <c r="AJ39">
        <f t="shared" si="11"/>
        <v>100</v>
      </c>
    </row>
    <row r="40" spans="1:36">
      <c r="A40" s="132" t="s">
        <v>147</v>
      </c>
      <c r="B40" s="97">
        <f>(B11+B12+B35+B37+B38+B39)</f>
        <v>4947.0111005999979</v>
      </c>
      <c r="C40" s="97">
        <f t="shared" ref="C40:AH40" si="23">C11+C12+C35+C37+C38+C39</f>
        <v>33225.40258796847</v>
      </c>
      <c r="D40" s="12">
        <f t="shared" si="23"/>
        <v>2982.4876560000002</v>
      </c>
      <c r="E40" s="12">
        <f t="shared" si="23"/>
        <v>994.16255199999944</v>
      </c>
      <c r="F40" s="12">
        <f t="shared" si="23"/>
        <v>37202.05279596847</v>
      </c>
      <c r="G40" s="12">
        <f t="shared" si="23"/>
        <v>573.45800000000008</v>
      </c>
      <c r="H40" s="12">
        <f t="shared" si="23"/>
        <v>37775.510795968468</v>
      </c>
      <c r="I40" s="12">
        <f t="shared" si="23"/>
        <v>0</v>
      </c>
      <c r="J40" s="12">
        <f t="shared" si="23"/>
        <v>37775.510795968468</v>
      </c>
      <c r="K40" s="12">
        <f t="shared" si="23"/>
        <v>39026.974558468472</v>
      </c>
      <c r="L40" s="12">
        <f>(L11+L12+L35+L37+L38+L39)</f>
        <v>3695.5473380999979</v>
      </c>
      <c r="M40" s="97">
        <f t="shared" ca="1" si="23"/>
        <v>67613.818982863449</v>
      </c>
      <c r="N40" s="12">
        <f t="shared" si="23"/>
        <v>11936.212173000002</v>
      </c>
      <c r="O40" s="12">
        <f t="shared" si="23"/>
        <v>3182.5373910000003</v>
      </c>
      <c r="P40" s="12">
        <f t="shared" ca="1" si="23"/>
        <v>82732.568546863447</v>
      </c>
      <c r="Q40" s="12">
        <f t="shared" si="23"/>
        <v>1896.8374600012612</v>
      </c>
      <c r="R40" s="12">
        <f t="shared" ca="1" si="23"/>
        <v>84629.406006864709</v>
      </c>
      <c r="S40" s="12">
        <f t="shared" ca="1" si="23"/>
        <v>732.09013882838553</v>
      </c>
      <c r="T40" s="12">
        <f t="shared" ca="1" si="23"/>
        <v>85361.496145693091</v>
      </c>
      <c r="U40" s="12">
        <f t="shared" si="23"/>
        <v>22154.285582131528</v>
      </c>
      <c r="V40" s="476">
        <f t="shared" ca="1" si="23"/>
        <v>43432.027670379</v>
      </c>
      <c r="W40" s="12">
        <f t="shared" ca="1" si="23"/>
        <v>23470.73023128257</v>
      </c>
      <c r="X40" s="97">
        <f t="shared" ca="1" si="23"/>
        <v>77514.242891155009</v>
      </c>
      <c r="Y40" s="12">
        <f t="shared" si="23"/>
        <v>9678.697942499999</v>
      </c>
      <c r="Z40" s="12">
        <f t="shared" si="23"/>
        <v>3226.2326475</v>
      </c>
      <c r="AA40" s="12">
        <f t="shared" ca="1" si="23"/>
        <v>88123.423481155012</v>
      </c>
      <c r="AB40" s="12">
        <f t="shared" si="23"/>
        <v>2566.5468943999999</v>
      </c>
      <c r="AC40" s="12">
        <f t="shared" ca="1" si="23"/>
        <v>90689.970375555</v>
      </c>
      <c r="AD40" s="12">
        <f t="shared" ca="1" si="23"/>
        <v>1758.5544598578897</v>
      </c>
      <c r="AE40" s="12">
        <f t="shared" ca="1" si="23"/>
        <v>92448.5248354129</v>
      </c>
      <c r="AF40" s="12">
        <f t="shared" ca="1" si="23"/>
        <v>23470.73023128257</v>
      </c>
      <c r="AG40" s="12">
        <f t="shared" ca="1" si="23"/>
        <v>58258.921513212888</v>
      </c>
      <c r="AH40" s="95">
        <f t="shared" ca="1" si="23"/>
        <v>34189.603322199997</v>
      </c>
      <c r="AJ40" s="305">
        <f t="shared" ca="1" si="11"/>
        <v>63.017686455172615</v>
      </c>
    </row>
    <row r="41" spans="1:36">
      <c r="A41" s="1700"/>
      <c r="B41" s="1688"/>
      <c r="C41" s="1693"/>
      <c r="D41" s="312"/>
      <c r="E41" s="312"/>
      <c r="F41" s="312"/>
      <c r="G41" s="312"/>
      <c r="H41" s="312"/>
      <c r="I41" s="312"/>
      <c r="J41" s="312"/>
      <c r="K41" s="312"/>
      <c r="L41" s="1694"/>
      <c r="M41" s="1693"/>
      <c r="N41" s="506"/>
      <c r="O41" s="506"/>
      <c r="P41" s="312"/>
      <c r="Q41" s="312"/>
      <c r="R41" s="312"/>
      <c r="S41" s="506"/>
      <c r="T41" s="506"/>
      <c r="U41" s="506"/>
      <c r="V41" s="506"/>
      <c r="W41" s="1694"/>
      <c r="X41" s="1693"/>
      <c r="Y41" s="506"/>
      <c r="Z41" s="506"/>
      <c r="AA41" s="506"/>
      <c r="AB41" s="312"/>
      <c r="AC41" s="312"/>
      <c r="AD41" s="506"/>
      <c r="AE41" s="312"/>
      <c r="AF41" s="506"/>
      <c r="AG41" s="506"/>
      <c r="AH41" s="1694"/>
    </row>
    <row r="42" spans="1:36">
      <c r="A42" s="1700" t="s">
        <v>1551</v>
      </c>
      <c r="B42" s="915">
        <v>11.08</v>
      </c>
      <c r="C42" s="913"/>
      <c r="D42" s="911"/>
      <c r="E42" s="911"/>
      <c r="F42" s="911"/>
      <c r="G42" s="911"/>
      <c r="H42" s="911"/>
      <c r="I42" s="911"/>
      <c r="J42" s="911"/>
      <c r="K42" s="911"/>
      <c r="L42" s="1692">
        <f>628.3933</f>
        <v>628.39329999999995</v>
      </c>
      <c r="M42" s="654"/>
      <c r="N42" s="506"/>
      <c r="O42" s="506"/>
      <c r="P42" s="312"/>
      <c r="Q42" s="506"/>
      <c r="R42" s="506"/>
      <c r="S42" s="506"/>
      <c r="T42" s="506"/>
      <c r="U42" s="506"/>
      <c r="V42" s="506"/>
      <c r="W42" s="1701">
        <v>515</v>
      </c>
      <c r="X42" s="654"/>
      <c r="Y42" s="506"/>
      <c r="Z42" s="506"/>
      <c r="AA42" s="506"/>
      <c r="AB42" s="506"/>
      <c r="AC42" s="506"/>
      <c r="AD42" s="506"/>
      <c r="AE42" s="312"/>
      <c r="AF42" s="506"/>
      <c r="AG42" s="506"/>
      <c r="AH42" s="1701">
        <v>650</v>
      </c>
    </row>
    <row r="43" spans="1:36">
      <c r="A43" s="1700" t="s">
        <v>1552</v>
      </c>
      <c r="B43" s="1692">
        <v>6639.78</v>
      </c>
      <c r="C43" s="913"/>
      <c r="D43" s="911"/>
      <c r="E43" s="911"/>
      <c r="F43" s="911"/>
      <c r="G43" s="911"/>
      <c r="H43" s="911"/>
      <c r="I43" s="911"/>
      <c r="J43" s="911"/>
      <c r="K43" s="911"/>
      <c r="L43" s="1692">
        <f>5024*0+3877.95398</f>
        <v>3877.9539799999998</v>
      </c>
      <c r="M43" s="654"/>
      <c r="N43" s="506"/>
      <c r="O43" s="506"/>
      <c r="P43" s="312"/>
      <c r="Q43" s="506"/>
      <c r="R43" s="506"/>
      <c r="S43" s="506"/>
      <c r="T43" s="506"/>
      <c r="U43" s="506"/>
      <c r="V43" s="312"/>
      <c r="W43" s="1701">
        <v>5525</v>
      </c>
      <c r="X43" s="654"/>
      <c r="Y43" s="506"/>
      <c r="Z43" s="506"/>
      <c r="AA43" s="506"/>
      <c r="AB43" s="506"/>
      <c r="AC43" s="506"/>
      <c r="AD43" s="506"/>
      <c r="AE43" s="312"/>
      <c r="AF43" s="506"/>
      <c r="AG43" s="506"/>
      <c r="AH43" s="1701">
        <v>6020</v>
      </c>
    </row>
    <row r="44" spans="1:36">
      <c r="A44" s="654"/>
      <c r="B44" s="1688"/>
      <c r="C44" s="1693"/>
      <c r="D44" s="312"/>
      <c r="E44" s="312"/>
      <c r="F44" s="312"/>
      <c r="G44" s="312"/>
      <c r="H44" s="312"/>
      <c r="I44" s="312"/>
      <c r="J44" s="312"/>
      <c r="K44" s="312"/>
      <c r="L44" s="1692"/>
      <c r="M44" s="654"/>
      <c r="N44" s="506"/>
      <c r="O44" s="506"/>
      <c r="P44" s="312"/>
      <c r="Q44" s="506"/>
      <c r="R44" s="506"/>
      <c r="S44" s="506"/>
      <c r="T44" s="506"/>
      <c r="U44" s="506"/>
      <c r="V44" s="506"/>
      <c r="W44" s="1702"/>
      <c r="X44" s="654"/>
      <c r="Y44" s="506"/>
      <c r="Z44" s="506"/>
      <c r="AA44" s="506"/>
      <c r="AB44" s="506"/>
      <c r="AC44" s="506"/>
      <c r="AD44" s="506"/>
      <c r="AE44" s="312"/>
      <c r="AF44" s="506"/>
      <c r="AG44" s="506"/>
      <c r="AH44" s="1702"/>
    </row>
    <row r="45" spans="1:36" ht="13.5" thickBot="1">
      <c r="A45" s="130" t="s">
        <v>1553</v>
      </c>
      <c r="B45" s="508">
        <f>B42+B40+B43</f>
        <v>11597.871100599998</v>
      </c>
      <c r="C45" s="477">
        <f t="shared" ref="C45:I45" si="24">C42+C40</f>
        <v>33225.40258796847</v>
      </c>
      <c r="D45" s="450">
        <f t="shared" si="24"/>
        <v>2982.4876560000002</v>
      </c>
      <c r="E45" s="450">
        <f t="shared" si="24"/>
        <v>994.16255199999944</v>
      </c>
      <c r="F45" s="450">
        <f t="shared" si="24"/>
        <v>37202.05279596847</v>
      </c>
      <c r="G45" s="450">
        <f t="shared" si="24"/>
        <v>573.45800000000008</v>
      </c>
      <c r="H45" s="450">
        <f t="shared" si="24"/>
        <v>37775.510795968468</v>
      </c>
      <c r="I45" s="450">
        <f t="shared" si="24"/>
        <v>0</v>
      </c>
      <c r="J45" s="450">
        <f>J42+J40</f>
        <v>37775.510795968468</v>
      </c>
      <c r="K45" s="450">
        <f>K42+K40</f>
        <v>39026.974558468472</v>
      </c>
      <c r="L45" s="451">
        <f>(L42+L40+L43+L44)</f>
        <v>8201.8946180999974</v>
      </c>
      <c r="M45" s="477">
        <f t="shared" ref="M45:V45" ca="1" si="25">M42+M40</f>
        <v>67613.818982863449</v>
      </c>
      <c r="N45" s="450">
        <f t="shared" si="25"/>
        <v>11936.212173000002</v>
      </c>
      <c r="O45" s="450">
        <f t="shared" si="25"/>
        <v>3182.5373910000003</v>
      </c>
      <c r="P45" s="450">
        <f t="shared" ca="1" si="25"/>
        <v>82732.568546863447</v>
      </c>
      <c r="Q45" s="450">
        <f t="shared" si="25"/>
        <v>1896.8374600012612</v>
      </c>
      <c r="R45" s="450">
        <f t="shared" ca="1" si="25"/>
        <v>84629.406006864709</v>
      </c>
      <c r="S45" s="450">
        <f t="shared" ca="1" si="25"/>
        <v>732.09013882838553</v>
      </c>
      <c r="T45" s="450">
        <f t="shared" ca="1" si="25"/>
        <v>85361.496145693091</v>
      </c>
      <c r="U45" s="450">
        <f t="shared" si="25"/>
        <v>22154.285582131528</v>
      </c>
      <c r="V45" s="450">
        <f t="shared" ca="1" si="25"/>
        <v>43432.027670379</v>
      </c>
      <c r="W45" s="451">
        <f ca="1">W42+W40+W43</f>
        <v>29510.73023128257</v>
      </c>
      <c r="X45" s="477">
        <f t="shared" ref="X45:AG45" ca="1" si="26">X42+X40</f>
        <v>77514.242891155009</v>
      </c>
      <c r="Y45" s="450">
        <f t="shared" si="26"/>
        <v>9678.697942499999</v>
      </c>
      <c r="Z45" s="450">
        <f t="shared" si="26"/>
        <v>3226.2326475</v>
      </c>
      <c r="AA45" s="450">
        <f t="shared" ca="1" si="26"/>
        <v>88123.423481155012</v>
      </c>
      <c r="AB45" s="450">
        <f t="shared" si="26"/>
        <v>2566.5468943999999</v>
      </c>
      <c r="AC45" s="450">
        <f t="shared" ca="1" si="26"/>
        <v>90689.970375555</v>
      </c>
      <c r="AD45" s="450">
        <f t="shared" ca="1" si="26"/>
        <v>1758.5544598578897</v>
      </c>
      <c r="AE45" s="450">
        <f t="shared" ca="1" si="26"/>
        <v>92448.5248354129</v>
      </c>
      <c r="AF45" s="450">
        <f t="shared" ca="1" si="26"/>
        <v>23470.73023128257</v>
      </c>
      <c r="AG45" s="450">
        <f t="shared" ca="1" si="26"/>
        <v>58258.921513212888</v>
      </c>
      <c r="AH45" s="451">
        <f ca="1">AH42+AH40+AH43</f>
        <v>40859.603322199997</v>
      </c>
    </row>
    <row r="46" spans="1:36">
      <c r="B46" s="7"/>
      <c r="J46" s="7"/>
      <c r="K46" s="7"/>
      <c r="L46" s="7"/>
      <c r="T46" s="7"/>
      <c r="W46" s="7"/>
    </row>
    <row r="47" spans="1:36">
      <c r="B47" s="7"/>
      <c r="H47" s="7"/>
      <c r="J47" s="7"/>
      <c r="K47" s="7"/>
      <c r="L47" s="7"/>
      <c r="P47" s="7"/>
      <c r="T47" s="7"/>
    </row>
    <row r="48" spans="1:36">
      <c r="B48" s="7"/>
      <c r="E48" s="9">
        <v>369544140.79000044</v>
      </c>
      <c r="J48" s="7">
        <f>23528.72495-21513.14</f>
        <v>2015.5849500000004</v>
      </c>
      <c r="K48" s="7"/>
      <c r="L48" s="2" t="s">
        <v>1554</v>
      </c>
      <c r="M48" s="30" t="s">
        <v>1555</v>
      </c>
      <c r="N48" s="30" t="s">
        <v>1556</v>
      </c>
      <c r="O48" s="30" t="s">
        <v>1557</v>
      </c>
      <c r="P48" s="2" t="s">
        <v>1558</v>
      </c>
      <c r="Q48" s="2" t="s">
        <v>1559</v>
      </c>
      <c r="R48" s="2" t="s">
        <v>1560</v>
      </c>
      <c r="U48" s="9"/>
      <c r="V48" s="7">
        <f ca="1">U45+V45</f>
        <v>65586.313252510532</v>
      </c>
      <c r="X48">
        <v>3306.7597831403687</v>
      </c>
    </row>
    <row r="49" spans="2:24">
      <c r="B49" s="7"/>
      <c r="E49" s="9">
        <v>387795398.25</v>
      </c>
      <c r="K49" s="7"/>
      <c r="L49" t="s">
        <v>1543</v>
      </c>
      <c r="M49" s="452">
        <v>0</v>
      </c>
      <c r="N49" s="452">
        <v>0</v>
      </c>
      <c r="O49" s="452">
        <v>0</v>
      </c>
      <c r="P49" s="452">
        <v>0.05</v>
      </c>
      <c r="U49" s="7"/>
      <c r="V49" s="298">
        <f ca="1">V27</f>
        <v>7622.8824828319157</v>
      </c>
      <c r="X49">
        <v>3014.4420445836104</v>
      </c>
    </row>
    <row r="50" spans="2:24">
      <c r="B50" s="337"/>
      <c r="E50" s="9">
        <v>62839330</v>
      </c>
      <c r="J50" s="7"/>
      <c r="L50" t="s">
        <v>1561</v>
      </c>
      <c r="M50" s="452" t="e">
        <f>C16/F16</f>
        <v>#DIV/0!</v>
      </c>
      <c r="N50" s="452" t="e">
        <f>D16/F16</f>
        <v>#DIV/0!</v>
      </c>
      <c r="O50" s="452" t="e">
        <f>E16/F16</f>
        <v>#DIV/0!</v>
      </c>
      <c r="P50" s="452">
        <v>0.05</v>
      </c>
      <c r="U50" s="7"/>
      <c r="V50" s="7">
        <f ca="1">V48-V49</f>
        <v>57963.430769678613</v>
      </c>
      <c r="X50">
        <v>7509.0709958964735</v>
      </c>
    </row>
    <row r="51" spans="2:24">
      <c r="F51" s="7"/>
      <c r="L51" t="s">
        <v>1544</v>
      </c>
      <c r="M51" s="452">
        <v>0.8</v>
      </c>
      <c r="N51" s="452">
        <v>0.15</v>
      </c>
      <c r="O51" s="452">
        <v>0.05</v>
      </c>
      <c r="P51" s="452">
        <v>0.04</v>
      </c>
      <c r="Q51" s="7">
        <v>373.74781999999999</v>
      </c>
      <c r="R51" s="7">
        <f>730.65295</f>
        <v>730.65295000000003</v>
      </c>
      <c r="V51">
        <v>51684</v>
      </c>
      <c r="X51">
        <v>9113.1569747884168</v>
      </c>
    </row>
    <row r="52" spans="2:24">
      <c r="L52" t="s">
        <v>1562</v>
      </c>
      <c r="M52" s="452">
        <v>0</v>
      </c>
      <c r="N52" s="452">
        <v>0</v>
      </c>
      <c r="O52" s="452">
        <v>0</v>
      </c>
      <c r="P52" s="452">
        <v>0.05</v>
      </c>
      <c r="Q52">
        <v>0</v>
      </c>
      <c r="R52">
        <v>0</v>
      </c>
      <c r="V52" s="7">
        <f ca="1">V50-V51</f>
        <v>6279.4307696786127</v>
      </c>
      <c r="X52">
        <v>7338.528180684878</v>
      </c>
    </row>
    <row r="53" spans="2:24" ht="23.25">
      <c r="K53" s="222" t="s">
        <v>1563</v>
      </c>
      <c r="L53" t="s">
        <v>1564</v>
      </c>
      <c r="M53" s="452">
        <v>0.8</v>
      </c>
      <c r="N53" s="452">
        <v>0.15</v>
      </c>
      <c r="O53" s="452">
        <v>0.05</v>
      </c>
      <c r="P53" s="452">
        <v>0.02</v>
      </c>
      <c r="Q53" s="7">
        <f>M72</f>
        <v>15505</v>
      </c>
      <c r="R53" s="7">
        <f>N72</f>
        <v>12150</v>
      </c>
      <c r="X53">
        <f>SUM(X48:X52)</f>
        <v>30281.95797909375</v>
      </c>
    </row>
    <row r="54" spans="2:24">
      <c r="L54" t="s">
        <v>1565</v>
      </c>
      <c r="M54" s="452">
        <v>0.8</v>
      </c>
      <c r="N54" s="452">
        <v>0.15</v>
      </c>
      <c r="O54" s="452">
        <v>0.05</v>
      </c>
      <c r="P54" s="452">
        <v>0.05</v>
      </c>
    </row>
    <row r="55" spans="2:24">
      <c r="L55" t="s">
        <v>1566</v>
      </c>
      <c r="M55" s="452">
        <v>0</v>
      </c>
      <c r="N55" s="452">
        <v>0</v>
      </c>
      <c r="O55" s="452">
        <v>0</v>
      </c>
      <c r="P55" s="452">
        <v>0.05</v>
      </c>
    </row>
    <row r="56" spans="2:24">
      <c r="L56" t="s">
        <v>1567</v>
      </c>
      <c r="M56" s="452">
        <v>0.8</v>
      </c>
      <c r="N56" s="452">
        <v>0.15</v>
      </c>
      <c r="O56" s="452">
        <v>0.05</v>
      </c>
      <c r="P56" s="452">
        <v>0.05</v>
      </c>
      <c r="Q56" s="7">
        <v>0</v>
      </c>
      <c r="R56">
        <f>N77</f>
        <v>0</v>
      </c>
    </row>
    <row r="57" spans="2:24">
      <c r="L57" t="s">
        <v>1568</v>
      </c>
      <c r="M57" s="452">
        <v>0</v>
      </c>
      <c r="N57" s="452">
        <v>0</v>
      </c>
      <c r="O57" s="452">
        <v>0</v>
      </c>
      <c r="P57" s="452">
        <v>0.05</v>
      </c>
    </row>
    <row r="58" spans="2:24">
      <c r="L58" t="s">
        <v>1569</v>
      </c>
      <c r="M58" s="452">
        <v>0.8</v>
      </c>
      <c r="N58" s="452">
        <v>0.15</v>
      </c>
      <c r="O58" s="452">
        <v>0.05</v>
      </c>
      <c r="P58" s="452">
        <v>0.05</v>
      </c>
      <c r="Q58" s="7">
        <v>0</v>
      </c>
      <c r="R58">
        <v>0</v>
      </c>
    </row>
    <row r="59" spans="2:24">
      <c r="L59" s="506" t="s">
        <v>50</v>
      </c>
      <c r="M59" s="452">
        <v>0.8</v>
      </c>
      <c r="N59" s="452">
        <v>0.15</v>
      </c>
      <c r="O59" s="452">
        <v>0.05</v>
      </c>
      <c r="P59" s="452">
        <v>0.05</v>
      </c>
      <c r="Q59" s="7">
        <v>0</v>
      </c>
      <c r="R59" s="7">
        <v>0</v>
      </c>
    </row>
    <row r="60" spans="2:24">
      <c r="L60" s="3" t="s">
        <v>147</v>
      </c>
      <c r="Q60" s="12">
        <f>SUM(Q49:Q59)</f>
        <v>15878.747820000001</v>
      </c>
      <c r="R60" s="12">
        <f>SUM(R49:R59)</f>
        <v>12880.65295</v>
      </c>
    </row>
    <row r="61" spans="2:24">
      <c r="M61" s="30" t="s">
        <v>851</v>
      </c>
      <c r="N61" s="30" t="s">
        <v>1959</v>
      </c>
    </row>
    <row r="62" spans="2:24" ht="23.25">
      <c r="J62" s="222" t="s">
        <v>1563</v>
      </c>
      <c r="M62" s="223"/>
    </row>
    <row r="63" spans="2:24">
      <c r="K63" t="s">
        <v>1570</v>
      </c>
      <c r="M63" s="223"/>
    </row>
    <row r="64" spans="2:24">
      <c r="M64" s="223"/>
    </row>
    <row r="65" spans="8:19">
      <c r="K65" t="s">
        <v>1571</v>
      </c>
      <c r="M65" s="7">
        <v>5000</v>
      </c>
      <c r="N65" s="7">
        <f>5450</f>
        <v>5450</v>
      </c>
    </row>
    <row r="66" spans="8:19">
      <c r="H66" t="s">
        <v>1572</v>
      </c>
      <c r="I66">
        <f>(81953297+29133197+150158207)/100000</f>
        <v>2612.4470099999999</v>
      </c>
      <c r="K66" t="s">
        <v>1573</v>
      </c>
      <c r="L66" s="7">
        <f>(69945749+1793481+38315000+67504000+49580000+29800000+110000000)/100000</f>
        <v>3669.3823000000002</v>
      </c>
      <c r="M66" s="217">
        <v>605</v>
      </c>
      <c r="N66" s="217">
        <v>0</v>
      </c>
      <c r="O66" t="s">
        <v>1563</v>
      </c>
      <c r="Q66" s="7"/>
      <c r="R66" s="217"/>
      <c r="S66" s="217"/>
    </row>
    <row r="67" spans="8:19">
      <c r="K67" s="506" t="s">
        <v>1574</v>
      </c>
      <c r="L67">
        <f>1548+350</f>
        <v>1898</v>
      </c>
      <c r="M67" s="217">
        <v>1000</v>
      </c>
      <c r="N67" s="217">
        <v>0</v>
      </c>
    </row>
    <row r="68" spans="8:19">
      <c r="H68" t="s">
        <v>1575</v>
      </c>
      <c r="I68">
        <v>7800</v>
      </c>
      <c r="K68" t="s">
        <v>1576</v>
      </c>
      <c r="L68">
        <v>12700</v>
      </c>
      <c r="M68" s="7">
        <v>6200</v>
      </c>
      <c r="N68" s="217">
        <f>12700-6200</f>
        <v>6500</v>
      </c>
      <c r="O68" s="217"/>
    </row>
    <row r="69" spans="8:19">
      <c r="H69" t="s">
        <v>1577</v>
      </c>
      <c r="I69">
        <v>1000</v>
      </c>
      <c r="K69" t="s">
        <v>1578</v>
      </c>
      <c r="L69">
        <v>1049</v>
      </c>
      <c r="M69" s="223">
        <v>2700</v>
      </c>
      <c r="N69" s="223">
        <v>200</v>
      </c>
    </row>
    <row r="70" spans="8:19">
      <c r="K70" t="s">
        <v>1579</v>
      </c>
      <c r="M70" s="223"/>
      <c r="N70" s="223"/>
    </row>
    <row r="71" spans="8:19">
      <c r="K71" t="s">
        <v>1580</v>
      </c>
      <c r="M71" s="223"/>
      <c r="N71" s="223"/>
    </row>
    <row r="72" spans="8:19">
      <c r="M72" s="12">
        <f>SUM(M62:M71)</f>
        <v>15505</v>
      </c>
      <c r="N72" s="12">
        <f>SUM(N62:N71)</f>
        <v>12150</v>
      </c>
    </row>
    <row r="73" spans="8:19">
      <c r="M73" s="2"/>
      <c r="N73" s="12"/>
    </row>
    <row r="78" spans="8:19" ht="18">
      <c r="L78" s="510" t="s">
        <v>1581</v>
      </c>
    </row>
    <row r="79" spans="8:19">
      <c r="K79" s="571" t="s">
        <v>1547</v>
      </c>
      <c r="L79">
        <v>17111</v>
      </c>
      <c r="M79">
        <v>0</v>
      </c>
      <c r="N79" s="7">
        <v>0</v>
      </c>
      <c r="O79" t="s">
        <v>1563</v>
      </c>
    </row>
    <row r="80" spans="8:19">
      <c r="K80" s="570" t="s">
        <v>574</v>
      </c>
      <c r="L80">
        <v>138496</v>
      </c>
      <c r="M80">
        <v>0</v>
      </c>
      <c r="N80">
        <v>0</v>
      </c>
      <c r="O80" t="s">
        <v>1563</v>
      </c>
    </row>
    <row r="81" spans="10:15">
      <c r="K81" s="570" t="s">
        <v>1582</v>
      </c>
      <c r="L81">
        <v>42412</v>
      </c>
      <c r="M81">
        <v>0</v>
      </c>
      <c r="N81">
        <f>(L81-30982-M81)*0</f>
        <v>0</v>
      </c>
      <c r="O81" t="s">
        <v>1563</v>
      </c>
    </row>
    <row r="82" spans="10:15">
      <c r="K82" s="571" t="s">
        <v>1583</v>
      </c>
      <c r="L82">
        <v>4104</v>
      </c>
      <c r="M82" s="223">
        <v>0</v>
      </c>
      <c r="N82" s="501">
        <v>0</v>
      </c>
      <c r="O82" t="s">
        <v>1563</v>
      </c>
    </row>
    <row r="83" spans="10:15">
      <c r="K83" s="570" t="s">
        <v>1584</v>
      </c>
      <c r="L83">
        <v>22445</v>
      </c>
      <c r="M83">
        <v>0</v>
      </c>
      <c r="N83">
        <v>0</v>
      </c>
      <c r="O83" t="s">
        <v>1563</v>
      </c>
    </row>
    <row r="84" spans="10:15">
      <c r="J84" s="9">
        <f>(3613+21639+31302+29193+5632+20634)</f>
        <v>112013</v>
      </c>
      <c r="K84" s="570" t="s">
        <v>572</v>
      </c>
      <c r="L84">
        <v>114592</v>
      </c>
      <c r="M84" s="9">
        <v>0</v>
      </c>
      <c r="N84" s="9">
        <v>0</v>
      </c>
      <c r="O84" t="s">
        <v>1563</v>
      </c>
    </row>
    <row r="85" spans="10:15">
      <c r="K85" s="570" t="s">
        <v>571</v>
      </c>
      <c r="L85">
        <f>2250+2233+2062+2526</f>
        <v>9071</v>
      </c>
      <c r="M85">
        <v>0</v>
      </c>
      <c r="N85">
        <v>0</v>
      </c>
      <c r="O85" t="s">
        <v>1563</v>
      </c>
    </row>
    <row r="86" spans="10:15">
      <c r="K86" s="506" t="s">
        <v>566</v>
      </c>
      <c r="L86">
        <f>19660</f>
        <v>19660</v>
      </c>
      <c r="M86">
        <v>0</v>
      </c>
      <c r="N86">
        <v>0</v>
      </c>
    </row>
    <row r="87" spans="10:15">
      <c r="M87" t="s">
        <v>2287</v>
      </c>
      <c r="N87" t="s">
        <v>851</v>
      </c>
      <c r="O87" t="s">
        <v>1959</v>
      </c>
    </row>
    <row r="88" spans="10:15">
      <c r="K88" s="685" t="s">
        <v>577</v>
      </c>
      <c r="M88" s="7">
        <f>9848-H30</f>
        <v>6685.0191046999998</v>
      </c>
      <c r="N88" s="92">
        <v>5240</v>
      </c>
      <c r="O88" s="92">
        <v>3412</v>
      </c>
    </row>
    <row r="89" spans="10:15">
      <c r="K89" s="685" t="s">
        <v>578</v>
      </c>
      <c r="M89" s="7">
        <f>4248-H31</f>
        <v>2997.9240961</v>
      </c>
      <c r="N89" s="92">
        <v>4680</v>
      </c>
      <c r="O89" s="92">
        <v>16660</v>
      </c>
    </row>
    <row r="90" spans="10:15">
      <c r="K90" s="685" t="s">
        <v>579</v>
      </c>
      <c r="M90" s="7">
        <f>4891-H32</f>
        <v>4574.6794527000002</v>
      </c>
      <c r="N90" s="92">
        <v>11834</v>
      </c>
      <c r="O90" s="92">
        <v>7550</v>
      </c>
    </row>
    <row r="91" spans="10:15">
      <c r="K91" s="685" t="s">
        <v>580</v>
      </c>
      <c r="M91" s="7">
        <f>3971-H33</f>
        <v>2345.42274014542</v>
      </c>
      <c r="N91" s="92">
        <v>14557</v>
      </c>
      <c r="O91" s="92">
        <v>7782</v>
      </c>
    </row>
    <row r="92" spans="10:15">
      <c r="K92" s="685" t="s">
        <v>581</v>
      </c>
      <c r="M92" s="7">
        <f>10355-H34</f>
        <v>1855.6928503861109</v>
      </c>
      <c r="N92" s="92">
        <v>11461</v>
      </c>
      <c r="O92" s="92">
        <v>16240</v>
      </c>
    </row>
    <row r="93" spans="10:15">
      <c r="M93" s="7">
        <f>SUM(M88:M92)</f>
        <v>18458.738244031534</v>
      </c>
    </row>
    <row r="94" spans="10:15">
      <c r="M94" s="7">
        <f>SUM(H30:H34)</f>
        <v>14854.26175596847</v>
      </c>
      <c r="N94" s="30"/>
      <c r="O94" s="30"/>
    </row>
    <row r="95" spans="10:15">
      <c r="M95" s="7">
        <f>M94+M93</f>
        <v>33313</v>
      </c>
    </row>
  </sheetData>
  <mergeCells count="38">
    <mergeCell ref="I5:I7"/>
    <mergeCell ref="C5:C7"/>
    <mergeCell ref="AI5:AI7"/>
    <mergeCell ref="AJ5:AJ7"/>
    <mergeCell ref="V5:V7"/>
    <mergeCell ref="AG5:AG7"/>
    <mergeCell ref="W5:W7"/>
    <mergeCell ref="AC5:AC7"/>
    <mergeCell ref="AE5:AE7"/>
    <mergeCell ref="AF5:AF7"/>
    <mergeCell ref="R5:R7"/>
    <mergeCell ref="S5:S7"/>
    <mergeCell ref="T5:T7"/>
    <mergeCell ref="U5:U7"/>
    <mergeCell ref="B5:B7"/>
    <mergeCell ref="L5:L7"/>
    <mergeCell ref="F5:F7"/>
    <mergeCell ref="H5:H7"/>
    <mergeCell ref="M4:W4"/>
    <mergeCell ref="M5:M7"/>
    <mergeCell ref="N5:N7"/>
    <mergeCell ref="O5:O7"/>
    <mergeCell ref="P5:P7"/>
    <mergeCell ref="Q5:Q7"/>
    <mergeCell ref="C4:L4"/>
    <mergeCell ref="J5:J7"/>
    <mergeCell ref="K5:K7"/>
    <mergeCell ref="D5:D7"/>
    <mergeCell ref="E5:E7"/>
    <mergeCell ref="G5:G7"/>
    <mergeCell ref="X4:AH4"/>
    <mergeCell ref="X5:X7"/>
    <mergeCell ref="Y5:Y7"/>
    <mergeCell ref="Z5:Z7"/>
    <mergeCell ref="AA5:AA7"/>
    <mergeCell ref="AB5:AB7"/>
    <mergeCell ref="AH5:AH7"/>
    <mergeCell ref="AD5:AD7"/>
  </mergeCells>
  <phoneticPr fontId="0" type="noConversion"/>
  <printOptions horizontalCentered="1" gridLines="1"/>
  <pageMargins left="0.23622047244094491" right="0" top="0.74803149606299213" bottom="0.74803149606299213" header="0.51181102362204722" footer="0.51181102362204722"/>
  <pageSetup paperSize="9" scale="85" orientation="landscape" r:id="rId1"/>
  <headerFooter alignWithMargins="0"/>
  <colBreaks count="3" manualBreakCount="3">
    <brk id="12" min="1" max="37" man="1"/>
    <brk id="23" min="1" max="37" man="1"/>
    <brk id="34" min="1" max="37"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X180"/>
  <sheetViews>
    <sheetView view="pageBreakPreview" zoomScale="70" zoomScaleNormal="75" zoomScaleSheetLayoutView="70" workbookViewId="0">
      <pane xSplit="2" ySplit="7" topLeftCell="C76" activePane="bottomRight" state="frozen"/>
      <selection activeCell="B78" sqref="B78"/>
      <selection pane="topRight" activeCell="B78" sqref="B78"/>
      <selection pane="bottomLeft" activeCell="B78" sqref="B78"/>
      <selection pane="bottomRight" activeCell="B78" sqref="B78"/>
    </sheetView>
  </sheetViews>
  <sheetFormatPr defaultColWidth="14.7109375" defaultRowHeight="25.5"/>
  <cols>
    <col min="1" max="1" width="6.42578125" style="38" customWidth="1"/>
    <col min="2" max="2" width="34.7109375" style="38" customWidth="1"/>
    <col min="3" max="3" width="12.5703125" style="64" customWidth="1"/>
    <col min="4" max="4" width="10.7109375" style="38" customWidth="1"/>
    <col min="5" max="5" width="10.5703125" style="38" customWidth="1"/>
    <col min="6" max="6" width="10.85546875" style="38" customWidth="1"/>
    <col min="7" max="7" width="10.28515625" style="38" customWidth="1"/>
    <col min="8" max="8" width="10.85546875" style="38" customWidth="1"/>
    <col min="9" max="9" width="11.5703125" style="38" bestFit="1" customWidth="1"/>
    <col min="10" max="10" width="13.85546875" style="38" customWidth="1"/>
    <col min="11" max="11" width="13.5703125" style="38" customWidth="1"/>
    <col min="12" max="12" width="13.42578125" style="38" customWidth="1"/>
    <col min="13" max="13" width="13.7109375" style="38" customWidth="1"/>
    <col min="14" max="14" width="14.7109375" style="218" customWidth="1"/>
    <col min="15" max="15" width="14.7109375" style="928"/>
    <col min="16" max="16384" width="14.7109375" style="38"/>
  </cols>
  <sheetData>
    <row r="1" spans="1:102" ht="16.5" customHeight="1">
      <c r="B1" s="61" t="s">
        <v>106</v>
      </c>
      <c r="C1" s="398"/>
    </row>
    <row r="2" spans="1:102" ht="21" customHeight="1" thickBot="1">
      <c r="B2" s="426" t="s">
        <v>157</v>
      </c>
      <c r="C2" s="410"/>
      <c r="J2" s="40"/>
      <c r="L2" s="65" t="s">
        <v>158</v>
      </c>
      <c r="M2" s="398"/>
    </row>
    <row r="3" spans="1:102" ht="19.5" customHeight="1">
      <c r="A3" s="1196"/>
      <c r="B3" s="1197"/>
      <c r="C3" s="1785" t="s">
        <v>159</v>
      </c>
      <c r="D3" s="1787" t="s">
        <v>160</v>
      </c>
      <c r="E3" s="1788"/>
      <c r="F3" s="1788"/>
      <c r="G3" s="1788"/>
      <c r="H3" s="1788"/>
      <c r="I3" s="1788"/>
      <c r="J3" s="1788"/>
      <c r="K3" s="1788"/>
      <c r="L3" s="1789"/>
      <c r="M3" s="1790" t="s">
        <v>161</v>
      </c>
    </row>
    <row r="4" spans="1:102" ht="36.75" customHeight="1" thickBot="1">
      <c r="A4" s="1198" t="s">
        <v>2235</v>
      </c>
      <c r="B4" s="1199" t="s">
        <v>791</v>
      </c>
      <c r="C4" s="1786"/>
      <c r="D4" s="1235" t="s">
        <v>162</v>
      </c>
      <c r="E4" s="1200" t="s">
        <v>163</v>
      </c>
      <c r="F4" s="1200" t="s">
        <v>164</v>
      </c>
      <c r="G4" s="1200" t="s">
        <v>165</v>
      </c>
      <c r="H4" s="1200" t="s">
        <v>166</v>
      </c>
      <c r="I4" s="1200" t="s">
        <v>167</v>
      </c>
      <c r="J4" s="1200" t="s">
        <v>168</v>
      </c>
      <c r="K4" s="1200" t="s">
        <v>169</v>
      </c>
      <c r="L4" s="1362" t="s">
        <v>170</v>
      </c>
      <c r="M4" s="1791"/>
      <c r="O4" s="893"/>
      <c r="P4" s="505"/>
      <c r="Q4" s="505"/>
      <c r="R4" s="505"/>
      <c r="S4" s="505"/>
      <c r="T4" s="505"/>
      <c r="U4" s="505"/>
      <c r="V4" s="505"/>
      <c r="W4" s="505"/>
      <c r="X4" s="505"/>
      <c r="Y4" s="505"/>
      <c r="Z4" s="505"/>
      <c r="AA4" s="505"/>
      <c r="AB4" s="505"/>
      <c r="AC4" s="505"/>
      <c r="AD4" s="505"/>
      <c r="AE4" s="505"/>
      <c r="AF4" s="505"/>
      <c r="AG4" s="505"/>
      <c r="AH4" s="505"/>
      <c r="AI4" s="505"/>
      <c r="AJ4" s="505"/>
      <c r="AK4" s="505"/>
      <c r="AL4" s="505"/>
      <c r="AM4" s="505"/>
      <c r="AN4" s="505"/>
      <c r="AO4" s="505"/>
      <c r="AP4" s="505"/>
      <c r="AQ4" s="505"/>
      <c r="AR4" s="505"/>
      <c r="AS4" s="505"/>
      <c r="AT4" s="505"/>
      <c r="AU4" s="505"/>
      <c r="AV4" s="505"/>
      <c r="AW4" s="505"/>
      <c r="AX4" s="505"/>
      <c r="AY4" s="505"/>
      <c r="AZ4" s="505"/>
      <c r="BA4" s="505"/>
      <c r="BB4" s="505"/>
      <c r="BC4" s="505"/>
      <c r="BD4" s="505"/>
      <c r="BE4" s="505"/>
      <c r="BF4" s="505"/>
      <c r="BG4" s="505"/>
      <c r="BH4" s="505"/>
      <c r="BI4" s="505"/>
      <c r="BJ4" s="505"/>
      <c r="BK4" s="505"/>
      <c r="BL4" s="505"/>
      <c r="BM4" s="505"/>
      <c r="BN4" s="505"/>
      <c r="BO4" s="505"/>
      <c r="BP4" s="505"/>
      <c r="BQ4" s="505"/>
      <c r="BR4" s="505"/>
      <c r="BS4" s="505"/>
      <c r="BT4" s="505"/>
      <c r="BU4" s="505"/>
      <c r="BV4" s="505"/>
      <c r="BW4" s="505"/>
      <c r="BX4" s="505"/>
      <c r="BY4" s="505"/>
      <c r="BZ4" s="505"/>
      <c r="CA4" s="505"/>
      <c r="CB4" s="505"/>
      <c r="CC4" s="505"/>
      <c r="CD4" s="505"/>
      <c r="CE4" s="505"/>
      <c r="CF4" s="505"/>
      <c r="CG4" s="505"/>
      <c r="CH4" s="505"/>
      <c r="CI4" s="505"/>
      <c r="CJ4" s="505"/>
      <c r="CK4" s="505"/>
      <c r="CL4" s="505"/>
      <c r="CM4" s="505"/>
      <c r="CN4" s="505"/>
      <c r="CO4" s="505"/>
      <c r="CP4" s="505"/>
      <c r="CQ4" s="505"/>
      <c r="CR4" s="505"/>
      <c r="CS4" s="505"/>
      <c r="CT4" s="505"/>
      <c r="CU4" s="505"/>
      <c r="CV4" s="505"/>
      <c r="CW4" s="505"/>
      <c r="CX4" s="505"/>
    </row>
    <row r="5" spans="1:102">
      <c r="A5" s="1201"/>
      <c r="B5" s="1363" t="s">
        <v>171</v>
      </c>
      <c r="C5" s="1219">
        <f>+'T-1'!G73</f>
        <v>9313.2066041351354</v>
      </c>
      <c r="D5" s="1236">
        <v>978.43448799999987</v>
      </c>
      <c r="E5" s="1195">
        <v>996.15429359999996</v>
      </c>
      <c r="F5" s="1195">
        <v>970.47501099999977</v>
      </c>
      <c r="G5" s="1195">
        <v>1073.1963099999998</v>
      </c>
      <c r="H5" s="1195">
        <v>1103.4421853000001</v>
      </c>
      <c r="I5" s="1195">
        <v>1224.8311890000002</v>
      </c>
      <c r="J5" s="1195">
        <f>SUM(D5:I5)</f>
        <v>6346.5334769000001</v>
      </c>
      <c r="K5" s="1194">
        <f>+J5/6</f>
        <v>1057.7555794833333</v>
      </c>
      <c r="L5" s="1202">
        <f>+'T-1'!N73</f>
        <v>12300</v>
      </c>
      <c r="M5" s="1227">
        <f>+'T-1'!S73</f>
        <v>12800</v>
      </c>
      <c r="O5" s="893"/>
      <c r="P5" s="505"/>
      <c r="Q5" s="505"/>
      <c r="R5" s="505"/>
      <c r="S5" s="505"/>
      <c r="T5" s="505"/>
      <c r="U5" s="505"/>
      <c r="V5" s="505"/>
      <c r="W5" s="505"/>
      <c r="X5" s="505"/>
      <c r="Y5" s="505"/>
      <c r="Z5" s="505"/>
      <c r="AA5" s="505"/>
      <c r="AB5" s="505"/>
      <c r="AC5" s="505"/>
      <c r="AD5" s="505"/>
      <c r="AE5" s="505"/>
      <c r="AF5" s="505"/>
      <c r="AG5" s="505"/>
      <c r="AH5" s="505"/>
      <c r="AI5" s="505"/>
      <c r="AJ5" s="505"/>
      <c r="AK5" s="505"/>
      <c r="AL5" s="505"/>
      <c r="AM5" s="505"/>
      <c r="AN5" s="505"/>
      <c r="AO5" s="505"/>
      <c r="AP5" s="505"/>
      <c r="AQ5" s="505"/>
      <c r="AR5" s="505"/>
      <c r="AS5" s="505"/>
      <c r="AT5" s="505"/>
      <c r="AU5" s="505"/>
      <c r="AV5" s="505"/>
      <c r="AW5" s="505"/>
      <c r="AX5" s="505"/>
      <c r="AY5" s="505"/>
      <c r="AZ5" s="505"/>
      <c r="BA5" s="505"/>
      <c r="BB5" s="505"/>
      <c r="BC5" s="505"/>
      <c r="BD5" s="505"/>
      <c r="BE5" s="505"/>
      <c r="BF5" s="505"/>
      <c r="BG5" s="505"/>
      <c r="BH5" s="505"/>
      <c r="BI5" s="505"/>
      <c r="BJ5" s="505"/>
      <c r="BK5" s="505"/>
      <c r="BL5" s="505"/>
      <c r="BM5" s="505"/>
      <c r="BN5" s="505"/>
      <c r="BO5" s="505"/>
      <c r="BP5" s="505"/>
      <c r="BQ5" s="505"/>
      <c r="BR5" s="505"/>
      <c r="BS5" s="505"/>
      <c r="BT5" s="505"/>
      <c r="BU5" s="505"/>
      <c r="BV5" s="505"/>
      <c r="BW5" s="505"/>
      <c r="BX5" s="505"/>
      <c r="BY5" s="505"/>
      <c r="BZ5" s="505"/>
      <c r="CA5" s="505"/>
      <c r="CB5" s="505"/>
      <c r="CC5" s="505"/>
      <c r="CD5" s="505"/>
      <c r="CE5" s="505"/>
      <c r="CF5" s="505"/>
      <c r="CG5" s="505"/>
      <c r="CH5" s="505"/>
      <c r="CI5" s="505"/>
      <c r="CJ5" s="505"/>
      <c r="CK5" s="505"/>
      <c r="CL5" s="505"/>
      <c r="CM5" s="505"/>
      <c r="CN5" s="505"/>
      <c r="CO5" s="505"/>
      <c r="CP5" s="505"/>
      <c r="CQ5" s="505"/>
      <c r="CR5" s="505"/>
      <c r="CS5" s="505"/>
      <c r="CT5" s="505"/>
      <c r="CU5" s="505"/>
      <c r="CV5" s="505"/>
      <c r="CW5" s="505"/>
      <c r="CX5" s="505"/>
    </row>
    <row r="6" spans="1:102" ht="15.75" customHeight="1">
      <c r="A6" s="1203"/>
      <c r="B6" s="1364" t="s">
        <v>172</v>
      </c>
      <c r="C6" s="1220"/>
      <c r="D6" s="1237"/>
      <c r="E6" s="992"/>
      <c r="F6" s="992"/>
      <c r="G6" s="992"/>
      <c r="H6" s="992"/>
      <c r="I6" s="992"/>
      <c r="J6" s="992"/>
      <c r="K6" s="992"/>
      <c r="L6" s="1238"/>
      <c r="M6" s="1228"/>
      <c r="O6" s="893"/>
      <c r="P6" s="505"/>
      <c r="Q6" s="505"/>
      <c r="R6" s="505"/>
      <c r="S6" s="505"/>
      <c r="T6" s="505"/>
      <c r="U6" s="505"/>
      <c r="V6" s="505"/>
      <c r="W6" s="505"/>
      <c r="X6" s="505"/>
      <c r="Y6" s="505"/>
      <c r="Z6" s="505"/>
      <c r="AA6" s="505"/>
      <c r="AB6" s="505"/>
      <c r="AC6" s="505"/>
      <c r="AD6" s="505"/>
      <c r="AE6" s="505"/>
      <c r="AF6" s="505"/>
      <c r="AG6" s="505"/>
      <c r="AH6" s="505"/>
      <c r="AI6" s="505"/>
      <c r="AJ6" s="505"/>
      <c r="AK6" s="505"/>
      <c r="AL6" s="505"/>
      <c r="AM6" s="505"/>
      <c r="AN6" s="505"/>
      <c r="AO6" s="505"/>
      <c r="AP6" s="505"/>
      <c r="AQ6" s="505"/>
      <c r="AR6" s="505"/>
      <c r="AS6" s="505"/>
      <c r="AT6" s="505"/>
      <c r="AU6" s="505"/>
      <c r="AV6" s="505"/>
      <c r="AW6" s="505"/>
      <c r="AX6" s="505"/>
      <c r="AY6" s="505"/>
      <c r="AZ6" s="505"/>
      <c r="BA6" s="505"/>
      <c r="BB6" s="505"/>
      <c r="BC6" s="505"/>
      <c r="BD6" s="505"/>
      <c r="BE6" s="505"/>
      <c r="BF6" s="505"/>
      <c r="BG6" s="505"/>
      <c r="BH6" s="505"/>
      <c r="BI6" s="505"/>
      <c r="BJ6" s="505"/>
      <c r="BK6" s="505"/>
      <c r="BL6" s="505"/>
      <c r="BM6" s="505"/>
      <c r="BN6" s="505"/>
      <c r="BO6" s="505"/>
      <c r="BP6" s="505"/>
      <c r="BQ6" s="505"/>
      <c r="BR6" s="505"/>
      <c r="BS6" s="505"/>
      <c r="BT6" s="505"/>
      <c r="BU6" s="505"/>
      <c r="BV6" s="505"/>
      <c r="BW6" s="505"/>
      <c r="BX6" s="505"/>
      <c r="BY6" s="505"/>
      <c r="BZ6" s="505"/>
      <c r="CA6" s="505"/>
      <c r="CB6" s="505"/>
      <c r="CC6" s="505"/>
      <c r="CD6" s="505"/>
      <c r="CE6" s="505"/>
      <c r="CF6" s="505"/>
      <c r="CG6" s="505"/>
      <c r="CH6" s="505"/>
      <c r="CI6" s="505"/>
      <c r="CJ6" s="505"/>
      <c r="CK6" s="505"/>
      <c r="CL6" s="505"/>
      <c r="CM6" s="505"/>
      <c r="CN6" s="505"/>
      <c r="CO6" s="505"/>
      <c r="CP6" s="505"/>
      <c r="CQ6" s="505"/>
      <c r="CR6" s="505"/>
      <c r="CS6" s="505"/>
      <c r="CT6" s="505"/>
      <c r="CU6" s="505"/>
      <c r="CV6" s="505"/>
      <c r="CW6" s="505"/>
      <c r="CX6" s="505"/>
    </row>
    <row r="7" spans="1:102" ht="18.75" customHeight="1">
      <c r="A7" s="1204"/>
      <c r="B7" s="399" t="s">
        <v>173</v>
      </c>
      <c r="C7" s="1221"/>
      <c r="D7" s="1239"/>
      <c r="E7" s="994"/>
      <c r="F7" s="995"/>
      <c r="G7" s="995"/>
      <c r="H7" s="995"/>
      <c r="I7" s="995"/>
      <c r="J7" s="993"/>
      <c r="K7" s="993"/>
      <c r="L7" s="1205"/>
      <c r="M7" s="1229"/>
      <c r="O7" s="893"/>
      <c r="P7" s="505"/>
      <c r="Q7" s="505"/>
      <c r="R7" s="505"/>
      <c r="S7" s="505"/>
      <c r="T7" s="505"/>
      <c r="U7" s="505"/>
      <c r="V7" s="505"/>
      <c r="W7" s="505"/>
      <c r="X7" s="505"/>
      <c r="Y7" s="505"/>
      <c r="Z7" s="505"/>
      <c r="AA7" s="505"/>
      <c r="AB7" s="505"/>
      <c r="AC7" s="505"/>
      <c r="AD7" s="505"/>
      <c r="AE7" s="505"/>
      <c r="AF7" s="505"/>
      <c r="AG7" s="505"/>
      <c r="AH7" s="505"/>
      <c r="AI7" s="505"/>
      <c r="AJ7" s="505"/>
      <c r="AK7" s="505"/>
      <c r="AL7" s="505"/>
      <c r="AM7" s="505"/>
      <c r="AN7" s="505"/>
      <c r="AO7" s="505"/>
      <c r="AP7" s="505"/>
      <c r="AQ7" s="505"/>
      <c r="AR7" s="505"/>
      <c r="AS7" s="505"/>
      <c r="AT7" s="505"/>
      <c r="AU7" s="505"/>
      <c r="AV7" s="505"/>
      <c r="AW7" s="505"/>
      <c r="AX7" s="505"/>
      <c r="AY7" s="505"/>
      <c r="AZ7" s="505"/>
      <c r="BA7" s="505"/>
      <c r="BB7" s="505"/>
      <c r="BC7" s="505"/>
      <c r="BD7" s="505"/>
      <c r="BE7" s="505"/>
      <c r="BF7" s="505"/>
      <c r="BG7" s="505"/>
      <c r="BH7" s="505"/>
      <c r="BI7" s="505"/>
      <c r="BJ7" s="505"/>
      <c r="BK7" s="505"/>
      <c r="BL7" s="505"/>
      <c r="BM7" s="505"/>
      <c r="BN7" s="505"/>
      <c r="BO7" s="505"/>
      <c r="BP7" s="505"/>
      <c r="BQ7" s="505"/>
      <c r="BR7" s="505"/>
      <c r="BS7" s="505"/>
      <c r="BT7" s="505"/>
      <c r="BU7" s="505"/>
      <c r="BV7" s="505"/>
      <c r="BW7" s="505"/>
      <c r="BX7" s="505"/>
      <c r="BY7" s="505"/>
      <c r="BZ7" s="505"/>
      <c r="CA7" s="505"/>
      <c r="CB7" s="505"/>
      <c r="CC7" s="505"/>
      <c r="CD7" s="505"/>
      <c r="CE7" s="505"/>
      <c r="CF7" s="505"/>
      <c r="CG7" s="505"/>
      <c r="CH7" s="505"/>
      <c r="CI7" s="505"/>
      <c r="CJ7" s="505"/>
      <c r="CK7" s="505"/>
      <c r="CL7" s="505"/>
      <c r="CM7" s="505"/>
      <c r="CN7" s="505"/>
      <c r="CO7" s="505"/>
      <c r="CP7" s="505"/>
      <c r="CQ7" s="505"/>
      <c r="CR7" s="505"/>
      <c r="CS7" s="505"/>
      <c r="CT7" s="505"/>
      <c r="CU7" s="505"/>
      <c r="CV7" s="505"/>
      <c r="CW7" s="505"/>
      <c r="CX7" s="505"/>
    </row>
    <row r="8" spans="1:102" ht="18.75" customHeight="1">
      <c r="A8" s="1206">
        <v>1</v>
      </c>
      <c r="B8" s="380" t="s">
        <v>174</v>
      </c>
      <c r="C8" s="1222"/>
      <c r="D8" s="1240"/>
      <c r="E8" s="378"/>
      <c r="F8" s="378"/>
      <c r="G8" s="378"/>
      <c r="H8" s="378"/>
      <c r="I8" s="378"/>
      <c r="J8" s="378"/>
      <c r="K8" s="378"/>
      <c r="L8" s="1207"/>
      <c r="M8" s="1230"/>
      <c r="O8" s="893"/>
      <c r="P8" s="505"/>
      <c r="Q8" s="505"/>
      <c r="R8" s="505"/>
      <c r="S8" s="505"/>
      <c r="T8" s="505"/>
      <c r="U8" s="505"/>
      <c r="V8" s="505"/>
      <c r="W8" s="505"/>
      <c r="X8" s="505"/>
      <c r="Y8" s="505"/>
      <c r="Z8" s="505"/>
      <c r="AA8" s="505"/>
      <c r="AB8" s="505"/>
      <c r="AC8" s="505"/>
      <c r="AD8" s="505"/>
      <c r="AE8" s="505"/>
      <c r="AF8" s="505"/>
      <c r="AG8" s="505"/>
      <c r="AH8" s="505"/>
      <c r="AI8" s="505"/>
      <c r="AJ8" s="505"/>
      <c r="AK8" s="505"/>
      <c r="AL8" s="505"/>
      <c r="AM8" s="505"/>
      <c r="AN8" s="505"/>
      <c r="AO8" s="505"/>
      <c r="AP8" s="505"/>
      <c r="AQ8" s="505"/>
      <c r="AR8" s="505"/>
      <c r="AS8" s="505"/>
      <c r="AT8" s="505"/>
      <c r="AU8" s="505"/>
      <c r="AV8" s="505"/>
      <c r="AW8" s="505"/>
      <c r="AX8" s="505"/>
      <c r="AY8" s="505"/>
      <c r="AZ8" s="505"/>
      <c r="BA8" s="505"/>
      <c r="BB8" s="505"/>
      <c r="BC8" s="505"/>
      <c r="BD8" s="505"/>
      <c r="BE8" s="505"/>
      <c r="BF8" s="505"/>
      <c r="BG8" s="505"/>
      <c r="BH8" s="505"/>
      <c r="BI8" s="505"/>
      <c r="BJ8" s="505"/>
      <c r="BK8" s="505"/>
      <c r="BL8" s="505"/>
      <c r="BM8" s="505"/>
      <c r="BN8" s="505"/>
      <c r="BO8" s="505"/>
      <c r="BP8" s="505"/>
      <c r="BQ8" s="505"/>
      <c r="BR8" s="505"/>
      <c r="BS8" s="505"/>
      <c r="BT8" s="505"/>
      <c r="BU8" s="505"/>
      <c r="BV8" s="505"/>
      <c r="BW8" s="505"/>
      <c r="BX8" s="505"/>
      <c r="BY8" s="505"/>
      <c r="BZ8" s="505"/>
      <c r="CA8" s="505"/>
      <c r="CB8" s="505"/>
      <c r="CC8" s="505"/>
      <c r="CD8" s="505"/>
      <c r="CE8" s="505"/>
      <c r="CF8" s="505"/>
      <c r="CG8" s="505"/>
      <c r="CH8" s="505"/>
      <c r="CI8" s="505"/>
      <c r="CJ8" s="505"/>
      <c r="CK8" s="505"/>
      <c r="CL8" s="505"/>
      <c r="CM8" s="505"/>
      <c r="CN8" s="505"/>
      <c r="CO8" s="505"/>
      <c r="CP8" s="505"/>
      <c r="CQ8" s="505"/>
      <c r="CR8" s="505"/>
      <c r="CS8" s="505"/>
      <c r="CT8" s="505"/>
      <c r="CU8" s="505"/>
      <c r="CV8" s="505"/>
      <c r="CW8" s="505"/>
      <c r="CX8" s="505"/>
    </row>
    <row r="9" spans="1:102" ht="18.75" customHeight="1">
      <c r="A9" s="1206" t="s">
        <v>175</v>
      </c>
      <c r="B9" s="380" t="s">
        <v>176</v>
      </c>
      <c r="C9" s="1222">
        <f>+'T-6'!H12</f>
        <v>45.554000000000002</v>
      </c>
      <c r="D9" s="1241">
        <v>2.5941600000000014</v>
      </c>
      <c r="E9" s="991">
        <v>2.0955459999999992</v>
      </c>
      <c r="F9" s="991">
        <v>2.0710169999999986</v>
      </c>
      <c r="G9" s="991">
        <v>1.9214459999999989</v>
      </c>
      <c r="H9" s="991">
        <v>1.8520339999999991</v>
      </c>
      <c r="I9" s="991">
        <v>3.1031700000000009</v>
      </c>
      <c r="J9" s="378">
        <f>'T-6 (six mth)'!H12</f>
        <v>13.637372999999998</v>
      </c>
      <c r="K9" s="378">
        <f>+J9/6</f>
        <v>2.2728954999999997</v>
      </c>
      <c r="L9" s="1208">
        <f>+'T-1'!N14</f>
        <v>26</v>
      </c>
      <c r="M9" s="1231">
        <f>+'T-1'!S14</f>
        <v>30</v>
      </c>
      <c r="N9" s="1365"/>
      <c r="O9" s="929"/>
      <c r="P9" s="505"/>
      <c r="Q9" s="505"/>
      <c r="R9" s="505"/>
      <c r="S9" s="505"/>
      <c r="T9" s="505"/>
      <c r="U9" s="505"/>
      <c r="V9" s="505"/>
      <c r="W9" s="505"/>
      <c r="X9" s="505"/>
      <c r="Y9" s="505"/>
      <c r="Z9" s="505"/>
      <c r="AA9" s="505"/>
      <c r="AB9" s="505"/>
      <c r="AC9" s="505"/>
      <c r="AD9" s="505"/>
      <c r="AE9" s="505"/>
      <c r="AF9" s="505"/>
      <c r="AG9" s="505"/>
      <c r="AH9" s="505"/>
      <c r="AI9" s="505"/>
      <c r="AJ9" s="505"/>
      <c r="AK9" s="505"/>
      <c r="AL9" s="505"/>
      <c r="AM9" s="505"/>
      <c r="AN9" s="505"/>
      <c r="AO9" s="505"/>
      <c r="AP9" s="505"/>
      <c r="AQ9" s="505"/>
      <c r="AR9" s="505"/>
      <c r="AS9" s="505"/>
      <c r="AT9" s="505"/>
      <c r="AU9" s="505"/>
      <c r="AV9" s="505"/>
      <c r="AW9" s="505"/>
      <c r="AX9" s="505"/>
      <c r="AY9" s="505"/>
      <c r="AZ9" s="505"/>
      <c r="BA9" s="505"/>
      <c r="BB9" s="505"/>
      <c r="BC9" s="505"/>
      <c r="BD9" s="505"/>
      <c r="BE9" s="505"/>
      <c r="BF9" s="505"/>
      <c r="BG9" s="505"/>
      <c r="BH9" s="505"/>
      <c r="BI9" s="505"/>
      <c r="BJ9" s="505"/>
      <c r="BK9" s="505"/>
      <c r="BL9" s="505"/>
      <c r="BM9" s="505"/>
      <c r="BN9" s="505"/>
      <c r="BO9" s="505"/>
      <c r="BP9" s="505"/>
      <c r="BQ9" s="505"/>
      <c r="BR9" s="505"/>
      <c r="BS9" s="505"/>
      <c r="BT9" s="505"/>
      <c r="BU9" s="505"/>
      <c r="BV9" s="505"/>
      <c r="BW9" s="505"/>
      <c r="BX9" s="505"/>
      <c r="BY9" s="505"/>
      <c r="BZ9" s="505"/>
      <c r="CA9" s="505"/>
      <c r="CB9" s="505"/>
      <c r="CC9" s="505"/>
      <c r="CD9" s="505"/>
      <c r="CE9" s="505"/>
      <c r="CF9" s="505"/>
      <c r="CG9" s="505"/>
      <c r="CH9" s="505"/>
      <c r="CI9" s="505"/>
      <c r="CJ9" s="505"/>
      <c r="CK9" s="505"/>
      <c r="CL9" s="505"/>
      <c r="CM9" s="505"/>
      <c r="CN9" s="505"/>
      <c r="CO9" s="505"/>
      <c r="CP9" s="505"/>
      <c r="CQ9" s="505"/>
      <c r="CR9" s="505"/>
      <c r="CS9" s="505"/>
      <c r="CT9" s="505"/>
      <c r="CU9" s="505"/>
      <c r="CV9" s="505"/>
      <c r="CW9" s="505"/>
      <c r="CX9" s="505"/>
    </row>
    <row r="10" spans="1:102" ht="18.75" customHeight="1">
      <c r="A10" s="1206" t="s">
        <v>177</v>
      </c>
      <c r="B10" s="380" t="s">
        <v>50</v>
      </c>
      <c r="C10" s="1222"/>
      <c r="D10" s="1240"/>
      <c r="E10" s="378"/>
      <c r="F10" s="378"/>
      <c r="G10" s="378"/>
      <c r="H10" s="378"/>
      <c r="I10" s="378"/>
      <c r="J10" s="378"/>
      <c r="K10" s="378"/>
      <c r="L10" s="1208"/>
      <c r="M10" s="1231"/>
      <c r="O10" s="893"/>
      <c r="P10" s="505"/>
      <c r="Q10" s="505"/>
      <c r="R10" s="505"/>
      <c r="S10" s="505"/>
      <c r="T10" s="505"/>
      <c r="U10" s="505"/>
      <c r="V10" s="505"/>
      <c r="W10" s="505"/>
      <c r="X10" s="505"/>
      <c r="Y10" s="505"/>
      <c r="Z10" s="505"/>
      <c r="AA10" s="505"/>
      <c r="AB10" s="505"/>
      <c r="AC10" s="505"/>
      <c r="AD10" s="505"/>
      <c r="AE10" s="505"/>
      <c r="AF10" s="505"/>
      <c r="AG10" s="505"/>
      <c r="AH10" s="505"/>
      <c r="AI10" s="505"/>
      <c r="AJ10" s="505"/>
      <c r="AK10" s="505"/>
      <c r="AL10" s="505"/>
      <c r="AM10" s="505"/>
      <c r="AN10" s="505"/>
      <c r="AO10" s="505"/>
      <c r="AP10" s="505"/>
      <c r="AQ10" s="505"/>
      <c r="AR10" s="505"/>
      <c r="AS10" s="505"/>
      <c r="AT10" s="505"/>
      <c r="AU10" s="505"/>
      <c r="AV10" s="505"/>
      <c r="AW10" s="505"/>
      <c r="AX10" s="505"/>
      <c r="AY10" s="505"/>
      <c r="AZ10" s="505"/>
      <c r="BA10" s="505"/>
      <c r="BB10" s="505"/>
      <c r="BC10" s="505"/>
      <c r="BD10" s="505"/>
      <c r="BE10" s="505"/>
      <c r="BF10" s="505"/>
      <c r="BG10" s="505"/>
      <c r="BH10" s="505"/>
      <c r="BI10" s="505"/>
      <c r="BJ10" s="505"/>
      <c r="BK10" s="505"/>
      <c r="BL10" s="505"/>
      <c r="BM10" s="505"/>
      <c r="BN10" s="505"/>
      <c r="BO10" s="505"/>
      <c r="BP10" s="505"/>
      <c r="BQ10" s="505"/>
      <c r="BR10" s="505"/>
      <c r="BS10" s="505"/>
      <c r="BT10" s="505"/>
      <c r="BU10" s="505"/>
      <c r="BV10" s="505"/>
      <c r="BW10" s="505"/>
      <c r="BX10" s="505"/>
      <c r="BY10" s="505"/>
      <c r="BZ10" s="505"/>
      <c r="CA10" s="505"/>
      <c r="CB10" s="505"/>
      <c r="CC10" s="505"/>
      <c r="CD10" s="505"/>
      <c r="CE10" s="505"/>
      <c r="CF10" s="505"/>
      <c r="CG10" s="505"/>
      <c r="CH10" s="505"/>
      <c r="CI10" s="505"/>
      <c r="CJ10" s="505"/>
      <c r="CK10" s="505"/>
      <c r="CL10" s="505"/>
      <c r="CM10" s="505"/>
      <c r="CN10" s="505"/>
      <c r="CO10" s="505"/>
      <c r="CP10" s="505"/>
      <c r="CQ10" s="505"/>
      <c r="CR10" s="505"/>
      <c r="CS10" s="505"/>
      <c r="CT10" s="505"/>
      <c r="CU10" s="505"/>
      <c r="CV10" s="505"/>
      <c r="CW10" s="505"/>
      <c r="CX10" s="505"/>
    </row>
    <row r="11" spans="1:102" ht="18.75" customHeight="1">
      <c r="A11" s="1206"/>
      <c r="B11" s="380" t="s">
        <v>178</v>
      </c>
      <c r="C11" s="1222">
        <f>+'T-6'!H14</f>
        <v>202.21553669089846</v>
      </c>
      <c r="D11" s="1240"/>
      <c r="E11" s="378"/>
      <c r="F11" s="378"/>
      <c r="G11" s="378"/>
      <c r="H11" s="378"/>
      <c r="I11" s="378"/>
      <c r="J11" s="378">
        <f>'T-6 (six mth)'!H14</f>
        <v>98.769559344578553</v>
      </c>
      <c r="K11" s="378">
        <f>+J11/6</f>
        <v>16.461593224096426</v>
      </c>
      <c r="L11" s="1208">
        <f>+'T-1'!N16</f>
        <v>177.90609977175356</v>
      </c>
      <c r="M11" s="1231">
        <f>+'T-1'!S16</f>
        <v>234.28108676308557</v>
      </c>
      <c r="N11" s="1365"/>
      <c r="O11" s="893"/>
      <c r="P11" s="505"/>
      <c r="Q11" s="505"/>
      <c r="R11" s="505"/>
      <c r="S11" s="505"/>
      <c r="T11" s="505"/>
      <c r="U11" s="505"/>
      <c r="V11" s="505"/>
      <c r="W11" s="505"/>
      <c r="X11" s="505"/>
      <c r="Y11" s="505"/>
      <c r="Z11" s="505"/>
      <c r="AA11" s="505"/>
      <c r="AB11" s="505"/>
      <c r="AC11" s="505"/>
      <c r="AD11" s="505"/>
      <c r="AE11" s="505"/>
      <c r="AF11" s="505"/>
      <c r="AG11" s="505"/>
      <c r="AH11" s="505"/>
      <c r="AI11" s="505"/>
      <c r="AJ11" s="505"/>
      <c r="AK11" s="505"/>
      <c r="AL11" s="505"/>
      <c r="AM11" s="505"/>
      <c r="AN11" s="505"/>
      <c r="AO11" s="505"/>
      <c r="AP11" s="505"/>
      <c r="AQ11" s="505"/>
      <c r="AR11" s="505"/>
      <c r="AS11" s="505"/>
      <c r="AT11" s="505"/>
      <c r="AU11" s="505"/>
      <c r="AV11" s="505"/>
      <c r="AW11" s="505"/>
      <c r="AX11" s="505"/>
      <c r="AY11" s="505"/>
      <c r="AZ11" s="505"/>
      <c r="BA11" s="505"/>
      <c r="BB11" s="505"/>
      <c r="BC11" s="505"/>
      <c r="BD11" s="505"/>
      <c r="BE11" s="505"/>
      <c r="BF11" s="505"/>
      <c r="BG11" s="505"/>
      <c r="BH11" s="505"/>
      <c r="BI11" s="505"/>
      <c r="BJ11" s="505"/>
      <c r="BK11" s="505"/>
      <c r="BL11" s="505"/>
      <c r="BM11" s="505"/>
      <c r="BN11" s="505"/>
      <c r="BO11" s="505"/>
      <c r="BP11" s="505"/>
      <c r="BQ11" s="505"/>
      <c r="BR11" s="505"/>
      <c r="BS11" s="505"/>
      <c r="BT11" s="505"/>
      <c r="BU11" s="505"/>
      <c r="BV11" s="505"/>
      <c r="BW11" s="505"/>
      <c r="BX11" s="505"/>
      <c r="BY11" s="505"/>
      <c r="BZ11" s="505"/>
      <c r="CA11" s="505"/>
      <c r="CB11" s="505"/>
      <c r="CC11" s="505"/>
      <c r="CD11" s="505"/>
      <c r="CE11" s="505"/>
      <c r="CF11" s="505"/>
      <c r="CG11" s="505"/>
      <c r="CH11" s="505"/>
      <c r="CI11" s="505"/>
      <c r="CJ11" s="505"/>
      <c r="CK11" s="505"/>
      <c r="CL11" s="505"/>
      <c r="CM11" s="505"/>
      <c r="CN11" s="505"/>
      <c r="CO11" s="505"/>
      <c r="CP11" s="505"/>
      <c r="CQ11" s="505"/>
      <c r="CR11" s="505"/>
      <c r="CS11" s="505"/>
      <c r="CT11" s="505"/>
      <c r="CU11" s="505"/>
      <c r="CV11" s="505"/>
      <c r="CW11" s="505"/>
      <c r="CX11" s="505"/>
    </row>
    <row r="12" spans="1:102" ht="18.75" customHeight="1">
      <c r="A12" s="1206"/>
      <c r="B12" s="380" t="s">
        <v>53</v>
      </c>
      <c r="C12" s="1222">
        <f>+'T-6'!H15</f>
        <v>679.77886340303871</v>
      </c>
      <c r="D12" s="1240"/>
      <c r="E12" s="378"/>
      <c r="F12" s="378"/>
      <c r="G12" s="378"/>
      <c r="H12" s="378"/>
      <c r="I12" s="378"/>
      <c r="J12" s="378">
        <f>'T-6 (six mth)'!H15</f>
        <v>392.55492581902934</v>
      </c>
      <c r="K12" s="378">
        <f>+J12/6</f>
        <v>65.425820969838227</v>
      </c>
      <c r="L12" s="1208">
        <f>+'T-1'!N17</f>
        <v>707.0793497722226</v>
      </c>
      <c r="M12" s="1231">
        <f>+'T-1'!S17</f>
        <v>802.16095838043941</v>
      </c>
      <c r="N12" s="1365"/>
      <c r="O12" s="893"/>
      <c r="P12" s="505"/>
      <c r="Q12" s="505"/>
      <c r="R12" s="505"/>
      <c r="S12" s="505"/>
      <c r="T12" s="505"/>
      <c r="U12" s="505"/>
      <c r="V12" s="505"/>
      <c r="W12" s="505"/>
      <c r="X12" s="505"/>
      <c r="Y12" s="505"/>
      <c r="Z12" s="505"/>
      <c r="AA12" s="505"/>
      <c r="AB12" s="505"/>
      <c r="AC12" s="505"/>
      <c r="AD12" s="505"/>
      <c r="AE12" s="505"/>
      <c r="AF12" s="505"/>
      <c r="AG12" s="505"/>
      <c r="AH12" s="505"/>
      <c r="AI12" s="505"/>
      <c r="AJ12" s="505"/>
      <c r="AK12" s="505"/>
      <c r="AL12" s="505"/>
      <c r="AM12" s="505"/>
      <c r="AN12" s="505"/>
      <c r="AO12" s="505"/>
      <c r="AP12" s="505"/>
      <c r="AQ12" s="505"/>
      <c r="AR12" s="505"/>
      <c r="AS12" s="505"/>
      <c r="AT12" s="505"/>
      <c r="AU12" s="505"/>
      <c r="AV12" s="505"/>
      <c r="AW12" s="505"/>
      <c r="AX12" s="505"/>
      <c r="AY12" s="505"/>
      <c r="AZ12" s="505"/>
      <c r="BA12" s="505"/>
      <c r="BB12" s="505"/>
      <c r="BC12" s="505"/>
      <c r="BD12" s="505"/>
      <c r="BE12" s="505"/>
      <c r="BF12" s="505"/>
      <c r="BG12" s="505"/>
      <c r="BH12" s="505"/>
      <c r="BI12" s="505"/>
      <c r="BJ12" s="505"/>
      <c r="BK12" s="505"/>
      <c r="BL12" s="505"/>
      <c r="BM12" s="505"/>
      <c r="BN12" s="505"/>
      <c r="BO12" s="505"/>
      <c r="BP12" s="505"/>
      <c r="BQ12" s="505"/>
      <c r="BR12" s="505"/>
      <c r="BS12" s="505"/>
      <c r="BT12" s="505"/>
      <c r="BU12" s="505"/>
      <c r="BV12" s="505"/>
      <c r="BW12" s="505"/>
      <c r="BX12" s="505"/>
      <c r="BY12" s="505"/>
      <c r="BZ12" s="505"/>
      <c r="CA12" s="505"/>
      <c r="CB12" s="505"/>
      <c r="CC12" s="505"/>
      <c r="CD12" s="505"/>
      <c r="CE12" s="505"/>
      <c r="CF12" s="505"/>
      <c r="CG12" s="505"/>
      <c r="CH12" s="505"/>
      <c r="CI12" s="505"/>
      <c r="CJ12" s="505"/>
      <c r="CK12" s="505"/>
      <c r="CL12" s="505"/>
      <c r="CM12" s="505"/>
      <c r="CN12" s="505"/>
      <c r="CO12" s="505"/>
      <c r="CP12" s="505"/>
      <c r="CQ12" s="505"/>
      <c r="CR12" s="505"/>
      <c r="CS12" s="505"/>
      <c r="CT12" s="505"/>
      <c r="CU12" s="505"/>
      <c r="CV12" s="505"/>
      <c r="CW12" s="505"/>
      <c r="CX12" s="505"/>
    </row>
    <row r="13" spans="1:102" ht="18.75" customHeight="1">
      <c r="A13" s="1206"/>
      <c r="B13" s="380" t="s">
        <v>54</v>
      </c>
      <c r="C13" s="1222">
        <f>+'T-6'!H16</f>
        <v>422.08107321732939</v>
      </c>
      <c r="D13" s="1240"/>
      <c r="E13" s="378"/>
      <c r="F13" s="378"/>
      <c r="G13" s="378"/>
      <c r="H13" s="378"/>
      <c r="I13" s="378"/>
      <c r="J13" s="378">
        <f>'T-6 (six mth)'!H16</f>
        <v>263.33051871335692</v>
      </c>
      <c r="K13" s="378">
        <f>+J13/6</f>
        <v>43.888419785559485</v>
      </c>
      <c r="L13" s="1208">
        <f>+'T-1'!N18</f>
        <v>474.31724760182988</v>
      </c>
      <c r="M13" s="1231">
        <f>+'T-1'!S18</f>
        <v>487.97476563639441</v>
      </c>
      <c r="N13" s="1365"/>
      <c r="O13" s="893"/>
      <c r="P13" s="505"/>
      <c r="Q13" s="505"/>
      <c r="R13" s="505"/>
      <c r="S13" s="505"/>
      <c r="T13" s="505"/>
      <c r="U13" s="505"/>
      <c r="V13" s="505"/>
      <c r="W13" s="505"/>
      <c r="X13" s="505"/>
      <c r="Y13" s="505"/>
      <c r="Z13" s="505"/>
      <c r="AA13" s="505"/>
      <c r="AB13" s="505"/>
      <c r="AC13" s="505"/>
      <c r="AD13" s="505"/>
      <c r="AE13" s="505"/>
      <c r="AF13" s="505"/>
      <c r="AG13" s="505"/>
      <c r="AH13" s="505"/>
      <c r="AI13" s="505"/>
      <c r="AJ13" s="505"/>
      <c r="AK13" s="505"/>
      <c r="AL13" s="505"/>
      <c r="AM13" s="505"/>
      <c r="AN13" s="505"/>
      <c r="AO13" s="505"/>
      <c r="AP13" s="505"/>
      <c r="AQ13" s="505"/>
      <c r="AR13" s="505"/>
      <c r="AS13" s="505"/>
      <c r="AT13" s="505"/>
      <c r="AU13" s="505"/>
      <c r="AV13" s="505"/>
      <c r="AW13" s="505"/>
      <c r="AX13" s="505"/>
      <c r="AY13" s="505"/>
      <c r="AZ13" s="505"/>
      <c r="BA13" s="505"/>
      <c r="BB13" s="505"/>
      <c r="BC13" s="505"/>
      <c r="BD13" s="505"/>
      <c r="BE13" s="505"/>
      <c r="BF13" s="505"/>
      <c r="BG13" s="505"/>
      <c r="BH13" s="505"/>
      <c r="BI13" s="505"/>
      <c r="BJ13" s="505"/>
      <c r="BK13" s="505"/>
      <c r="BL13" s="505"/>
      <c r="BM13" s="505"/>
      <c r="BN13" s="505"/>
      <c r="BO13" s="505"/>
      <c r="BP13" s="505"/>
      <c r="BQ13" s="505"/>
      <c r="BR13" s="505"/>
      <c r="BS13" s="505"/>
      <c r="BT13" s="505"/>
      <c r="BU13" s="505"/>
      <c r="BV13" s="505"/>
      <c r="BW13" s="505"/>
      <c r="BX13" s="505"/>
      <c r="BY13" s="505"/>
      <c r="BZ13" s="505"/>
      <c r="CA13" s="505"/>
      <c r="CB13" s="505"/>
      <c r="CC13" s="505"/>
      <c r="CD13" s="505"/>
      <c r="CE13" s="505"/>
      <c r="CF13" s="505"/>
      <c r="CG13" s="505"/>
      <c r="CH13" s="505"/>
      <c r="CI13" s="505"/>
      <c r="CJ13" s="505"/>
      <c r="CK13" s="505"/>
      <c r="CL13" s="505"/>
      <c r="CM13" s="505"/>
      <c r="CN13" s="505"/>
      <c r="CO13" s="505"/>
      <c r="CP13" s="505"/>
      <c r="CQ13" s="505"/>
      <c r="CR13" s="505"/>
      <c r="CS13" s="505"/>
      <c r="CT13" s="505"/>
      <c r="CU13" s="505"/>
      <c r="CV13" s="505"/>
      <c r="CW13" s="505"/>
      <c r="CX13" s="505"/>
    </row>
    <row r="14" spans="1:102" ht="18.75" customHeight="1">
      <c r="A14" s="1206"/>
      <c r="B14" s="380" t="s">
        <v>55</v>
      </c>
      <c r="C14" s="1222">
        <f>+'T-6'!H17</f>
        <v>479.42052668542442</v>
      </c>
      <c r="D14" s="1240"/>
      <c r="E14" s="378"/>
      <c r="F14" s="378"/>
      <c r="G14" s="378"/>
      <c r="H14" s="378"/>
      <c r="I14" s="378"/>
      <c r="J14" s="378">
        <f>'T-6 (six mth)'!H17</f>
        <v>300.18326752273612</v>
      </c>
      <c r="K14" s="378">
        <f>+J14/6</f>
        <v>50.030544587122684</v>
      </c>
      <c r="L14" s="1208">
        <f>+'T-1'!N19</f>
        <v>549.04730285419407</v>
      </c>
      <c r="M14" s="1231">
        <f>+'T-1'!S19</f>
        <v>559.58318922008027</v>
      </c>
      <c r="N14" s="1365"/>
      <c r="O14" s="893"/>
      <c r="P14" s="505"/>
      <c r="Q14" s="505"/>
      <c r="R14" s="505"/>
      <c r="S14" s="505"/>
      <c r="T14" s="505"/>
      <c r="U14" s="505"/>
      <c r="V14" s="505"/>
      <c r="W14" s="505"/>
      <c r="X14" s="505"/>
      <c r="Y14" s="505"/>
      <c r="Z14" s="505"/>
      <c r="AA14" s="505"/>
      <c r="AB14" s="505"/>
      <c r="AC14" s="505"/>
      <c r="AD14" s="505"/>
      <c r="AE14" s="505"/>
      <c r="AF14" s="505"/>
      <c r="AG14" s="505"/>
      <c r="AH14" s="505"/>
      <c r="AI14" s="505"/>
      <c r="AJ14" s="505"/>
      <c r="AK14" s="505"/>
      <c r="AL14" s="505"/>
      <c r="AM14" s="505"/>
      <c r="AN14" s="505"/>
      <c r="AO14" s="505"/>
      <c r="AP14" s="505"/>
      <c r="AQ14" s="505"/>
      <c r="AR14" s="505"/>
      <c r="AS14" s="505"/>
      <c r="AT14" s="505"/>
      <c r="AU14" s="505"/>
      <c r="AV14" s="505"/>
      <c r="AW14" s="505"/>
      <c r="AX14" s="505"/>
      <c r="AY14" s="505"/>
      <c r="AZ14" s="505"/>
      <c r="BA14" s="505"/>
      <c r="BB14" s="505"/>
      <c r="BC14" s="505"/>
      <c r="BD14" s="505"/>
      <c r="BE14" s="505"/>
      <c r="BF14" s="505"/>
      <c r="BG14" s="505"/>
      <c r="BH14" s="505"/>
      <c r="BI14" s="505"/>
      <c r="BJ14" s="505"/>
      <c r="BK14" s="505"/>
      <c r="BL14" s="505"/>
      <c r="BM14" s="505"/>
      <c r="BN14" s="505"/>
      <c r="BO14" s="505"/>
      <c r="BP14" s="505"/>
      <c r="BQ14" s="505"/>
      <c r="BR14" s="505"/>
      <c r="BS14" s="505"/>
      <c r="BT14" s="505"/>
      <c r="BU14" s="505"/>
      <c r="BV14" s="505"/>
      <c r="BW14" s="505"/>
      <c r="BX14" s="505"/>
      <c r="BY14" s="505"/>
      <c r="BZ14" s="505"/>
      <c r="CA14" s="505"/>
      <c r="CB14" s="505"/>
      <c r="CC14" s="505"/>
      <c r="CD14" s="505"/>
      <c r="CE14" s="505"/>
      <c r="CF14" s="505"/>
      <c r="CG14" s="505"/>
      <c r="CH14" s="505"/>
      <c r="CI14" s="505"/>
      <c r="CJ14" s="505"/>
      <c r="CK14" s="505"/>
      <c r="CL14" s="505"/>
      <c r="CM14" s="505"/>
      <c r="CN14" s="505"/>
      <c r="CO14" s="505"/>
      <c r="CP14" s="505"/>
      <c r="CQ14" s="505"/>
      <c r="CR14" s="505"/>
      <c r="CS14" s="505"/>
      <c r="CT14" s="505"/>
      <c r="CU14" s="505"/>
      <c r="CV14" s="505"/>
      <c r="CW14" s="505"/>
      <c r="CX14" s="505"/>
    </row>
    <row r="15" spans="1:102" ht="18.75" customHeight="1">
      <c r="A15" s="1206"/>
      <c r="B15" s="380"/>
      <c r="C15" s="1222">
        <f>SUM(C11:C14)*0+'T-6'!H18</f>
        <v>1783.4959999966911</v>
      </c>
      <c r="D15" s="1241">
        <v>169.87410761300015</v>
      </c>
      <c r="E15" s="991">
        <v>175.39968626240014</v>
      </c>
      <c r="F15" s="991">
        <v>194.60804707700021</v>
      </c>
      <c r="G15" s="991">
        <v>192.20407411370002</v>
      </c>
      <c r="H15" s="991">
        <v>159.15448692860014</v>
      </c>
      <c r="I15" s="991">
        <v>163.597869605</v>
      </c>
      <c r="J15" s="110">
        <f>'T-6 (six mth)'!H18</f>
        <v>1054.8382713997009</v>
      </c>
      <c r="K15" s="110">
        <f t="shared" ref="K15:M15" si="0">SUM(K11:K14)</f>
        <v>175.80637856661681</v>
      </c>
      <c r="L15" s="1209">
        <f t="shared" si="0"/>
        <v>1908.3500000000004</v>
      </c>
      <c r="M15" s="1232">
        <f t="shared" si="0"/>
        <v>2083.9999999999995</v>
      </c>
      <c r="N15" s="1366"/>
      <c r="O15" s="929"/>
      <c r="P15" s="505"/>
      <c r="Q15" s="505"/>
      <c r="R15" s="505"/>
      <c r="S15" s="505"/>
      <c r="T15" s="505"/>
      <c r="U15" s="505"/>
      <c r="V15" s="505"/>
      <c r="W15" s="505"/>
      <c r="X15" s="505"/>
      <c r="Y15" s="505"/>
      <c r="Z15" s="505"/>
      <c r="AA15" s="505"/>
      <c r="AB15" s="505"/>
      <c r="AC15" s="505"/>
      <c r="AD15" s="505"/>
      <c r="AE15" s="505"/>
      <c r="AF15" s="505"/>
      <c r="AG15" s="505"/>
      <c r="AH15" s="505"/>
      <c r="AI15" s="505"/>
      <c r="AJ15" s="505"/>
      <c r="AK15" s="505"/>
      <c r="AL15" s="505"/>
      <c r="AM15" s="505"/>
      <c r="AN15" s="505"/>
      <c r="AO15" s="505"/>
      <c r="AP15" s="505"/>
      <c r="AQ15" s="505"/>
      <c r="AR15" s="505"/>
      <c r="AS15" s="505"/>
      <c r="AT15" s="505"/>
      <c r="AU15" s="505"/>
      <c r="AV15" s="505"/>
      <c r="AW15" s="505"/>
      <c r="AX15" s="505"/>
      <c r="AY15" s="505"/>
      <c r="AZ15" s="505"/>
      <c r="BA15" s="505"/>
      <c r="BB15" s="505"/>
      <c r="BC15" s="505"/>
      <c r="BD15" s="505"/>
      <c r="BE15" s="505"/>
      <c r="BF15" s="505"/>
      <c r="BG15" s="505"/>
      <c r="BH15" s="505"/>
      <c r="BI15" s="505"/>
      <c r="BJ15" s="505"/>
      <c r="BK15" s="505"/>
      <c r="BL15" s="505"/>
      <c r="BM15" s="505"/>
      <c r="BN15" s="505"/>
      <c r="BO15" s="505"/>
      <c r="BP15" s="505"/>
      <c r="BQ15" s="505"/>
      <c r="BR15" s="505"/>
      <c r="BS15" s="505"/>
      <c r="BT15" s="505"/>
      <c r="BU15" s="505"/>
      <c r="BV15" s="505"/>
      <c r="BW15" s="505"/>
      <c r="BX15" s="505"/>
      <c r="BY15" s="505"/>
      <c r="BZ15" s="505"/>
      <c r="CA15" s="505"/>
      <c r="CB15" s="505"/>
      <c r="CC15" s="505"/>
      <c r="CD15" s="505"/>
      <c r="CE15" s="505"/>
      <c r="CF15" s="505"/>
      <c r="CG15" s="505"/>
      <c r="CH15" s="505"/>
      <c r="CI15" s="505"/>
      <c r="CJ15" s="505"/>
      <c r="CK15" s="505"/>
      <c r="CL15" s="505"/>
      <c r="CM15" s="505"/>
      <c r="CN15" s="505"/>
      <c r="CO15" s="505"/>
      <c r="CP15" s="505"/>
      <c r="CQ15" s="505"/>
      <c r="CR15" s="505"/>
      <c r="CS15" s="505"/>
      <c r="CT15" s="505"/>
      <c r="CU15" s="505"/>
      <c r="CV15" s="505"/>
      <c r="CW15" s="505"/>
      <c r="CX15" s="505"/>
    </row>
    <row r="16" spans="1:102" ht="18.75" customHeight="1">
      <c r="A16" s="1206"/>
      <c r="B16" s="62" t="s">
        <v>179</v>
      </c>
      <c r="C16" s="1223">
        <f t="shared" ref="C16:M16" si="1">C15+C9</f>
        <v>1829.0499999966912</v>
      </c>
      <c r="D16" s="1242">
        <f t="shared" si="1"/>
        <v>172.46826761300014</v>
      </c>
      <c r="E16" s="110">
        <f t="shared" si="1"/>
        <v>177.49523226240015</v>
      </c>
      <c r="F16" s="110">
        <f t="shared" si="1"/>
        <v>196.67906407700022</v>
      </c>
      <c r="G16" s="110">
        <f t="shared" si="1"/>
        <v>194.12552011370002</v>
      </c>
      <c r="H16" s="110">
        <f t="shared" si="1"/>
        <v>161.00652092860014</v>
      </c>
      <c r="I16" s="110">
        <f t="shared" si="1"/>
        <v>166.70103960500001</v>
      </c>
      <c r="J16" s="110">
        <f t="shared" si="1"/>
        <v>1068.475644399701</v>
      </c>
      <c r="K16" s="110">
        <f t="shared" si="1"/>
        <v>178.07927406661682</v>
      </c>
      <c r="L16" s="1209">
        <f t="shared" si="1"/>
        <v>1934.3500000000004</v>
      </c>
      <c r="M16" s="1232">
        <f t="shared" si="1"/>
        <v>2113.9999999999995</v>
      </c>
      <c r="N16" s="1365"/>
      <c r="O16" s="929"/>
      <c r="P16" s="505"/>
      <c r="Q16" s="505"/>
      <c r="R16" s="505"/>
      <c r="S16" s="505"/>
      <c r="T16" s="505"/>
      <c r="U16" s="505"/>
      <c r="V16" s="505"/>
      <c r="W16" s="505"/>
      <c r="X16" s="505"/>
      <c r="Y16" s="505"/>
      <c r="Z16" s="505"/>
      <c r="AA16" s="505"/>
      <c r="AB16" s="505"/>
      <c r="AC16" s="505"/>
      <c r="AD16" s="505"/>
      <c r="AE16" s="505"/>
      <c r="AF16" s="505"/>
      <c r="AG16" s="505"/>
      <c r="AH16" s="505"/>
      <c r="AI16" s="505"/>
      <c r="AJ16" s="505"/>
      <c r="AK16" s="505"/>
      <c r="AL16" s="505"/>
      <c r="AM16" s="505"/>
      <c r="AN16" s="505"/>
      <c r="AO16" s="505"/>
      <c r="AP16" s="505"/>
      <c r="AQ16" s="505"/>
      <c r="AR16" s="505"/>
      <c r="AS16" s="505"/>
      <c r="AT16" s="505"/>
      <c r="AU16" s="505"/>
      <c r="AV16" s="505"/>
      <c r="AW16" s="505"/>
      <c r="AX16" s="505"/>
      <c r="AY16" s="505"/>
      <c r="AZ16" s="505"/>
      <c r="BA16" s="505"/>
      <c r="BB16" s="505"/>
      <c r="BC16" s="505"/>
      <c r="BD16" s="505"/>
      <c r="BE16" s="505"/>
      <c r="BF16" s="505"/>
      <c r="BG16" s="505"/>
      <c r="BH16" s="505"/>
      <c r="BI16" s="505"/>
      <c r="BJ16" s="505"/>
      <c r="BK16" s="505"/>
      <c r="BL16" s="505"/>
      <c r="BM16" s="505"/>
      <c r="BN16" s="505"/>
      <c r="BO16" s="505"/>
      <c r="BP16" s="505"/>
      <c r="BQ16" s="505"/>
      <c r="BR16" s="505"/>
      <c r="BS16" s="505"/>
      <c r="BT16" s="505"/>
      <c r="BU16" s="505"/>
      <c r="BV16" s="505"/>
      <c r="BW16" s="505"/>
      <c r="BX16" s="505"/>
      <c r="BY16" s="505"/>
      <c r="BZ16" s="505"/>
      <c r="CA16" s="505"/>
      <c r="CB16" s="505"/>
      <c r="CC16" s="505"/>
      <c r="CD16" s="505"/>
      <c r="CE16" s="505"/>
      <c r="CF16" s="505"/>
      <c r="CG16" s="505"/>
      <c r="CH16" s="505"/>
      <c r="CI16" s="505"/>
      <c r="CJ16" s="505"/>
      <c r="CK16" s="505"/>
      <c r="CL16" s="505"/>
      <c r="CM16" s="505"/>
      <c r="CN16" s="505"/>
      <c r="CO16" s="505"/>
      <c r="CP16" s="505"/>
      <c r="CQ16" s="505"/>
      <c r="CR16" s="505"/>
      <c r="CS16" s="505"/>
      <c r="CT16" s="505"/>
      <c r="CU16" s="505"/>
      <c r="CV16" s="505"/>
      <c r="CW16" s="505"/>
      <c r="CX16" s="505"/>
    </row>
    <row r="17" spans="1:102" ht="18.75" customHeight="1">
      <c r="A17" s="1206">
        <v>2</v>
      </c>
      <c r="B17" s="380" t="s">
        <v>180</v>
      </c>
      <c r="C17" s="1222"/>
      <c r="D17" s="1240"/>
      <c r="E17" s="378"/>
      <c r="F17" s="378"/>
      <c r="G17" s="378"/>
      <c r="H17" s="378"/>
      <c r="I17" s="378"/>
      <c r="J17" s="378"/>
      <c r="K17" s="378"/>
      <c r="L17" s="1208"/>
      <c r="M17" s="1231"/>
      <c r="N17" s="306"/>
      <c r="O17" s="893"/>
      <c r="P17" s="505"/>
      <c r="Q17" s="505"/>
      <c r="R17" s="505"/>
      <c r="S17" s="505"/>
      <c r="T17" s="505"/>
      <c r="U17" s="505"/>
      <c r="V17" s="505"/>
      <c r="W17" s="505"/>
      <c r="X17" s="505"/>
      <c r="Y17" s="505"/>
      <c r="Z17" s="505"/>
      <c r="AA17" s="505"/>
      <c r="AB17" s="505"/>
      <c r="AC17" s="505"/>
      <c r="AD17" s="505"/>
      <c r="AE17" s="505"/>
      <c r="AF17" s="505"/>
      <c r="AG17" s="505"/>
      <c r="AH17" s="505"/>
      <c r="AI17" s="505"/>
      <c r="AJ17" s="505"/>
      <c r="AK17" s="505"/>
      <c r="AL17" s="505"/>
      <c r="AM17" s="505"/>
      <c r="AN17" s="505"/>
      <c r="AO17" s="505"/>
      <c r="AP17" s="505"/>
      <c r="AQ17" s="505"/>
      <c r="AR17" s="505"/>
      <c r="AS17" s="505"/>
      <c r="AT17" s="505"/>
      <c r="AU17" s="505"/>
      <c r="AV17" s="505"/>
      <c r="AW17" s="505"/>
      <c r="AX17" s="505"/>
      <c r="AY17" s="505"/>
      <c r="AZ17" s="505"/>
      <c r="BA17" s="505"/>
      <c r="BB17" s="505"/>
      <c r="BC17" s="505"/>
      <c r="BD17" s="505"/>
      <c r="BE17" s="505"/>
      <c r="BF17" s="505"/>
      <c r="BG17" s="505"/>
      <c r="BH17" s="505"/>
      <c r="BI17" s="505"/>
      <c r="BJ17" s="505"/>
      <c r="BK17" s="505"/>
      <c r="BL17" s="505"/>
      <c r="BM17" s="505"/>
      <c r="BN17" s="505"/>
      <c r="BO17" s="505"/>
      <c r="BP17" s="505"/>
      <c r="BQ17" s="505"/>
      <c r="BR17" s="505"/>
      <c r="BS17" s="505"/>
      <c r="BT17" s="505"/>
      <c r="BU17" s="505"/>
      <c r="BV17" s="505"/>
      <c r="BW17" s="505"/>
      <c r="BX17" s="505"/>
      <c r="BY17" s="505"/>
      <c r="BZ17" s="505"/>
      <c r="CA17" s="505"/>
      <c r="CB17" s="505"/>
      <c r="CC17" s="505"/>
      <c r="CD17" s="505"/>
      <c r="CE17" s="505"/>
      <c r="CF17" s="505"/>
      <c r="CG17" s="505"/>
      <c r="CH17" s="505"/>
      <c r="CI17" s="505"/>
      <c r="CJ17" s="505"/>
      <c r="CK17" s="505"/>
      <c r="CL17" s="505"/>
      <c r="CM17" s="505"/>
      <c r="CN17" s="505"/>
      <c r="CO17" s="505"/>
      <c r="CP17" s="505"/>
      <c r="CQ17" s="505"/>
      <c r="CR17" s="505"/>
      <c r="CS17" s="505"/>
      <c r="CT17" s="505"/>
      <c r="CU17" s="505"/>
      <c r="CV17" s="505"/>
      <c r="CW17" s="505"/>
      <c r="CX17" s="505"/>
    </row>
    <row r="18" spans="1:102" ht="18.75" customHeight="1">
      <c r="A18" s="1206"/>
      <c r="B18" s="380" t="s">
        <v>58</v>
      </c>
      <c r="C18" s="1222"/>
      <c r="D18" s="1240"/>
      <c r="E18" s="378"/>
      <c r="F18" s="378"/>
      <c r="G18" s="378"/>
      <c r="H18" s="378"/>
      <c r="I18" s="378"/>
      <c r="J18" s="378"/>
      <c r="K18" s="378"/>
      <c r="L18" s="1208"/>
      <c r="M18" s="1231"/>
      <c r="N18" s="306"/>
      <c r="O18" s="893"/>
      <c r="P18" s="505"/>
      <c r="Q18" s="505"/>
      <c r="R18" s="505"/>
      <c r="S18" s="505"/>
      <c r="T18" s="505"/>
      <c r="U18" s="505"/>
      <c r="V18" s="505"/>
      <c r="W18" s="505"/>
      <c r="X18" s="505"/>
      <c r="Y18" s="505"/>
      <c r="Z18" s="505"/>
      <c r="AA18" s="505"/>
      <c r="AB18" s="505"/>
      <c r="AC18" s="505"/>
      <c r="AD18" s="505"/>
      <c r="AE18" s="505"/>
      <c r="AF18" s="505"/>
      <c r="AG18" s="505"/>
      <c r="AH18" s="505"/>
      <c r="AI18" s="505"/>
      <c r="AJ18" s="505"/>
      <c r="AK18" s="505"/>
      <c r="AL18" s="505"/>
      <c r="AM18" s="505"/>
      <c r="AN18" s="505"/>
      <c r="AO18" s="505"/>
      <c r="AP18" s="505"/>
      <c r="AQ18" s="505"/>
      <c r="AR18" s="505"/>
      <c r="AS18" s="505"/>
      <c r="AT18" s="505"/>
      <c r="AU18" s="505"/>
      <c r="AV18" s="505"/>
      <c r="AW18" s="505"/>
      <c r="AX18" s="505"/>
      <c r="AY18" s="505"/>
      <c r="AZ18" s="505"/>
      <c r="BA18" s="505"/>
      <c r="BB18" s="505"/>
      <c r="BC18" s="505"/>
      <c r="BD18" s="505"/>
      <c r="BE18" s="505"/>
      <c r="BF18" s="505"/>
      <c r="BG18" s="505"/>
      <c r="BH18" s="505"/>
      <c r="BI18" s="505"/>
      <c r="BJ18" s="505"/>
      <c r="BK18" s="505"/>
      <c r="BL18" s="505"/>
      <c r="BM18" s="505"/>
      <c r="BN18" s="505"/>
      <c r="BO18" s="505"/>
      <c r="BP18" s="505"/>
      <c r="BQ18" s="505"/>
      <c r="BR18" s="505"/>
      <c r="BS18" s="505"/>
      <c r="BT18" s="505"/>
      <c r="BU18" s="505"/>
      <c r="BV18" s="505"/>
      <c r="BW18" s="505"/>
      <c r="BX18" s="505"/>
      <c r="BY18" s="505"/>
      <c r="BZ18" s="505"/>
      <c r="CA18" s="505"/>
      <c r="CB18" s="505"/>
      <c r="CC18" s="505"/>
      <c r="CD18" s="505"/>
      <c r="CE18" s="505"/>
      <c r="CF18" s="505"/>
      <c r="CG18" s="505"/>
      <c r="CH18" s="505"/>
      <c r="CI18" s="505"/>
      <c r="CJ18" s="505"/>
      <c r="CK18" s="505"/>
      <c r="CL18" s="505"/>
      <c r="CM18" s="505"/>
      <c r="CN18" s="505"/>
      <c r="CO18" s="505"/>
      <c r="CP18" s="505"/>
      <c r="CQ18" s="505"/>
      <c r="CR18" s="505"/>
      <c r="CS18" s="505"/>
      <c r="CT18" s="505"/>
      <c r="CU18" s="505"/>
      <c r="CV18" s="505"/>
      <c r="CW18" s="505"/>
      <c r="CX18" s="505"/>
    </row>
    <row r="19" spans="1:102" ht="18.75" customHeight="1">
      <c r="A19" s="1206"/>
      <c r="B19" s="380" t="s">
        <v>59</v>
      </c>
      <c r="C19" s="1222">
        <f>+'T-6'!H22</f>
        <v>20.185625225724465</v>
      </c>
      <c r="D19" s="1240"/>
      <c r="E19" s="378"/>
      <c r="F19" s="378"/>
      <c r="G19" s="378"/>
      <c r="H19" s="378"/>
      <c r="I19" s="378"/>
      <c r="J19" s="378">
        <f>'T-6 (six mth)'!H23</f>
        <v>9.2851830427775113</v>
      </c>
      <c r="K19" s="378">
        <f t="shared" ref="K19:K33" si="2">+J19/6</f>
        <v>1.5475305071295853</v>
      </c>
      <c r="L19" s="1208">
        <f>+'T-1'!N23</f>
        <v>17.624128173881967</v>
      </c>
      <c r="M19" s="1231">
        <f>+'T-1'!S23</f>
        <v>18.211599113011367</v>
      </c>
      <c r="N19" s="1365"/>
      <c r="O19" s="893"/>
      <c r="P19" s="505"/>
      <c r="Q19" s="505"/>
      <c r="R19" s="505"/>
      <c r="S19" s="505"/>
      <c r="T19" s="505"/>
      <c r="U19" s="505"/>
      <c r="V19" s="505"/>
      <c r="W19" s="505"/>
      <c r="X19" s="505"/>
      <c r="Y19" s="505"/>
      <c r="Z19" s="505"/>
      <c r="AA19" s="505"/>
      <c r="AB19" s="505"/>
      <c r="AC19" s="505"/>
      <c r="AD19" s="505"/>
      <c r="AE19" s="505"/>
      <c r="AF19" s="505"/>
      <c r="AG19" s="505"/>
      <c r="AH19" s="505"/>
      <c r="AI19" s="505"/>
      <c r="AJ19" s="505"/>
      <c r="AK19" s="505"/>
      <c r="AL19" s="505"/>
      <c r="AM19" s="505"/>
      <c r="AN19" s="505"/>
      <c r="AO19" s="505"/>
      <c r="AP19" s="505"/>
      <c r="AQ19" s="505"/>
      <c r="AR19" s="505"/>
      <c r="AS19" s="505"/>
      <c r="AT19" s="505"/>
      <c r="AU19" s="505"/>
      <c r="AV19" s="505"/>
      <c r="AW19" s="505"/>
      <c r="AX19" s="505"/>
      <c r="AY19" s="505"/>
      <c r="AZ19" s="505"/>
      <c r="BA19" s="505"/>
      <c r="BB19" s="505"/>
      <c r="BC19" s="505"/>
      <c r="BD19" s="505"/>
      <c r="BE19" s="505"/>
      <c r="BF19" s="505"/>
      <c r="BG19" s="505"/>
      <c r="BH19" s="505"/>
      <c r="BI19" s="505"/>
      <c r="BJ19" s="505"/>
      <c r="BK19" s="505"/>
      <c r="BL19" s="505"/>
      <c r="BM19" s="505"/>
      <c r="BN19" s="505"/>
      <c r="BO19" s="505"/>
      <c r="BP19" s="505"/>
      <c r="BQ19" s="505"/>
      <c r="BR19" s="505"/>
      <c r="BS19" s="505"/>
      <c r="BT19" s="505"/>
      <c r="BU19" s="505"/>
      <c r="BV19" s="505"/>
      <c r="BW19" s="505"/>
      <c r="BX19" s="505"/>
      <c r="BY19" s="505"/>
      <c r="BZ19" s="505"/>
      <c r="CA19" s="505"/>
      <c r="CB19" s="505"/>
      <c r="CC19" s="505"/>
      <c r="CD19" s="505"/>
      <c r="CE19" s="505"/>
      <c r="CF19" s="505"/>
      <c r="CG19" s="505"/>
      <c r="CH19" s="505"/>
      <c r="CI19" s="505"/>
      <c r="CJ19" s="505"/>
      <c r="CK19" s="505"/>
      <c r="CL19" s="505"/>
      <c r="CM19" s="505"/>
      <c r="CN19" s="505"/>
      <c r="CO19" s="505"/>
      <c r="CP19" s="505"/>
      <c r="CQ19" s="505"/>
      <c r="CR19" s="505"/>
      <c r="CS19" s="505"/>
      <c r="CT19" s="505"/>
      <c r="CU19" s="505"/>
      <c r="CV19" s="505"/>
      <c r="CW19" s="505"/>
      <c r="CX19" s="505"/>
    </row>
    <row r="20" spans="1:102" ht="18.75" customHeight="1">
      <c r="A20" s="1206"/>
      <c r="B20" s="380" t="s">
        <v>60</v>
      </c>
      <c r="C20" s="1222">
        <f>+'T-6'!H23</f>
        <v>46.846185285166719</v>
      </c>
      <c r="D20" s="1240"/>
      <c r="E20" s="378"/>
      <c r="F20" s="378"/>
      <c r="G20" s="378"/>
      <c r="H20" s="378"/>
      <c r="I20" s="378"/>
      <c r="J20" s="378">
        <f>'T-6 (six mth)'!H24</f>
        <v>26.650537796502679</v>
      </c>
      <c r="K20" s="378">
        <f t="shared" si="2"/>
        <v>4.4417562994171131</v>
      </c>
      <c r="L20" s="1208">
        <f>+'T-1'!N24</f>
        <v>50.585162604177185</v>
      </c>
      <c r="M20" s="1231">
        <f>+'T-1'!S24</f>
        <v>52.271334690983096</v>
      </c>
      <c r="N20" s="1365"/>
      <c r="O20" s="893"/>
      <c r="P20" s="505"/>
      <c r="Q20" s="505"/>
      <c r="R20" s="505"/>
      <c r="S20" s="505"/>
      <c r="T20" s="505"/>
      <c r="U20" s="505"/>
      <c r="V20" s="505"/>
      <c r="W20" s="505"/>
      <c r="X20" s="505"/>
      <c r="Y20" s="505"/>
      <c r="Z20" s="505"/>
      <c r="AA20" s="505"/>
      <c r="AB20" s="505"/>
      <c r="AC20" s="505"/>
      <c r="AD20" s="505"/>
      <c r="AE20" s="505"/>
      <c r="AF20" s="505"/>
      <c r="AG20" s="505"/>
      <c r="AH20" s="505"/>
      <c r="AI20" s="505"/>
      <c r="AJ20" s="505"/>
      <c r="AK20" s="505"/>
      <c r="AL20" s="505"/>
      <c r="AM20" s="505"/>
      <c r="AN20" s="505"/>
      <c r="AO20" s="505"/>
      <c r="AP20" s="505"/>
      <c r="AQ20" s="505"/>
      <c r="AR20" s="505"/>
      <c r="AS20" s="505"/>
      <c r="AT20" s="505"/>
      <c r="AU20" s="505"/>
      <c r="AV20" s="505"/>
      <c r="AW20" s="505"/>
      <c r="AX20" s="505"/>
      <c r="AY20" s="505"/>
      <c r="AZ20" s="505"/>
      <c r="BA20" s="505"/>
      <c r="BB20" s="505"/>
      <c r="BC20" s="505"/>
      <c r="BD20" s="505"/>
      <c r="BE20" s="505"/>
      <c r="BF20" s="505"/>
      <c r="BG20" s="505"/>
      <c r="BH20" s="505"/>
      <c r="BI20" s="505"/>
      <c r="BJ20" s="505"/>
      <c r="BK20" s="505"/>
      <c r="BL20" s="505"/>
      <c r="BM20" s="505"/>
      <c r="BN20" s="505"/>
      <c r="BO20" s="505"/>
      <c r="BP20" s="505"/>
      <c r="BQ20" s="505"/>
      <c r="BR20" s="505"/>
      <c r="BS20" s="505"/>
      <c r="BT20" s="505"/>
      <c r="BU20" s="505"/>
      <c r="BV20" s="505"/>
      <c r="BW20" s="505"/>
      <c r="BX20" s="505"/>
      <c r="BY20" s="505"/>
      <c r="BZ20" s="505"/>
      <c r="CA20" s="505"/>
      <c r="CB20" s="505"/>
      <c r="CC20" s="505"/>
      <c r="CD20" s="505"/>
      <c r="CE20" s="505"/>
      <c r="CF20" s="505"/>
      <c r="CG20" s="505"/>
      <c r="CH20" s="505"/>
      <c r="CI20" s="505"/>
      <c r="CJ20" s="505"/>
      <c r="CK20" s="505"/>
      <c r="CL20" s="505"/>
      <c r="CM20" s="505"/>
      <c r="CN20" s="505"/>
      <c r="CO20" s="505"/>
      <c r="CP20" s="505"/>
      <c r="CQ20" s="505"/>
      <c r="CR20" s="505"/>
      <c r="CS20" s="505"/>
      <c r="CT20" s="505"/>
      <c r="CU20" s="505"/>
      <c r="CV20" s="505"/>
      <c r="CW20" s="505"/>
      <c r="CX20" s="505"/>
    </row>
    <row r="21" spans="1:102" ht="18.75" customHeight="1">
      <c r="A21" s="1206"/>
      <c r="B21" s="380" t="s">
        <v>61</v>
      </c>
      <c r="C21" s="1222">
        <f>+'T-6'!H24</f>
        <v>311.5231894891088</v>
      </c>
      <c r="D21" s="1240"/>
      <c r="E21" s="378"/>
      <c r="F21" s="378"/>
      <c r="G21" s="378"/>
      <c r="H21" s="378"/>
      <c r="I21" s="378"/>
      <c r="J21" s="378">
        <f>'T-6 (six mth)'!H25</f>
        <v>201.14450962806001</v>
      </c>
      <c r="K21" s="378">
        <f t="shared" si="2"/>
        <v>33.524084938009999</v>
      </c>
      <c r="L21" s="1208">
        <f>+'T-1'!N25</f>
        <v>381.79070922194086</v>
      </c>
      <c r="M21" s="1231">
        <f>+'T-1'!S25</f>
        <v>394.5170661960056</v>
      </c>
      <c r="N21" s="1365"/>
      <c r="O21" s="893"/>
      <c r="P21" s="505"/>
      <c r="Q21" s="505"/>
      <c r="R21" s="505"/>
      <c r="S21" s="505"/>
      <c r="T21" s="505"/>
      <c r="U21" s="505"/>
      <c r="V21" s="505"/>
      <c r="W21" s="505"/>
      <c r="X21" s="505"/>
      <c r="Y21" s="505"/>
      <c r="Z21" s="505"/>
      <c r="AA21" s="505"/>
      <c r="AB21" s="505"/>
      <c r="AC21" s="505"/>
      <c r="AD21" s="505"/>
      <c r="AE21" s="239"/>
      <c r="AF21" s="505"/>
      <c r="AG21" s="505"/>
      <c r="AH21" s="505"/>
      <c r="AI21" s="505"/>
      <c r="AJ21" s="505"/>
      <c r="AK21" s="505"/>
      <c r="AL21" s="505"/>
      <c r="AM21" s="505"/>
      <c r="AN21" s="505"/>
      <c r="AO21" s="505"/>
      <c r="AP21" s="505"/>
      <c r="AQ21" s="505"/>
      <c r="AR21" s="505"/>
      <c r="AS21" s="505"/>
      <c r="AT21" s="505"/>
      <c r="AU21" s="505"/>
      <c r="AV21" s="505"/>
      <c r="AW21" s="505"/>
      <c r="AX21" s="505"/>
      <c r="AY21" s="505"/>
      <c r="AZ21" s="505"/>
      <c r="BA21" s="505"/>
      <c r="BB21" s="505"/>
      <c r="BC21" s="505"/>
      <c r="BD21" s="505"/>
      <c r="BE21" s="505"/>
      <c r="BF21" s="505"/>
      <c r="BG21" s="505"/>
      <c r="BH21" s="505"/>
      <c r="BI21" s="505"/>
      <c r="BJ21" s="505"/>
      <c r="BK21" s="505"/>
      <c r="BL21" s="505"/>
      <c r="BM21" s="505"/>
      <c r="BN21" s="505"/>
      <c r="BO21" s="505"/>
      <c r="BP21" s="505"/>
      <c r="BQ21" s="505"/>
      <c r="BR21" s="505"/>
      <c r="BS21" s="505"/>
      <c r="BT21" s="505"/>
      <c r="BU21" s="505"/>
      <c r="BV21" s="505"/>
      <c r="BW21" s="505"/>
      <c r="BX21" s="505"/>
      <c r="BY21" s="505"/>
      <c r="BZ21" s="505"/>
      <c r="CA21" s="505"/>
      <c r="CB21" s="505"/>
      <c r="CC21" s="505"/>
      <c r="CD21" s="505"/>
      <c r="CE21" s="505"/>
      <c r="CF21" s="505"/>
      <c r="CG21" s="505"/>
      <c r="CH21" s="505"/>
      <c r="CI21" s="505"/>
      <c r="CJ21" s="505"/>
      <c r="CK21" s="505"/>
      <c r="CL21" s="505"/>
      <c r="CM21" s="505"/>
      <c r="CN21" s="505"/>
      <c r="CO21" s="505"/>
      <c r="CP21" s="505"/>
      <c r="CQ21" s="505"/>
      <c r="CR21" s="505"/>
      <c r="CS21" s="505"/>
      <c r="CT21" s="505"/>
      <c r="CU21" s="505"/>
      <c r="CV21" s="505"/>
      <c r="CW21" s="505"/>
      <c r="CX21" s="505"/>
    </row>
    <row r="22" spans="1:102" ht="18.75" customHeight="1">
      <c r="A22" s="1206"/>
      <c r="B22" s="62" t="s">
        <v>181</v>
      </c>
      <c r="C22" s="1223">
        <f>SUM(C19:C21)*0+'T-6'!H25</f>
        <v>378.55517979486996</v>
      </c>
      <c r="D22" s="1243">
        <v>36.943723450900016</v>
      </c>
      <c r="E22" s="990">
        <v>40.433572927600103</v>
      </c>
      <c r="F22" s="990">
        <v>43.653882593179965</v>
      </c>
      <c r="G22" s="990">
        <v>42.791734747119953</v>
      </c>
      <c r="H22" s="990">
        <v>35.920707670420043</v>
      </c>
      <c r="I22" s="990">
        <v>37.336609078120119</v>
      </c>
      <c r="J22" s="110">
        <f>'T-6 (six mth)'!H26</f>
        <v>237.0802304673399</v>
      </c>
      <c r="K22" s="110">
        <f t="shared" ref="K22:M22" si="3">SUM(K19:K21)</f>
        <v>39.5133717445567</v>
      </c>
      <c r="L22" s="1209">
        <f>SUM(L19:L21)</f>
        <v>450</v>
      </c>
      <c r="M22" s="1232">
        <f t="shared" si="3"/>
        <v>465.00000000000006</v>
      </c>
      <c r="N22" s="1365"/>
      <c r="O22" s="929"/>
      <c r="P22" s="505"/>
      <c r="Q22" s="505"/>
      <c r="R22" s="505"/>
      <c r="S22" s="505"/>
      <c r="T22" s="505"/>
      <c r="U22" s="505"/>
      <c r="V22" s="505"/>
      <c r="W22" s="505"/>
      <c r="X22" s="505"/>
      <c r="Y22" s="505"/>
      <c r="Z22" s="505"/>
      <c r="AA22" s="505"/>
      <c r="AB22" s="505"/>
      <c r="AC22" s="505"/>
      <c r="AD22" s="505"/>
      <c r="AE22" s="505"/>
      <c r="AF22" s="505"/>
      <c r="AG22" s="505"/>
      <c r="AH22" s="505"/>
      <c r="AI22" s="505"/>
      <c r="AJ22" s="505"/>
      <c r="AK22" s="505"/>
      <c r="AL22" s="505"/>
      <c r="AM22" s="505"/>
      <c r="AN22" s="505"/>
      <c r="AO22" s="505"/>
      <c r="AP22" s="505"/>
      <c r="AQ22" s="505"/>
      <c r="AR22" s="505"/>
      <c r="AS22" s="505"/>
      <c r="AT22" s="505"/>
      <c r="AU22" s="505"/>
      <c r="AV22" s="505"/>
      <c r="AW22" s="505"/>
      <c r="AX22" s="505"/>
      <c r="AY22" s="505"/>
      <c r="AZ22" s="505"/>
      <c r="BA22" s="505"/>
      <c r="BB22" s="505"/>
      <c r="BC22" s="505"/>
      <c r="BD22" s="505"/>
      <c r="BE22" s="505"/>
      <c r="BF22" s="505"/>
      <c r="BG22" s="505"/>
      <c r="BH22" s="505"/>
      <c r="BI22" s="505"/>
      <c r="BJ22" s="505"/>
      <c r="BK22" s="505"/>
      <c r="BL22" s="505"/>
      <c r="BM22" s="505"/>
      <c r="BN22" s="505"/>
      <c r="BO22" s="505"/>
      <c r="BP22" s="505"/>
      <c r="BQ22" s="505"/>
      <c r="BR22" s="505"/>
      <c r="BS22" s="505"/>
      <c r="BT22" s="505"/>
      <c r="BU22" s="505"/>
      <c r="BV22" s="505"/>
      <c r="BW22" s="505"/>
      <c r="BX22" s="505"/>
      <c r="BY22" s="505"/>
      <c r="BZ22" s="505"/>
      <c r="CA22" s="505"/>
      <c r="CB22" s="505"/>
      <c r="CC22" s="505"/>
      <c r="CD22" s="505"/>
      <c r="CE22" s="505"/>
      <c r="CF22" s="505"/>
      <c r="CG22" s="505"/>
      <c r="CH22" s="505"/>
      <c r="CI22" s="505"/>
      <c r="CJ22" s="505"/>
      <c r="CK22" s="505"/>
      <c r="CL22" s="505"/>
      <c r="CM22" s="505"/>
      <c r="CN22" s="505"/>
      <c r="CO22" s="505"/>
      <c r="CP22" s="505"/>
      <c r="CQ22" s="505"/>
      <c r="CR22" s="505"/>
      <c r="CS22" s="505"/>
      <c r="CT22" s="505"/>
      <c r="CU22" s="505"/>
      <c r="CV22" s="505"/>
      <c r="CW22" s="505"/>
      <c r="CX22" s="505"/>
    </row>
    <row r="23" spans="1:102" ht="18.75" customHeight="1">
      <c r="A23" s="1206">
        <v>3</v>
      </c>
      <c r="B23" s="380" t="s">
        <v>63</v>
      </c>
      <c r="C23" s="1222">
        <f>+'T-6'!H26</f>
        <v>420.245</v>
      </c>
      <c r="D23" s="1241">
        <v>28.836048024000011</v>
      </c>
      <c r="E23" s="991">
        <v>37.562074082200013</v>
      </c>
      <c r="F23" s="991">
        <v>61.069114345559989</v>
      </c>
      <c r="G23" s="991">
        <v>32.489357034000008</v>
      </c>
      <c r="H23" s="991">
        <v>34.382748369679973</v>
      </c>
      <c r="I23" s="991">
        <v>23.583201515120013</v>
      </c>
      <c r="J23" s="378">
        <f>'T-6 (six mth)'!H27</f>
        <v>217.92254337056002</v>
      </c>
      <c r="K23" s="378">
        <f t="shared" si="2"/>
        <v>36.320423895093334</v>
      </c>
      <c r="L23" s="1208">
        <f>+'T-1'!N27</f>
        <v>425</v>
      </c>
      <c r="M23" s="1231">
        <f>+'T-1'!S27</f>
        <v>449.84899999999999</v>
      </c>
      <c r="N23" s="1365"/>
      <c r="O23" s="929"/>
      <c r="P23" s="402"/>
      <c r="Q23" s="402"/>
      <c r="R23" s="402"/>
      <c r="S23" s="505"/>
      <c r="T23" s="505"/>
      <c r="U23" s="505"/>
      <c r="V23" s="505"/>
      <c r="W23" s="505"/>
      <c r="X23" s="505"/>
      <c r="Y23" s="505"/>
      <c r="Z23" s="505"/>
      <c r="AA23" s="505"/>
      <c r="AB23" s="505"/>
      <c r="AC23" s="505"/>
      <c r="AD23" s="505"/>
      <c r="AE23" s="505"/>
      <c r="AF23" s="505"/>
      <c r="AG23" s="505"/>
      <c r="AH23" s="505"/>
      <c r="AI23" s="505"/>
      <c r="AJ23" s="505"/>
      <c r="AK23" s="505"/>
      <c r="AL23" s="505"/>
      <c r="AM23" s="505"/>
      <c r="AN23" s="505"/>
      <c r="AO23" s="505"/>
      <c r="AP23" s="505"/>
      <c r="AQ23" s="505"/>
      <c r="AR23" s="505"/>
      <c r="AS23" s="505"/>
      <c r="AT23" s="505"/>
      <c r="AU23" s="505"/>
      <c r="AV23" s="505"/>
      <c r="AW23" s="505"/>
      <c r="AX23" s="505"/>
      <c r="AY23" s="505"/>
      <c r="AZ23" s="505"/>
      <c r="BA23" s="505"/>
      <c r="BB23" s="505"/>
      <c r="BC23" s="505"/>
      <c r="BD23" s="505"/>
      <c r="BE23" s="505"/>
      <c r="BF23" s="505"/>
      <c r="BG23" s="505"/>
      <c r="BH23" s="505"/>
      <c r="BI23" s="505"/>
      <c r="BJ23" s="505"/>
      <c r="BK23" s="505"/>
      <c r="BL23" s="505"/>
      <c r="BM23" s="505"/>
      <c r="BN23" s="505"/>
      <c r="BO23" s="505"/>
      <c r="BP23" s="505"/>
      <c r="BQ23" s="505"/>
      <c r="BR23" s="505"/>
      <c r="BS23" s="505"/>
      <c r="BT23" s="505"/>
      <c r="BU23" s="505"/>
      <c r="BV23" s="505"/>
      <c r="BW23" s="505"/>
      <c r="BX23" s="505"/>
      <c r="BY23" s="505"/>
      <c r="BZ23" s="505"/>
      <c r="CA23" s="505"/>
      <c r="CB23" s="505"/>
      <c r="CC23" s="505"/>
      <c r="CD23" s="505"/>
      <c r="CE23" s="505"/>
      <c r="CF23" s="505"/>
      <c r="CG23" s="505"/>
      <c r="CH23" s="505"/>
      <c r="CI23" s="505"/>
      <c r="CJ23" s="505"/>
      <c r="CK23" s="505"/>
      <c r="CL23" s="505"/>
      <c r="CM23" s="505"/>
      <c r="CN23" s="505"/>
      <c r="CO23" s="505"/>
      <c r="CP23" s="505"/>
      <c r="CQ23" s="505"/>
      <c r="CR23" s="505"/>
      <c r="CS23" s="505"/>
      <c r="CT23" s="505"/>
      <c r="CU23" s="505"/>
      <c r="CV23" s="505"/>
      <c r="CW23" s="505"/>
      <c r="CX23" s="505"/>
    </row>
    <row r="24" spans="1:102" ht="18.75" customHeight="1">
      <c r="A24" s="1206">
        <v>4</v>
      </c>
      <c r="B24" s="380" t="s">
        <v>64</v>
      </c>
      <c r="C24" s="1222">
        <f>+'T-6'!H27</f>
        <v>6.7868290478100004</v>
      </c>
      <c r="D24" s="1241">
        <v>0.58895734500000008</v>
      </c>
      <c r="E24" s="991">
        <v>0.73048675079999992</v>
      </c>
      <c r="F24" s="991">
        <v>0.81318921395999966</v>
      </c>
      <c r="G24" s="991">
        <v>0.855313043</v>
      </c>
      <c r="H24" s="991">
        <v>0.60967131900000004</v>
      </c>
      <c r="I24" s="991">
        <v>1.3081301439999999</v>
      </c>
      <c r="J24" s="378">
        <f>'T-6 (six mth)'!H28</f>
        <v>4.9057478157600016</v>
      </c>
      <c r="K24" s="378">
        <f t="shared" si="2"/>
        <v>0.81762463596000023</v>
      </c>
      <c r="L24" s="1208">
        <f>+'T-1'!N28</f>
        <v>7</v>
      </c>
      <c r="M24" s="1231">
        <f>+'T-1'!S28</f>
        <v>7.2</v>
      </c>
      <c r="N24" s="1365"/>
      <c r="O24" s="893"/>
      <c r="P24" s="402"/>
      <c r="Q24" s="402"/>
      <c r="R24" s="402"/>
      <c r="S24" s="505"/>
      <c r="T24" s="505"/>
      <c r="U24" s="505"/>
      <c r="V24" s="505"/>
      <c r="W24" s="505"/>
      <c r="X24" s="505"/>
      <c r="Y24" s="505"/>
      <c r="Z24" s="505"/>
      <c r="AA24" s="505"/>
      <c r="AB24" s="505"/>
      <c r="AC24" s="505"/>
      <c r="AD24" s="505"/>
      <c r="AE24" s="505"/>
      <c r="AF24" s="505"/>
      <c r="AG24" s="505"/>
      <c r="AH24" s="505"/>
      <c r="AI24" s="505"/>
      <c r="AJ24" s="505"/>
      <c r="AK24" s="505"/>
      <c r="AL24" s="505"/>
      <c r="AM24" s="505"/>
      <c r="AN24" s="505"/>
      <c r="AO24" s="505"/>
      <c r="AP24" s="505"/>
      <c r="AQ24" s="505"/>
      <c r="AR24" s="505"/>
      <c r="AS24" s="505"/>
      <c r="AT24" s="505"/>
      <c r="AU24" s="505"/>
      <c r="AV24" s="505"/>
      <c r="AW24" s="505"/>
      <c r="AX24" s="505"/>
      <c r="AY24" s="505"/>
      <c r="AZ24" s="505"/>
      <c r="BA24" s="505"/>
      <c r="BB24" s="505"/>
      <c r="BC24" s="505"/>
      <c r="BD24" s="505"/>
      <c r="BE24" s="505"/>
      <c r="BF24" s="505"/>
      <c r="BG24" s="505"/>
      <c r="BH24" s="505"/>
      <c r="BI24" s="505"/>
      <c r="BJ24" s="505"/>
      <c r="BK24" s="505"/>
      <c r="BL24" s="505"/>
      <c r="BM24" s="505"/>
      <c r="BN24" s="505"/>
      <c r="BO24" s="505"/>
      <c r="BP24" s="505"/>
      <c r="BQ24" s="505"/>
      <c r="BR24" s="505"/>
      <c r="BS24" s="505"/>
      <c r="BT24" s="505"/>
      <c r="BU24" s="505"/>
      <c r="BV24" s="505"/>
      <c r="BW24" s="505"/>
      <c r="BX24" s="505"/>
      <c r="BY24" s="505"/>
      <c r="BZ24" s="505"/>
      <c r="CA24" s="505"/>
      <c r="CB24" s="505"/>
      <c r="CC24" s="505"/>
      <c r="CD24" s="505"/>
      <c r="CE24" s="505"/>
      <c r="CF24" s="505"/>
      <c r="CG24" s="505"/>
      <c r="CH24" s="505"/>
      <c r="CI24" s="505"/>
      <c r="CJ24" s="505"/>
      <c r="CK24" s="505"/>
      <c r="CL24" s="505"/>
      <c r="CM24" s="505"/>
      <c r="CN24" s="505"/>
      <c r="CO24" s="505"/>
      <c r="CP24" s="505"/>
      <c r="CQ24" s="505"/>
      <c r="CR24" s="505"/>
      <c r="CS24" s="505"/>
      <c r="CT24" s="505"/>
      <c r="CU24" s="505"/>
      <c r="CV24" s="505"/>
      <c r="CW24" s="505"/>
      <c r="CX24" s="505"/>
    </row>
    <row r="25" spans="1:102" ht="18.75" customHeight="1">
      <c r="A25" s="1206">
        <v>5</v>
      </c>
      <c r="B25" s="380" t="s">
        <v>65</v>
      </c>
      <c r="C25" s="1222">
        <f>+'T-6'!H28</f>
        <v>3.3409455852000005</v>
      </c>
      <c r="D25" s="1241">
        <v>-2.3130080000000025E-2</v>
      </c>
      <c r="E25" s="991">
        <v>0.36644326100000002</v>
      </c>
      <c r="F25" s="991">
        <v>0.40444365000000004</v>
      </c>
      <c r="G25" s="991">
        <v>0.38455476199999994</v>
      </c>
      <c r="H25" s="991">
        <v>0.30051643500000003</v>
      </c>
      <c r="I25" s="991">
        <v>0.224423441</v>
      </c>
      <c r="J25" s="378">
        <f>'T-6 (six mth)'!H29</f>
        <v>1.6572514690000002</v>
      </c>
      <c r="K25" s="378">
        <f t="shared" si="2"/>
        <v>0.27620857816666672</v>
      </c>
      <c r="L25" s="1208">
        <f>+'T-1'!N29</f>
        <v>3.5</v>
      </c>
      <c r="M25" s="1231">
        <f>+'T-1'!S29</f>
        <v>3.6</v>
      </c>
      <c r="N25" s="1365"/>
      <c r="O25" s="893"/>
      <c r="P25" s="402"/>
      <c r="Q25" s="402"/>
      <c r="R25" s="402"/>
      <c r="S25" s="505"/>
      <c r="T25" s="505"/>
      <c r="U25" s="505"/>
      <c r="V25" s="505"/>
      <c r="W25" s="505"/>
      <c r="X25" s="505"/>
      <c r="Y25" s="505"/>
      <c r="Z25" s="505"/>
      <c r="AA25" s="505"/>
      <c r="AB25" s="505"/>
      <c r="AC25" s="505"/>
      <c r="AD25" s="505"/>
      <c r="AE25" s="505"/>
      <c r="AF25" s="505"/>
      <c r="AG25" s="505"/>
      <c r="AH25" s="505"/>
      <c r="AI25" s="505"/>
      <c r="AJ25" s="505"/>
      <c r="AK25" s="505"/>
      <c r="AL25" s="505"/>
      <c r="AM25" s="505"/>
      <c r="AN25" s="505"/>
      <c r="AO25" s="505"/>
      <c r="AP25" s="505"/>
      <c r="AQ25" s="505"/>
      <c r="AR25" s="505"/>
      <c r="AS25" s="505"/>
      <c r="AT25" s="505"/>
      <c r="AU25" s="505"/>
      <c r="AV25" s="505"/>
      <c r="AW25" s="505"/>
      <c r="AX25" s="505"/>
      <c r="AY25" s="505"/>
      <c r="AZ25" s="505"/>
      <c r="BA25" s="505"/>
      <c r="BB25" s="505"/>
      <c r="BC25" s="505"/>
      <c r="BD25" s="505"/>
      <c r="BE25" s="505"/>
      <c r="BF25" s="505"/>
      <c r="BG25" s="505"/>
      <c r="BH25" s="505"/>
      <c r="BI25" s="505"/>
      <c r="BJ25" s="505"/>
      <c r="BK25" s="505"/>
      <c r="BL25" s="505"/>
      <c r="BM25" s="505"/>
      <c r="BN25" s="505"/>
      <c r="BO25" s="505"/>
      <c r="BP25" s="505"/>
      <c r="BQ25" s="505"/>
      <c r="BR25" s="505"/>
      <c r="BS25" s="505"/>
      <c r="BT25" s="505"/>
      <c r="BU25" s="505"/>
      <c r="BV25" s="505"/>
      <c r="BW25" s="505"/>
      <c r="BX25" s="505"/>
      <c r="BY25" s="505"/>
      <c r="BZ25" s="505"/>
      <c r="CA25" s="505"/>
      <c r="CB25" s="505"/>
      <c r="CC25" s="505"/>
      <c r="CD25" s="505"/>
      <c r="CE25" s="505"/>
      <c r="CF25" s="505"/>
      <c r="CG25" s="505"/>
      <c r="CH25" s="505"/>
      <c r="CI25" s="505"/>
      <c r="CJ25" s="505"/>
      <c r="CK25" s="505"/>
      <c r="CL25" s="505"/>
      <c r="CM25" s="505"/>
      <c r="CN25" s="505"/>
      <c r="CO25" s="505"/>
      <c r="CP25" s="505"/>
      <c r="CQ25" s="505"/>
      <c r="CR25" s="505"/>
      <c r="CS25" s="505"/>
      <c r="CT25" s="505"/>
      <c r="CU25" s="505"/>
      <c r="CV25" s="505"/>
      <c r="CW25" s="505"/>
      <c r="CX25" s="505"/>
    </row>
    <row r="26" spans="1:102" ht="18.75" customHeight="1">
      <c r="A26" s="1206">
        <v>6</v>
      </c>
      <c r="B26" s="380" t="s">
        <v>66</v>
      </c>
      <c r="C26" s="1222">
        <f>+'T-6'!H29</f>
        <v>39.306094843999993</v>
      </c>
      <c r="D26" s="1241">
        <v>3.7979790000000015</v>
      </c>
      <c r="E26" s="991">
        <v>4.265869423999999</v>
      </c>
      <c r="F26" s="991">
        <v>4.2358678000000021</v>
      </c>
      <c r="G26" s="991">
        <v>4.0871394619999997</v>
      </c>
      <c r="H26" s="991">
        <v>3.363165148000002</v>
      </c>
      <c r="I26" s="991">
        <v>4.7830342999999989</v>
      </c>
      <c r="J26" s="378">
        <f>'T-6 (six mth)'!H30</f>
        <v>24.53305513399998</v>
      </c>
      <c r="K26" s="378">
        <f t="shared" si="2"/>
        <v>4.08884252233333</v>
      </c>
      <c r="L26" s="1208">
        <f>+'T-1'!N30</f>
        <v>44</v>
      </c>
      <c r="M26" s="1231">
        <f>+'T-1'!S30</f>
        <v>45</v>
      </c>
      <c r="N26" s="1365"/>
      <c r="O26" s="893"/>
      <c r="P26" s="566"/>
      <c r="Q26" s="566"/>
      <c r="R26" s="566"/>
      <c r="S26" s="505"/>
      <c r="T26" s="505"/>
      <c r="U26" s="505"/>
      <c r="V26" s="505"/>
      <c r="W26" s="505"/>
      <c r="X26" s="505"/>
      <c r="Y26" s="505"/>
      <c r="Z26" s="505"/>
      <c r="AA26" s="505"/>
      <c r="AB26" s="505"/>
      <c r="AC26" s="505"/>
      <c r="AD26" s="505"/>
      <c r="AE26" s="505"/>
      <c r="AF26" s="505"/>
      <c r="AG26" s="505"/>
      <c r="AH26" s="505"/>
      <c r="AI26" s="505"/>
      <c r="AJ26" s="505"/>
      <c r="AK26" s="505"/>
      <c r="AL26" s="505"/>
      <c r="AM26" s="505"/>
      <c r="AN26" s="505"/>
      <c r="AO26" s="505"/>
      <c r="AP26" s="505"/>
      <c r="AQ26" s="505"/>
      <c r="AR26" s="505"/>
      <c r="AS26" s="505"/>
      <c r="AT26" s="505"/>
      <c r="AU26" s="505"/>
      <c r="AV26" s="505"/>
      <c r="AW26" s="505"/>
      <c r="AX26" s="505"/>
      <c r="AY26" s="505"/>
      <c r="AZ26" s="505"/>
      <c r="BA26" s="505"/>
      <c r="BB26" s="505"/>
      <c r="BC26" s="505"/>
      <c r="BD26" s="505"/>
      <c r="BE26" s="505"/>
      <c r="BF26" s="505"/>
      <c r="BG26" s="505"/>
      <c r="BH26" s="505"/>
      <c r="BI26" s="505"/>
      <c r="BJ26" s="505"/>
      <c r="BK26" s="505"/>
      <c r="BL26" s="505"/>
      <c r="BM26" s="505"/>
      <c r="BN26" s="505"/>
      <c r="BO26" s="505"/>
      <c r="BP26" s="505"/>
      <c r="BQ26" s="505"/>
      <c r="BR26" s="505"/>
      <c r="BS26" s="505"/>
      <c r="BT26" s="505"/>
      <c r="BU26" s="505"/>
      <c r="BV26" s="505"/>
      <c r="BW26" s="505"/>
      <c r="BX26" s="505"/>
      <c r="BY26" s="505"/>
      <c r="BZ26" s="505"/>
      <c r="CA26" s="505"/>
      <c r="CB26" s="505"/>
      <c r="CC26" s="505"/>
      <c r="CD26" s="505"/>
      <c r="CE26" s="505"/>
      <c r="CF26" s="505"/>
      <c r="CG26" s="505"/>
      <c r="CH26" s="505"/>
      <c r="CI26" s="505"/>
      <c r="CJ26" s="505"/>
      <c r="CK26" s="505"/>
      <c r="CL26" s="505"/>
      <c r="CM26" s="505"/>
      <c r="CN26" s="505"/>
      <c r="CO26" s="505"/>
      <c r="CP26" s="505"/>
      <c r="CQ26" s="505"/>
      <c r="CR26" s="505"/>
      <c r="CS26" s="505"/>
      <c r="CT26" s="505"/>
      <c r="CU26" s="505"/>
      <c r="CV26" s="505"/>
      <c r="CW26" s="505"/>
      <c r="CX26" s="505"/>
    </row>
    <row r="27" spans="1:102" ht="18.75" customHeight="1">
      <c r="A27" s="1206">
        <v>7</v>
      </c>
      <c r="B27" s="380" t="s">
        <v>182</v>
      </c>
      <c r="C27" s="1222">
        <f>+'T-6'!H30</f>
        <v>19.478136199400002</v>
      </c>
      <c r="D27" s="1241">
        <v>2.0492001244999978</v>
      </c>
      <c r="E27" s="991">
        <v>1.995121480799998</v>
      </c>
      <c r="F27" s="991">
        <v>2.2108724909999973</v>
      </c>
      <c r="G27" s="991">
        <v>1.7883767149000003</v>
      </c>
      <c r="H27" s="991">
        <v>1.6293437719999999</v>
      </c>
      <c r="I27" s="991">
        <v>1.4020056042000004</v>
      </c>
      <c r="J27" s="378">
        <f>'T-6 (six mth)'!H31</f>
        <v>11.0749201874</v>
      </c>
      <c r="K27" s="378">
        <f t="shared" si="2"/>
        <v>1.8458200312333333</v>
      </c>
      <c r="L27" s="1208">
        <f>+'T-1'!N31</f>
        <v>21</v>
      </c>
      <c r="M27" s="1231">
        <f>+'T-1'!S31</f>
        <v>22</v>
      </c>
      <c r="N27" s="1365"/>
      <c r="O27" s="893"/>
      <c r="P27"/>
      <c r="Q27" s="505"/>
      <c r="R27" s="505"/>
      <c r="S27" s="505"/>
      <c r="T27" s="505"/>
      <c r="U27" s="505"/>
      <c r="V27" s="505"/>
      <c r="W27" s="505"/>
      <c r="X27" s="505"/>
      <c r="Y27" s="505"/>
      <c r="Z27" s="505"/>
      <c r="AA27" s="505"/>
      <c r="AB27" s="505"/>
      <c r="AC27" s="505"/>
      <c r="AD27" s="505"/>
      <c r="AE27" s="505"/>
      <c r="AF27" s="505"/>
      <c r="AG27" s="505"/>
      <c r="AH27" s="505"/>
      <c r="AI27" s="505"/>
      <c r="AJ27" s="505"/>
      <c r="AK27" s="505"/>
      <c r="AL27" s="505"/>
      <c r="AM27" s="505"/>
      <c r="AN27" s="505"/>
      <c r="AO27" s="505"/>
      <c r="AP27" s="505"/>
      <c r="AQ27" s="505"/>
      <c r="AR27" s="505"/>
      <c r="AS27" s="505"/>
      <c r="AT27" s="505"/>
      <c r="AU27" s="505"/>
      <c r="AV27" s="505"/>
      <c r="AW27" s="505"/>
      <c r="AX27" s="505"/>
      <c r="AY27" s="505"/>
      <c r="AZ27" s="505"/>
      <c r="BA27" s="505"/>
      <c r="BB27" s="505"/>
      <c r="BC27" s="505"/>
      <c r="BD27" s="505"/>
      <c r="BE27" s="505"/>
      <c r="BF27" s="505"/>
      <c r="BG27" s="505"/>
      <c r="BH27" s="505"/>
      <c r="BI27" s="505"/>
      <c r="BJ27" s="505"/>
      <c r="BK27" s="505"/>
      <c r="BL27" s="505"/>
      <c r="BM27" s="505"/>
      <c r="BN27" s="505"/>
      <c r="BO27" s="505"/>
      <c r="BP27" s="505"/>
      <c r="BQ27" s="505"/>
      <c r="BR27" s="505"/>
      <c r="BS27" s="505"/>
      <c r="BT27" s="505"/>
      <c r="BU27" s="505"/>
      <c r="BV27" s="505"/>
      <c r="BW27" s="505"/>
      <c r="BX27" s="505"/>
      <c r="BY27" s="505"/>
      <c r="BZ27" s="505"/>
      <c r="CA27" s="505"/>
      <c r="CB27" s="505"/>
      <c r="CC27" s="505"/>
      <c r="CD27" s="505"/>
      <c r="CE27" s="505"/>
      <c r="CF27" s="505"/>
      <c r="CG27" s="505"/>
      <c r="CH27" s="505"/>
      <c r="CI27" s="505"/>
      <c r="CJ27" s="505"/>
      <c r="CK27" s="505"/>
      <c r="CL27" s="505"/>
      <c r="CM27" s="505"/>
      <c r="CN27" s="505"/>
      <c r="CO27" s="505"/>
      <c r="CP27" s="505"/>
      <c r="CQ27" s="505"/>
      <c r="CR27" s="505"/>
      <c r="CS27" s="505"/>
      <c r="CT27" s="505"/>
      <c r="CU27" s="505"/>
      <c r="CV27" s="505"/>
      <c r="CW27" s="505"/>
      <c r="CX27" s="505"/>
    </row>
    <row r="28" spans="1:102" ht="18.75" customHeight="1">
      <c r="A28" s="1206">
        <v>8</v>
      </c>
      <c r="B28" s="380" t="s">
        <v>183</v>
      </c>
      <c r="C28" s="1222">
        <f>+'T-6'!H31</f>
        <v>66.355309008039995</v>
      </c>
      <c r="D28" s="1241">
        <v>6.2659576810000024</v>
      </c>
      <c r="E28" s="991">
        <v>5.4906447649999972</v>
      </c>
      <c r="F28" s="991">
        <v>6.4597030010000021</v>
      </c>
      <c r="G28" s="991">
        <v>6.3109472639999993</v>
      </c>
      <c r="H28" s="991">
        <v>4.3178896900000003</v>
      </c>
      <c r="I28" s="991">
        <v>4.4812915950000001</v>
      </c>
      <c r="J28" s="378">
        <f>'T-6 (six mth)'!H32</f>
        <v>33.326433995999999</v>
      </c>
      <c r="K28" s="378">
        <f t="shared" si="2"/>
        <v>5.5544056660000001</v>
      </c>
      <c r="L28" s="1208">
        <f>+'T-1'!N32</f>
        <v>67</v>
      </c>
      <c r="M28" s="1231">
        <f>+'T-1'!S32</f>
        <v>69</v>
      </c>
      <c r="N28" s="1365"/>
      <c r="O28" s="929"/>
      <c r="P28" s="505"/>
      <c r="Q28" s="505"/>
      <c r="R28" s="505"/>
      <c r="S28" s="505"/>
      <c r="T28" s="505"/>
      <c r="U28" s="505"/>
      <c r="V28" s="505"/>
      <c r="W28" s="505"/>
      <c r="X28" s="505"/>
      <c r="Y28" s="505"/>
      <c r="Z28" s="505"/>
      <c r="AA28" s="505"/>
      <c r="AB28" s="505"/>
      <c r="AC28" s="505"/>
      <c r="AD28" s="505"/>
      <c r="AE28" s="505"/>
      <c r="AF28" s="505"/>
      <c r="AG28" s="505"/>
      <c r="AH28" s="505"/>
      <c r="AI28" s="505"/>
      <c r="AJ28" s="505"/>
      <c r="AK28" s="505"/>
      <c r="AL28" s="505"/>
      <c r="AM28" s="505"/>
      <c r="AN28" s="505"/>
      <c r="AO28" s="505"/>
      <c r="AP28" s="505"/>
      <c r="AQ28" s="505"/>
      <c r="AR28" s="505"/>
      <c r="AS28" s="505"/>
      <c r="AT28" s="505"/>
      <c r="AU28" s="505"/>
      <c r="AV28" s="505"/>
      <c r="AW28" s="505"/>
      <c r="AX28" s="505"/>
      <c r="AY28" s="505"/>
      <c r="AZ28" s="505"/>
      <c r="BA28" s="505"/>
      <c r="BB28" s="505"/>
      <c r="BC28" s="505"/>
      <c r="BD28" s="505"/>
      <c r="BE28" s="505"/>
      <c r="BF28" s="505"/>
      <c r="BG28" s="505"/>
      <c r="BH28" s="505"/>
      <c r="BI28" s="505"/>
      <c r="BJ28" s="505"/>
      <c r="BK28" s="505"/>
      <c r="BL28" s="505"/>
      <c r="BM28" s="505"/>
      <c r="BN28" s="505"/>
      <c r="BO28" s="505"/>
      <c r="BP28" s="505"/>
      <c r="BQ28" s="505"/>
      <c r="BR28" s="505"/>
      <c r="BS28" s="505"/>
      <c r="BT28" s="505"/>
      <c r="BU28" s="505"/>
      <c r="BV28" s="505"/>
      <c r="BW28" s="505"/>
      <c r="BX28" s="505"/>
      <c r="BY28" s="505"/>
      <c r="BZ28" s="505"/>
      <c r="CA28" s="505"/>
      <c r="CB28" s="505"/>
      <c r="CC28" s="505"/>
      <c r="CD28" s="505"/>
      <c r="CE28" s="505"/>
      <c r="CF28" s="505"/>
      <c r="CG28" s="505"/>
      <c r="CH28" s="505"/>
      <c r="CI28" s="505"/>
      <c r="CJ28" s="505"/>
      <c r="CK28" s="505"/>
      <c r="CL28" s="505"/>
      <c r="CM28" s="505"/>
      <c r="CN28" s="505"/>
      <c r="CO28" s="505"/>
      <c r="CP28" s="505"/>
      <c r="CQ28" s="505"/>
      <c r="CR28" s="505"/>
      <c r="CS28" s="505"/>
      <c r="CT28" s="505"/>
      <c r="CU28" s="505"/>
      <c r="CV28" s="505"/>
      <c r="CW28" s="505"/>
      <c r="CX28" s="505"/>
    </row>
    <row r="29" spans="1:102" ht="18.75" customHeight="1">
      <c r="A29" s="1206">
        <v>9</v>
      </c>
      <c r="B29" s="62" t="s">
        <v>184</v>
      </c>
      <c r="C29" s="1222">
        <f>+'T-6'!H32</f>
        <v>43.302907612370007</v>
      </c>
      <c r="D29" s="1241">
        <v>4.9402429049999945</v>
      </c>
      <c r="E29" s="991">
        <v>5.6695893766999941</v>
      </c>
      <c r="F29" s="991">
        <v>6.0449265159000056</v>
      </c>
      <c r="G29" s="991">
        <v>6.0032283110000026</v>
      </c>
      <c r="H29" s="991">
        <v>5.2307412648000025</v>
      </c>
      <c r="I29" s="991">
        <v>5.0689398737999944</v>
      </c>
      <c r="J29" s="378">
        <f>'T-6 (six mth)'!H33</f>
        <v>32.95766824719999</v>
      </c>
      <c r="K29" s="378">
        <f t="shared" si="2"/>
        <v>5.4929447078666653</v>
      </c>
      <c r="L29" s="1208">
        <f>+'T-1'!N33</f>
        <v>65</v>
      </c>
      <c r="M29" s="1231">
        <f>+'T-1'!S33</f>
        <v>68</v>
      </c>
      <c r="N29" s="1365"/>
      <c r="O29" s="893"/>
      <c r="P29" s="505"/>
      <c r="Q29" s="505"/>
      <c r="R29" s="505"/>
      <c r="S29" s="505"/>
      <c r="T29" s="505"/>
      <c r="U29" s="505"/>
      <c r="V29" s="505"/>
      <c r="W29" s="505"/>
      <c r="X29" s="505"/>
      <c r="Y29" s="505"/>
      <c r="Z29" s="505"/>
      <c r="AA29" s="505"/>
      <c r="AB29" s="505"/>
      <c r="AC29" s="505"/>
      <c r="AD29" s="505"/>
      <c r="AE29" s="505"/>
      <c r="AF29" s="505"/>
      <c r="AG29" s="505"/>
      <c r="AH29" s="505"/>
      <c r="AI29" s="505"/>
      <c r="AJ29" s="505"/>
      <c r="AK29" s="505"/>
      <c r="AL29" s="505"/>
      <c r="AM29" s="505"/>
      <c r="AN29" s="505"/>
      <c r="AO29" s="505"/>
      <c r="AP29" s="505"/>
      <c r="AQ29" s="505"/>
      <c r="AR29" s="505"/>
      <c r="AS29" s="505"/>
      <c r="AT29" s="505"/>
      <c r="AU29" s="505"/>
      <c r="AV29" s="505"/>
      <c r="AW29" s="505"/>
      <c r="AX29" s="505"/>
      <c r="AY29" s="505"/>
      <c r="AZ29" s="505"/>
      <c r="BA29" s="505"/>
      <c r="BB29" s="505"/>
      <c r="BC29" s="505"/>
      <c r="BD29" s="505"/>
      <c r="BE29" s="505"/>
      <c r="BF29" s="505"/>
      <c r="BG29" s="505"/>
      <c r="BH29" s="505"/>
      <c r="BI29" s="505"/>
      <c r="BJ29" s="505"/>
      <c r="BK29" s="505"/>
      <c r="BL29" s="505"/>
      <c r="BM29" s="505"/>
      <c r="BN29" s="505"/>
      <c r="BO29" s="505"/>
      <c r="BP29" s="505"/>
      <c r="BQ29" s="505"/>
      <c r="BR29" s="505"/>
      <c r="BS29" s="505"/>
      <c r="BT29" s="505"/>
      <c r="BU29" s="505"/>
      <c r="BV29" s="505"/>
      <c r="BW29" s="505"/>
      <c r="BX29" s="505"/>
      <c r="BY29" s="505"/>
      <c r="BZ29" s="505"/>
      <c r="CA29" s="505"/>
      <c r="CB29" s="505"/>
      <c r="CC29" s="505"/>
      <c r="CD29" s="505"/>
      <c r="CE29" s="505"/>
      <c r="CF29" s="505"/>
      <c r="CG29" s="505"/>
      <c r="CH29" s="505"/>
      <c r="CI29" s="505"/>
      <c r="CJ29" s="505"/>
      <c r="CK29" s="505"/>
      <c r="CL29" s="505"/>
      <c r="CM29" s="505"/>
      <c r="CN29" s="505"/>
      <c r="CO29" s="505"/>
      <c r="CP29" s="505"/>
      <c r="CQ29" s="505"/>
      <c r="CR29" s="505"/>
      <c r="CS29" s="505"/>
      <c r="CT29" s="505"/>
      <c r="CU29" s="505"/>
      <c r="CV29" s="505"/>
      <c r="CW29" s="505"/>
      <c r="CX29" s="505"/>
    </row>
    <row r="30" spans="1:102" ht="18.75" customHeight="1">
      <c r="A30" s="1206">
        <v>10</v>
      </c>
      <c r="B30" s="380" t="s">
        <v>185</v>
      </c>
      <c r="C30" s="1222">
        <f>+'T-6'!H33</f>
        <v>62.260673613220007</v>
      </c>
      <c r="D30" s="1241">
        <v>5.0441041866999994</v>
      </c>
      <c r="E30" s="991">
        <v>5.7391504571999992</v>
      </c>
      <c r="F30" s="991">
        <v>6.4558488008999984</v>
      </c>
      <c r="G30" s="991">
        <v>6.4550782971999947</v>
      </c>
      <c r="H30" s="991">
        <v>5.2889282115999983</v>
      </c>
      <c r="I30" s="991">
        <v>4.6226808097000038</v>
      </c>
      <c r="J30" s="378">
        <f>'T-6 (six mth)'!H34</f>
        <v>30.505790763300006</v>
      </c>
      <c r="K30" s="378">
        <f t="shared" si="2"/>
        <v>5.0842984605500012</v>
      </c>
      <c r="L30" s="1208">
        <f>+'T-1'!N34</f>
        <v>63</v>
      </c>
      <c r="M30" s="1231">
        <f>+'T-1'!S34</f>
        <v>65</v>
      </c>
      <c r="N30" s="1365"/>
      <c r="O30" s="893"/>
      <c r="P30" s="505"/>
      <c r="Q30" s="505"/>
      <c r="R30" s="505"/>
      <c r="S30" s="505"/>
      <c r="T30" s="505"/>
      <c r="U30" s="505"/>
      <c r="V30" s="505"/>
      <c r="W30" s="505"/>
      <c r="X30" s="505"/>
      <c r="Y30" s="505"/>
      <c r="Z30" s="505"/>
      <c r="AA30" s="505"/>
      <c r="AB30" s="505"/>
      <c r="AC30" s="505"/>
      <c r="AD30" s="505"/>
      <c r="AE30" s="505"/>
      <c r="AF30" s="505"/>
      <c r="AG30" s="505"/>
      <c r="AH30" s="505"/>
      <c r="AI30" s="505"/>
      <c r="AJ30" s="505"/>
      <c r="AK30" s="505"/>
      <c r="AL30" s="505"/>
      <c r="AM30" s="505"/>
      <c r="AN30" s="505"/>
      <c r="AO30" s="505"/>
      <c r="AP30" s="505"/>
      <c r="AQ30" s="505"/>
      <c r="AR30" s="505"/>
      <c r="AS30" s="505"/>
      <c r="AT30" s="505"/>
      <c r="AU30" s="505"/>
      <c r="AV30" s="505"/>
      <c r="AW30" s="505"/>
      <c r="AX30" s="505"/>
      <c r="AY30" s="505"/>
      <c r="AZ30" s="505"/>
      <c r="BA30" s="505"/>
      <c r="BB30" s="505"/>
      <c r="BC30" s="505"/>
      <c r="BD30" s="505"/>
      <c r="BE30" s="505"/>
      <c r="BF30" s="505"/>
      <c r="BG30" s="505"/>
      <c r="BH30" s="505"/>
      <c r="BI30" s="505"/>
      <c r="BJ30" s="505"/>
      <c r="BK30" s="505"/>
      <c r="BL30" s="505"/>
      <c r="BM30" s="505"/>
      <c r="BN30" s="505"/>
      <c r="BO30" s="505"/>
      <c r="BP30" s="505"/>
      <c r="BQ30" s="505"/>
      <c r="BR30" s="505"/>
      <c r="BS30" s="505"/>
      <c r="BT30" s="505"/>
      <c r="BU30" s="505"/>
      <c r="BV30" s="505"/>
      <c r="BW30" s="505"/>
      <c r="BX30" s="505"/>
      <c r="BY30" s="505"/>
      <c r="BZ30" s="505"/>
      <c r="CA30" s="505"/>
      <c r="CB30" s="505"/>
      <c r="CC30" s="505"/>
      <c r="CD30" s="505"/>
      <c r="CE30" s="505"/>
      <c r="CF30" s="505"/>
      <c r="CG30" s="505"/>
      <c r="CH30" s="505"/>
      <c r="CI30" s="505"/>
      <c r="CJ30" s="505"/>
      <c r="CK30" s="505"/>
      <c r="CL30" s="505"/>
      <c r="CM30" s="505"/>
      <c r="CN30" s="505"/>
      <c r="CO30" s="505"/>
      <c r="CP30" s="505"/>
      <c r="CQ30" s="505"/>
      <c r="CR30" s="505"/>
      <c r="CS30" s="505"/>
      <c r="CT30" s="505"/>
      <c r="CU30" s="505"/>
      <c r="CV30" s="505"/>
      <c r="CW30" s="505"/>
      <c r="CX30" s="505"/>
    </row>
    <row r="31" spans="1:102" ht="18.75" customHeight="1">
      <c r="A31" s="1206">
        <v>11</v>
      </c>
      <c r="B31" s="380" t="s">
        <v>186</v>
      </c>
      <c r="C31" s="1222">
        <f>+'T-6'!H34</f>
        <v>4.8841861899999994</v>
      </c>
      <c r="D31" s="1241">
        <v>9.4981000000000006E-3</v>
      </c>
      <c r="E31" s="991">
        <v>1.0270799999999998E-2</v>
      </c>
      <c r="F31" s="991">
        <v>2.8677999999999999E-2</v>
      </c>
      <c r="G31" s="991">
        <v>0</v>
      </c>
      <c r="H31" s="991">
        <v>0</v>
      </c>
      <c r="I31" s="991">
        <v>8.8248000000000007E-2</v>
      </c>
      <c r="J31" s="378">
        <f>'T-6 (six mth)'!H35</f>
        <v>3.2366949000000003</v>
      </c>
      <c r="K31" s="378">
        <f t="shared" si="2"/>
        <v>0.53944915000000004</v>
      </c>
      <c r="L31" s="1208">
        <f>+'T-1'!N35</f>
        <v>5</v>
      </c>
      <c r="M31" s="1231">
        <f>+'T-1'!S35</f>
        <v>5.2</v>
      </c>
      <c r="N31" s="1365"/>
      <c r="O31" s="893"/>
      <c r="P31" s="505"/>
      <c r="Q31" s="505"/>
      <c r="R31" s="505"/>
      <c r="S31" s="505"/>
      <c r="T31" s="505"/>
      <c r="U31" s="505"/>
      <c r="V31" s="505"/>
      <c r="W31" s="505"/>
      <c r="X31" s="505"/>
      <c r="Y31" s="505"/>
      <c r="Z31" s="505"/>
      <c r="AA31" s="505"/>
      <c r="AB31" s="505"/>
      <c r="AC31" s="505"/>
      <c r="AD31" s="505"/>
      <c r="AE31" s="505"/>
      <c r="AF31" s="505"/>
      <c r="AG31" s="505"/>
      <c r="AH31" s="505"/>
      <c r="AI31" s="505"/>
      <c r="AJ31" s="505"/>
      <c r="AK31" s="505"/>
      <c r="AL31" s="505"/>
      <c r="AM31" s="505"/>
      <c r="AN31" s="505"/>
      <c r="AO31" s="505"/>
      <c r="AP31" s="505"/>
      <c r="AQ31" s="505"/>
      <c r="AR31" s="505"/>
      <c r="AS31" s="505"/>
      <c r="AT31" s="505"/>
      <c r="AU31" s="505"/>
      <c r="AV31" s="505"/>
      <c r="AW31" s="505"/>
      <c r="AX31" s="505"/>
      <c r="AY31" s="505"/>
      <c r="AZ31" s="505"/>
      <c r="BA31" s="505"/>
      <c r="BB31" s="505"/>
      <c r="BC31" s="505"/>
      <c r="BD31" s="505"/>
      <c r="BE31" s="505"/>
      <c r="BF31" s="505"/>
      <c r="BG31" s="505"/>
      <c r="BH31" s="505"/>
      <c r="BI31" s="505"/>
      <c r="BJ31" s="505"/>
      <c r="BK31" s="505"/>
      <c r="BL31" s="505"/>
      <c r="BM31" s="505"/>
      <c r="BN31" s="505"/>
      <c r="BO31" s="505"/>
      <c r="BP31" s="505"/>
      <c r="BQ31" s="505"/>
      <c r="BR31" s="505"/>
      <c r="BS31" s="505"/>
      <c r="BT31" s="505"/>
      <c r="BU31" s="505"/>
      <c r="BV31" s="505"/>
      <c r="BW31" s="505"/>
      <c r="BX31" s="505"/>
      <c r="BY31" s="505"/>
      <c r="BZ31" s="505"/>
      <c r="CA31" s="505"/>
      <c r="CB31" s="505"/>
      <c r="CC31" s="505"/>
      <c r="CD31" s="505"/>
      <c r="CE31" s="505"/>
      <c r="CF31" s="505"/>
      <c r="CG31" s="505"/>
      <c r="CH31" s="505"/>
      <c r="CI31" s="505"/>
      <c r="CJ31" s="505"/>
      <c r="CK31" s="505"/>
      <c r="CL31" s="505"/>
      <c r="CM31" s="505"/>
      <c r="CN31" s="505"/>
      <c r="CO31" s="505"/>
      <c r="CP31" s="505"/>
      <c r="CQ31" s="505"/>
      <c r="CR31" s="505"/>
      <c r="CS31" s="505"/>
      <c r="CT31" s="505"/>
      <c r="CU31" s="505"/>
      <c r="CV31" s="505"/>
      <c r="CW31" s="505"/>
      <c r="CX31" s="505"/>
    </row>
    <row r="32" spans="1:102" ht="18.75" customHeight="1">
      <c r="A32" s="1206">
        <v>12</v>
      </c>
      <c r="B32" s="62" t="s">
        <v>187</v>
      </c>
      <c r="C32" s="1224">
        <f>+'T-6'!H35</f>
        <v>0</v>
      </c>
      <c r="D32" s="1241">
        <v>-2.1052291000000001E-2</v>
      </c>
      <c r="E32" s="991">
        <v>1.3206445000000001E-2</v>
      </c>
      <c r="F32" s="991">
        <v>7.0777160000000006E-2</v>
      </c>
      <c r="G32" s="991">
        <v>1.9027500000000003E-2</v>
      </c>
      <c r="H32" s="991">
        <v>1.6124115200000001E-2</v>
      </c>
      <c r="I32" s="991">
        <v>3.2441820199999999E-2</v>
      </c>
      <c r="J32" s="378">
        <f>'T-6 (six mth)'!H36</f>
        <v>0.1305247494</v>
      </c>
      <c r="K32" s="378">
        <f t="shared" si="2"/>
        <v>2.1754124900000001E-2</v>
      </c>
      <c r="L32" s="1208">
        <f>+'T-1'!N36</f>
        <v>0.15</v>
      </c>
      <c r="M32" s="1231">
        <f>+'T-1'!S36</f>
        <v>0.151</v>
      </c>
      <c r="N32" s="1365"/>
      <c r="O32" s="893"/>
      <c r="P32" s="505"/>
      <c r="Q32" s="505"/>
      <c r="R32" s="505"/>
      <c r="S32" s="505"/>
      <c r="T32" s="505"/>
      <c r="U32" s="505"/>
      <c r="V32" s="505"/>
      <c r="W32" s="505"/>
      <c r="X32" s="505"/>
      <c r="Y32" s="505"/>
      <c r="Z32" s="505"/>
      <c r="AA32" s="505"/>
      <c r="AB32" s="505"/>
      <c r="AC32" s="505"/>
      <c r="AD32" s="505"/>
      <c r="AE32" s="505"/>
      <c r="AF32" s="505"/>
      <c r="AG32" s="505"/>
      <c r="AH32" s="505"/>
      <c r="AI32" s="505"/>
      <c r="AJ32" s="505"/>
      <c r="AK32" s="505"/>
      <c r="AL32" s="505"/>
      <c r="AM32" s="505"/>
      <c r="AN32" s="505"/>
      <c r="AO32" s="505"/>
      <c r="AP32" s="505"/>
      <c r="AQ32" s="505"/>
      <c r="AR32" s="505"/>
      <c r="AS32" s="505"/>
      <c r="AT32" s="505"/>
      <c r="AU32" s="505"/>
      <c r="AV32" s="505"/>
      <c r="AW32" s="505"/>
      <c r="AX32" s="505"/>
      <c r="AY32" s="505"/>
      <c r="AZ32" s="505"/>
      <c r="BA32" s="505"/>
      <c r="BB32" s="505"/>
      <c r="BC32" s="505"/>
      <c r="BD32" s="505"/>
      <c r="BE32" s="505"/>
      <c r="BF32" s="505"/>
      <c r="BG32" s="505"/>
      <c r="BH32" s="505"/>
      <c r="BI32" s="505"/>
      <c r="BJ32" s="505"/>
      <c r="BK32" s="505"/>
      <c r="BL32" s="505"/>
      <c r="BM32" s="505"/>
      <c r="BN32" s="505"/>
      <c r="BO32" s="505"/>
      <c r="BP32" s="505"/>
      <c r="BQ32" s="505"/>
      <c r="BR32" s="505"/>
      <c r="BS32" s="505"/>
      <c r="BT32" s="505"/>
      <c r="BU32" s="505"/>
      <c r="BV32" s="505"/>
      <c r="BW32" s="505"/>
      <c r="BX32" s="505"/>
      <c r="BY32" s="505"/>
      <c r="BZ32" s="505"/>
      <c r="CA32" s="505"/>
      <c r="CB32" s="505"/>
      <c r="CC32" s="505"/>
      <c r="CD32" s="505"/>
      <c r="CE32" s="505"/>
      <c r="CF32" s="505"/>
      <c r="CG32" s="505"/>
      <c r="CH32" s="505"/>
      <c r="CI32" s="505"/>
      <c r="CJ32" s="505"/>
      <c r="CK32" s="505"/>
      <c r="CL32" s="505"/>
      <c r="CM32" s="505"/>
      <c r="CN32" s="505"/>
      <c r="CO32" s="505"/>
      <c r="CP32" s="505"/>
      <c r="CQ32" s="505"/>
      <c r="CR32" s="505"/>
      <c r="CS32" s="505"/>
      <c r="CT32" s="505"/>
      <c r="CU32" s="505"/>
      <c r="CV32" s="505"/>
      <c r="CW32" s="505"/>
      <c r="CX32" s="505"/>
    </row>
    <row r="33" spans="1:102" ht="18.75" customHeight="1">
      <c r="A33" s="1206">
        <v>13</v>
      </c>
      <c r="B33" s="62" t="s">
        <v>73</v>
      </c>
      <c r="C33" s="1224">
        <f>+'T-6'!H36</f>
        <v>0</v>
      </c>
      <c r="D33" s="1240"/>
      <c r="E33" s="378"/>
      <c r="F33" s="378"/>
      <c r="G33" s="378"/>
      <c r="H33" s="378"/>
      <c r="I33" s="378"/>
      <c r="J33" s="401">
        <f>'T-6 (six mth)'!H37</f>
        <v>0</v>
      </c>
      <c r="K33" s="401">
        <f t="shared" si="2"/>
        <v>0</v>
      </c>
      <c r="L33" s="1210">
        <f>+'T-1'!N37</f>
        <v>0</v>
      </c>
      <c r="M33" s="1233">
        <f>+'T-1'!S37</f>
        <v>0</v>
      </c>
      <c r="N33" s="1365"/>
      <c r="O33" s="929"/>
      <c r="P33" s="505"/>
      <c r="Q33" s="378"/>
      <c r="R33" s="378"/>
      <c r="S33" s="378"/>
      <c r="T33" s="378"/>
      <c r="U33" s="378"/>
      <c r="V33" s="505"/>
      <c r="W33" s="505"/>
      <c r="X33" s="505"/>
      <c r="Y33" s="505"/>
      <c r="Z33" s="505"/>
      <c r="AA33" s="505"/>
      <c r="AB33" s="505"/>
      <c r="AC33" s="505"/>
      <c r="AD33" s="505"/>
      <c r="AE33" s="505"/>
      <c r="AF33" s="505"/>
      <c r="AG33" s="505"/>
      <c r="AH33" s="505"/>
      <c r="AI33" s="505"/>
      <c r="AJ33" s="505"/>
      <c r="AK33" s="505"/>
      <c r="AL33" s="505"/>
      <c r="AM33" s="505"/>
      <c r="AN33" s="505"/>
      <c r="AO33" s="505"/>
      <c r="AP33" s="505"/>
      <c r="AQ33" s="505"/>
      <c r="AR33" s="505"/>
      <c r="AS33" s="505"/>
      <c r="AT33" s="505"/>
      <c r="AU33" s="505"/>
      <c r="AV33" s="505"/>
      <c r="AW33" s="505"/>
      <c r="AX33" s="505"/>
      <c r="AY33" s="505"/>
      <c r="AZ33" s="505"/>
      <c r="BA33" s="505"/>
      <c r="BB33" s="505"/>
      <c r="BC33" s="505"/>
      <c r="BD33" s="505"/>
      <c r="BE33" s="505"/>
      <c r="BF33" s="505"/>
      <c r="BG33" s="505"/>
      <c r="BH33" s="505"/>
      <c r="BI33" s="505"/>
      <c r="BJ33" s="505"/>
      <c r="BK33" s="505"/>
      <c r="BL33" s="505"/>
      <c r="BM33" s="505"/>
      <c r="BN33" s="505"/>
      <c r="BO33" s="505"/>
      <c r="BP33" s="505"/>
      <c r="BQ33" s="505"/>
      <c r="BR33" s="505"/>
      <c r="BS33" s="505"/>
      <c r="BT33" s="505"/>
      <c r="BU33" s="505"/>
      <c r="BV33" s="505"/>
      <c r="BW33" s="505"/>
      <c r="BX33" s="505"/>
      <c r="BY33" s="505"/>
      <c r="BZ33" s="505"/>
      <c r="CA33" s="505"/>
      <c r="CB33" s="505"/>
      <c r="CC33" s="505"/>
      <c r="CD33" s="505"/>
      <c r="CE33" s="505"/>
      <c r="CF33" s="505"/>
      <c r="CG33" s="505"/>
      <c r="CH33" s="505"/>
      <c r="CI33" s="505"/>
      <c r="CJ33" s="505"/>
      <c r="CK33" s="505"/>
      <c r="CL33" s="505"/>
      <c r="CM33" s="505"/>
      <c r="CN33" s="505"/>
      <c r="CO33" s="505"/>
      <c r="CP33" s="505"/>
      <c r="CQ33" s="505"/>
      <c r="CR33" s="505"/>
      <c r="CS33" s="505"/>
      <c r="CT33" s="505"/>
      <c r="CU33" s="505"/>
      <c r="CV33" s="505"/>
      <c r="CW33" s="505"/>
      <c r="CX33" s="505"/>
    </row>
    <row r="34" spans="1:102" ht="18.75" customHeight="1">
      <c r="A34" s="1206"/>
      <c r="B34" s="403" t="s">
        <v>188</v>
      </c>
      <c r="C34" s="1223">
        <f t="shared" ref="C34:M34" si="4">SUM(C22:C33)+C16</f>
        <v>2873.565261891601</v>
      </c>
      <c r="D34" s="1242">
        <f t="shared" si="4"/>
        <v>260.89979605910014</v>
      </c>
      <c r="E34" s="110">
        <f t="shared" si="4"/>
        <v>279.77166203270025</v>
      </c>
      <c r="F34" s="110">
        <f t="shared" si="4"/>
        <v>328.12636764850021</v>
      </c>
      <c r="G34" s="110">
        <f t="shared" si="4"/>
        <v>295.31027724891993</v>
      </c>
      <c r="H34" s="110">
        <f t="shared" si="4"/>
        <v>252.06635692430018</v>
      </c>
      <c r="I34" s="110">
        <f t="shared" si="4"/>
        <v>249.63204578614011</v>
      </c>
      <c r="J34" s="110">
        <f>SUM(J22:J33)+J16</f>
        <v>1665.8065054996609</v>
      </c>
      <c r="K34" s="110">
        <f t="shared" si="4"/>
        <v>277.63441758327684</v>
      </c>
      <c r="L34" s="1209">
        <f>SUM(L22:L33)+L16</f>
        <v>3085.0000000000005</v>
      </c>
      <c r="M34" s="1232">
        <f t="shared" si="4"/>
        <v>3314</v>
      </c>
      <c r="N34" s="306"/>
      <c r="O34" s="929"/>
      <c r="P34" s="505"/>
      <c r="Q34" s="505"/>
      <c r="R34" s="505"/>
      <c r="S34" s="505"/>
      <c r="T34" s="505"/>
      <c r="U34" s="505"/>
      <c r="V34" s="505"/>
      <c r="W34" s="505"/>
      <c r="X34" s="505"/>
      <c r="Y34" s="505"/>
      <c r="Z34" s="505"/>
      <c r="AA34" s="505"/>
      <c r="AB34" s="505"/>
      <c r="AC34" s="505"/>
      <c r="AD34" s="505"/>
      <c r="AE34" s="505"/>
      <c r="AF34" s="505"/>
      <c r="AG34" s="505"/>
      <c r="AH34" s="505"/>
      <c r="AI34" s="505"/>
      <c r="AJ34" s="505"/>
      <c r="AK34" s="505"/>
      <c r="AL34" s="505"/>
      <c r="AM34" s="505"/>
      <c r="AN34" s="505"/>
      <c r="AO34" s="505"/>
      <c r="AP34" s="505"/>
      <c r="AQ34" s="505"/>
      <c r="AR34" s="505"/>
      <c r="AS34" s="505"/>
      <c r="AT34" s="505"/>
      <c r="AU34" s="505"/>
      <c r="AV34" s="505"/>
      <c r="AW34" s="505"/>
      <c r="AX34" s="505"/>
      <c r="AY34" s="505"/>
      <c r="AZ34" s="505"/>
      <c r="BA34" s="505"/>
      <c r="BB34" s="505"/>
      <c r="BC34" s="505"/>
      <c r="BD34" s="505"/>
      <c r="BE34" s="505"/>
      <c r="BF34" s="505"/>
      <c r="BG34" s="505"/>
      <c r="BH34" s="505"/>
      <c r="BI34" s="505"/>
      <c r="BJ34" s="505"/>
      <c r="BK34" s="505"/>
      <c r="BL34" s="505"/>
      <c r="BM34" s="505"/>
      <c r="BN34" s="505"/>
      <c r="BO34" s="505"/>
      <c r="BP34" s="505"/>
      <c r="BQ34" s="505"/>
      <c r="BR34" s="505"/>
      <c r="BS34" s="505"/>
      <c r="BT34" s="505"/>
      <c r="BU34" s="505"/>
      <c r="BV34" s="505"/>
      <c r="BW34" s="505"/>
      <c r="BX34" s="505"/>
      <c r="BY34" s="505"/>
      <c r="BZ34" s="505"/>
      <c r="CA34" s="505"/>
      <c r="CB34" s="505"/>
      <c r="CC34" s="505"/>
      <c r="CD34" s="505"/>
      <c r="CE34" s="505"/>
      <c r="CF34" s="505"/>
      <c r="CG34" s="505"/>
      <c r="CH34" s="505"/>
      <c r="CI34" s="505"/>
      <c r="CJ34" s="505"/>
      <c r="CK34" s="505"/>
      <c r="CL34" s="505"/>
      <c r="CM34" s="505"/>
      <c r="CN34" s="505"/>
      <c r="CO34" s="505"/>
      <c r="CP34" s="505"/>
      <c r="CQ34" s="505"/>
      <c r="CR34" s="505"/>
      <c r="CS34" s="505"/>
      <c r="CT34" s="505"/>
      <c r="CU34" s="505"/>
      <c r="CV34" s="505"/>
      <c r="CW34" s="505"/>
      <c r="CX34" s="505"/>
    </row>
    <row r="35" spans="1:102" ht="20.100000000000001" customHeight="1">
      <c r="A35" s="216"/>
      <c r="B35" s="404" t="s">
        <v>75</v>
      </c>
      <c r="C35" s="1225"/>
      <c r="D35" s="1240"/>
      <c r="E35" s="378"/>
      <c r="F35" s="378"/>
      <c r="G35" s="378"/>
      <c r="H35" s="378"/>
      <c r="I35" s="378"/>
      <c r="J35" s="378"/>
      <c r="K35" s="378"/>
      <c r="L35" s="1208"/>
      <c r="M35" s="1231"/>
      <c r="N35" s="306"/>
      <c r="O35" s="893"/>
      <c r="P35" s="505"/>
      <c r="Q35" s="505"/>
      <c r="R35" s="505"/>
      <c r="S35" s="505"/>
      <c r="T35" s="505"/>
      <c r="U35" s="505"/>
      <c r="V35" s="505"/>
      <c r="W35" s="505"/>
      <c r="X35" s="505"/>
      <c r="Y35" s="505"/>
      <c r="Z35" s="505"/>
      <c r="AA35" s="505"/>
      <c r="AB35" s="505"/>
      <c r="AC35" s="505"/>
      <c r="AD35" s="505"/>
      <c r="AE35" s="505"/>
      <c r="AF35" s="505"/>
      <c r="AG35" s="505"/>
      <c r="AH35" s="505"/>
      <c r="AI35" s="505"/>
      <c r="AJ35" s="505"/>
      <c r="AK35" s="505"/>
      <c r="AL35" s="505"/>
      <c r="AM35" s="505"/>
      <c r="AN35" s="505"/>
      <c r="AO35" s="505"/>
      <c r="AP35" s="505"/>
      <c r="AQ35" s="505"/>
      <c r="AR35" s="505"/>
      <c r="AS35" s="505"/>
      <c r="AT35" s="505"/>
      <c r="AU35" s="505"/>
      <c r="AV35" s="505"/>
      <c r="AW35" s="505"/>
      <c r="AX35" s="505"/>
      <c r="AY35" s="505"/>
      <c r="AZ35" s="505"/>
      <c r="BA35" s="505"/>
      <c r="BB35" s="505"/>
      <c r="BC35" s="505"/>
      <c r="BD35" s="505"/>
      <c r="BE35" s="505"/>
      <c r="BF35" s="505"/>
      <c r="BG35" s="505"/>
      <c r="BH35" s="505"/>
      <c r="BI35" s="505"/>
      <c r="BJ35" s="505"/>
      <c r="BK35" s="505"/>
      <c r="BL35" s="505"/>
      <c r="BM35" s="505"/>
      <c r="BN35" s="505"/>
      <c r="BO35" s="505"/>
      <c r="BP35" s="505"/>
      <c r="BQ35" s="505"/>
      <c r="BR35" s="505"/>
      <c r="BS35" s="505"/>
      <c r="BT35" s="505"/>
      <c r="BU35" s="505"/>
      <c r="BV35" s="505"/>
      <c r="BW35" s="505"/>
      <c r="BX35" s="505"/>
      <c r="BY35" s="505"/>
      <c r="BZ35" s="505"/>
      <c r="CA35" s="505"/>
      <c r="CB35" s="505"/>
      <c r="CC35" s="505"/>
      <c r="CD35" s="505"/>
      <c r="CE35" s="505"/>
      <c r="CF35" s="505"/>
      <c r="CG35" s="505"/>
      <c r="CH35" s="505"/>
      <c r="CI35" s="505"/>
      <c r="CJ35" s="505"/>
      <c r="CK35" s="505"/>
      <c r="CL35" s="505"/>
      <c r="CM35" s="505"/>
      <c r="CN35" s="505"/>
      <c r="CO35" s="505"/>
      <c r="CP35" s="505"/>
      <c r="CQ35" s="505"/>
      <c r="CR35" s="505"/>
      <c r="CS35" s="505"/>
      <c r="CT35" s="505"/>
      <c r="CU35" s="505"/>
      <c r="CV35" s="505"/>
      <c r="CW35" s="505"/>
      <c r="CX35" s="505"/>
    </row>
    <row r="36" spans="1:102" ht="20.100000000000001" customHeight="1">
      <c r="A36" s="1206">
        <v>14</v>
      </c>
      <c r="B36" s="62" t="s">
        <v>76</v>
      </c>
      <c r="C36" s="1222">
        <f>+'T-6'!H39</f>
        <v>13.409634369999999</v>
      </c>
      <c r="D36" s="1241">
        <v>1.1357286</v>
      </c>
      <c r="E36" s="991">
        <v>1.5411024</v>
      </c>
      <c r="F36" s="991">
        <v>1.6062702600000003</v>
      </c>
      <c r="G36" s="991">
        <v>1.5678620000000001</v>
      </c>
      <c r="H36" s="991">
        <v>1.3369469999999997</v>
      </c>
      <c r="I36" s="991">
        <v>1.2377420000000001</v>
      </c>
      <c r="J36" s="378">
        <f>'T-6 (six mth)'!H40</f>
        <v>8.4256522599999997</v>
      </c>
      <c r="K36" s="378">
        <f t="shared" ref="K36:K51" si="5">+J36/6</f>
        <v>1.4042753766666667</v>
      </c>
      <c r="L36" s="1208">
        <f>+'T-1'!N40</f>
        <v>14</v>
      </c>
      <c r="M36" s="1231">
        <f>+'T-1'!S40</f>
        <v>14.5</v>
      </c>
      <c r="N36" s="1365"/>
      <c r="O36" s="893"/>
      <c r="P36" s="505"/>
      <c r="Q36" s="505"/>
      <c r="R36" s="505"/>
      <c r="S36" s="505"/>
      <c r="T36" s="505"/>
      <c r="U36" s="505"/>
      <c r="V36" s="505"/>
      <c r="W36" s="505"/>
      <c r="X36" s="505"/>
      <c r="Y36" s="505"/>
      <c r="Z36" s="505"/>
      <c r="AA36" s="505"/>
      <c r="AB36" s="505"/>
      <c r="AC36" s="505"/>
      <c r="AD36" s="505"/>
      <c r="AE36" s="505"/>
      <c r="AF36" s="505"/>
      <c r="AG36" s="505"/>
      <c r="AH36" s="505"/>
      <c r="AI36" s="505"/>
      <c r="AJ36" s="505"/>
      <c r="AK36" s="505"/>
      <c r="AL36" s="505"/>
      <c r="AM36" s="505"/>
      <c r="AN36" s="505"/>
      <c r="AO36" s="505"/>
      <c r="AP36" s="505"/>
      <c r="AQ36" s="505"/>
      <c r="AR36" s="505"/>
      <c r="AS36" s="505"/>
      <c r="AT36" s="505"/>
      <c r="AU36" s="505"/>
      <c r="AV36" s="505"/>
      <c r="AW36" s="505"/>
      <c r="AX36" s="505"/>
      <c r="AY36" s="505"/>
      <c r="AZ36" s="505"/>
      <c r="BA36" s="505"/>
      <c r="BB36" s="505"/>
      <c r="BC36" s="505"/>
      <c r="BD36" s="505"/>
      <c r="BE36" s="505"/>
      <c r="BF36" s="505"/>
      <c r="BG36" s="505"/>
      <c r="BH36" s="505"/>
      <c r="BI36" s="505"/>
      <c r="BJ36" s="505"/>
      <c r="BK36" s="505"/>
      <c r="BL36" s="505"/>
      <c r="BM36" s="505"/>
      <c r="BN36" s="505"/>
      <c r="BO36" s="505"/>
      <c r="BP36" s="505"/>
      <c r="BQ36" s="505"/>
      <c r="BR36" s="505"/>
      <c r="BS36" s="505"/>
      <c r="BT36" s="505"/>
      <c r="BU36" s="505"/>
      <c r="BV36" s="505"/>
      <c r="BW36" s="505"/>
      <c r="BX36" s="505"/>
      <c r="BY36" s="505"/>
      <c r="BZ36" s="505"/>
      <c r="CA36" s="505"/>
      <c r="CB36" s="505"/>
      <c r="CC36" s="505"/>
      <c r="CD36" s="505"/>
      <c r="CE36" s="505"/>
      <c r="CF36" s="505"/>
      <c r="CG36" s="505"/>
      <c r="CH36" s="505"/>
      <c r="CI36" s="505"/>
      <c r="CJ36" s="505"/>
      <c r="CK36" s="505"/>
      <c r="CL36" s="505"/>
      <c r="CM36" s="505"/>
      <c r="CN36" s="505"/>
      <c r="CO36" s="505"/>
      <c r="CP36" s="505"/>
      <c r="CQ36" s="505"/>
      <c r="CR36" s="505"/>
      <c r="CS36" s="505"/>
      <c r="CT36" s="505"/>
      <c r="CU36" s="505"/>
      <c r="CV36" s="505"/>
      <c r="CW36" s="505"/>
      <c r="CX36" s="505"/>
    </row>
    <row r="37" spans="1:102" ht="20.100000000000001" customHeight="1">
      <c r="A37" s="1206">
        <v>15</v>
      </c>
      <c r="B37" s="62" t="s">
        <v>63</v>
      </c>
      <c r="C37" s="1222">
        <f>+'T-6'!H40</f>
        <v>34.640441599999996</v>
      </c>
      <c r="D37" s="1241">
        <v>0.74428400000000006</v>
      </c>
      <c r="E37" s="991">
        <v>0.87554200000000004</v>
      </c>
      <c r="F37" s="991">
        <v>0.33381999999999995</v>
      </c>
      <c r="G37" s="991">
        <v>0.24629100000000007</v>
      </c>
      <c r="H37" s="991">
        <v>4.1265799999999997</v>
      </c>
      <c r="I37" s="991">
        <v>4.2830973299999977</v>
      </c>
      <c r="J37" s="378">
        <f>'T-6 (six mth)'!H41</f>
        <v>10.609614329999999</v>
      </c>
      <c r="K37" s="378">
        <f t="shared" si="5"/>
        <v>1.768269055</v>
      </c>
      <c r="L37" s="1208">
        <f>+'T-1'!N41</f>
        <v>50</v>
      </c>
      <c r="M37" s="1231">
        <f>+'T-1'!S41</f>
        <v>60</v>
      </c>
      <c r="N37" s="1365"/>
      <c r="O37" s="893"/>
      <c r="P37" s="505"/>
      <c r="Q37" s="505"/>
      <c r="R37" s="505"/>
      <c r="S37" s="505"/>
      <c r="T37" s="505"/>
      <c r="U37" s="505"/>
      <c r="V37" s="505"/>
      <c r="W37" s="505"/>
      <c r="X37" s="505"/>
      <c r="Y37" s="505"/>
      <c r="Z37" s="505"/>
      <c r="AA37" s="505"/>
      <c r="AB37" s="505"/>
      <c r="AC37" s="505"/>
      <c r="AD37" s="505"/>
      <c r="AE37" s="505"/>
      <c r="AF37" s="505"/>
      <c r="AG37" s="505"/>
      <c r="AH37" s="505"/>
      <c r="AI37" s="505"/>
      <c r="AJ37" s="505"/>
      <c r="AK37" s="505"/>
      <c r="AL37" s="505"/>
      <c r="AM37" s="505"/>
      <c r="AN37" s="505"/>
      <c r="AO37" s="505"/>
      <c r="AP37" s="505"/>
      <c r="AQ37" s="505"/>
      <c r="AR37" s="505"/>
      <c r="AS37" s="505"/>
      <c r="AT37" s="505"/>
      <c r="AU37" s="505"/>
      <c r="AV37" s="505"/>
      <c r="AW37" s="505"/>
      <c r="AX37" s="505"/>
      <c r="AY37" s="505"/>
      <c r="AZ37" s="505"/>
      <c r="BA37" s="505"/>
      <c r="BB37" s="505"/>
      <c r="BC37" s="505"/>
      <c r="BD37" s="505"/>
      <c r="BE37" s="505"/>
      <c r="BF37" s="505"/>
      <c r="BG37" s="505"/>
      <c r="BH37" s="505"/>
      <c r="BI37" s="505"/>
      <c r="BJ37" s="505"/>
      <c r="BK37" s="505"/>
      <c r="BL37" s="505"/>
      <c r="BM37" s="505"/>
      <c r="BN37" s="505"/>
      <c r="BO37" s="505"/>
      <c r="BP37" s="505"/>
      <c r="BQ37" s="505"/>
      <c r="BR37" s="505"/>
      <c r="BS37" s="505"/>
      <c r="BT37" s="505"/>
      <c r="BU37" s="505"/>
      <c r="BV37" s="505"/>
      <c r="BW37" s="505"/>
      <c r="BX37" s="505"/>
      <c r="BY37" s="505"/>
      <c r="BZ37" s="505"/>
      <c r="CA37" s="505"/>
      <c r="CB37" s="505"/>
      <c r="CC37" s="505"/>
      <c r="CD37" s="505"/>
      <c r="CE37" s="505"/>
      <c r="CF37" s="505"/>
      <c r="CG37" s="505"/>
      <c r="CH37" s="505"/>
      <c r="CI37" s="505"/>
      <c r="CJ37" s="505"/>
      <c r="CK37" s="505"/>
      <c r="CL37" s="505"/>
      <c r="CM37" s="505"/>
      <c r="CN37" s="505"/>
      <c r="CO37" s="505"/>
      <c r="CP37" s="505"/>
      <c r="CQ37" s="505"/>
      <c r="CR37" s="505"/>
      <c r="CS37" s="505"/>
      <c r="CT37" s="505"/>
      <c r="CU37" s="505"/>
      <c r="CV37" s="505"/>
      <c r="CW37" s="505"/>
      <c r="CX37" s="505"/>
    </row>
    <row r="38" spans="1:102" ht="20.100000000000001" customHeight="1">
      <c r="A38" s="1206">
        <v>16</v>
      </c>
      <c r="B38" s="62" t="s">
        <v>64</v>
      </c>
      <c r="C38" s="1222">
        <f>+'T-6'!H41</f>
        <v>3.6294979999999994</v>
      </c>
      <c r="D38" s="1241">
        <v>0.29329100000000002</v>
      </c>
      <c r="E38" s="991">
        <v>0.39989850000000005</v>
      </c>
      <c r="F38" s="991">
        <v>0.49168400000000001</v>
      </c>
      <c r="G38" s="991">
        <v>0.38746900000000001</v>
      </c>
      <c r="H38" s="991">
        <v>0.35800599999999999</v>
      </c>
      <c r="I38" s="991">
        <v>0.32306800000000002</v>
      </c>
      <c r="J38" s="378">
        <f>'T-6 (six mth)'!H42</f>
        <v>2.2534164999999997</v>
      </c>
      <c r="K38" s="378">
        <f t="shared" si="5"/>
        <v>0.3755694166666666</v>
      </c>
      <c r="L38" s="1208">
        <f>+'T-1'!N42</f>
        <v>4.5</v>
      </c>
      <c r="M38" s="1231">
        <f>+'T-1'!S42</f>
        <v>5</v>
      </c>
      <c r="N38" s="1365"/>
      <c r="O38" s="893"/>
      <c r="P38" s="505"/>
      <c r="Q38" s="505"/>
      <c r="R38" s="505"/>
      <c r="S38" s="505"/>
      <c r="T38" s="505"/>
      <c r="U38" s="505"/>
      <c r="V38" s="505"/>
      <c r="W38" s="505"/>
      <c r="X38" s="505"/>
      <c r="Y38" s="505"/>
      <c r="Z38" s="505"/>
      <c r="AA38" s="505"/>
      <c r="AB38" s="505"/>
      <c r="AC38" s="505"/>
      <c r="AD38" s="505"/>
      <c r="AE38" s="505"/>
      <c r="AF38" s="505"/>
      <c r="AG38" s="505"/>
      <c r="AH38" s="505"/>
      <c r="AI38" s="505"/>
      <c r="AJ38" s="505"/>
      <c r="AK38" s="505"/>
      <c r="AL38" s="505"/>
      <c r="AM38" s="505"/>
      <c r="AN38" s="505"/>
      <c r="AO38" s="505"/>
      <c r="AP38" s="505"/>
      <c r="AQ38" s="505"/>
      <c r="AR38" s="505"/>
      <c r="AS38" s="505"/>
      <c r="AT38" s="505"/>
      <c r="AU38" s="505"/>
      <c r="AV38" s="505"/>
      <c r="AW38" s="505"/>
      <c r="AX38" s="505"/>
      <c r="AY38" s="505"/>
      <c r="AZ38" s="505"/>
      <c r="BA38" s="505"/>
      <c r="BB38" s="505"/>
      <c r="BC38" s="505"/>
      <c r="BD38" s="505"/>
      <c r="BE38" s="505"/>
      <c r="BF38" s="505"/>
      <c r="BG38" s="505"/>
      <c r="BH38" s="505"/>
      <c r="BI38" s="505"/>
      <c r="BJ38" s="505"/>
      <c r="BK38" s="505"/>
      <c r="BL38" s="505"/>
      <c r="BM38" s="505"/>
      <c r="BN38" s="505"/>
      <c r="BO38" s="505"/>
      <c r="BP38" s="505"/>
      <c r="BQ38" s="505"/>
      <c r="BR38" s="505"/>
      <c r="BS38" s="505"/>
      <c r="BT38" s="505"/>
      <c r="BU38" s="505"/>
      <c r="BV38" s="505"/>
      <c r="BW38" s="505"/>
      <c r="BX38" s="505"/>
      <c r="BY38" s="505"/>
      <c r="BZ38" s="505"/>
      <c r="CA38" s="505"/>
      <c r="CB38" s="505"/>
      <c r="CC38" s="505"/>
      <c r="CD38" s="505"/>
      <c r="CE38" s="505"/>
      <c r="CF38" s="505"/>
      <c r="CG38" s="505"/>
      <c r="CH38" s="505"/>
      <c r="CI38" s="505"/>
      <c r="CJ38" s="505"/>
      <c r="CK38" s="505"/>
      <c r="CL38" s="505"/>
      <c r="CM38" s="505"/>
      <c r="CN38" s="505"/>
      <c r="CO38" s="505"/>
      <c r="CP38" s="505"/>
      <c r="CQ38" s="505"/>
      <c r="CR38" s="505"/>
      <c r="CS38" s="505"/>
      <c r="CT38" s="505"/>
      <c r="CU38" s="505"/>
      <c r="CV38" s="505"/>
      <c r="CW38" s="505"/>
      <c r="CX38" s="505"/>
    </row>
    <row r="39" spans="1:102" ht="20.100000000000001" customHeight="1">
      <c r="A39" s="1206">
        <v>17</v>
      </c>
      <c r="B39" s="62" t="s">
        <v>65</v>
      </c>
      <c r="C39" s="1222">
        <f>+'T-6'!H42</f>
        <v>4.7194184999999997</v>
      </c>
      <c r="D39" s="1241">
        <v>0.51913900000000002</v>
      </c>
      <c r="E39" s="991">
        <v>0.60307999999999995</v>
      </c>
      <c r="F39" s="991">
        <v>0.65934899999999996</v>
      </c>
      <c r="G39" s="991">
        <v>0.57588300000000003</v>
      </c>
      <c r="H39" s="991">
        <v>0.48108600000000001</v>
      </c>
      <c r="I39" s="991">
        <v>0.46399999999999997</v>
      </c>
      <c r="J39" s="378">
        <f>'T-6 (six mth)'!H43</f>
        <v>3.3025370000000009</v>
      </c>
      <c r="K39" s="378">
        <f t="shared" si="5"/>
        <v>0.55042283333333353</v>
      </c>
      <c r="L39" s="1208">
        <f>+'T-1'!N43</f>
        <v>7</v>
      </c>
      <c r="M39" s="1231">
        <f>+'T-1'!S43</f>
        <v>7.2</v>
      </c>
      <c r="N39" s="1365"/>
      <c r="O39" s="893"/>
      <c r="P39" s="505"/>
      <c r="Q39" s="505"/>
      <c r="R39" s="505"/>
      <c r="S39" s="505"/>
      <c r="T39" s="505"/>
      <c r="U39" s="505"/>
      <c r="V39" s="505"/>
      <c r="W39" s="505"/>
      <c r="X39" s="505"/>
      <c r="Y39" s="505"/>
      <c r="Z39" s="505"/>
      <c r="AA39" s="505"/>
      <c r="AB39" s="505"/>
      <c r="AC39" s="505"/>
      <c r="AD39" s="505"/>
      <c r="AE39" s="505"/>
      <c r="AF39" s="505"/>
      <c r="AG39" s="505"/>
      <c r="AH39" s="505"/>
      <c r="AI39" s="505"/>
      <c r="AJ39" s="505"/>
      <c r="AK39" s="505"/>
      <c r="AL39" s="505"/>
      <c r="AM39" s="505"/>
      <c r="AN39" s="505"/>
      <c r="AO39" s="505"/>
      <c r="AP39" s="505"/>
      <c r="AQ39" s="505"/>
      <c r="AR39" s="505"/>
      <c r="AS39" s="505"/>
      <c r="AT39" s="505"/>
      <c r="AU39" s="505"/>
      <c r="AV39" s="505"/>
      <c r="AW39" s="505"/>
      <c r="AX39" s="505"/>
      <c r="AY39" s="505"/>
      <c r="AZ39" s="505"/>
      <c r="BA39" s="505"/>
      <c r="BB39" s="505"/>
      <c r="BC39" s="505"/>
      <c r="BD39" s="505"/>
      <c r="BE39" s="505"/>
      <c r="BF39" s="505"/>
      <c r="BG39" s="505"/>
      <c r="BH39" s="505"/>
      <c r="BI39" s="505"/>
      <c r="BJ39" s="505"/>
      <c r="BK39" s="505"/>
      <c r="BL39" s="505"/>
      <c r="BM39" s="505"/>
      <c r="BN39" s="505"/>
      <c r="BO39" s="505"/>
      <c r="BP39" s="505"/>
      <c r="BQ39" s="505"/>
      <c r="BR39" s="505"/>
      <c r="BS39" s="505"/>
      <c r="BT39" s="505"/>
      <c r="BU39" s="505"/>
      <c r="BV39" s="505"/>
      <c r="BW39" s="505"/>
      <c r="BX39" s="505"/>
      <c r="BY39" s="505"/>
      <c r="BZ39" s="505"/>
      <c r="CA39" s="505"/>
      <c r="CB39" s="505"/>
      <c r="CC39" s="505"/>
      <c r="CD39" s="505"/>
      <c r="CE39" s="505"/>
      <c r="CF39" s="505"/>
      <c r="CG39" s="505"/>
      <c r="CH39" s="505"/>
      <c r="CI39" s="505"/>
      <c r="CJ39" s="505"/>
      <c r="CK39" s="505"/>
      <c r="CL39" s="505"/>
      <c r="CM39" s="505"/>
      <c r="CN39" s="505"/>
      <c r="CO39" s="505"/>
      <c r="CP39" s="505"/>
      <c r="CQ39" s="505"/>
      <c r="CR39" s="505"/>
      <c r="CS39" s="505"/>
      <c r="CT39" s="505"/>
      <c r="CU39" s="505"/>
      <c r="CV39" s="505"/>
      <c r="CW39" s="505"/>
      <c r="CX39" s="505"/>
    </row>
    <row r="40" spans="1:102" ht="20.100000000000001" customHeight="1">
      <c r="A40" s="1206">
        <v>18</v>
      </c>
      <c r="B40" s="62" t="s">
        <v>78</v>
      </c>
      <c r="C40" s="1222">
        <f>+'T-6'!H43</f>
        <v>21.529943450000001</v>
      </c>
      <c r="D40" s="1241">
        <f>2.49915425-0.18327945</f>
        <v>2.3158748</v>
      </c>
      <c r="E40" s="991">
        <f>3.3773244-0.1664787</f>
        <v>3.2108457000000001</v>
      </c>
      <c r="F40" s="991">
        <f>3.338988621-0.15624225</f>
        <v>3.1827463709999999</v>
      </c>
      <c r="G40" s="991">
        <f>3.077828-0.15071055</f>
        <v>2.9271174499999999</v>
      </c>
      <c r="H40" s="991">
        <f>3.097332-0.15644145</f>
        <v>2.9408905500000002</v>
      </c>
      <c r="I40" s="991">
        <f>3.0987982-0.1177476</f>
        <v>2.9810506000000001</v>
      </c>
      <c r="J40" s="378">
        <f>'T-6 (six mth)'!H44</f>
        <v>17.558525470999999</v>
      </c>
      <c r="K40" s="378">
        <f t="shared" si="5"/>
        <v>2.9264209118333331</v>
      </c>
      <c r="L40" s="1208">
        <f>+'T-1'!N44</f>
        <v>35</v>
      </c>
      <c r="M40" s="1231">
        <f>+'T-1'!S44</f>
        <v>36</v>
      </c>
      <c r="N40" s="1365"/>
      <c r="O40" s="929"/>
      <c r="P40" s="505"/>
      <c r="Q40" s="505"/>
      <c r="R40" s="505"/>
      <c r="S40" s="505"/>
      <c r="T40" s="505"/>
      <c r="U40" s="505"/>
      <c r="V40" s="505"/>
      <c r="W40" s="505"/>
      <c r="X40" s="505"/>
      <c r="Y40" s="505"/>
      <c r="Z40" s="505"/>
      <c r="AA40" s="505"/>
      <c r="AB40" s="505"/>
      <c r="AC40" s="505"/>
      <c r="AD40" s="505"/>
      <c r="AE40" s="505"/>
      <c r="AF40" s="505"/>
      <c r="AG40" s="505"/>
      <c r="AH40" s="505"/>
      <c r="AI40" s="505"/>
      <c r="AJ40" s="505"/>
      <c r="AK40" s="505"/>
      <c r="AL40" s="505"/>
      <c r="AM40" s="505"/>
      <c r="AN40" s="505"/>
      <c r="AO40" s="505"/>
      <c r="AP40" s="505"/>
      <c r="AQ40" s="505"/>
      <c r="AR40" s="505"/>
      <c r="AS40" s="505"/>
      <c r="AT40" s="505"/>
      <c r="AU40" s="505"/>
      <c r="AV40" s="505"/>
      <c r="AW40" s="505"/>
      <c r="AX40" s="505"/>
      <c r="AY40" s="505"/>
      <c r="AZ40" s="505"/>
      <c r="BA40" s="505"/>
      <c r="BB40" s="505"/>
      <c r="BC40" s="505"/>
      <c r="BD40" s="505"/>
      <c r="BE40" s="505"/>
      <c r="BF40" s="505"/>
      <c r="BG40" s="505"/>
      <c r="BH40" s="505"/>
      <c r="BI40" s="505"/>
      <c r="BJ40" s="505"/>
      <c r="BK40" s="505"/>
      <c r="BL40" s="505"/>
      <c r="BM40" s="505"/>
      <c r="BN40" s="505"/>
      <c r="BO40" s="505"/>
      <c r="BP40" s="505"/>
      <c r="BQ40" s="505"/>
      <c r="BR40" s="505"/>
      <c r="BS40" s="505"/>
      <c r="BT40" s="505"/>
      <c r="BU40" s="505"/>
      <c r="BV40" s="505"/>
      <c r="BW40" s="505"/>
      <c r="BX40" s="505"/>
      <c r="BY40" s="505"/>
      <c r="BZ40" s="505"/>
      <c r="CA40" s="505"/>
      <c r="CB40" s="505"/>
      <c r="CC40" s="505"/>
      <c r="CD40" s="505"/>
      <c r="CE40" s="505"/>
      <c r="CF40" s="505"/>
      <c r="CG40" s="505"/>
      <c r="CH40" s="505"/>
      <c r="CI40" s="505"/>
      <c r="CJ40" s="505"/>
      <c r="CK40" s="505"/>
      <c r="CL40" s="505"/>
      <c r="CM40" s="505"/>
      <c r="CN40" s="505"/>
      <c r="CO40" s="505"/>
      <c r="CP40" s="505"/>
      <c r="CQ40" s="505"/>
      <c r="CR40" s="505"/>
      <c r="CS40" s="505"/>
      <c r="CT40" s="505"/>
      <c r="CU40" s="505"/>
      <c r="CV40" s="505"/>
      <c r="CW40" s="505"/>
      <c r="CX40" s="505"/>
    </row>
    <row r="41" spans="1:102" ht="20.100000000000001" customHeight="1">
      <c r="A41" s="1206">
        <v>19</v>
      </c>
      <c r="B41" s="62" t="s">
        <v>189</v>
      </c>
      <c r="C41" s="1224">
        <f>+'T-6'!H44</f>
        <v>0</v>
      </c>
      <c r="D41" s="1241">
        <v>1.9347E-2</v>
      </c>
      <c r="E41" s="991">
        <v>1.3535999999999999E-2</v>
      </c>
      <c r="F41" s="991">
        <v>1.4589E-2</v>
      </c>
      <c r="G41" s="991">
        <v>1.8065999999999999E-2</v>
      </c>
      <c r="H41" s="991">
        <v>1.9074000000000001E-2</v>
      </c>
      <c r="I41" s="991">
        <v>1.6775999999999999E-2</v>
      </c>
      <c r="J41" s="378">
        <f>'T-6 (six mth)'!H45</f>
        <v>0.10138800000000001</v>
      </c>
      <c r="K41" s="378">
        <f t="shared" si="5"/>
        <v>1.6898E-2</v>
      </c>
      <c r="L41" s="1210">
        <f>+'T-1'!N45</f>
        <v>0.2</v>
      </c>
      <c r="M41" s="1233">
        <f>+'T-1'!S45</f>
        <v>0.1</v>
      </c>
      <c r="N41" s="1365"/>
      <c r="O41" s="893"/>
      <c r="P41" s="505"/>
      <c r="Q41" s="505"/>
      <c r="R41" s="505"/>
      <c r="S41" s="505"/>
      <c r="T41" s="505"/>
      <c r="U41" s="505"/>
      <c r="V41" s="505"/>
      <c r="W41" s="505"/>
      <c r="X41" s="505"/>
      <c r="Y41" s="505"/>
      <c r="Z41" s="505"/>
      <c r="AA41" s="505"/>
      <c r="AB41" s="505"/>
      <c r="AC41" s="505"/>
      <c r="AD41" s="505"/>
      <c r="AE41" s="505"/>
      <c r="AF41" s="505"/>
      <c r="AG41" s="505"/>
      <c r="AH41" s="505"/>
      <c r="AI41" s="505"/>
      <c r="AJ41" s="505"/>
      <c r="AK41" s="505"/>
      <c r="AL41" s="505"/>
      <c r="AM41" s="505"/>
      <c r="AN41" s="505"/>
      <c r="AO41" s="505"/>
      <c r="AP41" s="505"/>
      <c r="AQ41" s="505"/>
      <c r="AR41" s="505"/>
      <c r="AS41" s="505"/>
      <c r="AT41" s="505"/>
      <c r="AU41" s="505"/>
      <c r="AV41" s="505"/>
      <c r="AW41" s="505"/>
      <c r="AX41" s="505"/>
      <c r="AY41" s="505"/>
      <c r="AZ41" s="505"/>
      <c r="BA41" s="505"/>
      <c r="BB41" s="505"/>
      <c r="BC41" s="505"/>
      <c r="BD41" s="505"/>
      <c r="BE41" s="505"/>
      <c r="BF41" s="505"/>
      <c r="BG41" s="505"/>
      <c r="BH41" s="505"/>
      <c r="BI41" s="505"/>
      <c r="BJ41" s="505"/>
      <c r="BK41" s="505"/>
      <c r="BL41" s="505"/>
      <c r="BM41" s="505"/>
      <c r="BN41" s="505"/>
      <c r="BO41" s="505"/>
      <c r="BP41" s="505"/>
      <c r="BQ41" s="505"/>
      <c r="BR41" s="505"/>
      <c r="BS41" s="505"/>
      <c r="BT41" s="505"/>
      <c r="BU41" s="505"/>
      <c r="BV41" s="505"/>
      <c r="BW41" s="505"/>
      <c r="BX41" s="505"/>
      <c r="BY41" s="505"/>
      <c r="BZ41" s="505"/>
      <c r="CA41" s="505"/>
      <c r="CB41" s="505"/>
      <c r="CC41" s="505"/>
      <c r="CD41" s="505"/>
      <c r="CE41" s="505"/>
      <c r="CF41" s="505"/>
      <c r="CG41" s="505"/>
      <c r="CH41" s="505"/>
      <c r="CI41" s="505"/>
      <c r="CJ41" s="505"/>
      <c r="CK41" s="505"/>
      <c r="CL41" s="505"/>
      <c r="CM41" s="505"/>
      <c r="CN41" s="505"/>
      <c r="CO41" s="505"/>
      <c r="CP41" s="505"/>
      <c r="CQ41" s="505"/>
      <c r="CR41" s="505"/>
      <c r="CS41" s="505"/>
      <c r="CT41" s="505"/>
      <c r="CU41" s="505"/>
      <c r="CV41" s="505"/>
      <c r="CW41" s="505"/>
      <c r="CX41" s="505"/>
    </row>
    <row r="42" spans="1:102" ht="20.100000000000001" customHeight="1">
      <c r="A42" s="1206">
        <v>20</v>
      </c>
      <c r="B42" s="62" t="s">
        <v>190</v>
      </c>
      <c r="C42" s="1222">
        <f>+'T-6'!H45</f>
        <v>128.14765196580004</v>
      </c>
      <c r="D42" s="1241">
        <v>12.170770249999999</v>
      </c>
      <c r="E42" s="991">
        <v>14.351739125</v>
      </c>
      <c r="F42" s="991">
        <v>14.835032700000005</v>
      </c>
      <c r="G42" s="991">
        <v>14.447126499999998</v>
      </c>
      <c r="H42" s="991">
        <v>13.910407000000001</v>
      </c>
      <c r="I42" s="991">
        <v>12.954503799999999</v>
      </c>
      <c r="J42" s="378">
        <f>'T-6 (six mth)'!H46</f>
        <v>82.669579374999998</v>
      </c>
      <c r="K42" s="378">
        <f>+J42/6</f>
        <v>13.778263229166667</v>
      </c>
      <c r="L42" s="1208">
        <f>+'T-1'!N46</f>
        <v>160</v>
      </c>
      <c r="M42" s="1231">
        <f>+'T-1'!S46</f>
        <v>168</v>
      </c>
      <c r="N42" s="1365"/>
      <c r="O42" s="893"/>
      <c r="P42" s="505"/>
      <c r="Q42" s="505"/>
      <c r="R42" s="565"/>
      <c r="S42" s="505"/>
      <c r="T42" s="505"/>
      <c r="U42" s="505"/>
      <c r="V42" s="505"/>
      <c r="W42" s="505"/>
      <c r="X42" s="505"/>
      <c r="Y42" s="505"/>
      <c r="Z42" s="505"/>
      <c r="AA42" s="505"/>
      <c r="AB42" s="505"/>
      <c r="AC42" s="505"/>
      <c r="AD42" s="505"/>
      <c r="AE42" s="505"/>
      <c r="AF42" s="505"/>
      <c r="AG42" s="505"/>
      <c r="AH42" s="505"/>
      <c r="AI42" s="505"/>
      <c r="AJ42" s="505"/>
      <c r="AK42" s="505"/>
      <c r="AL42" s="505"/>
      <c r="AM42" s="505"/>
      <c r="AN42" s="505"/>
      <c r="AO42" s="505"/>
      <c r="AP42" s="505"/>
      <c r="AQ42" s="505"/>
      <c r="AR42" s="505"/>
      <c r="AS42" s="505"/>
      <c r="AT42" s="505"/>
      <c r="AU42" s="505"/>
      <c r="AV42" s="505"/>
      <c r="AW42" s="505"/>
      <c r="AX42" s="505"/>
      <c r="AY42" s="505"/>
      <c r="AZ42" s="505"/>
      <c r="BA42" s="505"/>
      <c r="BB42" s="505"/>
      <c r="BC42" s="505"/>
      <c r="BD42" s="505"/>
      <c r="BE42" s="505"/>
      <c r="BF42" s="505"/>
      <c r="BG42" s="505"/>
      <c r="BH42" s="505"/>
      <c r="BI42" s="505"/>
      <c r="BJ42" s="505"/>
      <c r="BK42" s="505"/>
      <c r="BL42" s="505"/>
      <c r="BM42" s="505"/>
      <c r="BN42" s="505"/>
      <c r="BO42" s="505"/>
      <c r="BP42" s="505"/>
      <c r="BQ42" s="505"/>
      <c r="BR42" s="505"/>
      <c r="BS42" s="505"/>
      <c r="BT42" s="505"/>
      <c r="BU42" s="505"/>
      <c r="BV42" s="505"/>
      <c r="BW42" s="505"/>
      <c r="BX42" s="505"/>
      <c r="BY42" s="505"/>
      <c r="BZ42" s="505"/>
      <c r="CA42" s="505"/>
      <c r="CB42" s="505"/>
      <c r="CC42" s="505"/>
      <c r="CD42" s="505"/>
      <c r="CE42" s="505"/>
      <c r="CF42" s="505"/>
      <c r="CG42" s="505"/>
      <c r="CH42" s="505"/>
      <c r="CI42" s="505"/>
      <c r="CJ42" s="505"/>
      <c r="CK42" s="505"/>
      <c r="CL42" s="505"/>
      <c r="CM42" s="505"/>
      <c r="CN42" s="505"/>
      <c r="CO42" s="505"/>
      <c r="CP42" s="505"/>
      <c r="CQ42" s="505"/>
      <c r="CR42" s="505"/>
      <c r="CS42" s="505"/>
      <c r="CT42" s="505"/>
      <c r="CU42" s="505"/>
      <c r="CV42" s="505"/>
      <c r="CW42" s="505"/>
      <c r="CX42" s="505"/>
    </row>
    <row r="43" spans="1:102" ht="20.100000000000001" customHeight="1">
      <c r="A43" s="1206">
        <v>21</v>
      </c>
      <c r="B43" s="62" t="s">
        <v>191</v>
      </c>
      <c r="C43" s="1224">
        <f>+'T-6'!H46</f>
        <v>0</v>
      </c>
      <c r="D43" s="1244">
        <v>0</v>
      </c>
      <c r="E43" s="996">
        <v>0</v>
      </c>
      <c r="F43" s="996">
        <v>0</v>
      </c>
      <c r="G43" s="996">
        <v>0</v>
      </c>
      <c r="H43" s="996">
        <v>0</v>
      </c>
      <c r="I43" s="996">
        <v>0</v>
      </c>
      <c r="J43" s="401">
        <f>'T-6 (six mth)'!H47</f>
        <v>0</v>
      </c>
      <c r="K43" s="401">
        <f t="shared" si="5"/>
        <v>0</v>
      </c>
      <c r="L43" s="1210">
        <f>+'T-1'!N47</f>
        <v>0</v>
      </c>
      <c r="M43" s="1233">
        <f>+'T-1'!S47</f>
        <v>0</v>
      </c>
      <c r="N43" s="1365"/>
      <c r="O43" s="929"/>
      <c r="P43" s="505"/>
      <c r="Q43" s="505"/>
      <c r="R43" s="505"/>
      <c r="S43" s="505"/>
      <c r="T43" s="505"/>
      <c r="U43" s="505"/>
      <c r="V43" s="505"/>
      <c r="W43" s="505"/>
      <c r="X43" s="505"/>
      <c r="Y43" s="505"/>
      <c r="Z43" s="505"/>
      <c r="AA43" s="505"/>
      <c r="AB43" s="505"/>
      <c r="AC43" s="505"/>
      <c r="AD43" s="505"/>
      <c r="AE43" s="505"/>
      <c r="AF43" s="505"/>
      <c r="AG43" s="505"/>
      <c r="AH43" s="505"/>
      <c r="AI43" s="505"/>
      <c r="AJ43" s="505"/>
      <c r="AK43" s="505"/>
      <c r="AL43" s="505"/>
      <c r="AM43" s="505"/>
      <c r="AN43" s="505"/>
      <c r="AO43" s="505"/>
      <c r="AP43" s="505"/>
      <c r="AQ43" s="505"/>
      <c r="AR43" s="505"/>
      <c r="AS43" s="505"/>
      <c r="AT43" s="505"/>
      <c r="AU43" s="505"/>
      <c r="AV43" s="505"/>
      <c r="AW43" s="505"/>
      <c r="AX43" s="505"/>
      <c r="AY43" s="505"/>
      <c r="AZ43" s="505"/>
      <c r="BA43" s="505"/>
      <c r="BB43" s="505"/>
      <c r="BC43" s="505"/>
      <c r="BD43" s="505"/>
      <c r="BE43" s="505"/>
      <c r="BF43" s="505"/>
      <c r="BG43" s="505"/>
      <c r="BH43" s="505"/>
      <c r="BI43" s="505"/>
      <c r="BJ43" s="505"/>
      <c r="BK43" s="505"/>
      <c r="BL43" s="505"/>
      <c r="BM43" s="505"/>
      <c r="BN43" s="505"/>
      <c r="BO43" s="505"/>
      <c r="BP43" s="505"/>
      <c r="BQ43" s="505"/>
      <c r="BR43" s="505"/>
      <c r="BS43" s="505"/>
      <c r="BT43" s="505"/>
      <c r="BU43" s="505"/>
      <c r="BV43" s="505"/>
      <c r="BW43" s="505"/>
      <c r="BX43" s="505"/>
      <c r="BY43" s="505"/>
      <c r="BZ43" s="505"/>
      <c r="CA43" s="505"/>
      <c r="CB43" s="505"/>
      <c r="CC43" s="505"/>
      <c r="CD43" s="505"/>
      <c r="CE43" s="505"/>
      <c r="CF43" s="505"/>
      <c r="CG43" s="505"/>
      <c r="CH43" s="505"/>
      <c r="CI43" s="505"/>
      <c r="CJ43" s="505"/>
      <c r="CK43" s="505"/>
      <c r="CL43" s="505"/>
      <c r="CM43" s="505"/>
      <c r="CN43" s="505"/>
      <c r="CO43" s="505"/>
      <c r="CP43" s="505"/>
      <c r="CQ43" s="505"/>
      <c r="CR43" s="505"/>
      <c r="CS43" s="505"/>
      <c r="CT43" s="505"/>
      <c r="CU43" s="505"/>
      <c r="CV43" s="505"/>
      <c r="CW43" s="505"/>
      <c r="CX43" s="505"/>
    </row>
    <row r="44" spans="1:102" ht="20.100000000000001" customHeight="1">
      <c r="A44" s="1206">
        <v>22</v>
      </c>
      <c r="B44" s="62" t="s">
        <v>192</v>
      </c>
      <c r="C44" s="1222">
        <f>+'T-6'!H47</f>
        <v>33.402508919999995</v>
      </c>
      <c r="D44" s="1241">
        <v>3.3903187999999997</v>
      </c>
      <c r="E44" s="991">
        <v>3.444013</v>
      </c>
      <c r="F44" s="991">
        <v>3.6480754200000005</v>
      </c>
      <c r="G44" s="991">
        <v>3.4671499999999997</v>
      </c>
      <c r="H44" s="991">
        <v>3.6039420000000004</v>
      </c>
      <c r="I44" s="991">
        <v>3.68222</v>
      </c>
      <c r="J44" s="378">
        <f>'T-6 (six mth)'!H48</f>
        <v>21.23571922</v>
      </c>
      <c r="K44" s="378">
        <f t="shared" si="5"/>
        <v>3.5392865366666668</v>
      </c>
      <c r="L44" s="1208">
        <f>+'T-1'!N48</f>
        <v>42</v>
      </c>
      <c r="M44" s="1231">
        <f>+'T-1'!S48</f>
        <v>43</v>
      </c>
      <c r="N44" s="1365"/>
      <c r="O44" s="893"/>
      <c r="P44" s="505"/>
      <c r="Q44" s="505"/>
      <c r="R44" s="505"/>
      <c r="S44" s="505"/>
      <c r="T44" s="505"/>
      <c r="U44" s="505"/>
      <c r="V44" s="505"/>
      <c r="W44" s="505"/>
      <c r="X44" s="505"/>
      <c r="Y44" s="505"/>
      <c r="Z44" s="505"/>
      <c r="AA44" s="505"/>
      <c r="AB44" s="505"/>
      <c r="AC44" s="505"/>
      <c r="AD44" s="505"/>
      <c r="AE44" s="505"/>
      <c r="AF44" s="505"/>
      <c r="AG44" s="505"/>
      <c r="AH44" s="505"/>
      <c r="AI44" s="505"/>
      <c r="AJ44" s="505"/>
      <c r="AK44" s="505"/>
      <c r="AL44" s="505"/>
      <c r="AM44" s="505"/>
      <c r="AN44" s="505"/>
      <c r="AO44" s="505"/>
      <c r="AP44" s="505"/>
      <c r="AQ44" s="505"/>
      <c r="AR44" s="505"/>
      <c r="AS44" s="505"/>
      <c r="AT44" s="505"/>
      <c r="AU44" s="505"/>
      <c r="AV44" s="505"/>
      <c r="AW44" s="505"/>
      <c r="AX44" s="505"/>
      <c r="AY44" s="505"/>
      <c r="AZ44" s="505"/>
      <c r="BA44" s="505"/>
      <c r="BB44" s="505"/>
      <c r="BC44" s="505"/>
      <c r="BD44" s="505"/>
      <c r="BE44" s="505"/>
      <c r="BF44" s="505"/>
      <c r="BG44" s="505"/>
      <c r="BH44" s="505"/>
      <c r="BI44" s="505"/>
      <c r="BJ44" s="505"/>
      <c r="BK44" s="505"/>
      <c r="BL44" s="505"/>
      <c r="BM44" s="505"/>
      <c r="BN44" s="505"/>
      <c r="BO44" s="505"/>
      <c r="BP44" s="505"/>
      <c r="BQ44" s="505"/>
      <c r="BR44" s="505"/>
      <c r="BS44" s="505"/>
      <c r="BT44" s="505"/>
      <c r="BU44" s="505"/>
      <c r="BV44" s="505"/>
      <c r="BW44" s="505"/>
      <c r="BX44" s="505"/>
      <c r="BY44" s="505"/>
      <c r="BZ44" s="505"/>
      <c r="CA44" s="505"/>
      <c r="CB44" s="505"/>
      <c r="CC44" s="505"/>
      <c r="CD44" s="505"/>
      <c r="CE44" s="505"/>
      <c r="CF44" s="505"/>
      <c r="CG44" s="505"/>
      <c r="CH44" s="505"/>
      <c r="CI44" s="505"/>
      <c r="CJ44" s="505"/>
      <c r="CK44" s="505"/>
      <c r="CL44" s="505"/>
      <c r="CM44" s="505"/>
      <c r="CN44" s="505"/>
      <c r="CO44" s="505"/>
      <c r="CP44" s="505"/>
      <c r="CQ44" s="505"/>
      <c r="CR44" s="505"/>
      <c r="CS44" s="505"/>
      <c r="CT44" s="505"/>
      <c r="CU44" s="505"/>
      <c r="CV44" s="505"/>
      <c r="CW44" s="505"/>
      <c r="CX44" s="505"/>
    </row>
    <row r="45" spans="1:102" ht="20.100000000000001" customHeight="1">
      <c r="A45" s="1206">
        <v>23</v>
      </c>
      <c r="B45" s="62" t="s">
        <v>73</v>
      </c>
      <c r="C45" s="1222">
        <f>+'T-6'!H48</f>
        <v>951.98521253900003</v>
      </c>
      <c r="D45" s="1241">
        <f>87.4855311-0.51520005</f>
        <v>86.970331049999999</v>
      </c>
      <c r="E45" s="991">
        <f>84.0806915399999-0.49933318</f>
        <v>83.581358359999911</v>
      </c>
      <c r="F45" s="991">
        <f>87.5226394783088-0.46803504</f>
        <v>87.0546044383088</v>
      </c>
      <c r="G45" s="991">
        <f>78.036277522-0.39006036</f>
        <v>77.646217161999999</v>
      </c>
      <c r="H45" s="991">
        <f>87.1633271123-0.4270388</f>
        <v>86.73628831229999</v>
      </c>
      <c r="I45" s="991">
        <f>84.1716653-0.360644569999999</f>
        <v>83.811020729999996</v>
      </c>
      <c r="J45" s="378">
        <f>'T-6 (six mth)'!H49</f>
        <v>500.79982005260905</v>
      </c>
      <c r="K45" s="378">
        <f t="shared" si="5"/>
        <v>83.466636675434842</v>
      </c>
      <c r="L45" s="1208">
        <f>+'T-1'!N49</f>
        <v>950.7</v>
      </c>
      <c r="M45" s="1231">
        <f>+'T-1'!S49</f>
        <v>985</v>
      </c>
      <c r="N45" s="1365"/>
      <c r="O45" s="931"/>
      <c r="P45" s="505"/>
      <c r="Q45" s="505"/>
      <c r="R45" s="505"/>
      <c r="S45" s="505"/>
      <c r="T45" s="505"/>
      <c r="U45" s="505"/>
      <c r="V45" s="505"/>
      <c r="W45" s="505"/>
      <c r="X45" s="505"/>
      <c r="Y45" s="505"/>
      <c r="Z45" s="505"/>
      <c r="AA45" s="505"/>
      <c r="AB45" s="505"/>
      <c r="AC45" s="505"/>
      <c r="AD45" s="505"/>
      <c r="AE45" s="505"/>
      <c r="AF45" s="505"/>
      <c r="AG45" s="505"/>
      <c r="AH45" s="505"/>
      <c r="AI45" s="505"/>
      <c r="AJ45" s="505"/>
      <c r="AK45" s="505"/>
      <c r="AL45" s="505"/>
      <c r="AM45" s="505"/>
      <c r="AN45" s="505"/>
      <c r="AO45" s="505"/>
      <c r="AP45" s="505"/>
      <c r="AQ45" s="505"/>
      <c r="AR45" s="505"/>
      <c r="AS45" s="505"/>
      <c r="AT45" s="505"/>
      <c r="AU45" s="505"/>
      <c r="AV45" s="505"/>
      <c r="AW45" s="505"/>
      <c r="AX45" s="505"/>
      <c r="AY45" s="505"/>
      <c r="AZ45" s="505"/>
      <c r="BA45" s="505"/>
      <c r="BB45" s="505"/>
      <c r="BC45" s="505"/>
      <c r="BD45" s="505"/>
      <c r="BE45" s="505"/>
      <c r="BF45" s="505"/>
      <c r="BG45" s="505"/>
      <c r="BH45" s="505"/>
      <c r="BI45" s="505"/>
      <c r="BJ45" s="505"/>
      <c r="BK45" s="505"/>
      <c r="BL45" s="505"/>
      <c r="BM45" s="505"/>
      <c r="BN45" s="505"/>
      <c r="BO45" s="505"/>
      <c r="BP45" s="505"/>
      <c r="BQ45" s="505"/>
      <c r="BR45" s="505"/>
      <c r="BS45" s="505"/>
      <c r="BT45" s="505"/>
      <c r="BU45" s="505"/>
      <c r="BV45" s="505"/>
      <c r="BW45" s="505"/>
      <c r="BX45" s="505"/>
      <c r="BY45" s="505"/>
      <c r="BZ45" s="505"/>
      <c r="CA45" s="505"/>
      <c r="CB45" s="505"/>
      <c r="CC45" s="505"/>
      <c r="CD45" s="505"/>
      <c r="CE45" s="505"/>
      <c r="CF45" s="505"/>
      <c r="CG45" s="505"/>
      <c r="CH45" s="505"/>
      <c r="CI45" s="505"/>
      <c r="CJ45" s="505"/>
      <c r="CK45" s="505"/>
      <c r="CL45" s="505"/>
      <c r="CM45" s="505"/>
      <c r="CN45" s="505"/>
      <c r="CO45" s="505"/>
      <c r="CP45" s="505"/>
      <c r="CQ45" s="505"/>
      <c r="CR45" s="505"/>
      <c r="CS45" s="505"/>
      <c r="CT45" s="505"/>
      <c r="CU45" s="505"/>
      <c r="CV45" s="505"/>
      <c r="CW45" s="505"/>
      <c r="CX45" s="505"/>
    </row>
    <row r="46" spans="1:102" ht="20.100000000000001" customHeight="1">
      <c r="A46" s="1206"/>
      <c r="B46" s="62" t="s">
        <v>2128</v>
      </c>
      <c r="C46" s="1222"/>
      <c r="D46" s="1241"/>
      <c r="E46" s="991"/>
      <c r="F46" s="991"/>
      <c r="G46" s="991"/>
      <c r="H46" s="991"/>
      <c r="I46" s="991"/>
      <c r="J46" s="378"/>
      <c r="K46" s="378"/>
      <c r="L46" s="1208">
        <f>+'T-1'!N50</f>
        <v>10</v>
      </c>
      <c r="M46" s="1231">
        <f>+'T-1'!S50</f>
        <v>15</v>
      </c>
      <c r="N46" s="1365"/>
      <c r="O46" s="931"/>
      <c r="P46" s="505"/>
      <c r="Q46" s="505"/>
      <c r="R46" s="505"/>
      <c r="S46" s="505"/>
      <c r="T46" s="505"/>
      <c r="U46" s="505"/>
      <c r="V46" s="505"/>
      <c r="W46" s="505"/>
      <c r="X46" s="505"/>
      <c r="Y46" s="505"/>
      <c r="Z46" s="505"/>
      <c r="AA46" s="505"/>
      <c r="AB46" s="505"/>
      <c r="AC46" s="505"/>
      <c r="AD46" s="505"/>
      <c r="AE46" s="505"/>
      <c r="AF46" s="505"/>
      <c r="AG46" s="505"/>
      <c r="AH46" s="505"/>
      <c r="AI46" s="505"/>
      <c r="AJ46" s="505"/>
      <c r="AK46" s="505"/>
      <c r="AL46" s="505"/>
      <c r="AM46" s="505"/>
      <c r="AN46" s="505"/>
      <c r="AO46" s="505"/>
      <c r="AP46" s="505"/>
      <c r="AQ46" s="505"/>
      <c r="AR46" s="505"/>
      <c r="AS46" s="505"/>
      <c r="AT46" s="505"/>
      <c r="AU46" s="505"/>
      <c r="AV46" s="505"/>
      <c r="AW46" s="505"/>
      <c r="AX46" s="505"/>
      <c r="AY46" s="505"/>
      <c r="AZ46" s="505"/>
      <c r="BA46" s="505"/>
      <c r="BB46" s="505"/>
      <c r="BC46" s="505"/>
      <c r="BD46" s="505"/>
      <c r="BE46" s="505"/>
      <c r="BF46" s="505"/>
      <c r="BG46" s="505"/>
      <c r="BH46" s="505"/>
      <c r="BI46" s="505"/>
      <c r="BJ46" s="505"/>
      <c r="BK46" s="505"/>
      <c r="BL46" s="505"/>
      <c r="BM46" s="505"/>
      <c r="BN46" s="505"/>
      <c r="BO46" s="505"/>
      <c r="BP46" s="505"/>
      <c r="BQ46" s="505"/>
      <c r="BR46" s="505"/>
      <c r="BS46" s="505"/>
      <c r="BT46" s="505"/>
      <c r="BU46" s="505"/>
      <c r="BV46" s="505"/>
      <c r="BW46" s="505"/>
      <c r="BX46" s="505"/>
      <c r="BY46" s="505"/>
      <c r="BZ46" s="505"/>
      <c r="CA46" s="505"/>
      <c r="CB46" s="505"/>
      <c r="CC46" s="505"/>
      <c r="CD46" s="505"/>
      <c r="CE46" s="505"/>
      <c r="CF46" s="505"/>
      <c r="CG46" s="505"/>
      <c r="CH46" s="505"/>
      <c r="CI46" s="505"/>
      <c r="CJ46" s="505"/>
      <c r="CK46" s="505"/>
      <c r="CL46" s="505"/>
      <c r="CM46" s="505"/>
      <c r="CN46" s="505"/>
      <c r="CO46" s="505"/>
      <c r="CP46" s="505"/>
      <c r="CQ46" s="505"/>
      <c r="CR46" s="505"/>
      <c r="CS46" s="505"/>
      <c r="CT46" s="505"/>
      <c r="CU46" s="505"/>
      <c r="CV46" s="505"/>
      <c r="CW46" s="505"/>
      <c r="CX46" s="505"/>
    </row>
    <row r="47" spans="1:102" ht="20.100000000000001" customHeight="1">
      <c r="A47" s="1206">
        <v>24</v>
      </c>
      <c r="B47" s="62" t="s">
        <v>83</v>
      </c>
      <c r="C47" s="1222">
        <f>+'T-6'!H49</f>
        <v>502.79085599999985</v>
      </c>
      <c r="D47" s="1241">
        <v>43.048511000000005</v>
      </c>
      <c r="E47" s="991">
        <v>44.924509999999998</v>
      </c>
      <c r="F47" s="991">
        <v>48.223280000000003</v>
      </c>
      <c r="G47" s="991">
        <v>45.402860999999994</v>
      </c>
      <c r="H47" s="991">
        <v>51.817302999999995</v>
      </c>
      <c r="I47" s="991">
        <v>50.009371000000002</v>
      </c>
      <c r="J47" s="378">
        <f>'T-6 (six mth)'!H51</f>
        <v>283.425836</v>
      </c>
      <c r="K47" s="378">
        <f t="shared" si="5"/>
        <v>47.237639333333334</v>
      </c>
      <c r="L47" s="1208">
        <f>+'T-1'!N51</f>
        <v>580</v>
      </c>
      <c r="M47" s="1231">
        <f>+'T-1'!S51</f>
        <v>610</v>
      </c>
      <c r="N47" s="1365"/>
      <c r="O47" s="893"/>
      <c r="P47" s="505"/>
      <c r="Q47" s="505"/>
      <c r="R47" s="505"/>
      <c r="S47" s="505"/>
      <c r="T47" s="505"/>
      <c r="U47" s="505"/>
      <c r="V47" s="505"/>
      <c r="W47" s="505"/>
      <c r="X47" s="505"/>
      <c r="Y47" s="505"/>
      <c r="Z47" s="505"/>
      <c r="AA47" s="505"/>
      <c r="AB47" s="505"/>
      <c r="AC47" s="505"/>
      <c r="AD47" s="505"/>
      <c r="AE47" s="505"/>
      <c r="AF47" s="505"/>
      <c r="AG47" s="505"/>
      <c r="AH47" s="505"/>
      <c r="AI47" s="505"/>
      <c r="AJ47" s="505"/>
      <c r="AK47" s="505"/>
      <c r="AL47" s="505"/>
      <c r="AM47" s="505"/>
      <c r="AN47" s="505"/>
      <c r="AO47" s="505"/>
      <c r="AP47" s="505"/>
      <c r="AQ47" s="505"/>
      <c r="AR47" s="505"/>
      <c r="AS47" s="505"/>
      <c r="AT47" s="505"/>
      <c r="AU47" s="505"/>
      <c r="AV47" s="505"/>
      <c r="AW47" s="505"/>
      <c r="AX47" s="505"/>
      <c r="AY47" s="505"/>
      <c r="AZ47" s="505"/>
      <c r="BA47" s="505"/>
      <c r="BB47" s="505"/>
      <c r="BC47" s="505"/>
      <c r="BD47" s="505"/>
      <c r="BE47" s="505"/>
      <c r="BF47" s="505"/>
      <c r="BG47" s="505"/>
      <c r="BH47" s="505"/>
      <c r="BI47" s="505"/>
      <c r="BJ47" s="505"/>
      <c r="BK47" s="505"/>
      <c r="BL47" s="505"/>
      <c r="BM47" s="505"/>
      <c r="BN47" s="505"/>
      <c r="BO47" s="505"/>
      <c r="BP47" s="505"/>
      <c r="BQ47" s="505"/>
      <c r="BR47" s="505"/>
      <c r="BS47" s="505"/>
      <c r="BT47" s="505"/>
      <c r="BU47" s="505"/>
      <c r="BV47" s="505"/>
      <c r="BW47" s="505"/>
      <c r="BX47" s="505"/>
      <c r="BY47" s="505"/>
      <c r="BZ47" s="505"/>
      <c r="CA47" s="505"/>
      <c r="CB47" s="505"/>
      <c r="CC47" s="505"/>
      <c r="CD47" s="505"/>
      <c r="CE47" s="505"/>
      <c r="CF47" s="505"/>
      <c r="CG47" s="505"/>
      <c r="CH47" s="505"/>
      <c r="CI47" s="505"/>
      <c r="CJ47" s="505"/>
      <c r="CK47" s="505"/>
      <c r="CL47" s="505"/>
      <c r="CM47" s="505"/>
      <c r="CN47" s="505"/>
      <c r="CO47" s="505"/>
      <c r="CP47" s="505"/>
      <c r="CQ47" s="505"/>
      <c r="CR47" s="505"/>
      <c r="CS47" s="505"/>
      <c r="CT47" s="505"/>
      <c r="CU47" s="505"/>
      <c r="CV47" s="505"/>
      <c r="CW47" s="505"/>
      <c r="CX47" s="505"/>
    </row>
    <row r="48" spans="1:102" ht="20.100000000000001" customHeight="1">
      <c r="A48" s="1206">
        <v>25</v>
      </c>
      <c r="B48" s="62" t="s">
        <v>93</v>
      </c>
      <c r="C48" s="1222">
        <f>+'T-6'!H50</f>
        <v>136.43827999999999</v>
      </c>
      <c r="D48" s="1241">
        <f>13.05666-0.03473008</f>
        <v>13.021929920000002</v>
      </c>
      <c r="E48" s="991">
        <f>12.89406-0.00975252</f>
        <v>12.88430748</v>
      </c>
      <c r="F48" s="991">
        <f>13.98392-0.00337339</f>
        <v>13.980546609999999</v>
      </c>
      <c r="G48" s="991">
        <f>13.85137-0.02491387</f>
        <v>13.826456129999999</v>
      </c>
      <c r="H48" s="991">
        <f>14.39513-0.05678643</f>
        <v>14.338343569999999</v>
      </c>
      <c r="I48" s="991">
        <f>13.79894-0.08864371</f>
        <v>13.71029629</v>
      </c>
      <c r="J48" s="378">
        <f>'T-6 (six mth)'!H52</f>
        <v>81.761880000000005</v>
      </c>
      <c r="K48" s="378">
        <f t="shared" si="5"/>
        <v>13.626980000000001</v>
      </c>
      <c r="L48" s="1208">
        <f>+'T-1'!N52</f>
        <v>166.6</v>
      </c>
      <c r="M48" s="1231">
        <f>+'T-1'!S52</f>
        <v>175</v>
      </c>
      <c r="N48" s="1365"/>
      <c r="O48" s="929"/>
      <c r="P48" s="505"/>
      <c r="Q48" s="505"/>
      <c r="R48" s="505"/>
      <c r="S48" s="505"/>
      <c r="T48" s="505"/>
      <c r="U48" s="505"/>
      <c r="V48" s="505"/>
      <c r="W48" s="505"/>
      <c r="X48" s="505"/>
      <c r="Y48" s="505"/>
      <c r="Z48" s="505"/>
      <c r="AA48" s="505"/>
      <c r="AB48" s="505"/>
      <c r="AC48" s="505"/>
      <c r="AD48" s="505"/>
      <c r="AE48" s="505"/>
      <c r="AF48" s="505"/>
      <c r="AG48" s="505"/>
      <c r="AH48" s="505"/>
      <c r="AI48" s="505"/>
      <c r="AJ48" s="505"/>
      <c r="AK48" s="505"/>
      <c r="AL48" s="505"/>
      <c r="AM48" s="505"/>
      <c r="AN48" s="505"/>
      <c r="AO48" s="505"/>
      <c r="AP48" s="505"/>
      <c r="AQ48" s="505"/>
      <c r="AR48" s="505"/>
      <c r="AS48" s="505"/>
      <c r="AT48" s="505"/>
      <c r="AU48" s="505"/>
      <c r="AV48" s="505"/>
      <c r="AW48" s="505"/>
      <c r="AX48" s="505"/>
      <c r="AY48" s="505"/>
      <c r="AZ48" s="505"/>
      <c r="BA48" s="505"/>
      <c r="BB48" s="505"/>
      <c r="BC48" s="505"/>
      <c r="BD48" s="505"/>
      <c r="BE48" s="505"/>
      <c r="BF48" s="505"/>
      <c r="BG48" s="505"/>
      <c r="BH48" s="505"/>
      <c r="BI48" s="505"/>
      <c r="BJ48" s="505"/>
      <c r="BK48" s="505"/>
      <c r="BL48" s="505"/>
      <c r="BM48" s="505"/>
      <c r="BN48" s="505"/>
      <c r="BO48" s="505"/>
      <c r="BP48" s="505"/>
      <c r="BQ48" s="505"/>
      <c r="BR48" s="505"/>
      <c r="BS48" s="505"/>
      <c r="BT48" s="505"/>
      <c r="BU48" s="505"/>
      <c r="BV48" s="505"/>
      <c r="BW48" s="505"/>
      <c r="BX48" s="505"/>
      <c r="BY48" s="505"/>
      <c r="BZ48" s="505"/>
      <c r="CA48" s="505"/>
      <c r="CB48" s="505"/>
      <c r="CC48" s="505"/>
      <c r="CD48" s="505"/>
      <c r="CE48" s="505"/>
      <c r="CF48" s="505"/>
      <c r="CG48" s="505"/>
      <c r="CH48" s="505"/>
      <c r="CI48" s="505"/>
      <c r="CJ48" s="505"/>
      <c r="CK48" s="505"/>
      <c r="CL48" s="505"/>
      <c r="CM48" s="505"/>
      <c r="CN48" s="505"/>
      <c r="CO48" s="505"/>
      <c r="CP48" s="505"/>
      <c r="CQ48" s="505"/>
      <c r="CR48" s="505"/>
      <c r="CS48" s="505"/>
      <c r="CT48" s="505"/>
      <c r="CU48" s="505"/>
      <c r="CV48" s="505"/>
      <c r="CW48" s="505"/>
      <c r="CX48" s="505"/>
    </row>
    <row r="49" spans="1:102" ht="20.100000000000001" customHeight="1">
      <c r="A49" s="1206">
        <v>26</v>
      </c>
      <c r="B49" s="62" t="s">
        <v>85</v>
      </c>
      <c r="C49" s="1222">
        <f>+'T-6'!H51</f>
        <v>1.5167999999999999</v>
      </c>
      <c r="D49" s="1240"/>
      <c r="E49" s="378"/>
      <c r="F49" s="378"/>
      <c r="G49" s="378"/>
      <c r="H49" s="378"/>
      <c r="I49" s="378"/>
      <c r="J49" s="401">
        <f>'T-6 (six mth)'!H53</f>
        <v>0</v>
      </c>
      <c r="K49" s="401">
        <f t="shared" si="5"/>
        <v>0</v>
      </c>
      <c r="L49" s="1210">
        <f>+'T-1'!N53</f>
        <v>0</v>
      </c>
      <c r="M49" s="1233">
        <f>+'T-1'!S53</f>
        <v>9.9999999999999995E-7</v>
      </c>
      <c r="N49" s="1365"/>
      <c r="O49" s="893"/>
      <c r="P49" s="505"/>
      <c r="Q49" s="505"/>
      <c r="R49" s="505"/>
      <c r="S49" s="505"/>
      <c r="T49" s="505"/>
      <c r="U49" s="505"/>
      <c r="V49" s="505"/>
      <c r="W49" s="505"/>
      <c r="X49" s="505"/>
      <c r="Y49" s="505"/>
      <c r="Z49" s="505"/>
      <c r="AA49" s="505"/>
      <c r="AB49" s="505"/>
      <c r="AC49" s="505"/>
      <c r="AD49" s="505"/>
      <c r="AE49" s="505"/>
      <c r="AF49" s="505"/>
      <c r="AG49" s="505"/>
      <c r="AH49" s="505"/>
      <c r="AI49" s="505"/>
      <c r="AJ49" s="505"/>
      <c r="AK49" s="505"/>
      <c r="AL49" s="505"/>
      <c r="AM49" s="505"/>
      <c r="AN49" s="505"/>
      <c r="AO49" s="505"/>
      <c r="AP49" s="505"/>
      <c r="AQ49" s="505"/>
      <c r="AR49" s="505"/>
      <c r="AS49" s="505"/>
      <c r="AT49" s="505"/>
      <c r="AU49" s="505"/>
      <c r="AV49" s="505"/>
      <c r="AW49" s="505"/>
      <c r="AX49" s="505"/>
      <c r="AY49" s="505"/>
      <c r="AZ49" s="505"/>
      <c r="BA49" s="505"/>
      <c r="BB49" s="505"/>
      <c r="BC49" s="505"/>
      <c r="BD49" s="505"/>
      <c r="BE49" s="505"/>
      <c r="BF49" s="505"/>
      <c r="BG49" s="505"/>
      <c r="BH49" s="505"/>
      <c r="BI49" s="505"/>
      <c r="BJ49" s="505"/>
      <c r="BK49" s="505"/>
      <c r="BL49" s="505"/>
      <c r="BM49" s="505"/>
      <c r="BN49" s="505"/>
      <c r="BO49" s="505"/>
      <c r="BP49" s="505"/>
      <c r="BQ49" s="505"/>
      <c r="BR49" s="505"/>
      <c r="BS49" s="505"/>
      <c r="BT49" s="505"/>
      <c r="BU49" s="505"/>
      <c r="BV49" s="505"/>
      <c r="BW49" s="505"/>
      <c r="BX49" s="505"/>
      <c r="BY49" s="505"/>
      <c r="BZ49" s="505"/>
      <c r="CA49" s="505"/>
      <c r="CB49" s="505"/>
      <c r="CC49" s="505"/>
      <c r="CD49" s="505"/>
      <c r="CE49" s="505"/>
      <c r="CF49" s="505"/>
      <c r="CG49" s="505"/>
      <c r="CH49" s="505"/>
      <c r="CI49" s="505"/>
      <c r="CJ49" s="505"/>
      <c r="CK49" s="505"/>
      <c r="CL49" s="505"/>
      <c r="CM49" s="505"/>
      <c r="CN49" s="505"/>
      <c r="CO49" s="505"/>
      <c r="CP49" s="505"/>
      <c r="CQ49" s="505"/>
      <c r="CR49" s="505"/>
      <c r="CS49" s="505"/>
      <c r="CT49" s="505"/>
      <c r="CU49" s="505"/>
      <c r="CV49" s="505"/>
      <c r="CW49" s="505"/>
      <c r="CX49" s="505"/>
    </row>
    <row r="50" spans="1:102" ht="20.100000000000001" customHeight="1">
      <c r="A50" s="1206">
        <v>27</v>
      </c>
      <c r="B50" s="62" t="s">
        <v>86</v>
      </c>
      <c r="C50" s="1224">
        <f>+'T-6'!H52</f>
        <v>0</v>
      </c>
      <c r="D50" s="1245"/>
      <c r="E50" s="401"/>
      <c r="F50" s="401"/>
      <c r="G50" s="401"/>
      <c r="H50" s="401"/>
      <c r="I50" s="401"/>
      <c r="J50" s="401">
        <f>'T-6 (six mth)'!H54</f>
        <v>0</v>
      </c>
      <c r="K50" s="401">
        <f t="shared" si="5"/>
        <v>0</v>
      </c>
      <c r="L50" s="1210">
        <f>+'T-1'!N54</f>
        <v>0</v>
      </c>
      <c r="M50" s="1233">
        <f>+'T-1'!S54</f>
        <v>9.9999999999999995E-7</v>
      </c>
      <c r="N50" s="1365"/>
      <c r="O50" s="893"/>
      <c r="P50" s="505"/>
      <c r="Q50" s="505"/>
      <c r="R50" s="505"/>
      <c r="S50" s="505"/>
      <c r="T50" s="505"/>
      <c r="U50" s="505"/>
      <c r="V50" s="505"/>
      <c r="W50" s="505"/>
      <c r="X50" s="505"/>
      <c r="Y50" s="505"/>
      <c r="Z50" s="505"/>
      <c r="AA50" s="505"/>
      <c r="AB50" s="505"/>
      <c r="AC50" s="505"/>
      <c r="AD50" s="505"/>
      <c r="AE50" s="505"/>
      <c r="AF50" s="505"/>
      <c r="AG50" s="505"/>
      <c r="AH50" s="505"/>
      <c r="AI50" s="505"/>
      <c r="AJ50" s="505"/>
      <c r="AK50" s="505"/>
      <c r="AL50" s="505"/>
      <c r="AM50" s="505"/>
      <c r="AN50" s="505"/>
      <c r="AO50" s="505"/>
      <c r="AP50" s="505"/>
      <c r="AQ50" s="505"/>
      <c r="AR50" s="505"/>
      <c r="AS50" s="505"/>
      <c r="AT50" s="505"/>
      <c r="AU50" s="505"/>
      <c r="AV50" s="505"/>
      <c r="AW50" s="505"/>
      <c r="AX50" s="505"/>
      <c r="AY50" s="505"/>
      <c r="AZ50" s="505"/>
      <c r="BA50" s="505"/>
      <c r="BB50" s="505"/>
      <c r="BC50" s="505"/>
      <c r="BD50" s="505"/>
      <c r="BE50" s="505"/>
      <c r="BF50" s="505"/>
      <c r="BG50" s="505"/>
      <c r="BH50" s="505"/>
      <c r="BI50" s="505"/>
      <c r="BJ50" s="505"/>
      <c r="BK50" s="505"/>
      <c r="BL50" s="505"/>
      <c r="BM50" s="505"/>
      <c r="BN50" s="505"/>
      <c r="BO50" s="505"/>
      <c r="BP50" s="505"/>
      <c r="BQ50" s="505"/>
      <c r="BR50" s="505"/>
      <c r="BS50" s="505"/>
      <c r="BT50" s="505"/>
      <c r="BU50" s="505"/>
      <c r="BV50" s="505"/>
      <c r="BW50" s="505"/>
      <c r="BX50" s="505"/>
      <c r="BY50" s="505"/>
      <c r="BZ50" s="505"/>
      <c r="CA50" s="505"/>
      <c r="CB50" s="505"/>
      <c r="CC50" s="505"/>
      <c r="CD50" s="505"/>
      <c r="CE50" s="505"/>
      <c r="CF50" s="505"/>
      <c r="CG50" s="505"/>
      <c r="CH50" s="505"/>
      <c r="CI50" s="505"/>
      <c r="CJ50" s="505"/>
      <c r="CK50" s="505"/>
      <c r="CL50" s="505"/>
      <c r="CM50" s="505"/>
      <c r="CN50" s="505"/>
      <c r="CO50" s="505"/>
      <c r="CP50" s="505"/>
      <c r="CQ50" s="505"/>
      <c r="CR50" s="505"/>
      <c r="CS50" s="505"/>
      <c r="CT50" s="505"/>
      <c r="CU50" s="505"/>
      <c r="CV50" s="505"/>
      <c r="CW50" s="505"/>
      <c r="CX50" s="505"/>
    </row>
    <row r="51" spans="1:102" ht="20.100000000000001" customHeight="1">
      <c r="A51" s="1206">
        <v>28</v>
      </c>
      <c r="B51" s="62" t="s">
        <v>87</v>
      </c>
      <c r="C51" s="1222">
        <f>+'T-6'!H53</f>
        <v>4.4749999999999996</v>
      </c>
      <c r="D51" s="1240">
        <v>0.73320958000000003</v>
      </c>
      <c r="E51" s="378">
        <v>0.67556440000000018</v>
      </c>
      <c r="F51" s="378">
        <v>0.62765068000000013</v>
      </c>
      <c r="G51" s="378">
        <v>0.56568477999999989</v>
      </c>
      <c r="H51" s="378">
        <v>0.64026668000000009</v>
      </c>
      <c r="I51" s="378">
        <v>0.56742388000000021</v>
      </c>
      <c r="J51" s="378">
        <f>'T-6 (six mth)'!H55</f>
        <v>3.8098000000000005</v>
      </c>
      <c r="K51" s="378">
        <f t="shared" si="5"/>
        <v>0.63496666666666679</v>
      </c>
      <c r="L51" s="1208">
        <f>+'T-1'!N55</f>
        <v>5</v>
      </c>
      <c r="M51" s="1231">
        <f>+'T-1'!S55</f>
        <v>4.2</v>
      </c>
      <c r="N51" s="1365"/>
      <c r="O51" s="929"/>
      <c r="P51" s="505"/>
      <c r="Q51" s="505"/>
      <c r="R51" s="505"/>
      <c r="S51" s="505"/>
      <c r="T51" s="505"/>
      <c r="U51" s="505"/>
      <c r="V51" s="505"/>
      <c r="W51" s="505"/>
      <c r="X51" s="505"/>
      <c r="Y51" s="505"/>
      <c r="Z51" s="505"/>
      <c r="AA51" s="505"/>
      <c r="AB51" s="505"/>
      <c r="AC51" s="505"/>
      <c r="AD51" s="505"/>
      <c r="AE51" s="505"/>
      <c r="AF51" s="505"/>
      <c r="AG51" s="505"/>
      <c r="AH51" s="505"/>
      <c r="AI51" s="505"/>
      <c r="AJ51" s="505"/>
      <c r="AK51" s="505"/>
      <c r="AL51" s="505"/>
      <c r="AM51" s="505"/>
      <c r="AN51" s="505"/>
      <c r="AO51" s="505"/>
      <c r="AP51" s="505"/>
      <c r="AQ51" s="505"/>
      <c r="AR51" s="505"/>
      <c r="AS51" s="505"/>
      <c r="AT51" s="505"/>
      <c r="AU51" s="505"/>
      <c r="AV51" s="505"/>
      <c r="AW51" s="505"/>
      <c r="AX51" s="505"/>
      <c r="AY51" s="505"/>
      <c r="AZ51" s="505"/>
      <c r="BA51" s="505"/>
      <c r="BB51" s="505"/>
      <c r="BC51" s="505"/>
      <c r="BD51" s="505"/>
      <c r="BE51" s="505"/>
      <c r="BF51" s="505"/>
      <c r="BG51" s="505"/>
      <c r="BH51" s="505"/>
      <c r="BI51" s="505"/>
      <c r="BJ51" s="505"/>
      <c r="BK51" s="505"/>
      <c r="BL51" s="505"/>
      <c r="BM51" s="505"/>
      <c r="BN51" s="505"/>
      <c r="BO51" s="505"/>
      <c r="BP51" s="505"/>
      <c r="BQ51" s="505"/>
      <c r="BR51" s="505"/>
      <c r="BS51" s="505"/>
      <c r="BT51" s="505"/>
      <c r="BU51" s="505"/>
      <c r="BV51" s="505"/>
      <c r="BW51" s="505"/>
      <c r="BX51" s="505"/>
      <c r="BY51" s="505"/>
      <c r="BZ51" s="505"/>
      <c r="CA51" s="505"/>
      <c r="CB51" s="505"/>
      <c r="CC51" s="505"/>
      <c r="CD51" s="505"/>
      <c r="CE51" s="505"/>
      <c r="CF51" s="505"/>
      <c r="CG51" s="505"/>
      <c r="CH51" s="505"/>
      <c r="CI51" s="505"/>
      <c r="CJ51" s="505"/>
      <c r="CK51" s="505"/>
      <c r="CL51" s="505"/>
      <c r="CM51" s="505"/>
      <c r="CN51" s="505"/>
      <c r="CO51" s="505"/>
      <c r="CP51" s="505"/>
      <c r="CQ51" s="505"/>
      <c r="CR51" s="505"/>
      <c r="CS51" s="505"/>
      <c r="CT51" s="505"/>
      <c r="CU51" s="505"/>
      <c r="CV51" s="505"/>
      <c r="CW51" s="505"/>
      <c r="CX51" s="505"/>
    </row>
    <row r="52" spans="1:102" ht="20.100000000000001" customHeight="1">
      <c r="A52" s="1206"/>
      <c r="B52" s="403" t="s">
        <v>88</v>
      </c>
      <c r="C52" s="1223">
        <f t="shared" ref="C52:M52" si="6">SUM(C36:C51)</f>
        <v>1836.6852453448</v>
      </c>
      <c r="D52" s="1242">
        <f t="shared" si="6"/>
        <v>164.36273499999999</v>
      </c>
      <c r="E52" s="110">
        <f t="shared" si="6"/>
        <v>166.50549696499991</v>
      </c>
      <c r="F52" s="110">
        <f t="shared" si="6"/>
        <v>174.65764847930879</v>
      </c>
      <c r="G52" s="110">
        <f t="shared" si="6"/>
        <v>161.07818402199999</v>
      </c>
      <c r="H52" s="110">
        <f t="shared" si="6"/>
        <v>180.30913411229997</v>
      </c>
      <c r="I52" s="110">
        <f t="shared" si="6"/>
        <v>174.04056962999999</v>
      </c>
      <c r="J52" s="110">
        <f>SUM(J36:J51)</f>
        <v>1015.9537682086091</v>
      </c>
      <c r="K52" s="110">
        <f t="shared" si="6"/>
        <v>169.32562803476819</v>
      </c>
      <c r="L52" s="1209">
        <f t="shared" si="6"/>
        <v>2025</v>
      </c>
      <c r="M52" s="1232">
        <f t="shared" si="6"/>
        <v>2123.0000019999998</v>
      </c>
      <c r="N52" s="1365"/>
      <c r="O52" s="893"/>
      <c r="P52" s="505"/>
      <c r="Q52" s="505"/>
      <c r="R52" s="505"/>
      <c r="S52" s="505"/>
      <c r="T52" s="505"/>
      <c r="U52" s="505"/>
      <c r="V52" s="505"/>
      <c r="W52" s="505"/>
      <c r="X52" s="505"/>
      <c r="Y52" s="505"/>
      <c r="Z52" s="505"/>
      <c r="AA52" s="505"/>
      <c r="AB52" s="505"/>
      <c r="AC52" s="505"/>
      <c r="AD52" s="505"/>
      <c r="AE52" s="505"/>
      <c r="AF52" s="505"/>
      <c r="AG52" s="505"/>
      <c r="AH52" s="505"/>
      <c r="AI52" s="505"/>
      <c r="AJ52" s="505"/>
      <c r="AK52" s="505"/>
      <c r="AL52" s="505"/>
      <c r="AM52" s="505"/>
      <c r="AN52" s="505"/>
      <c r="AO52" s="505"/>
      <c r="AP52" s="505"/>
      <c r="AQ52" s="505"/>
      <c r="AR52" s="505"/>
      <c r="AS52" s="505"/>
      <c r="AT52" s="505"/>
      <c r="AU52" s="505"/>
      <c r="AV52" s="505"/>
      <c r="AW52" s="505"/>
      <c r="AX52" s="505"/>
      <c r="AY52" s="505"/>
      <c r="AZ52" s="505"/>
      <c r="BA52" s="505"/>
      <c r="BB52" s="505"/>
      <c r="BC52" s="505"/>
      <c r="BD52" s="505"/>
      <c r="BE52" s="505"/>
      <c r="BF52" s="505"/>
      <c r="BG52" s="505"/>
      <c r="BH52" s="505"/>
      <c r="BI52" s="505"/>
      <c r="BJ52" s="505"/>
      <c r="BK52" s="505"/>
      <c r="BL52" s="505"/>
      <c r="BM52" s="505"/>
      <c r="BN52" s="505"/>
      <c r="BO52" s="505"/>
      <c r="BP52" s="505"/>
      <c r="BQ52" s="505"/>
      <c r="BR52" s="505"/>
      <c r="BS52" s="505"/>
      <c r="BT52" s="505"/>
      <c r="BU52" s="505"/>
      <c r="BV52" s="505"/>
      <c r="BW52" s="505"/>
      <c r="BX52" s="505"/>
      <c r="BY52" s="505"/>
      <c r="BZ52" s="505"/>
      <c r="CA52" s="505"/>
      <c r="CB52" s="505"/>
      <c r="CC52" s="505"/>
      <c r="CD52" s="505"/>
      <c r="CE52" s="505"/>
      <c r="CF52" s="505"/>
      <c r="CG52" s="505"/>
      <c r="CH52" s="505"/>
      <c r="CI52" s="505"/>
      <c r="CJ52" s="505"/>
      <c r="CK52" s="505"/>
      <c r="CL52" s="505"/>
      <c r="CM52" s="505"/>
      <c r="CN52" s="505"/>
      <c r="CO52" s="505"/>
      <c r="CP52" s="505"/>
      <c r="CQ52" s="505"/>
      <c r="CR52" s="505"/>
      <c r="CS52" s="505"/>
      <c r="CT52" s="505"/>
      <c r="CU52" s="505"/>
      <c r="CV52" s="505"/>
      <c r="CW52" s="505"/>
      <c r="CX52" s="505"/>
    </row>
    <row r="53" spans="1:102" ht="20.100000000000001" customHeight="1">
      <c r="A53" s="216"/>
      <c r="B53" s="404" t="s">
        <v>89</v>
      </c>
      <c r="C53" s="1225"/>
      <c r="D53" s="1242"/>
      <c r="E53" s="110"/>
      <c r="F53" s="110"/>
      <c r="G53" s="110"/>
      <c r="H53" s="110"/>
      <c r="I53" s="110"/>
      <c r="J53" s="378"/>
      <c r="K53" s="378"/>
      <c r="L53" s="1208"/>
      <c r="M53" s="1231"/>
      <c r="N53" s="306"/>
      <c r="O53" s="893"/>
      <c r="P53" s="505"/>
      <c r="Q53" s="505"/>
      <c r="R53" s="505"/>
      <c r="S53" s="505"/>
      <c r="T53" s="505"/>
      <c r="U53" s="505"/>
      <c r="V53" s="505"/>
      <c r="W53" s="505"/>
      <c r="X53" s="505"/>
      <c r="Y53" s="505"/>
      <c r="Z53" s="505"/>
      <c r="AA53" s="505"/>
      <c r="AB53" s="505"/>
      <c r="AC53" s="505"/>
      <c r="AD53" s="505"/>
      <c r="AE53" s="505"/>
      <c r="AF53" s="505"/>
      <c r="AG53" s="505"/>
      <c r="AH53" s="505"/>
      <c r="AI53" s="505"/>
      <c r="AJ53" s="505"/>
      <c r="AK53" s="505"/>
      <c r="AL53" s="505"/>
      <c r="AM53" s="505"/>
      <c r="AN53" s="505"/>
      <c r="AO53" s="505"/>
      <c r="AP53" s="505"/>
      <c r="AQ53" s="505"/>
      <c r="AR53" s="505"/>
      <c r="AS53" s="505"/>
      <c r="AT53" s="505"/>
      <c r="AU53" s="505"/>
      <c r="AV53" s="505"/>
      <c r="AW53" s="505"/>
      <c r="AX53" s="505"/>
      <c r="AY53" s="505"/>
      <c r="AZ53" s="505"/>
      <c r="BA53" s="505"/>
      <c r="BB53" s="505"/>
      <c r="BC53" s="505"/>
      <c r="BD53" s="505"/>
      <c r="BE53" s="505"/>
      <c r="BF53" s="505"/>
      <c r="BG53" s="505"/>
      <c r="BH53" s="505"/>
      <c r="BI53" s="505"/>
      <c r="BJ53" s="505"/>
      <c r="BK53" s="505"/>
      <c r="BL53" s="505"/>
      <c r="BM53" s="505"/>
      <c r="BN53" s="505"/>
      <c r="BO53" s="505"/>
      <c r="BP53" s="505"/>
      <c r="BQ53" s="505"/>
      <c r="BR53" s="505"/>
      <c r="BS53" s="505"/>
      <c r="BT53" s="505"/>
      <c r="BU53" s="505"/>
      <c r="BV53" s="505"/>
      <c r="BW53" s="505"/>
      <c r="BX53" s="505"/>
      <c r="BY53" s="505"/>
      <c r="BZ53" s="505"/>
      <c r="CA53" s="505"/>
      <c r="CB53" s="505"/>
      <c r="CC53" s="505"/>
      <c r="CD53" s="505"/>
      <c r="CE53" s="505"/>
      <c r="CF53" s="505"/>
      <c r="CG53" s="505"/>
      <c r="CH53" s="505"/>
      <c r="CI53" s="505"/>
      <c r="CJ53" s="505"/>
      <c r="CK53" s="505"/>
      <c r="CL53" s="505"/>
      <c r="CM53" s="505"/>
      <c r="CN53" s="505"/>
      <c r="CO53" s="505"/>
      <c r="CP53" s="505"/>
      <c r="CQ53" s="505"/>
      <c r="CR53" s="505"/>
      <c r="CS53" s="505"/>
      <c r="CT53" s="505"/>
      <c r="CU53" s="505"/>
      <c r="CV53" s="505"/>
      <c r="CW53" s="505"/>
      <c r="CX53" s="505"/>
    </row>
    <row r="54" spans="1:102" ht="20.100000000000001" customHeight="1">
      <c r="A54" s="1206">
        <v>29</v>
      </c>
      <c r="B54" s="62" t="s">
        <v>90</v>
      </c>
      <c r="C54" s="1222">
        <f>+'T-6'!H56</f>
        <v>0.16317999999999999</v>
      </c>
      <c r="D54" s="1241">
        <v>1.3599999999999999E-2</v>
      </c>
      <c r="E54" s="991">
        <v>1.6500000000000001E-2</v>
      </c>
      <c r="F54" s="991">
        <v>1.5599999999999999E-2</v>
      </c>
      <c r="G54" s="991">
        <v>1.6060000000000001E-2</v>
      </c>
      <c r="H54" s="991">
        <v>1.3259999999999999E-2</v>
      </c>
      <c r="I54" s="991">
        <v>1.5679999999999999E-2</v>
      </c>
      <c r="J54" s="378">
        <f>'T-6 (six mth)'!H58</f>
        <v>0</v>
      </c>
      <c r="K54" s="378">
        <f t="shared" ref="K54:K64" si="7">+J54/6</f>
        <v>0</v>
      </c>
      <c r="L54" s="1208">
        <f>+'T-1'!N59</f>
        <v>0</v>
      </c>
      <c r="M54" s="1231">
        <f>+'T-1'!S59</f>
        <v>0</v>
      </c>
      <c r="N54" s="1365"/>
      <c r="O54" s="893"/>
      <c r="P54" s="505"/>
      <c r="Q54" s="505"/>
      <c r="R54" s="505"/>
      <c r="S54" s="505"/>
      <c r="T54" s="505"/>
      <c r="U54" s="505"/>
      <c r="V54" s="505"/>
      <c r="W54" s="505"/>
      <c r="X54" s="505"/>
      <c r="Y54" s="505"/>
      <c r="Z54" s="505"/>
      <c r="AA54" s="505"/>
      <c r="AB54" s="505"/>
      <c r="AC54" s="505"/>
      <c r="AD54" s="505"/>
      <c r="AE54" s="505"/>
      <c r="AF54" s="505"/>
      <c r="AG54" s="505"/>
      <c r="AH54" s="505"/>
      <c r="AI54" s="505"/>
      <c r="AJ54" s="505"/>
      <c r="AK54" s="505"/>
      <c r="AL54" s="505"/>
      <c r="AM54" s="505"/>
      <c r="AN54" s="505"/>
      <c r="AO54" s="505"/>
      <c r="AP54" s="505"/>
      <c r="AQ54" s="505"/>
      <c r="AR54" s="505"/>
      <c r="AS54" s="505"/>
      <c r="AT54" s="505"/>
      <c r="AU54" s="505"/>
      <c r="AV54" s="505"/>
      <c r="AW54" s="505"/>
      <c r="AX54" s="505"/>
      <c r="AY54" s="505"/>
      <c r="AZ54" s="505"/>
      <c r="BA54" s="505"/>
      <c r="BB54" s="505"/>
      <c r="BC54" s="505"/>
      <c r="BD54" s="505"/>
      <c r="BE54" s="505"/>
      <c r="BF54" s="505"/>
      <c r="BG54" s="505"/>
      <c r="BH54" s="505"/>
      <c r="BI54" s="505"/>
      <c r="BJ54" s="505"/>
      <c r="BK54" s="505"/>
      <c r="BL54" s="505"/>
      <c r="BM54" s="505"/>
      <c r="BN54" s="505"/>
      <c r="BO54" s="505"/>
      <c r="BP54" s="505"/>
      <c r="BQ54" s="505"/>
      <c r="BR54" s="505"/>
      <c r="BS54" s="505"/>
      <c r="BT54" s="505"/>
      <c r="BU54" s="505"/>
      <c r="BV54" s="505"/>
      <c r="BW54" s="505"/>
      <c r="BX54" s="505"/>
      <c r="BY54" s="505"/>
      <c r="BZ54" s="505"/>
      <c r="CA54" s="505"/>
      <c r="CB54" s="505"/>
      <c r="CC54" s="505"/>
      <c r="CD54" s="505"/>
      <c r="CE54" s="505"/>
      <c r="CF54" s="505"/>
      <c r="CG54" s="505"/>
      <c r="CH54" s="505"/>
      <c r="CI54" s="505"/>
      <c r="CJ54" s="505"/>
      <c r="CK54" s="505"/>
      <c r="CL54" s="505"/>
      <c r="CM54" s="505"/>
      <c r="CN54" s="505"/>
      <c r="CO54" s="505"/>
      <c r="CP54" s="505"/>
      <c r="CQ54" s="505"/>
      <c r="CR54" s="505"/>
      <c r="CS54" s="505"/>
      <c r="CT54" s="505"/>
      <c r="CU54" s="505"/>
      <c r="CV54" s="505"/>
      <c r="CW54" s="505"/>
      <c r="CX54" s="505"/>
    </row>
    <row r="55" spans="1:102" ht="20.100000000000001" customHeight="1">
      <c r="A55" s="1206">
        <v>30</v>
      </c>
      <c r="B55" s="62" t="s">
        <v>73</v>
      </c>
      <c r="C55" s="1222">
        <f>+'T-6'!H57</f>
        <v>304.61456655649999</v>
      </c>
      <c r="D55" s="1241">
        <v>31.119665749999996</v>
      </c>
      <c r="E55" s="991">
        <v>30.920601939999997</v>
      </c>
      <c r="F55" s="991">
        <v>41.273393630000001</v>
      </c>
      <c r="G55" s="991">
        <v>49.184740549999994</v>
      </c>
      <c r="H55" s="991">
        <v>46.75621177</v>
      </c>
      <c r="I55" s="991">
        <v>50.039541479999997</v>
      </c>
      <c r="J55" s="378">
        <f>'T-6 (six mth)'!H59</f>
        <v>188.38485511999997</v>
      </c>
      <c r="K55" s="378">
        <f t="shared" si="7"/>
        <v>31.397475853333329</v>
      </c>
      <c r="L55" s="1208">
        <f>+'T-1'!N60</f>
        <v>333</v>
      </c>
      <c r="M55" s="1231">
        <f>+'T-1'!S60</f>
        <v>350</v>
      </c>
      <c r="N55" s="1365"/>
      <c r="O55" s="929"/>
      <c r="P55" s="505"/>
      <c r="Q55" s="505"/>
      <c r="R55" s="505"/>
      <c r="S55" s="505"/>
      <c r="T55" s="505"/>
      <c r="U55" s="505"/>
      <c r="V55" s="505"/>
      <c r="W55" s="505"/>
      <c r="X55" s="505"/>
      <c r="Y55" s="505"/>
      <c r="Z55" s="505"/>
      <c r="AA55" s="505"/>
      <c r="AB55" s="505"/>
      <c r="AC55" s="505"/>
      <c r="AD55" s="505"/>
      <c r="AE55" s="505"/>
      <c r="AF55" s="505"/>
      <c r="AG55" s="505"/>
      <c r="AH55" s="505"/>
      <c r="AI55" s="505"/>
      <c r="AJ55" s="505"/>
      <c r="AK55" s="505"/>
      <c r="AL55" s="505"/>
      <c r="AM55" s="505"/>
      <c r="AN55" s="505"/>
      <c r="AO55" s="505"/>
      <c r="AP55" s="505"/>
      <c r="AQ55" s="505"/>
      <c r="AR55" s="505"/>
      <c r="AS55" s="505"/>
      <c r="AT55" s="505"/>
      <c r="AU55" s="505"/>
      <c r="AV55" s="505"/>
      <c r="AW55" s="505"/>
      <c r="AX55" s="505"/>
      <c r="AY55" s="505"/>
      <c r="AZ55" s="505"/>
      <c r="BA55" s="505"/>
      <c r="BB55" s="505"/>
      <c r="BC55" s="505"/>
      <c r="BD55" s="505"/>
      <c r="BE55" s="505"/>
      <c r="BF55" s="505"/>
      <c r="BG55" s="505"/>
      <c r="BH55" s="505"/>
      <c r="BI55" s="505"/>
      <c r="BJ55" s="505"/>
      <c r="BK55" s="505"/>
      <c r="BL55" s="505"/>
      <c r="BM55" s="505"/>
      <c r="BN55" s="505"/>
      <c r="BO55" s="505"/>
      <c r="BP55" s="505"/>
      <c r="BQ55" s="505"/>
      <c r="BR55" s="505"/>
      <c r="BS55" s="505"/>
      <c r="BT55" s="505"/>
      <c r="BU55" s="505"/>
      <c r="BV55" s="505"/>
      <c r="BW55" s="505"/>
      <c r="BX55" s="505"/>
      <c r="BY55" s="505"/>
      <c r="BZ55" s="505"/>
      <c r="CA55" s="505"/>
      <c r="CB55" s="505"/>
      <c r="CC55" s="505"/>
      <c r="CD55" s="505"/>
      <c r="CE55" s="505"/>
      <c r="CF55" s="505"/>
      <c r="CG55" s="505"/>
      <c r="CH55" s="505"/>
      <c r="CI55" s="505"/>
      <c r="CJ55" s="505"/>
      <c r="CK55" s="505"/>
      <c r="CL55" s="505"/>
      <c r="CM55" s="505"/>
      <c r="CN55" s="505"/>
      <c r="CO55" s="505"/>
      <c r="CP55" s="505"/>
      <c r="CQ55" s="505"/>
      <c r="CR55" s="505"/>
      <c r="CS55" s="505"/>
      <c r="CT55" s="505"/>
      <c r="CU55" s="505"/>
      <c r="CV55" s="505"/>
      <c r="CW55" s="505"/>
      <c r="CX55" s="505"/>
    </row>
    <row r="56" spans="1:102" ht="20.100000000000001" customHeight="1">
      <c r="A56" s="1206"/>
      <c r="B56" s="62" t="s">
        <v>2128</v>
      </c>
      <c r="C56" s="1222"/>
      <c r="D56" s="1241"/>
      <c r="E56" s="991"/>
      <c r="F56" s="991"/>
      <c r="G56" s="991"/>
      <c r="H56" s="991"/>
      <c r="I56" s="991"/>
      <c r="J56" s="378">
        <f>'T-6 (six mth)'!H60</f>
        <v>61</v>
      </c>
      <c r="K56" s="378"/>
      <c r="L56" s="1208">
        <f>+'T-1'!N61</f>
        <v>147</v>
      </c>
      <c r="M56" s="1231">
        <f>+'T-1'!S61</f>
        <v>150</v>
      </c>
      <c r="N56" s="1365"/>
      <c r="O56" s="929"/>
      <c r="P56" s="505"/>
      <c r="Q56" s="505"/>
      <c r="R56" s="505"/>
      <c r="S56" s="505"/>
      <c r="T56" s="505"/>
      <c r="U56" s="505"/>
      <c r="V56" s="505"/>
      <c r="W56" s="505"/>
      <c r="X56" s="505"/>
      <c r="Y56" s="505"/>
      <c r="Z56" s="505"/>
      <c r="AA56" s="505"/>
      <c r="AB56" s="505"/>
      <c r="AC56" s="505"/>
      <c r="AD56" s="505"/>
      <c r="AE56" s="505"/>
      <c r="AF56" s="505"/>
      <c r="AG56" s="505"/>
      <c r="AH56" s="505"/>
      <c r="AI56" s="505"/>
      <c r="AJ56" s="505"/>
      <c r="AK56" s="505"/>
      <c r="AL56" s="505"/>
      <c r="AM56" s="505"/>
      <c r="AN56" s="505"/>
      <c r="AO56" s="505"/>
      <c r="AP56" s="505"/>
      <c r="AQ56" s="505"/>
      <c r="AR56" s="505"/>
      <c r="AS56" s="505"/>
      <c r="AT56" s="505"/>
      <c r="AU56" s="505"/>
      <c r="AV56" s="505"/>
      <c r="AW56" s="505"/>
      <c r="AX56" s="505"/>
      <c r="AY56" s="505"/>
      <c r="AZ56" s="505"/>
      <c r="BA56" s="505"/>
      <c r="BB56" s="505"/>
      <c r="BC56" s="505"/>
      <c r="BD56" s="505"/>
      <c r="BE56" s="505"/>
      <c r="BF56" s="505"/>
      <c r="BG56" s="505"/>
      <c r="BH56" s="505"/>
      <c r="BI56" s="505"/>
      <c r="BJ56" s="505"/>
      <c r="BK56" s="505"/>
      <c r="BL56" s="505"/>
      <c r="BM56" s="505"/>
      <c r="BN56" s="505"/>
      <c r="BO56" s="505"/>
      <c r="BP56" s="505"/>
      <c r="BQ56" s="505"/>
      <c r="BR56" s="505"/>
      <c r="BS56" s="505"/>
      <c r="BT56" s="505"/>
      <c r="BU56" s="505"/>
      <c r="BV56" s="505"/>
      <c r="BW56" s="505"/>
      <c r="BX56" s="505"/>
      <c r="BY56" s="505"/>
      <c r="BZ56" s="505"/>
      <c r="CA56" s="505"/>
      <c r="CB56" s="505"/>
      <c r="CC56" s="505"/>
      <c r="CD56" s="505"/>
      <c r="CE56" s="505"/>
      <c r="CF56" s="505"/>
      <c r="CG56" s="505"/>
      <c r="CH56" s="505"/>
      <c r="CI56" s="505"/>
      <c r="CJ56" s="505"/>
      <c r="CK56" s="505"/>
      <c r="CL56" s="505"/>
      <c r="CM56" s="505"/>
      <c r="CN56" s="505"/>
      <c r="CO56" s="505"/>
      <c r="CP56" s="505"/>
      <c r="CQ56" s="505"/>
      <c r="CR56" s="505"/>
      <c r="CS56" s="505"/>
      <c r="CT56" s="505"/>
      <c r="CU56" s="505"/>
      <c r="CV56" s="505"/>
      <c r="CW56" s="505"/>
      <c r="CX56" s="505"/>
    </row>
    <row r="57" spans="1:102" ht="20.100000000000001" customHeight="1">
      <c r="A57" s="1206">
        <v>31</v>
      </c>
      <c r="B57" s="62" t="s">
        <v>85</v>
      </c>
      <c r="C57" s="1222">
        <f>+'T-6'!H58</f>
        <v>639.00268000000005</v>
      </c>
      <c r="D57" s="1241">
        <v>60.450239999999994</v>
      </c>
      <c r="E57" s="991">
        <v>67.726749999999996</v>
      </c>
      <c r="F57" s="991">
        <v>72.335629999999995</v>
      </c>
      <c r="G57" s="991">
        <v>68.966060000000013</v>
      </c>
      <c r="H57" s="991">
        <v>68.505589999999998</v>
      </c>
      <c r="I57" s="991">
        <v>68.739009999999993</v>
      </c>
      <c r="J57" s="378">
        <f>'T-6 (six mth)'!H61</f>
        <v>406.72328000000005</v>
      </c>
      <c r="K57" s="378">
        <f t="shared" si="7"/>
        <v>67.787213333333341</v>
      </c>
      <c r="L57" s="1208">
        <f>+'T-1'!N62</f>
        <v>803</v>
      </c>
      <c r="M57" s="1231">
        <f>+'T-1'!S62</f>
        <v>845</v>
      </c>
      <c r="N57" s="1365"/>
      <c r="O57" s="893"/>
      <c r="P57" s="505"/>
      <c r="Q57" s="505"/>
      <c r="R57" s="505"/>
      <c r="S57" s="505"/>
      <c r="T57" s="505"/>
      <c r="U57" s="505"/>
      <c r="V57" s="505"/>
      <c r="W57" s="505"/>
      <c r="X57" s="505"/>
      <c r="Y57" s="505"/>
      <c r="Z57" s="505"/>
      <c r="AA57" s="505"/>
      <c r="AB57" s="505"/>
      <c r="AC57" s="505"/>
      <c r="AD57" s="505"/>
      <c r="AE57" s="505"/>
      <c r="AF57" s="505"/>
      <c r="AG57" s="505"/>
      <c r="AH57" s="505"/>
      <c r="AI57" s="505"/>
      <c r="AJ57" s="505"/>
      <c r="AK57" s="505"/>
      <c r="AL57" s="505"/>
      <c r="AM57" s="505"/>
      <c r="AN57" s="505"/>
      <c r="AO57" s="505"/>
      <c r="AP57" s="505"/>
      <c r="AQ57" s="505"/>
      <c r="AR57" s="505"/>
      <c r="AS57" s="505"/>
      <c r="AT57" s="505"/>
      <c r="AU57" s="505"/>
      <c r="AV57" s="505"/>
      <c r="AW57" s="505"/>
      <c r="AX57" s="505"/>
      <c r="AY57" s="505"/>
      <c r="AZ57" s="505"/>
      <c r="BA57" s="505"/>
      <c r="BB57" s="505"/>
      <c r="BC57" s="505"/>
      <c r="BD57" s="505"/>
      <c r="BE57" s="505"/>
      <c r="BF57" s="505"/>
      <c r="BG57" s="505"/>
      <c r="BH57" s="505"/>
      <c r="BI57" s="505"/>
      <c r="BJ57" s="505"/>
      <c r="BK57" s="505"/>
      <c r="BL57" s="505"/>
      <c r="BM57" s="505"/>
      <c r="BN57" s="505"/>
      <c r="BO57" s="505"/>
      <c r="BP57" s="505"/>
      <c r="BQ57" s="505"/>
      <c r="BR57" s="505"/>
      <c r="BS57" s="505"/>
      <c r="BT57" s="505"/>
      <c r="BU57" s="505"/>
      <c r="BV57" s="505"/>
      <c r="BW57" s="505"/>
      <c r="BX57" s="505"/>
      <c r="BY57" s="505"/>
      <c r="BZ57" s="505"/>
      <c r="CA57" s="505"/>
      <c r="CB57" s="505"/>
      <c r="CC57" s="505"/>
      <c r="CD57" s="505"/>
      <c r="CE57" s="505"/>
      <c r="CF57" s="505"/>
      <c r="CG57" s="505"/>
      <c r="CH57" s="505"/>
      <c r="CI57" s="505"/>
      <c r="CJ57" s="505"/>
      <c r="CK57" s="505"/>
      <c r="CL57" s="505"/>
      <c r="CM57" s="505"/>
      <c r="CN57" s="505"/>
      <c r="CO57" s="505"/>
      <c r="CP57" s="505"/>
      <c r="CQ57" s="505"/>
      <c r="CR57" s="505"/>
      <c r="CS57" s="505"/>
      <c r="CT57" s="505"/>
      <c r="CU57" s="505"/>
      <c r="CV57" s="505"/>
      <c r="CW57" s="505"/>
      <c r="CX57" s="505"/>
    </row>
    <row r="58" spans="1:102" ht="20.100000000000001" customHeight="1">
      <c r="A58" s="1206">
        <v>32</v>
      </c>
      <c r="B58" s="62" t="s">
        <v>92</v>
      </c>
      <c r="C58" s="1222">
        <f>+'T-6'!H59</f>
        <v>446.242526489</v>
      </c>
      <c r="D58" s="1241">
        <v>40.086129</v>
      </c>
      <c r="E58" s="991">
        <v>74.849738000000002</v>
      </c>
      <c r="F58" s="991">
        <v>69.139737000000011</v>
      </c>
      <c r="G58" s="991">
        <v>69.041038999999998</v>
      </c>
      <c r="H58" s="991">
        <v>90.479968999999997</v>
      </c>
      <c r="I58" s="991">
        <v>61.368401000000006</v>
      </c>
      <c r="J58" s="378">
        <f>'T-6 (six mth)'!H62</f>
        <v>404.965013</v>
      </c>
      <c r="K58" s="378">
        <f t="shared" si="7"/>
        <v>67.494168833333333</v>
      </c>
      <c r="L58" s="1208">
        <f>+'T-1'!N63</f>
        <v>750</v>
      </c>
      <c r="M58" s="1231">
        <f>+'T-1'!S63</f>
        <v>650</v>
      </c>
      <c r="N58" s="1365"/>
      <c r="O58" s="929"/>
      <c r="P58" s="505"/>
      <c r="Q58" s="505"/>
      <c r="R58" s="505"/>
      <c r="S58" s="505"/>
      <c r="T58" s="505"/>
      <c r="U58" s="505"/>
      <c r="V58" s="505"/>
      <c r="W58" s="505"/>
      <c r="X58" s="505"/>
      <c r="Y58" s="505"/>
      <c r="Z58" s="505"/>
      <c r="AA58" s="505"/>
      <c r="AB58" s="505"/>
      <c r="AC58" s="505"/>
      <c r="AD58" s="505"/>
      <c r="AE58" s="505"/>
      <c r="AF58" s="505"/>
      <c r="AG58" s="505"/>
      <c r="AH58" s="505"/>
      <c r="AI58" s="505"/>
      <c r="AJ58" s="505"/>
      <c r="AK58" s="505"/>
      <c r="AL58" s="505"/>
      <c r="AM58" s="505"/>
      <c r="AN58" s="505"/>
      <c r="AO58" s="505"/>
      <c r="AP58" s="505"/>
      <c r="AQ58" s="505"/>
      <c r="AR58" s="505"/>
      <c r="AS58" s="505"/>
      <c r="AT58" s="505"/>
      <c r="AU58" s="505"/>
      <c r="AV58" s="505"/>
      <c r="AW58" s="505"/>
      <c r="AX58" s="505"/>
      <c r="AY58" s="505"/>
      <c r="AZ58" s="505"/>
      <c r="BA58" s="505"/>
      <c r="BB58" s="505"/>
      <c r="BC58" s="505"/>
      <c r="BD58" s="505"/>
      <c r="BE58" s="505"/>
      <c r="BF58" s="505"/>
      <c r="BG58" s="505"/>
      <c r="BH58" s="505"/>
      <c r="BI58" s="505"/>
      <c r="BJ58" s="505"/>
      <c r="BK58" s="505"/>
      <c r="BL58" s="505"/>
      <c r="BM58" s="505"/>
      <c r="BN58" s="505"/>
      <c r="BO58" s="505"/>
      <c r="BP58" s="505"/>
      <c r="BQ58" s="505"/>
      <c r="BR58" s="505"/>
      <c r="BS58" s="505"/>
      <c r="BT58" s="505"/>
      <c r="BU58" s="505"/>
      <c r="BV58" s="505"/>
      <c r="BW58" s="505"/>
      <c r="BX58" s="505"/>
      <c r="BY58" s="505"/>
      <c r="BZ58" s="505"/>
      <c r="CA58" s="505"/>
      <c r="CB58" s="505"/>
      <c r="CC58" s="505"/>
      <c r="CD58" s="505"/>
      <c r="CE58" s="505"/>
      <c r="CF58" s="505"/>
      <c r="CG58" s="505"/>
      <c r="CH58" s="505"/>
      <c r="CI58" s="505"/>
      <c r="CJ58" s="505"/>
      <c r="CK58" s="505"/>
      <c r="CL58" s="505"/>
      <c r="CM58" s="505"/>
      <c r="CN58" s="505"/>
      <c r="CO58" s="505"/>
      <c r="CP58" s="505"/>
      <c r="CQ58" s="505"/>
      <c r="CR58" s="505"/>
      <c r="CS58" s="505"/>
      <c r="CT58" s="505"/>
      <c r="CU58" s="505"/>
      <c r="CV58" s="505"/>
      <c r="CW58" s="505"/>
      <c r="CX58" s="505"/>
    </row>
    <row r="59" spans="1:102" ht="20.100000000000001" customHeight="1">
      <c r="A59" s="1206">
        <v>33</v>
      </c>
      <c r="B59" s="62" t="s">
        <v>83</v>
      </c>
      <c r="C59" s="1222">
        <f>+'T-6'!H60</f>
        <v>620.44729970499998</v>
      </c>
      <c r="D59" s="1241">
        <v>58.989489149999997</v>
      </c>
      <c r="E59" s="991">
        <v>99.828064000000012</v>
      </c>
      <c r="F59" s="991">
        <v>136.64568</v>
      </c>
      <c r="G59" s="991">
        <v>170.07037200000002</v>
      </c>
      <c r="H59" s="991">
        <v>242.5419311</v>
      </c>
      <c r="I59" s="991">
        <v>313.69409998999998</v>
      </c>
      <c r="J59" s="378">
        <f>'T-6 (six mth)'!H63</f>
        <v>510.76963623999995</v>
      </c>
      <c r="K59" s="378">
        <f t="shared" si="7"/>
        <v>85.128272706666664</v>
      </c>
      <c r="L59" s="1208">
        <f>+'T-1'!N64</f>
        <v>745.7800000000002</v>
      </c>
      <c r="M59" s="1231">
        <f>+'T-1'!S64</f>
        <v>968.5</v>
      </c>
      <c r="N59" s="1365"/>
      <c r="O59" s="893"/>
      <c r="P59" s="505"/>
      <c r="Q59" s="505"/>
      <c r="R59" s="505"/>
      <c r="S59" s="505"/>
      <c r="T59" s="505"/>
      <c r="U59" s="505"/>
      <c r="V59" s="505"/>
      <c r="W59" s="505"/>
      <c r="X59" s="505"/>
      <c r="Y59" s="505"/>
      <c r="Z59" s="505"/>
      <c r="AA59" s="505"/>
      <c r="AB59" s="505"/>
      <c r="AC59" s="505"/>
      <c r="AD59" s="505"/>
      <c r="AE59" s="505"/>
      <c r="AF59" s="505"/>
      <c r="AG59" s="505"/>
      <c r="AH59" s="505"/>
      <c r="AI59" s="505"/>
      <c r="AJ59" s="505"/>
      <c r="AK59" s="505"/>
      <c r="AL59" s="505"/>
      <c r="AM59" s="505"/>
      <c r="AN59" s="505"/>
      <c r="AO59" s="505"/>
      <c r="AP59" s="505"/>
      <c r="AQ59" s="505"/>
      <c r="AR59" s="505"/>
      <c r="AS59" s="505"/>
      <c r="AT59" s="505"/>
      <c r="AU59" s="505"/>
      <c r="AV59" s="505"/>
      <c r="AW59" s="505"/>
      <c r="AX59" s="505"/>
      <c r="AY59" s="505"/>
      <c r="AZ59" s="505"/>
      <c r="BA59" s="505"/>
      <c r="BB59" s="505"/>
      <c r="BC59" s="505"/>
      <c r="BD59" s="505"/>
      <c r="BE59" s="505"/>
      <c r="BF59" s="505"/>
      <c r="BG59" s="505"/>
      <c r="BH59" s="505"/>
      <c r="BI59" s="505"/>
      <c r="BJ59" s="505"/>
      <c r="BK59" s="505"/>
      <c r="BL59" s="505"/>
      <c r="BM59" s="505"/>
      <c r="BN59" s="505"/>
      <c r="BO59" s="505"/>
      <c r="BP59" s="505"/>
      <c r="BQ59" s="505"/>
      <c r="BR59" s="505"/>
      <c r="BS59" s="505"/>
      <c r="BT59" s="505"/>
      <c r="BU59" s="505"/>
      <c r="BV59" s="505"/>
      <c r="BW59" s="505"/>
      <c r="BX59" s="505"/>
      <c r="BY59" s="505"/>
      <c r="BZ59" s="505"/>
      <c r="CA59" s="505"/>
      <c r="CB59" s="505"/>
      <c r="CC59" s="505"/>
      <c r="CD59" s="505"/>
      <c r="CE59" s="505"/>
      <c r="CF59" s="505"/>
      <c r="CG59" s="505"/>
      <c r="CH59" s="505"/>
      <c r="CI59" s="505"/>
      <c r="CJ59" s="505"/>
      <c r="CK59" s="505"/>
      <c r="CL59" s="505"/>
      <c r="CM59" s="505"/>
      <c r="CN59" s="505"/>
      <c r="CO59" s="505"/>
      <c r="CP59" s="505"/>
      <c r="CQ59" s="505"/>
      <c r="CR59" s="505"/>
      <c r="CS59" s="505"/>
      <c r="CT59" s="505"/>
      <c r="CU59" s="505"/>
      <c r="CV59" s="505"/>
      <c r="CW59" s="505"/>
      <c r="CX59" s="505"/>
    </row>
    <row r="60" spans="1:102" ht="20.100000000000001" customHeight="1">
      <c r="A60" s="1206"/>
      <c r="B60" s="62" t="s">
        <v>2129</v>
      </c>
      <c r="C60" s="1222">
        <f>+'T-6'!H61</f>
        <v>552</v>
      </c>
      <c r="D60" s="1241"/>
      <c r="E60" s="991"/>
      <c r="F60" s="991"/>
      <c r="G60" s="991"/>
      <c r="H60" s="991"/>
      <c r="I60" s="991"/>
      <c r="J60" s="378">
        <f>'T-6 (six mth)'!H64</f>
        <v>511</v>
      </c>
      <c r="K60" s="378"/>
      <c r="L60" s="1208">
        <f>+'T-1'!N65</f>
        <v>2100</v>
      </c>
      <c r="M60" s="1231">
        <f>+'T-1'!S65</f>
        <v>2000</v>
      </c>
      <c r="N60" s="1365"/>
      <c r="O60" s="893"/>
      <c r="P60" s="505"/>
      <c r="Q60" s="505"/>
      <c r="R60" s="505"/>
      <c r="S60" s="505"/>
      <c r="T60" s="505"/>
      <c r="U60" s="505"/>
      <c r="V60" s="505"/>
      <c r="W60" s="505"/>
      <c r="X60" s="505"/>
      <c r="Y60" s="505"/>
      <c r="Z60" s="505"/>
      <c r="AA60" s="505"/>
      <c r="AB60" s="505"/>
      <c r="AC60" s="505"/>
      <c r="AD60" s="505"/>
      <c r="AE60" s="505"/>
      <c r="AF60" s="505"/>
      <c r="AG60" s="505"/>
      <c r="AH60" s="505"/>
      <c r="AI60" s="505"/>
      <c r="AJ60" s="505"/>
      <c r="AK60" s="505"/>
      <c r="AL60" s="505"/>
      <c r="AM60" s="505"/>
      <c r="AN60" s="505"/>
      <c r="AO60" s="505"/>
      <c r="AP60" s="505"/>
      <c r="AQ60" s="505"/>
      <c r="AR60" s="505"/>
      <c r="AS60" s="505"/>
      <c r="AT60" s="505"/>
      <c r="AU60" s="505"/>
      <c r="AV60" s="505"/>
      <c r="AW60" s="505"/>
      <c r="AX60" s="505"/>
      <c r="AY60" s="505"/>
      <c r="AZ60" s="505"/>
      <c r="BA60" s="505"/>
      <c r="BB60" s="505"/>
      <c r="BC60" s="505"/>
      <c r="BD60" s="505"/>
      <c r="BE60" s="505"/>
      <c r="BF60" s="505"/>
      <c r="BG60" s="505"/>
      <c r="BH60" s="505"/>
      <c r="BI60" s="505"/>
      <c r="BJ60" s="505"/>
      <c r="BK60" s="505"/>
      <c r="BL60" s="505"/>
      <c r="BM60" s="505"/>
      <c r="BN60" s="505"/>
      <c r="BO60" s="505"/>
      <c r="BP60" s="505"/>
      <c r="BQ60" s="505"/>
      <c r="BR60" s="505"/>
      <c r="BS60" s="505"/>
      <c r="BT60" s="505"/>
      <c r="BU60" s="505"/>
      <c r="BV60" s="505"/>
      <c r="BW60" s="505"/>
      <c r="BX60" s="505"/>
      <c r="BY60" s="505"/>
      <c r="BZ60" s="505"/>
      <c r="CA60" s="505"/>
      <c r="CB60" s="505"/>
      <c r="CC60" s="505"/>
      <c r="CD60" s="505"/>
      <c r="CE60" s="505"/>
      <c r="CF60" s="505"/>
      <c r="CG60" s="505"/>
      <c r="CH60" s="505"/>
      <c r="CI60" s="505"/>
      <c r="CJ60" s="505"/>
      <c r="CK60" s="505"/>
      <c r="CL60" s="505"/>
      <c r="CM60" s="505"/>
      <c r="CN60" s="505"/>
      <c r="CO60" s="505"/>
      <c r="CP60" s="505"/>
      <c r="CQ60" s="505"/>
      <c r="CR60" s="505"/>
      <c r="CS60" s="505"/>
      <c r="CT60" s="505"/>
      <c r="CU60" s="505"/>
      <c r="CV60" s="505"/>
      <c r="CW60" s="505"/>
      <c r="CX60" s="505"/>
    </row>
    <row r="61" spans="1:102" ht="20.100000000000001" customHeight="1">
      <c r="A61" s="1206">
        <v>34</v>
      </c>
      <c r="B61" s="62" t="s">
        <v>93</v>
      </c>
      <c r="C61" s="1222">
        <f>+'T-6'!H62</f>
        <v>6.7701200000000004</v>
      </c>
      <c r="D61" s="1241">
        <v>0.5440062</v>
      </c>
      <c r="E61" s="991">
        <v>0.56595399999999996</v>
      </c>
      <c r="F61" s="991">
        <v>0.54420140000000006</v>
      </c>
      <c r="G61" s="991">
        <v>0.77324300000000001</v>
      </c>
      <c r="H61" s="991">
        <v>0.6766548</v>
      </c>
      <c r="I61" s="991">
        <v>0.52776500000000004</v>
      </c>
      <c r="J61" s="378">
        <f>'T-6 (six mth)'!H65</f>
        <v>3.6318244000000002</v>
      </c>
      <c r="K61" s="378">
        <f t="shared" si="7"/>
        <v>0.6053040666666667</v>
      </c>
      <c r="L61" s="1208">
        <f>+'T-1'!N66</f>
        <v>7.22</v>
      </c>
      <c r="M61" s="1231">
        <f>+'T-1'!S66</f>
        <v>7.5</v>
      </c>
      <c r="N61" s="1365"/>
      <c r="O61" s="929"/>
      <c r="P61" s="505"/>
      <c r="Q61" s="505"/>
      <c r="R61" s="505"/>
      <c r="S61" s="505"/>
      <c r="T61" s="505"/>
      <c r="U61" s="505"/>
      <c r="V61" s="505"/>
      <c r="W61" s="505"/>
      <c r="X61" s="505"/>
      <c r="Y61" s="505"/>
      <c r="Z61" s="505"/>
      <c r="AA61" s="505"/>
      <c r="AB61" s="505"/>
      <c r="AC61" s="505"/>
      <c r="AD61" s="505"/>
      <c r="AE61" s="505"/>
      <c r="AF61" s="505"/>
      <c r="AG61" s="505"/>
      <c r="AH61" s="505"/>
      <c r="AI61" s="505"/>
      <c r="AJ61" s="505"/>
      <c r="AK61" s="505"/>
      <c r="AL61" s="505"/>
      <c r="AM61" s="505"/>
      <c r="AN61" s="505"/>
      <c r="AO61" s="505"/>
      <c r="AP61" s="505"/>
      <c r="AQ61" s="505"/>
      <c r="AR61" s="505"/>
      <c r="AS61" s="505"/>
      <c r="AT61" s="505"/>
      <c r="AU61" s="505"/>
      <c r="AV61" s="505"/>
      <c r="AW61" s="505"/>
      <c r="AX61" s="505"/>
      <c r="AY61" s="505"/>
      <c r="AZ61" s="505"/>
      <c r="BA61" s="505"/>
      <c r="BB61" s="505"/>
      <c r="BC61" s="505"/>
      <c r="BD61" s="505"/>
      <c r="BE61" s="505"/>
      <c r="BF61" s="505"/>
      <c r="BG61" s="505"/>
      <c r="BH61" s="505"/>
      <c r="BI61" s="505"/>
      <c r="BJ61" s="505"/>
      <c r="BK61" s="505"/>
      <c r="BL61" s="505"/>
      <c r="BM61" s="505"/>
      <c r="BN61" s="505"/>
      <c r="BO61" s="505"/>
      <c r="BP61" s="505"/>
      <c r="BQ61" s="505"/>
      <c r="BR61" s="505"/>
      <c r="BS61" s="505"/>
      <c r="BT61" s="505"/>
      <c r="BU61" s="505"/>
      <c r="BV61" s="505"/>
      <c r="BW61" s="505"/>
      <c r="BX61" s="505"/>
      <c r="BY61" s="505"/>
      <c r="BZ61" s="505"/>
      <c r="CA61" s="505"/>
      <c r="CB61" s="505"/>
      <c r="CC61" s="505"/>
      <c r="CD61" s="505"/>
      <c r="CE61" s="505"/>
      <c r="CF61" s="505"/>
      <c r="CG61" s="505"/>
      <c r="CH61" s="505"/>
      <c r="CI61" s="505"/>
      <c r="CJ61" s="505"/>
      <c r="CK61" s="505"/>
      <c r="CL61" s="505"/>
      <c r="CM61" s="505"/>
      <c r="CN61" s="505"/>
      <c r="CO61" s="505"/>
      <c r="CP61" s="505"/>
      <c r="CQ61" s="505"/>
      <c r="CR61" s="505"/>
      <c r="CS61" s="505"/>
      <c r="CT61" s="505"/>
      <c r="CU61" s="505"/>
      <c r="CV61" s="505"/>
      <c r="CW61" s="505"/>
      <c r="CX61" s="505"/>
    </row>
    <row r="62" spans="1:102" ht="20.100000000000001" customHeight="1">
      <c r="A62" s="1206">
        <v>35</v>
      </c>
      <c r="B62" s="62" t="s">
        <v>86</v>
      </c>
      <c r="C62" s="1222">
        <f>+'T-6'!H63</f>
        <v>3.4121000000000006</v>
      </c>
      <c r="D62" s="1241">
        <v>0.35199999999999998</v>
      </c>
      <c r="E62" s="991">
        <v>1.4730000000000001</v>
      </c>
      <c r="F62" s="991">
        <v>1.8329</v>
      </c>
      <c r="G62" s="991">
        <v>6.8500000000000005E-2</v>
      </c>
      <c r="H62" s="991">
        <v>0.2681</v>
      </c>
      <c r="I62" s="991">
        <v>0.2087</v>
      </c>
      <c r="J62" s="378">
        <f>'T-6 (six mth)'!H66</f>
        <v>4.2032000000000007</v>
      </c>
      <c r="K62" s="378">
        <f t="shared" si="7"/>
        <v>0.70053333333333345</v>
      </c>
      <c r="L62" s="1208">
        <f>+'T-1'!N67</f>
        <v>5</v>
      </c>
      <c r="M62" s="1231">
        <f>+'T-1'!S67</f>
        <v>2</v>
      </c>
      <c r="N62" s="1365"/>
      <c r="O62" s="893"/>
      <c r="P62" s="505"/>
      <c r="Q62" s="505"/>
      <c r="R62" s="505"/>
      <c r="S62" s="505"/>
      <c r="T62" s="505"/>
      <c r="U62" s="505"/>
      <c r="V62" s="505"/>
      <c r="W62" s="505"/>
      <c r="X62" s="505"/>
      <c r="Y62" s="505"/>
      <c r="Z62" s="505"/>
      <c r="AA62" s="505"/>
      <c r="AB62" s="505"/>
      <c r="AC62" s="505"/>
      <c r="AD62" s="505"/>
      <c r="AE62" s="505"/>
      <c r="AF62" s="505"/>
      <c r="AG62" s="505"/>
      <c r="AH62" s="505"/>
      <c r="AI62" s="505"/>
      <c r="AJ62" s="505"/>
      <c r="AK62" s="505"/>
      <c r="AL62" s="505"/>
      <c r="AM62" s="505"/>
      <c r="AN62" s="505"/>
      <c r="AO62" s="505"/>
      <c r="AP62" s="505"/>
      <c r="AQ62" s="505"/>
      <c r="AR62" s="505"/>
      <c r="AS62" s="505"/>
      <c r="AT62" s="505"/>
      <c r="AU62" s="505"/>
      <c r="AV62" s="505"/>
      <c r="AW62" s="505"/>
      <c r="AX62" s="505"/>
      <c r="AY62" s="505"/>
      <c r="AZ62" s="505"/>
      <c r="BA62" s="505"/>
      <c r="BB62" s="505"/>
      <c r="BC62" s="505"/>
      <c r="BD62" s="505"/>
      <c r="BE62" s="505"/>
      <c r="BF62" s="505"/>
      <c r="BG62" s="505"/>
      <c r="BH62" s="505"/>
      <c r="BI62" s="505"/>
      <c r="BJ62" s="505"/>
      <c r="BK62" s="505"/>
      <c r="BL62" s="505"/>
      <c r="BM62" s="505"/>
      <c r="BN62" s="505"/>
      <c r="BO62" s="505"/>
      <c r="BP62" s="505"/>
      <c r="BQ62" s="505"/>
      <c r="BR62" s="505"/>
      <c r="BS62" s="505"/>
      <c r="BT62" s="505"/>
      <c r="BU62" s="505"/>
      <c r="BV62" s="505"/>
      <c r="BW62" s="505"/>
      <c r="BX62" s="505"/>
      <c r="BY62" s="505"/>
      <c r="BZ62" s="505"/>
      <c r="CA62" s="505"/>
      <c r="CB62" s="505"/>
      <c r="CC62" s="505"/>
      <c r="CD62" s="505"/>
      <c r="CE62" s="505"/>
      <c r="CF62" s="505"/>
      <c r="CG62" s="505"/>
      <c r="CH62" s="505"/>
      <c r="CI62" s="505"/>
      <c r="CJ62" s="505"/>
      <c r="CK62" s="505"/>
      <c r="CL62" s="505"/>
      <c r="CM62" s="505"/>
      <c r="CN62" s="505"/>
      <c r="CO62" s="505"/>
      <c r="CP62" s="505"/>
      <c r="CQ62" s="505"/>
      <c r="CR62" s="505"/>
      <c r="CS62" s="505"/>
      <c r="CT62" s="505"/>
      <c r="CU62" s="505"/>
      <c r="CV62" s="505"/>
      <c r="CW62" s="505"/>
      <c r="CX62" s="505"/>
    </row>
    <row r="63" spans="1:102" ht="20.100000000000001" customHeight="1">
      <c r="A63" s="1206">
        <v>36</v>
      </c>
      <c r="B63" s="62" t="s">
        <v>63</v>
      </c>
      <c r="C63" s="1222">
        <f>+'T-6'!H64</f>
        <v>10.968</v>
      </c>
      <c r="D63" s="1241">
        <v>2.58E-2</v>
      </c>
      <c r="E63" s="991">
        <v>2.5899999999999999E-2</v>
      </c>
      <c r="F63" s="991">
        <v>2.7400000000000001E-2</v>
      </c>
      <c r="G63" s="991">
        <v>2.87E-2</v>
      </c>
      <c r="H63" s="991">
        <v>1.7968999999999999</v>
      </c>
      <c r="I63" s="991">
        <v>2.2368999999999999</v>
      </c>
      <c r="J63" s="378">
        <f>'T-6 (six mth)'!H67</f>
        <v>4.1415999999999995</v>
      </c>
      <c r="K63" s="378">
        <f t="shared" si="7"/>
        <v>0.69026666666666658</v>
      </c>
      <c r="L63" s="1208"/>
      <c r="M63" s="1231"/>
      <c r="N63" s="1365"/>
      <c r="O63" s="893"/>
      <c r="P63" s="505"/>
      <c r="Q63" s="505"/>
      <c r="R63" s="505"/>
      <c r="S63" s="505"/>
      <c r="T63" s="505"/>
      <c r="U63" s="505"/>
      <c r="V63" s="505"/>
      <c r="W63" s="505"/>
      <c r="X63" s="505"/>
      <c r="Y63" s="505"/>
      <c r="Z63" s="505"/>
      <c r="AA63" s="505"/>
      <c r="AB63" s="505"/>
      <c r="AC63" s="505"/>
      <c r="AD63" s="505"/>
      <c r="AE63" s="505"/>
      <c r="AF63" s="505"/>
      <c r="AG63" s="505"/>
      <c r="AH63" s="505"/>
      <c r="AI63" s="505"/>
      <c r="AJ63" s="505"/>
      <c r="AK63" s="505"/>
      <c r="AL63" s="505"/>
      <c r="AM63" s="505"/>
      <c r="AN63" s="505"/>
      <c r="AO63" s="505"/>
      <c r="AP63" s="505"/>
      <c r="AQ63" s="505"/>
      <c r="AR63" s="505"/>
      <c r="AS63" s="505"/>
      <c r="AT63" s="505"/>
      <c r="AU63" s="505"/>
      <c r="AV63" s="505"/>
      <c r="AW63" s="505"/>
      <c r="AX63" s="505"/>
      <c r="AY63" s="505"/>
      <c r="AZ63" s="505"/>
      <c r="BA63" s="505"/>
      <c r="BB63" s="505"/>
      <c r="BC63" s="505"/>
      <c r="BD63" s="505"/>
      <c r="BE63" s="505"/>
      <c r="BF63" s="505"/>
      <c r="BG63" s="505"/>
      <c r="BH63" s="505"/>
      <c r="BI63" s="505"/>
      <c r="BJ63" s="505"/>
      <c r="BK63" s="505"/>
      <c r="BL63" s="505"/>
      <c r="BM63" s="505"/>
      <c r="BN63" s="505"/>
      <c r="BO63" s="505"/>
      <c r="BP63" s="505"/>
      <c r="BQ63" s="505"/>
      <c r="BR63" s="505"/>
      <c r="BS63" s="505"/>
      <c r="BT63" s="505"/>
      <c r="BU63" s="505"/>
      <c r="BV63" s="505"/>
      <c r="BW63" s="505"/>
      <c r="BX63" s="505"/>
      <c r="BY63" s="505"/>
      <c r="BZ63" s="505"/>
      <c r="CA63" s="505"/>
      <c r="CB63" s="505"/>
      <c r="CC63" s="505"/>
      <c r="CD63" s="505"/>
      <c r="CE63" s="505"/>
      <c r="CF63" s="505"/>
      <c r="CG63" s="505"/>
      <c r="CH63" s="505"/>
      <c r="CI63" s="505"/>
      <c r="CJ63" s="505"/>
      <c r="CK63" s="505"/>
      <c r="CL63" s="505"/>
      <c r="CM63" s="505"/>
      <c r="CN63" s="505"/>
      <c r="CO63" s="505"/>
      <c r="CP63" s="505"/>
      <c r="CQ63" s="505"/>
      <c r="CR63" s="505"/>
      <c r="CS63" s="505"/>
      <c r="CT63" s="505"/>
      <c r="CU63" s="505"/>
      <c r="CV63" s="505"/>
      <c r="CW63" s="505"/>
      <c r="CX63" s="505"/>
    </row>
    <row r="64" spans="1:102" ht="20.100000000000001" customHeight="1">
      <c r="A64" s="1206">
        <v>37</v>
      </c>
      <c r="B64" s="62" t="s">
        <v>87</v>
      </c>
      <c r="C64" s="1222">
        <f>+'T-6'!H65</f>
        <v>61.929000000000002</v>
      </c>
      <c r="D64" s="1241">
        <v>5.4153390000000003</v>
      </c>
      <c r="E64" s="991">
        <v>6.0111255999999997</v>
      </c>
      <c r="F64" s="991">
        <v>5.2651674000000002</v>
      </c>
      <c r="G64" s="991">
        <v>5.5634094999999997</v>
      </c>
      <c r="H64" s="991">
        <v>8.2918947000000003</v>
      </c>
      <c r="I64" s="991">
        <v>5.3567152399999998</v>
      </c>
      <c r="J64" s="378">
        <f>'T-6 (six mth)'!H68</f>
        <v>35.903651439999997</v>
      </c>
      <c r="K64" s="378">
        <f t="shared" si="7"/>
        <v>5.9839419066666659</v>
      </c>
      <c r="L64" s="1208">
        <f>+'T-1'!N68</f>
        <v>70</v>
      </c>
      <c r="M64" s="1231">
        <f>+'T-1'!S68</f>
        <v>72</v>
      </c>
      <c r="N64" s="1365"/>
      <c r="O64" s="930"/>
      <c r="P64" s="64"/>
      <c r="Q64" s="505"/>
      <c r="R64" s="505"/>
      <c r="S64" s="505"/>
      <c r="T64" s="505"/>
      <c r="U64" s="505"/>
      <c r="V64" s="505"/>
      <c r="W64" s="505"/>
      <c r="X64" s="505"/>
      <c r="Y64" s="505"/>
      <c r="Z64" s="505"/>
      <c r="AA64" s="505"/>
      <c r="AB64" s="505"/>
      <c r="AC64" s="505"/>
      <c r="AD64" s="505"/>
      <c r="AE64" s="505"/>
      <c r="AF64" s="505"/>
      <c r="AG64" s="505"/>
      <c r="AH64" s="505"/>
      <c r="AI64" s="505"/>
      <c r="AJ64" s="505"/>
      <c r="AK64" s="505"/>
      <c r="AL64" s="505"/>
      <c r="AM64" s="505"/>
      <c r="AN64" s="505"/>
      <c r="AO64" s="505"/>
      <c r="AP64" s="505"/>
      <c r="AQ64" s="505"/>
      <c r="AR64" s="505"/>
      <c r="AS64" s="505"/>
      <c r="AT64" s="505"/>
      <c r="AU64" s="505"/>
      <c r="AV64" s="505"/>
      <c r="AW64" s="505"/>
      <c r="AX64" s="505"/>
      <c r="AY64" s="505"/>
      <c r="AZ64" s="505"/>
      <c r="BA64" s="505"/>
      <c r="BB64" s="505"/>
      <c r="BC64" s="505"/>
      <c r="BD64" s="505"/>
      <c r="BE64" s="505"/>
      <c r="BF64" s="505"/>
      <c r="BG64" s="505"/>
      <c r="BH64" s="505"/>
      <c r="BI64" s="505"/>
      <c r="BJ64" s="505"/>
      <c r="BK64" s="505"/>
      <c r="BL64" s="505"/>
      <c r="BM64" s="505"/>
      <c r="BN64" s="505"/>
      <c r="BO64" s="505"/>
      <c r="BP64" s="505"/>
      <c r="BQ64" s="505"/>
      <c r="BR64" s="505"/>
      <c r="BS64" s="505"/>
      <c r="BT64" s="505"/>
      <c r="BU64" s="505"/>
      <c r="BV64" s="505"/>
      <c r="BW64" s="505"/>
      <c r="BX64" s="505"/>
      <c r="BY64" s="505"/>
      <c r="BZ64" s="505"/>
      <c r="CA64" s="505"/>
      <c r="CB64" s="505"/>
      <c r="CC64" s="505"/>
      <c r="CD64" s="505"/>
      <c r="CE64" s="505"/>
      <c r="CF64" s="505"/>
      <c r="CG64" s="505"/>
      <c r="CH64" s="505"/>
      <c r="CI64" s="505"/>
      <c r="CJ64" s="505"/>
      <c r="CK64" s="505"/>
      <c r="CL64" s="505"/>
      <c r="CM64" s="505"/>
      <c r="CN64" s="505"/>
      <c r="CO64" s="505"/>
      <c r="CP64" s="505"/>
      <c r="CQ64" s="505"/>
      <c r="CR64" s="505"/>
      <c r="CS64" s="505"/>
      <c r="CT64" s="505"/>
      <c r="CU64" s="505"/>
      <c r="CV64" s="505"/>
      <c r="CW64" s="505"/>
      <c r="CX64" s="505"/>
    </row>
    <row r="65" spans="1:102" ht="20.100000000000001" customHeight="1">
      <c r="A65" s="1206"/>
      <c r="B65" s="403" t="s">
        <v>193</v>
      </c>
      <c r="C65" s="1223">
        <f t="shared" ref="C65:M65" si="8">SUM(C54:C64)</f>
        <v>2645.5494727505002</v>
      </c>
      <c r="D65" s="1242">
        <f t="shared" si="8"/>
        <v>196.99626910000001</v>
      </c>
      <c r="E65" s="110">
        <f t="shared" si="8"/>
        <v>281.41763354</v>
      </c>
      <c r="F65" s="110">
        <f t="shared" si="8"/>
        <v>327.07970943000004</v>
      </c>
      <c r="G65" s="110">
        <f t="shared" si="8"/>
        <v>363.71212404999994</v>
      </c>
      <c r="H65" s="110">
        <f t="shared" si="8"/>
        <v>459.33051137000001</v>
      </c>
      <c r="I65" s="110">
        <f t="shared" si="8"/>
        <v>502.18681271000003</v>
      </c>
      <c r="J65" s="110">
        <f t="shared" si="8"/>
        <v>2130.7230602</v>
      </c>
      <c r="K65" s="110">
        <f t="shared" si="8"/>
        <v>259.78717670000003</v>
      </c>
      <c r="L65" s="1209">
        <f t="shared" si="8"/>
        <v>4961.0000000000009</v>
      </c>
      <c r="M65" s="1232">
        <f t="shared" si="8"/>
        <v>5045</v>
      </c>
      <c r="N65" s="1365"/>
      <c r="O65" s="929"/>
      <c r="P65" s="505"/>
      <c r="Q65" s="505"/>
      <c r="R65" s="505"/>
      <c r="S65" s="505"/>
      <c r="T65" s="505"/>
      <c r="U65" s="505"/>
      <c r="V65" s="505"/>
      <c r="W65" s="505"/>
      <c r="X65" s="505"/>
      <c r="Y65" s="505"/>
      <c r="Z65" s="505"/>
      <c r="AA65" s="505"/>
      <c r="AB65" s="505"/>
      <c r="AC65" s="505"/>
      <c r="AD65" s="505"/>
      <c r="AE65" s="505"/>
      <c r="AF65" s="505"/>
      <c r="AG65" s="505"/>
      <c r="AH65" s="505"/>
      <c r="AI65" s="505"/>
      <c r="AJ65" s="505"/>
      <c r="AK65" s="505"/>
      <c r="AL65" s="505"/>
      <c r="AM65" s="505"/>
      <c r="AN65" s="505"/>
      <c r="AO65" s="505"/>
      <c r="AP65" s="505"/>
      <c r="AQ65" s="505"/>
      <c r="AR65" s="505"/>
      <c r="AS65" s="505"/>
      <c r="AT65" s="505"/>
      <c r="AU65" s="505"/>
      <c r="AV65" s="505"/>
      <c r="AW65" s="505"/>
      <c r="AX65" s="505"/>
      <c r="AY65" s="505"/>
      <c r="AZ65" s="505"/>
      <c r="BA65" s="505"/>
      <c r="BB65" s="505"/>
      <c r="BC65" s="505"/>
      <c r="BD65" s="505"/>
      <c r="BE65" s="505"/>
      <c r="BF65" s="505"/>
      <c r="BG65" s="505"/>
      <c r="BH65" s="505"/>
      <c r="BI65" s="505"/>
      <c r="BJ65" s="505"/>
      <c r="BK65" s="505"/>
      <c r="BL65" s="505"/>
      <c r="BM65" s="505"/>
      <c r="BN65" s="505"/>
      <c r="BO65" s="505"/>
      <c r="BP65" s="505"/>
      <c r="BQ65" s="505"/>
      <c r="BR65" s="505"/>
      <c r="BS65" s="505"/>
      <c r="BT65" s="505"/>
      <c r="BU65" s="505"/>
      <c r="BV65" s="505"/>
      <c r="BW65" s="505"/>
      <c r="BX65" s="505"/>
      <c r="BY65" s="505"/>
      <c r="BZ65" s="505"/>
      <c r="CA65" s="505"/>
      <c r="CB65" s="505"/>
      <c r="CC65" s="505"/>
      <c r="CD65" s="505"/>
      <c r="CE65" s="505"/>
      <c r="CF65" s="505"/>
      <c r="CG65" s="505"/>
      <c r="CH65" s="505"/>
      <c r="CI65" s="505"/>
      <c r="CJ65" s="505"/>
      <c r="CK65" s="505"/>
      <c r="CL65" s="505"/>
      <c r="CM65" s="505"/>
      <c r="CN65" s="505"/>
      <c r="CO65" s="505"/>
      <c r="CP65" s="505"/>
      <c r="CQ65" s="505"/>
      <c r="CR65" s="505"/>
      <c r="CS65" s="505"/>
      <c r="CT65" s="505"/>
      <c r="CU65" s="505"/>
      <c r="CV65" s="505"/>
      <c r="CW65" s="505"/>
      <c r="CX65" s="505"/>
    </row>
    <row r="66" spans="1:102" ht="20.100000000000001" customHeight="1">
      <c r="A66" s="1206"/>
      <c r="B66" s="1367" t="s">
        <v>95</v>
      </c>
      <c r="C66" s="1223">
        <f t="shared" ref="C66:M66" si="9">C65+C52+C34</f>
        <v>7355.7999799869012</v>
      </c>
      <c r="D66" s="1242">
        <f t="shared" si="9"/>
        <v>622.25880015910013</v>
      </c>
      <c r="E66" s="110">
        <f t="shared" si="9"/>
        <v>727.6947925377001</v>
      </c>
      <c r="F66" s="110">
        <f t="shared" si="9"/>
        <v>829.86372555780895</v>
      </c>
      <c r="G66" s="110">
        <f t="shared" si="9"/>
        <v>820.10058532091989</v>
      </c>
      <c r="H66" s="110">
        <f t="shared" si="9"/>
        <v>891.70600240660019</v>
      </c>
      <c r="I66" s="110">
        <f t="shared" si="9"/>
        <v>925.85942812614019</v>
      </c>
      <c r="J66" s="110">
        <f t="shared" si="9"/>
        <v>4812.4833339082707</v>
      </c>
      <c r="K66" s="110">
        <f t="shared" si="9"/>
        <v>706.74722231804503</v>
      </c>
      <c r="L66" s="1209">
        <f t="shared" si="9"/>
        <v>10071.000000000002</v>
      </c>
      <c r="M66" s="1232">
        <f t="shared" si="9"/>
        <v>10482.000002000001</v>
      </c>
      <c r="N66" s="1365"/>
      <c r="O66" s="929"/>
      <c r="P66" s="505"/>
      <c r="Q66" s="505"/>
      <c r="R66" s="505"/>
      <c r="S66" s="505"/>
      <c r="T66" s="505"/>
      <c r="U66" s="505"/>
      <c r="V66" s="505"/>
      <c r="W66" s="505"/>
      <c r="X66" s="505"/>
      <c r="Y66" s="505"/>
      <c r="Z66" s="505"/>
      <c r="AA66" s="505"/>
      <c r="AB66" s="505"/>
      <c r="AC66" s="505"/>
      <c r="AD66" s="505"/>
      <c r="AE66" s="505"/>
      <c r="AF66" s="505"/>
      <c r="AG66" s="505"/>
      <c r="AH66" s="505"/>
      <c r="AI66" s="505"/>
      <c r="AJ66" s="505"/>
      <c r="AK66" s="505"/>
      <c r="AL66" s="505"/>
      <c r="AM66" s="505"/>
      <c r="AN66" s="505"/>
      <c r="AO66" s="505"/>
      <c r="AP66" s="505"/>
      <c r="AQ66" s="505"/>
      <c r="AR66" s="505"/>
      <c r="AS66" s="505"/>
      <c r="AT66" s="505"/>
      <c r="AU66" s="505"/>
      <c r="AV66" s="505"/>
      <c r="AW66" s="505"/>
      <c r="AX66" s="505"/>
      <c r="AY66" s="505"/>
      <c r="AZ66" s="505"/>
      <c r="BA66" s="505"/>
      <c r="BB66" s="505"/>
      <c r="BC66" s="505"/>
      <c r="BD66" s="505"/>
      <c r="BE66" s="505"/>
      <c r="BF66" s="505"/>
      <c r="BG66" s="505"/>
      <c r="BH66" s="505"/>
      <c r="BI66" s="505"/>
      <c r="BJ66" s="505"/>
      <c r="BK66" s="505"/>
      <c r="BL66" s="505"/>
      <c r="BM66" s="505"/>
      <c r="BN66" s="505"/>
      <c r="BO66" s="505"/>
      <c r="BP66" s="505"/>
      <c r="BQ66" s="505"/>
      <c r="BR66" s="505"/>
      <c r="BS66" s="505"/>
      <c r="BT66" s="505"/>
      <c r="BU66" s="505"/>
      <c r="BV66" s="505"/>
      <c r="BW66" s="505"/>
      <c r="BX66" s="505"/>
      <c r="BY66" s="505"/>
      <c r="BZ66" s="505"/>
      <c r="CA66" s="505"/>
      <c r="CB66" s="505"/>
      <c r="CC66" s="505"/>
      <c r="CD66" s="505"/>
      <c r="CE66" s="505"/>
      <c r="CF66" s="505"/>
      <c r="CG66" s="505"/>
      <c r="CH66" s="505"/>
      <c r="CI66" s="505"/>
      <c r="CJ66" s="505"/>
      <c r="CK66" s="505"/>
      <c r="CL66" s="505"/>
      <c r="CM66" s="505"/>
      <c r="CN66" s="505"/>
      <c r="CO66" s="505"/>
      <c r="CP66" s="505"/>
      <c r="CQ66" s="505"/>
      <c r="CR66" s="505"/>
      <c r="CS66" s="505"/>
      <c r="CT66" s="505"/>
      <c r="CU66" s="505"/>
      <c r="CV66" s="505"/>
      <c r="CW66" s="505"/>
      <c r="CX66" s="505"/>
    </row>
    <row r="67" spans="1:102" ht="20.100000000000001" customHeight="1" thickBot="1">
      <c r="A67" s="1211"/>
      <c r="B67" s="1368"/>
      <c r="C67" s="1226"/>
      <c r="D67" s="1246"/>
      <c r="E67" s="1213"/>
      <c r="F67" s="1213"/>
      <c r="G67" s="1213"/>
      <c r="H67" s="1213"/>
      <c r="I67" s="1213"/>
      <c r="J67" s="1213"/>
      <c r="K67" s="1213"/>
      <c r="L67" s="1214"/>
      <c r="M67" s="1234"/>
      <c r="N67" s="306"/>
      <c r="O67" s="893"/>
      <c r="P67" s="505"/>
      <c r="Q67" s="505"/>
      <c r="R67" s="505"/>
      <c r="S67" s="505"/>
      <c r="T67" s="505"/>
      <c r="U67" s="505"/>
      <c r="V67" s="505"/>
      <c r="W67" s="505"/>
      <c r="X67" s="505"/>
      <c r="Y67" s="505"/>
      <c r="Z67" s="505"/>
      <c r="AA67" s="505"/>
      <c r="AB67" s="505"/>
      <c r="AC67" s="505"/>
      <c r="AD67" s="505"/>
      <c r="AE67" s="505"/>
      <c r="AF67" s="505"/>
      <c r="AG67" s="505"/>
      <c r="AH67" s="505"/>
      <c r="AI67" s="505"/>
      <c r="AJ67" s="505"/>
      <c r="AK67" s="505"/>
      <c r="AL67" s="505"/>
      <c r="AM67" s="505"/>
      <c r="AN67" s="505"/>
      <c r="AO67" s="505"/>
      <c r="AP67" s="505"/>
      <c r="AQ67" s="505"/>
      <c r="AR67" s="505"/>
      <c r="AS67" s="505"/>
      <c r="AT67" s="505"/>
      <c r="AU67" s="505"/>
      <c r="AV67" s="505"/>
      <c r="AW67" s="505"/>
      <c r="AX67" s="505"/>
      <c r="AY67" s="505"/>
      <c r="AZ67" s="505"/>
      <c r="BA67" s="505"/>
      <c r="BB67" s="505"/>
      <c r="BC67" s="505"/>
      <c r="BD67" s="505"/>
      <c r="BE67" s="505"/>
      <c r="BF67" s="505"/>
      <c r="BG67" s="505"/>
      <c r="BH67" s="505"/>
      <c r="BI67" s="505"/>
      <c r="BJ67" s="505"/>
      <c r="BK67" s="505"/>
      <c r="BL67" s="505"/>
      <c r="BM67" s="505"/>
      <c r="BN67" s="505"/>
      <c r="BO67" s="505"/>
      <c r="BP67" s="505"/>
      <c r="BQ67" s="505"/>
      <c r="BR67" s="505"/>
      <c r="BS67" s="505"/>
      <c r="BT67" s="505"/>
      <c r="BU67" s="505"/>
      <c r="BV67" s="505"/>
      <c r="BW67" s="505"/>
      <c r="BX67" s="505"/>
      <c r="BY67" s="505"/>
      <c r="BZ67" s="505"/>
      <c r="CA67" s="505"/>
      <c r="CB67" s="505"/>
      <c r="CC67" s="505"/>
      <c r="CD67" s="505"/>
      <c r="CE67" s="505"/>
      <c r="CF67" s="505"/>
      <c r="CG67" s="505"/>
      <c r="CH67" s="505"/>
      <c r="CI67" s="505"/>
      <c r="CJ67" s="505"/>
      <c r="CK67" s="505"/>
      <c r="CL67" s="505"/>
      <c r="CM67" s="505"/>
      <c r="CN67" s="505"/>
      <c r="CO67" s="505"/>
      <c r="CP67" s="505"/>
      <c r="CQ67" s="505"/>
      <c r="CR67" s="505"/>
      <c r="CS67" s="505"/>
      <c r="CT67" s="505"/>
      <c r="CU67" s="505"/>
      <c r="CV67" s="505"/>
      <c r="CW67" s="505"/>
      <c r="CX67" s="505"/>
    </row>
    <row r="68" spans="1:102" ht="20.100000000000001" customHeight="1" thickBot="1">
      <c r="A68" s="1215"/>
      <c r="B68" s="1369" t="s">
        <v>194</v>
      </c>
      <c r="C68" s="1370"/>
      <c r="D68" s="1371"/>
      <c r="E68" s="1371"/>
      <c r="F68" s="1371"/>
      <c r="G68" s="1371"/>
      <c r="H68" s="1371"/>
      <c r="I68" s="1371"/>
      <c r="J68" s="1371"/>
      <c r="K68" s="1371"/>
      <c r="L68" s="1371"/>
      <c r="M68" s="1372"/>
      <c r="N68" s="306"/>
      <c r="O68" s="893"/>
      <c r="P68" s="505"/>
      <c r="Q68" s="505"/>
      <c r="R68" s="505"/>
      <c r="S68" s="505"/>
      <c r="T68" s="505"/>
      <c r="U68" s="505"/>
      <c r="V68" s="505"/>
      <c r="W68" s="505"/>
      <c r="X68" s="505"/>
      <c r="Y68" s="505"/>
      <c r="Z68" s="505"/>
      <c r="AA68" s="505"/>
      <c r="AB68" s="505"/>
      <c r="AC68" s="505"/>
      <c r="AD68" s="505"/>
      <c r="AE68" s="505"/>
      <c r="AF68" s="505"/>
      <c r="AG68" s="505"/>
      <c r="AH68" s="505"/>
      <c r="AI68" s="505"/>
      <c r="AJ68" s="505"/>
      <c r="AK68" s="505"/>
      <c r="AL68" s="505"/>
      <c r="AM68" s="505"/>
      <c r="AN68" s="505"/>
      <c r="AO68" s="505"/>
      <c r="AP68" s="505"/>
      <c r="AQ68" s="505"/>
      <c r="AR68" s="505"/>
      <c r="AS68" s="505"/>
      <c r="AT68" s="505"/>
      <c r="AU68" s="505"/>
      <c r="AV68" s="505"/>
      <c r="AW68" s="505"/>
      <c r="AX68" s="505"/>
      <c r="AY68" s="505"/>
      <c r="AZ68" s="505"/>
      <c r="BA68" s="505"/>
      <c r="BB68" s="505"/>
      <c r="BC68" s="505"/>
      <c r="BD68" s="505"/>
      <c r="BE68" s="505"/>
      <c r="BF68" s="505"/>
      <c r="BG68" s="505"/>
      <c r="BH68" s="505"/>
      <c r="BI68" s="505"/>
      <c r="BJ68" s="505"/>
      <c r="BK68" s="505"/>
      <c r="BL68" s="505"/>
      <c r="BM68" s="505"/>
      <c r="BN68" s="505"/>
      <c r="BO68" s="505"/>
      <c r="BP68" s="505"/>
      <c r="BQ68" s="505"/>
      <c r="BR68" s="505"/>
      <c r="BS68" s="505"/>
      <c r="BT68" s="505"/>
      <c r="BU68" s="505"/>
      <c r="BV68" s="505"/>
      <c r="BW68" s="505"/>
      <c r="BX68" s="505"/>
      <c r="BY68" s="505"/>
      <c r="BZ68" s="505"/>
      <c r="CA68" s="505"/>
      <c r="CB68" s="505"/>
      <c r="CC68" s="505"/>
      <c r="CD68" s="505"/>
      <c r="CE68" s="505"/>
      <c r="CF68" s="505"/>
      <c r="CG68" s="505"/>
      <c r="CH68" s="505"/>
      <c r="CI68" s="505"/>
      <c r="CJ68" s="505"/>
      <c r="CK68" s="505"/>
      <c r="CL68" s="505"/>
      <c r="CM68" s="505"/>
      <c r="CN68" s="505"/>
      <c r="CO68" s="505"/>
      <c r="CP68" s="505"/>
      <c r="CQ68" s="505"/>
      <c r="CR68" s="505"/>
      <c r="CS68" s="505"/>
      <c r="CT68" s="505"/>
      <c r="CU68" s="505"/>
      <c r="CV68" s="505"/>
      <c r="CW68" s="505"/>
      <c r="CX68" s="505"/>
    </row>
    <row r="69" spans="1:102" ht="27.75" customHeight="1">
      <c r="A69" s="1206"/>
      <c r="B69" s="1792"/>
      <c r="C69" s="1793" t="s">
        <v>195</v>
      </c>
      <c r="D69" s="1794" t="s">
        <v>196</v>
      </c>
      <c r="E69" s="1787" t="s">
        <v>160</v>
      </c>
      <c r="F69" s="1788"/>
      <c r="G69" s="1788"/>
      <c r="H69" s="1788"/>
      <c r="I69" s="1788"/>
      <c r="J69" s="1788"/>
      <c r="K69" s="1788"/>
      <c r="L69" s="1789"/>
      <c r="M69" s="1795" t="s">
        <v>161</v>
      </c>
      <c r="N69" s="306"/>
      <c r="O69" s="893"/>
      <c r="P69" s="505"/>
      <c r="Q69" s="505"/>
      <c r="R69" s="505"/>
      <c r="S69" s="505"/>
      <c r="T69" s="505"/>
      <c r="U69" s="505"/>
      <c r="V69" s="505"/>
      <c r="W69" s="505"/>
      <c r="X69" s="505"/>
      <c r="Y69" s="505"/>
      <c r="Z69" s="505"/>
      <c r="AA69" s="505"/>
      <c r="AB69" s="505"/>
      <c r="AC69" s="505"/>
      <c r="AD69" s="505"/>
      <c r="AE69" s="505"/>
      <c r="AF69" s="505"/>
      <c r="AG69" s="505"/>
      <c r="AH69" s="505"/>
      <c r="AI69" s="505"/>
      <c r="AJ69" s="505"/>
      <c r="AK69" s="505"/>
      <c r="AL69" s="505"/>
      <c r="AM69" s="505"/>
      <c r="AN69" s="505"/>
      <c r="AO69" s="505"/>
      <c r="AP69" s="505"/>
      <c r="AQ69" s="505"/>
      <c r="AR69" s="505"/>
      <c r="AS69" s="505"/>
      <c r="AT69" s="505"/>
      <c r="AU69" s="505"/>
      <c r="AV69" s="505"/>
      <c r="AW69" s="505"/>
      <c r="AX69" s="505"/>
      <c r="AY69" s="505"/>
      <c r="AZ69" s="505"/>
      <c r="BA69" s="505"/>
      <c r="BB69" s="505"/>
      <c r="BC69" s="505"/>
      <c r="BD69" s="505"/>
      <c r="BE69" s="505"/>
      <c r="BF69" s="505"/>
      <c r="BG69" s="505"/>
      <c r="BH69" s="505"/>
      <c r="BI69" s="505"/>
      <c r="BJ69" s="505"/>
      <c r="BK69" s="505"/>
      <c r="BL69" s="505"/>
      <c r="BM69" s="505"/>
      <c r="BN69" s="505"/>
      <c r="BO69" s="505"/>
      <c r="BP69" s="505"/>
      <c r="BQ69" s="505"/>
      <c r="BR69" s="505"/>
      <c r="BS69" s="505"/>
      <c r="BT69" s="505"/>
      <c r="BU69" s="505"/>
      <c r="BV69" s="505"/>
      <c r="BW69" s="505"/>
      <c r="BX69" s="505"/>
      <c r="BY69" s="505"/>
      <c r="BZ69" s="505"/>
      <c r="CA69" s="505"/>
      <c r="CB69" s="505"/>
      <c r="CC69" s="505"/>
      <c r="CD69" s="505"/>
      <c r="CE69" s="505"/>
      <c r="CF69" s="505"/>
      <c r="CG69" s="505"/>
      <c r="CH69" s="505"/>
      <c r="CI69" s="505"/>
      <c r="CJ69" s="505"/>
      <c r="CK69" s="505"/>
      <c r="CL69" s="505"/>
      <c r="CM69" s="505"/>
      <c r="CN69" s="505"/>
      <c r="CO69" s="505"/>
      <c r="CP69" s="505"/>
      <c r="CQ69" s="505"/>
      <c r="CR69" s="505"/>
      <c r="CS69" s="505"/>
      <c r="CT69" s="505"/>
      <c r="CU69" s="505"/>
      <c r="CV69" s="505"/>
      <c r="CW69" s="505"/>
      <c r="CX69" s="505"/>
    </row>
    <row r="70" spans="1:102" ht="36" customHeight="1">
      <c r="A70" s="1206"/>
      <c r="B70" s="1792"/>
      <c r="C70" s="1793"/>
      <c r="D70" s="1794"/>
      <c r="E70" s="1250">
        <v>44652</v>
      </c>
      <c r="F70" s="704">
        <v>44682</v>
      </c>
      <c r="G70" s="704">
        <v>44713</v>
      </c>
      <c r="H70" s="704">
        <v>44743</v>
      </c>
      <c r="I70" s="704">
        <v>44774</v>
      </c>
      <c r="J70" s="704">
        <v>44805</v>
      </c>
      <c r="K70" s="1048" t="s">
        <v>169</v>
      </c>
      <c r="L70" s="1238" t="s">
        <v>170</v>
      </c>
      <c r="M70" s="1795"/>
      <c r="N70" s="306"/>
      <c r="O70" s="893"/>
      <c r="P70" s="505"/>
      <c r="Q70" s="505"/>
      <c r="R70" s="505"/>
      <c r="S70" s="505"/>
      <c r="T70" s="505"/>
      <c r="U70" s="505"/>
      <c r="V70" s="505"/>
      <c r="W70" s="505"/>
      <c r="X70" s="505"/>
      <c r="Y70" s="505"/>
      <c r="Z70" s="505"/>
      <c r="AA70" s="505"/>
      <c r="AB70" s="505"/>
      <c r="AC70" s="505"/>
      <c r="AD70" s="505"/>
      <c r="AE70" s="505"/>
      <c r="AF70" s="505"/>
      <c r="AG70" s="505"/>
      <c r="AH70" s="505"/>
      <c r="AI70" s="505"/>
      <c r="AJ70" s="505"/>
      <c r="AK70" s="505"/>
      <c r="AL70" s="505"/>
      <c r="AM70" s="505"/>
      <c r="AN70" s="505"/>
      <c r="AO70" s="505"/>
      <c r="AP70" s="505"/>
      <c r="AQ70" s="505"/>
      <c r="AR70" s="505"/>
      <c r="AS70" s="505"/>
      <c r="AT70" s="505"/>
      <c r="AU70" s="505"/>
      <c r="AV70" s="505"/>
      <c r="AW70" s="505"/>
      <c r="AX70" s="505"/>
      <c r="AY70" s="505"/>
      <c r="AZ70" s="505"/>
      <c r="BA70" s="505"/>
      <c r="BB70" s="505"/>
      <c r="BC70" s="505"/>
      <c r="BD70" s="505"/>
      <c r="BE70" s="505"/>
      <c r="BF70" s="505"/>
      <c r="BG70" s="505"/>
      <c r="BH70" s="505"/>
      <c r="BI70" s="505"/>
      <c r="BJ70" s="505"/>
      <c r="BK70" s="505"/>
      <c r="BL70" s="505"/>
      <c r="BM70" s="505"/>
      <c r="BN70" s="505"/>
      <c r="BO70" s="505"/>
      <c r="BP70" s="505"/>
      <c r="BQ70" s="505"/>
      <c r="BR70" s="505"/>
      <c r="BS70" s="505"/>
      <c r="BT70" s="505"/>
      <c r="BU70" s="505"/>
      <c r="BV70" s="505"/>
      <c r="BW70" s="505"/>
      <c r="BX70" s="505"/>
      <c r="BY70" s="505"/>
      <c r="BZ70" s="505"/>
      <c r="CA70" s="505"/>
      <c r="CB70" s="505"/>
      <c r="CC70" s="505"/>
      <c r="CD70" s="505"/>
      <c r="CE70" s="505"/>
      <c r="CF70" s="505"/>
      <c r="CG70" s="505"/>
      <c r="CH70" s="505"/>
      <c r="CI70" s="505"/>
      <c r="CJ70" s="505"/>
      <c r="CK70" s="505"/>
      <c r="CL70" s="505"/>
      <c r="CM70" s="505"/>
      <c r="CN70" s="505"/>
      <c r="CO70" s="505"/>
      <c r="CP70" s="505"/>
      <c r="CQ70" s="505"/>
      <c r="CR70" s="505"/>
      <c r="CS70" s="505"/>
      <c r="CT70" s="505"/>
      <c r="CU70" s="505"/>
      <c r="CV70" s="505"/>
      <c r="CW70" s="505"/>
      <c r="CX70" s="505"/>
    </row>
    <row r="71" spans="1:102" ht="20.100000000000001" customHeight="1">
      <c r="A71" s="1206"/>
      <c r="B71" s="1364" t="s">
        <v>197</v>
      </c>
      <c r="C71" s="932">
        <v>1263.7485833333333</v>
      </c>
      <c r="D71" s="1247">
        <v>1524.242</v>
      </c>
      <c r="E71" s="1251">
        <v>1520.9259999999999</v>
      </c>
      <c r="F71" s="705">
        <v>1463.9690000000001</v>
      </c>
      <c r="G71" s="705">
        <v>1479.3019999999999</v>
      </c>
      <c r="H71" s="705">
        <v>1621.384</v>
      </c>
      <c r="I71" s="705">
        <v>1710.27</v>
      </c>
      <c r="J71" s="705">
        <v>1706.0160000000001</v>
      </c>
      <c r="K71" s="705">
        <f>AVERAGE(E71:J71)</f>
        <v>1583.6445000000001</v>
      </c>
      <c r="L71" s="1252">
        <v>1710.27</v>
      </c>
      <c r="M71" s="1249">
        <v>1850</v>
      </c>
      <c r="N71" s="306"/>
      <c r="O71" s="893"/>
      <c r="P71" s="505"/>
      <c r="Q71" s="505"/>
      <c r="R71" s="505"/>
      <c r="S71" s="505"/>
      <c r="T71" s="505"/>
      <c r="U71" s="505"/>
      <c r="V71" s="505"/>
      <c r="W71" s="505"/>
      <c r="X71" s="505"/>
      <c r="Y71" s="505"/>
      <c r="Z71" s="505"/>
      <c r="AA71" s="505"/>
      <c r="AB71" s="505"/>
      <c r="AC71" s="505"/>
      <c r="AD71" s="505"/>
      <c r="AE71" s="505"/>
      <c r="AF71" s="505"/>
      <c r="AG71" s="505"/>
      <c r="AH71" s="505"/>
      <c r="AI71" s="505"/>
      <c r="AJ71" s="505"/>
      <c r="AK71" s="505"/>
      <c r="AL71" s="505"/>
      <c r="AM71" s="505"/>
      <c r="AN71" s="505"/>
      <c r="AO71" s="505"/>
      <c r="AP71" s="505"/>
      <c r="AQ71" s="505"/>
      <c r="AR71" s="505"/>
      <c r="AS71" s="505"/>
      <c r="AT71" s="505"/>
      <c r="AU71" s="505"/>
      <c r="AV71" s="505"/>
      <c r="AW71" s="505"/>
      <c r="AX71" s="505"/>
      <c r="AY71" s="505"/>
      <c r="AZ71" s="505"/>
      <c r="BA71" s="505"/>
      <c r="BB71" s="505"/>
      <c r="BC71" s="505"/>
      <c r="BD71" s="505"/>
      <c r="BE71" s="505"/>
      <c r="BF71" s="505"/>
      <c r="BG71" s="505"/>
      <c r="BH71" s="505"/>
      <c r="BI71" s="505"/>
      <c r="BJ71" s="505"/>
      <c r="BK71" s="505"/>
      <c r="BL71" s="505"/>
      <c r="BM71" s="505"/>
      <c r="BN71" s="505"/>
      <c r="BO71" s="505"/>
      <c r="BP71" s="505"/>
      <c r="BQ71" s="505"/>
      <c r="BR71" s="505"/>
      <c r="BS71" s="505"/>
      <c r="BT71" s="505"/>
      <c r="BU71" s="505"/>
      <c r="BV71" s="505"/>
      <c r="BW71" s="505"/>
      <c r="BX71" s="505"/>
      <c r="BY71" s="505"/>
      <c r="BZ71" s="505"/>
      <c r="CA71" s="505"/>
      <c r="CB71" s="505"/>
      <c r="CC71" s="505"/>
      <c r="CD71" s="505"/>
      <c r="CE71" s="505"/>
      <c r="CF71" s="505"/>
      <c r="CG71" s="505"/>
      <c r="CH71" s="505"/>
      <c r="CI71" s="505"/>
      <c r="CJ71" s="505"/>
      <c r="CK71" s="505"/>
      <c r="CL71" s="505"/>
      <c r="CM71" s="505"/>
      <c r="CN71" s="505"/>
      <c r="CO71" s="505"/>
      <c r="CP71" s="505"/>
      <c r="CQ71" s="505"/>
      <c r="CR71" s="505"/>
      <c r="CS71" s="505"/>
      <c r="CT71" s="505"/>
      <c r="CU71" s="505"/>
      <c r="CV71" s="505"/>
      <c r="CW71" s="505"/>
      <c r="CX71" s="505"/>
    </row>
    <row r="72" spans="1:102" ht="20.100000000000001" customHeight="1" thickBot="1">
      <c r="A72" s="1373"/>
      <c r="B72" s="1216"/>
      <c r="C72" s="1217"/>
      <c r="D72" s="1248"/>
      <c r="E72" s="1253"/>
      <c r="F72" s="1218"/>
      <c r="G72" s="1218"/>
      <c r="H72" s="1218"/>
      <c r="I72" s="1218"/>
      <c r="J72" s="1218"/>
      <c r="K72" s="1218"/>
      <c r="L72" s="1214"/>
      <c r="M72" s="1234"/>
      <c r="N72" s="306"/>
      <c r="O72" s="893"/>
      <c r="P72" s="505"/>
      <c r="Q72" s="505"/>
      <c r="R72" s="505"/>
      <c r="S72" s="505"/>
      <c r="T72" s="505"/>
      <c r="U72" s="505"/>
      <c r="V72" s="505"/>
      <c r="W72" s="505"/>
      <c r="X72" s="505"/>
      <c r="Y72" s="505"/>
      <c r="Z72" s="505"/>
      <c r="AA72" s="505"/>
      <c r="AB72" s="505"/>
      <c r="AC72" s="505"/>
      <c r="AD72" s="505"/>
      <c r="AE72" s="505"/>
      <c r="AF72" s="505"/>
      <c r="AG72" s="505"/>
      <c r="AH72" s="505"/>
      <c r="AI72" s="505"/>
      <c r="AJ72" s="505"/>
      <c r="AK72" s="505"/>
      <c r="AL72" s="505"/>
      <c r="AM72" s="505"/>
      <c r="AN72" s="505"/>
      <c r="AO72" s="505"/>
      <c r="AP72" s="505"/>
      <c r="AQ72" s="505"/>
      <c r="AR72" s="505"/>
      <c r="AS72" s="505"/>
      <c r="AT72" s="505"/>
      <c r="AU72" s="505"/>
      <c r="AV72" s="505"/>
      <c r="AW72" s="505"/>
      <c r="AX72" s="505"/>
      <c r="AY72" s="505"/>
      <c r="AZ72" s="505"/>
      <c r="BA72" s="505"/>
      <c r="BB72" s="505"/>
      <c r="BC72" s="505"/>
      <c r="BD72" s="505"/>
      <c r="BE72" s="505"/>
      <c r="BF72" s="505"/>
      <c r="BG72" s="505"/>
      <c r="BH72" s="505"/>
      <c r="BI72" s="505"/>
      <c r="BJ72" s="505"/>
      <c r="BK72" s="505"/>
      <c r="BL72" s="505"/>
      <c r="BM72" s="505"/>
      <c r="BN72" s="505"/>
      <c r="BO72" s="505"/>
      <c r="BP72" s="505"/>
      <c r="BQ72" s="505"/>
      <c r="BR72" s="505"/>
      <c r="BS72" s="505"/>
      <c r="BT72" s="505"/>
      <c r="BU72" s="505"/>
      <c r="BV72" s="505"/>
      <c r="BW72" s="505"/>
      <c r="BX72" s="505"/>
      <c r="BY72" s="505"/>
      <c r="BZ72" s="505"/>
      <c r="CA72" s="505"/>
      <c r="CB72" s="505"/>
      <c r="CC72" s="505"/>
      <c r="CD72" s="505"/>
      <c r="CE72" s="505"/>
      <c r="CF72" s="505"/>
      <c r="CG72" s="505"/>
      <c r="CH72" s="505"/>
      <c r="CI72" s="505"/>
      <c r="CJ72" s="505"/>
      <c r="CK72" s="505"/>
      <c r="CL72" s="505"/>
      <c r="CM72" s="505"/>
      <c r="CN72" s="505"/>
      <c r="CO72" s="505"/>
      <c r="CP72" s="505"/>
      <c r="CQ72" s="505"/>
      <c r="CR72" s="505"/>
      <c r="CS72" s="505"/>
      <c r="CT72" s="505"/>
      <c r="CU72" s="505"/>
      <c r="CV72" s="505"/>
      <c r="CW72" s="505"/>
      <c r="CX72" s="505"/>
    </row>
    <row r="73" spans="1:102" ht="20.100000000000001" customHeight="1">
      <c r="O73" s="893"/>
    </row>
    <row r="74" spans="1:102" ht="20.100000000000001" customHeight="1">
      <c r="E74" s="125"/>
      <c r="F74" s="469"/>
      <c r="G74" s="469"/>
      <c r="H74" s="469"/>
      <c r="I74" s="469"/>
      <c r="J74" s="469"/>
      <c r="K74" s="220"/>
      <c r="O74" s="893"/>
    </row>
    <row r="75" spans="1:102" ht="20.100000000000001" customHeight="1">
      <c r="D75" s="125"/>
      <c r="E75" s="125"/>
      <c r="F75" s="125"/>
      <c r="G75" s="125"/>
      <c r="H75" s="125"/>
      <c r="I75" s="125"/>
      <c r="O75" s="893"/>
    </row>
    <row r="76" spans="1:102" ht="20.100000000000001" customHeight="1">
      <c r="C76" s="468"/>
      <c r="D76" s="469"/>
      <c r="E76" s="469"/>
      <c r="F76" s="469"/>
      <c r="G76" s="469"/>
      <c r="H76" s="469"/>
      <c r="I76" s="469"/>
      <c r="J76" s="469"/>
      <c r="K76" s="469"/>
      <c r="L76" s="469"/>
      <c r="M76" s="469"/>
      <c r="N76" s="469"/>
      <c r="O76" s="893"/>
    </row>
    <row r="77" spans="1:102" ht="20.100000000000001" customHeight="1">
      <c r="O77" s="893"/>
    </row>
    <row r="78" spans="1:102" ht="20.100000000000001" customHeight="1">
      <c r="O78" s="893"/>
    </row>
    <row r="79" spans="1:102" ht="20.100000000000001" customHeight="1">
      <c r="O79" s="893"/>
    </row>
    <row r="80" spans="1:102" ht="20.100000000000001" customHeight="1">
      <c r="O80" s="893"/>
    </row>
    <row r="81" spans="15:15" ht="20.100000000000001" customHeight="1">
      <c r="O81" s="893"/>
    </row>
    <row r="82" spans="15:15" ht="20.100000000000001" customHeight="1">
      <c r="O82" s="893"/>
    </row>
    <row r="83" spans="15:15" ht="20.100000000000001" customHeight="1">
      <c r="O83" s="893"/>
    </row>
    <row r="84" spans="15:15" ht="20.100000000000001" customHeight="1">
      <c r="O84" s="893"/>
    </row>
    <row r="85" spans="15:15" ht="20.100000000000001" customHeight="1">
      <c r="O85" s="893"/>
    </row>
    <row r="86" spans="15:15" ht="20.100000000000001" customHeight="1">
      <c r="O86" s="893"/>
    </row>
    <row r="87" spans="15:15" ht="20.100000000000001" customHeight="1"/>
    <row r="88" spans="15:15" ht="20.100000000000001" customHeight="1"/>
    <row r="89" spans="15:15" ht="20.100000000000001" customHeight="1"/>
    <row r="90" spans="15:15" ht="20.100000000000001" customHeight="1"/>
    <row r="91" spans="15:15" ht="20.100000000000001" customHeight="1"/>
    <row r="92" spans="15:15" ht="20.100000000000001" customHeight="1"/>
    <row r="93" spans="15:15" ht="20.100000000000001" customHeight="1"/>
    <row r="94" spans="15:15" ht="20.100000000000001" customHeight="1"/>
    <row r="95" spans="15:15" ht="20.100000000000001" customHeight="1"/>
    <row r="96" spans="15:15"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row r="175" ht="20.100000000000001" customHeight="1"/>
    <row r="176" ht="20.100000000000001" customHeight="1"/>
    <row r="177" ht="20.100000000000001" customHeight="1"/>
    <row r="178" ht="20.100000000000001" customHeight="1"/>
    <row r="179" ht="20.100000000000001" customHeight="1"/>
    <row r="180" ht="20.100000000000001" customHeight="1"/>
  </sheetData>
  <mergeCells count="8">
    <mergeCell ref="C3:C4"/>
    <mergeCell ref="D3:L3"/>
    <mergeCell ref="M3:M4"/>
    <mergeCell ref="B69:B70"/>
    <mergeCell ref="C69:C70"/>
    <mergeCell ref="D69:D70"/>
    <mergeCell ref="E69:L69"/>
    <mergeCell ref="M69:M70"/>
  </mergeCells>
  <printOptions horizontalCentered="1" verticalCentered="1" gridLines="1"/>
  <pageMargins left="0.11811023622047245" right="0" top="0.23622047244094491" bottom="0" header="0" footer="0.19685039370078741"/>
  <pageSetup paperSize="9" scale="82" fitToWidth="3" fitToHeight="3" orientation="landscape" r:id="rId1"/>
  <headerFooter alignWithMargins="0">
    <oddFooter>&amp;R&amp;"Arial,Bold"&amp;12OERC FORM &amp;A</oddFooter>
  </headerFooter>
  <rowBreaks count="2" manualBreakCount="2">
    <brk id="34" max="12" man="1"/>
    <brk id="52" max="12"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I50"/>
  <sheetViews>
    <sheetView workbookViewId="0">
      <selection activeCell="A55" sqref="A55"/>
    </sheetView>
  </sheetViews>
  <sheetFormatPr defaultRowHeight="12.75"/>
  <cols>
    <col min="1" max="1" width="28.42578125" customWidth="1"/>
    <col min="2" max="9" width="11.42578125" bestFit="1" customWidth="1"/>
  </cols>
  <sheetData>
    <row r="1" spans="1:9" ht="15.75">
      <c r="A1" s="2000" t="s">
        <v>389</v>
      </c>
      <c r="B1" s="2001"/>
      <c r="C1" s="2001"/>
      <c r="D1" s="2001"/>
      <c r="E1" s="2001"/>
      <c r="F1" s="2001"/>
      <c r="G1" s="2001"/>
      <c r="H1" s="2001"/>
      <c r="I1" s="2002"/>
    </row>
    <row r="2" spans="1:9" ht="15.75">
      <c r="A2" s="100" t="s">
        <v>791</v>
      </c>
      <c r="B2" s="1751" t="s">
        <v>1858</v>
      </c>
      <c r="C2" s="1751"/>
      <c r="D2" s="1751" t="s">
        <v>1859</v>
      </c>
      <c r="E2" s="1751"/>
      <c r="F2" s="1751" t="s">
        <v>1860</v>
      </c>
      <c r="G2" s="1751"/>
      <c r="H2" s="1751" t="s">
        <v>1861</v>
      </c>
      <c r="I2" s="1751"/>
    </row>
    <row r="3" spans="1:9" ht="48.75" customHeight="1" thickBot="1">
      <c r="A3" s="589"/>
      <c r="B3" s="590" t="s">
        <v>102</v>
      </c>
      <c r="C3" s="590" t="s">
        <v>41</v>
      </c>
      <c r="D3" s="590" t="s">
        <v>102</v>
      </c>
      <c r="E3" s="590" t="s">
        <v>41</v>
      </c>
      <c r="F3" s="590" t="s">
        <v>102</v>
      </c>
      <c r="G3" s="591" t="s">
        <v>1862</v>
      </c>
      <c r="H3" s="591" t="s">
        <v>1863</v>
      </c>
      <c r="I3" s="590" t="s">
        <v>103</v>
      </c>
    </row>
    <row r="4" spans="1:9" ht="18.75" thickTop="1">
      <c r="A4" s="587" t="s">
        <v>1864</v>
      </c>
      <c r="B4" s="588">
        <v>8000</v>
      </c>
      <c r="C4" s="588">
        <f>summary!C5</f>
        <v>9000</v>
      </c>
      <c r="D4" s="588">
        <v>8000</v>
      </c>
      <c r="E4" s="588">
        <f>summary!D5</f>
        <v>9300</v>
      </c>
      <c r="F4" s="588">
        <f>summary!B5</f>
        <v>9313.2066041351354</v>
      </c>
      <c r="G4" s="588">
        <f>summary!K5</f>
        <v>6346.5334769000001</v>
      </c>
      <c r="H4" s="588">
        <f>summary!M5</f>
        <v>12300</v>
      </c>
      <c r="I4" s="588">
        <f>summary!N5</f>
        <v>12800</v>
      </c>
    </row>
    <row r="5" spans="1:9" ht="18">
      <c r="A5" s="580" t="s">
        <v>1865</v>
      </c>
      <c r="B5" s="581"/>
      <c r="C5" s="581"/>
      <c r="D5" s="582"/>
      <c r="E5" s="582"/>
      <c r="F5" s="582"/>
      <c r="G5" s="582"/>
      <c r="H5" s="581"/>
      <c r="I5" s="581"/>
    </row>
    <row r="6" spans="1:9" ht="18">
      <c r="A6" s="580" t="s">
        <v>45</v>
      </c>
      <c r="B6" s="581">
        <v>3140</v>
      </c>
      <c r="C6" s="581">
        <f>summary!C11</f>
        <v>3510</v>
      </c>
      <c r="D6" s="581">
        <v>3182</v>
      </c>
      <c r="E6" s="581">
        <f>summary!D11</f>
        <v>3507.2</v>
      </c>
      <c r="F6" s="581">
        <f>summary!B11</f>
        <v>2873.565261891601</v>
      </c>
      <c r="G6" s="581">
        <f>summary!K11</f>
        <v>1665.8065056996606</v>
      </c>
      <c r="H6" s="581">
        <f>summary!M11</f>
        <v>3085.0000000000005</v>
      </c>
      <c r="I6" s="581">
        <f>summary!N11</f>
        <v>3313.9999999999995</v>
      </c>
    </row>
    <row r="7" spans="1:9" ht="18">
      <c r="A7" s="580" t="s">
        <v>77</v>
      </c>
      <c r="B7" s="581">
        <v>1800</v>
      </c>
      <c r="C7" s="581">
        <f>summary!C10</f>
        <v>1850</v>
      </c>
      <c r="D7" s="581">
        <v>1800</v>
      </c>
      <c r="E7" s="581">
        <f>summary!D10</f>
        <v>1910</v>
      </c>
      <c r="F7" s="581">
        <f>summary!B10</f>
        <v>1836.6852453448</v>
      </c>
      <c r="G7" s="581">
        <f>summary!K10</f>
        <v>1020.9537682086086</v>
      </c>
      <c r="H7" s="581">
        <f>summary!M10</f>
        <v>2025</v>
      </c>
      <c r="I7" s="581">
        <f>summary!N10</f>
        <v>2123.0000019999998</v>
      </c>
    </row>
    <row r="8" spans="1:9" ht="18">
      <c r="A8" s="580" t="s">
        <v>91</v>
      </c>
      <c r="B8" s="581">
        <v>1360</v>
      </c>
      <c r="C8" s="581">
        <f>summary!C9</f>
        <v>1750</v>
      </c>
      <c r="D8" s="581">
        <v>1450</v>
      </c>
      <c r="E8" s="581">
        <f>summary!D9</f>
        <v>2060</v>
      </c>
      <c r="F8" s="581">
        <f>summary!B9</f>
        <v>2645.5494727505002</v>
      </c>
      <c r="G8" s="581">
        <f>summary!K9</f>
        <v>2130.7239999999997</v>
      </c>
      <c r="H8" s="581">
        <f>summary!M9</f>
        <v>4961.0000000000009</v>
      </c>
      <c r="I8" s="581">
        <f>summary!N9</f>
        <v>5045</v>
      </c>
    </row>
    <row r="9" spans="1:9" ht="18">
      <c r="A9" s="580" t="s">
        <v>147</v>
      </c>
      <c r="B9" s="583">
        <f>SUM(B6:B8)</f>
        <v>6300</v>
      </c>
      <c r="C9" s="583">
        <f>SUM(C6:C8)</f>
        <v>7110</v>
      </c>
      <c r="D9" s="583">
        <f t="shared" ref="D9" si="0">SUM(D6:D8)</f>
        <v>6432</v>
      </c>
      <c r="E9" s="583">
        <f t="shared" ref="E9:I9" si="1">SUM(E6:E8)</f>
        <v>7477.2</v>
      </c>
      <c r="F9" s="583">
        <f t="shared" si="1"/>
        <v>7355.7999799869012</v>
      </c>
      <c r="G9" s="583">
        <f t="shared" si="1"/>
        <v>4817.4842739082687</v>
      </c>
      <c r="H9" s="583">
        <f t="shared" si="1"/>
        <v>10071</v>
      </c>
      <c r="I9" s="583">
        <f t="shared" si="1"/>
        <v>10482.000001999999</v>
      </c>
    </row>
    <row r="10" spans="1:9" ht="18">
      <c r="A10" s="580" t="s">
        <v>1866</v>
      </c>
      <c r="B10" s="584">
        <f t="shared" ref="B10" si="2">(B4-B9)/B4</f>
        <v>0.21249999999999999</v>
      </c>
      <c r="C10" s="584">
        <f t="shared" ref="C10:I10" si="3">(C4-C9)/C4</f>
        <v>0.21</v>
      </c>
      <c r="D10" s="584">
        <f t="shared" ref="D10" si="4">(D4-D9)/D4</f>
        <v>0.19600000000000001</v>
      </c>
      <c r="E10" s="584">
        <f t="shared" si="3"/>
        <v>0.19600000000000001</v>
      </c>
      <c r="F10" s="584">
        <f t="shared" si="3"/>
        <v>0.21017536787803362</v>
      </c>
      <c r="G10" s="584">
        <f t="shared" si="3"/>
        <v>0.24092667415324248</v>
      </c>
      <c r="H10" s="584">
        <f t="shared" si="3"/>
        <v>0.18121951219512195</v>
      </c>
      <c r="I10" s="584">
        <f t="shared" si="3"/>
        <v>0.1810937498437501</v>
      </c>
    </row>
    <row r="11" spans="1:9" ht="18">
      <c r="A11" s="580" t="s">
        <v>1867</v>
      </c>
      <c r="B11" s="585">
        <v>3148.97</v>
      </c>
      <c r="C11" s="585">
        <f>summary!C23/100</f>
        <v>4038.7084000000004</v>
      </c>
      <c r="D11" s="585">
        <v>3187.81</v>
      </c>
      <c r="E11" s="585">
        <f>summary!D23/100</f>
        <v>4119.4799999999996</v>
      </c>
      <c r="F11" s="585">
        <f>summary!B23/100</f>
        <v>4356.5335931894251</v>
      </c>
      <c r="G11" s="585">
        <f>summary!K23/100</f>
        <v>2830.4170492101098</v>
      </c>
      <c r="H11" s="585">
        <f>summary!M23/100</f>
        <v>5831.8520046395479</v>
      </c>
      <c r="I11" s="585">
        <f>summary!N23/100</f>
        <v>6171.823828129206</v>
      </c>
    </row>
    <row r="12" spans="1:9" ht="18">
      <c r="A12" s="580" t="s">
        <v>1868</v>
      </c>
      <c r="B12" s="585">
        <f>B11*0.96</f>
        <v>3023.0111999999999</v>
      </c>
      <c r="C12" s="585">
        <f>summary!C31/100</f>
        <v>3877.1600640000001</v>
      </c>
      <c r="D12" s="585">
        <f>D11*0.99</f>
        <v>3155.9319</v>
      </c>
      <c r="E12" s="585">
        <f>summary!D31/100</f>
        <v>4078.2852000000003</v>
      </c>
      <c r="F12" s="585">
        <f>summary!B31/100</f>
        <v>4048.6506999999997</v>
      </c>
      <c r="G12" s="585">
        <f>summary!K31/100</f>
        <v>2678.7771000000002</v>
      </c>
      <c r="H12" s="585">
        <f>summary!M31/100</f>
        <v>5668.5601485096404</v>
      </c>
      <c r="I12" s="585">
        <f>summary!N31/100</f>
        <v>6110.1055898479135</v>
      </c>
    </row>
    <row r="13" spans="1:9" ht="18">
      <c r="A13" s="580" t="s">
        <v>1869</v>
      </c>
      <c r="B13" s="584">
        <f t="shared" ref="B13" si="5">B12/B11</f>
        <v>0.96000000000000008</v>
      </c>
      <c r="C13" s="584">
        <f t="shared" ref="C13:I13" si="6">C12/C11</f>
        <v>0.96</v>
      </c>
      <c r="D13" s="584">
        <f t="shared" ref="D13" si="7">D12/D11</f>
        <v>0.99</v>
      </c>
      <c r="E13" s="584">
        <f t="shared" si="6"/>
        <v>0.99000000000000021</v>
      </c>
      <c r="F13" s="584">
        <f t="shared" si="6"/>
        <v>0.9293284703070489</v>
      </c>
      <c r="G13" s="584">
        <f t="shared" si="6"/>
        <v>0.94642487429461042</v>
      </c>
      <c r="H13" s="584">
        <f t="shared" si="6"/>
        <v>0.97199999999999998</v>
      </c>
      <c r="I13" s="584">
        <f t="shared" si="6"/>
        <v>0.98999999999999988</v>
      </c>
    </row>
    <row r="14" spans="1:9" ht="18">
      <c r="A14" s="580" t="s">
        <v>1870</v>
      </c>
      <c r="B14" s="586">
        <f t="shared" ref="B14" si="8">1-((1-B10)*B13)</f>
        <v>0.24399999999999999</v>
      </c>
      <c r="C14" s="586">
        <f t="shared" ref="C14:I14" si="9">1-((1-C10)*C13)</f>
        <v>0.24160000000000004</v>
      </c>
      <c r="D14" s="586">
        <f t="shared" ref="D14" si="10">1-((1-D10)*D13)</f>
        <v>0.20404</v>
      </c>
      <c r="E14" s="586">
        <f t="shared" si="9"/>
        <v>0.20403999999999978</v>
      </c>
      <c r="F14" s="586">
        <f t="shared" si="9"/>
        <v>0.26599348281926527</v>
      </c>
      <c r="G14" s="586">
        <f t="shared" si="9"/>
        <v>0.28159412300509068</v>
      </c>
      <c r="H14" s="586">
        <f t="shared" si="9"/>
        <v>0.2041453658536585</v>
      </c>
      <c r="I14" s="586">
        <f t="shared" si="9"/>
        <v>0.18928281234531275</v>
      </c>
    </row>
    <row r="15" spans="1:9" ht="18">
      <c r="A15" s="580" t="s">
        <v>1871</v>
      </c>
      <c r="B15" s="580">
        <v>1400</v>
      </c>
      <c r="C15" s="580">
        <v>1400</v>
      </c>
      <c r="D15" s="580">
        <v>1300</v>
      </c>
      <c r="E15" s="580">
        <f>summary!D4</f>
        <v>1650</v>
      </c>
      <c r="F15" s="581">
        <v>1219.2719999999999</v>
      </c>
      <c r="G15" s="581">
        <f>summary!K4</f>
        <v>1710.27</v>
      </c>
      <c r="H15" s="580">
        <v>1540</v>
      </c>
      <c r="I15" s="580">
        <v>1600</v>
      </c>
    </row>
    <row r="19" spans="1:4" ht="51">
      <c r="A19" s="280" t="s">
        <v>1872</v>
      </c>
      <c r="B19" s="702" t="s">
        <v>1873</v>
      </c>
      <c r="C19" s="68" t="s">
        <v>1874</v>
      </c>
      <c r="D19" s="68" t="s">
        <v>1875</v>
      </c>
    </row>
    <row r="20" spans="1:4">
      <c r="A20" s="563" t="s">
        <v>675</v>
      </c>
      <c r="B20" s="23"/>
      <c r="C20" s="23"/>
      <c r="D20" s="23"/>
    </row>
    <row r="21" spans="1:4">
      <c r="A21" s="563" t="s">
        <v>676</v>
      </c>
      <c r="B21" s="23"/>
      <c r="C21" s="36">
        <v>300538.39844959998</v>
      </c>
      <c r="D21" s="36">
        <v>303300</v>
      </c>
    </row>
    <row r="22" spans="1:4">
      <c r="A22" s="563" t="s">
        <v>677</v>
      </c>
      <c r="B22" s="23"/>
      <c r="C22" s="36">
        <v>23702.819642399998</v>
      </c>
      <c r="D22" s="36">
        <v>25200</v>
      </c>
    </row>
    <row r="23" spans="1:4">
      <c r="A23" s="563" t="s">
        <v>678</v>
      </c>
      <c r="B23" s="23"/>
      <c r="C23" s="36">
        <v>144</v>
      </c>
      <c r="D23" s="36">
        <v>144</v>
      </c>
    </row>
    <row r="24" spans="1:4">
      <c r="A24" s="436" t="s">
        <v>679</v>
      </c>
      <c r="B24" s="23"/>
      <c r="C24" s="36">
        <f>SUM(C21:C23)</f>
        <v>324385.218092</v>
      </c>
      <c r="D24" s="36">
        <f>SUM(D21:D23)</f>
        <v>328644</v>
      </c>
    </row>
    <row r="25" spans="1:4">
      <c r="A25" s="563" t="s">
        <v>681</v>
      </c>
      <c r="B25" s="23"/>
      <c r="C25" s="36"/>
      <c r="D25" s="36"/>
    </row>
    <row r="26" spans="1:4">
      <c r="A26" s="563" t="s">
        <v>682</v>
      </c>
      <c r="B26" s="23"/>
      <c r="C26" s="36">
        <v>49662.865979430317</v>
      </c>
      <c r="D26" s="36">
        <v>64143.332870296646</v>
      </c>
    </row>
    <row r="27" spans="1:4">
      <c r="A27" s="563" t="s">
        <v>683</v>
      </c>
      <c r="B27" s="23"/>
      <c r="C27" s="36">
        <v>16000.333333333334</v>
      </c>
      <c r="D27" s="36">
        <v>25769.283296563801</v>
      </c>
    </row>
    <row r="28" spans="1:4">
      <c r="A28" s="563" t="s">
        <v>684</v>
      </c>
      <c r="B28" s="23"/>
      <c r="C28" s="36">
        <v>10367.67</v>
      </c>
      <c r="D28" s="36">
        <v>13843.1325</v>
      </c>
    </row>
    <row r="29" spans="1:4" ht="25.5">
      <c r="A29" s="563" t="s">
        <v>685</v>
      </c>
      <c r="B29" s="23"/>
      <c r="C29" s="36">
        <v>4889.4575123874301</v>
      </c>
      <c r="D29" s="36">
        <v>5310.4475439135276</v>
      </c>
    </row>
    <row r="30" spans="1:4">
      <c r="A30" s="563" t="s">
        <v>686</v>
      </c>
      <c r="B30" s="23"/>
      <c r="C30" s="36">
        <v>4094.0113922778501</v>
      </c>
      <c r="D30" s="36">
        <v>4945.5556746283837</v>
      </c>
    </row>
    <row r="31" spans="1:4" ht="25.5">
      <c r="A31" s="563" t="s">
        <v>1876</v>
      </c>
      <c r="B31" s="23"/>
      <c r="C31" s="36">
        <v>2386.6281466666669</v>
      </c>
      <c r="D31" s="36">
        <v>5079.4428333333344</v>
      </c>
    </row>
    <row r="32" spans="1:4">
      <c r="A32" s="563" t="s">
        <v>688</v>
      </c>
      <c r="B32" s="23"/>
      <c r="C32" s="36">
        <v>4447.1104542000003</v>
      </c>
      <c r="D32" s="36">
        <v>4819.0805442000001</v>
      </c>
    </row>
    <row r="33" spans="1:4">
      <c r="A33" s="563" t="s">
        <v>1877</v>
      </c>
      <c r="B33" s="23"/>
      <c r="C33" s="36">
        <v>4800</v>
      </c>
      <c r="D33" s="36">
        <v>4800</v>
      </c>
    </row>
    <row r="34" spans="1:4" ht="25.5">
      <c r="A34" s="563" t="s">
        <v>1878</v>
      </c>
      <c r="B34" s="23"/>
      <c r="C34" s="36">
        <v>81.169912799999992</v>
      </c>
      <c r="D34" s="36">
        <v>265.31714584000002</v>
      </c>
    </row>
    <row r="35" spans="1:4">
      <c r="A35" s="563" t="s">
        <v>1879</v>
      </c>
      <c r="B35" s="23"/>
      <c r="C35" s="36">
        <v>272.05616666666668</v>
      </c>
      <c r="D35" s="36">
        <v>927.73333333333346</v>
      </c>
    </row>
    <row r="36" spans="1:4" ht="25.5">
      <c r="A36" s="436" t="s">
        <v>1880</v>
      </c>
      <c r="B36" s="36">
        <f>SUM(B26:B33)-B34-B35</f>
        <v>0</v>
      </c>
      <c r="C36" s="36">
        <f>SUM(C26:C33)-C34-C35</f>
        <v>96294.850738828929</v>
      </c>
      <c r="D36" s="36">
        <f>SUM(D26:D33)-D34-D35</f>
        <v>127517.22478376236</v>
      </c>
    </row>
    <row r="37" spans="1:4">
      <c r="A37" s="563" t="s">
        <v>694</v>
      </c>
      <c r="B37" s="23"/>
      <c r="C37" s="36"/>
      <c r="D37" s="36"/>
    </row>
    <row r="38" spans="1:4" ht="38.25">
      <c r="A38" s="563" t="s">
        <v>695</v>
      </c>
      <c r="B38" s="23"/>
      <c r="C38" s="36"/>
      <c r="D38" s="36">
        <v>0</v>
      </c>
    </row>
    <row r="39" spans="1:4">
      <c r="A39" s="563" t="s">
        <v>696</v>
      </c>
      <c r="B39" s="23"/>
      <c r="C39" s="36"/>
      <c r="D39" s="36">
        <v>0</v>
      </c>
    </row>
    <row r="40" spans="1:4">
      <c r="A40" s="563" t="s">
        <v>697</v>
      </c>
      <c r="B40" s="23"/>
      <c r="C40" s="36">
        <v>736.90263953512499</v>
      </c>
      <c r="D40" s="36">
        <v>891.08043726137487</v>
      </c>
    </row>
    <row r="41" spans="1:4">
      <c r="A41" s="436" t="s">
        <v>698</v>
      </c>
      <c r="B41" s="36">
        <f>SUM(B40)</f>
        <v>0</v>
      </c>
      <c r="C41" s="36">
        <f>SUM(C40)</f>
        <v>736.90263953512499</v>
      </c>
      <c r="D41" s="36">
        <f>SUM(D40)</f>
        <v>891.08043726137487</v>
      </c>
    </row>
    <row r="42" spans="1:4">
      <c r="A42" s="563"/>
      <c r="B42" s="23"/>
      <c r="C42" s="36"/>
      <c r="D42" s="36"/>
    </row>
    <row r="43" spans="1:4">
      <c r="A43" s="563" t="s">
        <v>699</v>
      </c>
      <c r="B43" s="36">
        <f>B41+B36+B24</f>
        <v>0</v>
      </c>
      <c r="C43" s="36">
        <f>C41+C36+C24</f>
        <v>421416.97147036402</v>
      </c>
      <c r="D43" s="36">
        <f>D41+D36+D24</f>
        <v>457052.30522102374</v>
      </c>
    </row>
    <row r="44" spans="1:4">
      <c r="A44" s="563" t="s">
        <v>700</v>
      </c>
      <c r="B44" s="23"/>
      <c r="C44" s="36">
        <v>25900</v>
      </c>
      <c r="D44" s="36">
        <v>26685.522014175134</v>
      </c>
    </row>
    <row r="45" spans="1:4">
      <c r="A45" s="355" t="s">
        <v>701</v>
      </c>
      <c r="B45" s="36">
        <f>B43-B44</f>
        <v>0</v>
      </c>
      <c r="C45" s="36">
        <f>C43-C44</f>
        <v>395516.97147036402</v>
      </c>
      <c r="D45" s="36">
        <f>D43-D44</f>
        <v>430366.7832068486</v>
      </c>
    </row>
    <row r="46" spans="1:4">
      <c r="A46" s="563"/>
      <c r="B46" s="23"/>
      <c r="C46" s="36"/>
      <c r="D46" s="36"/>
    </row>
    <row r="47" spans="1:4">
      <c r="A47" s="563" t="s">
        <v>702</v>
      </c>
      <c r="B47" s="23"/>
      <c r="C47" s="36">
        <v>379381.31342905725</v>
      </c>
      <c r="D47" s="36">
        <v>398283.56579351454</v>
      </c>
    </row>
    <row r="48" spans="1:4" ht="25.5">
      <c r="A48" s="68" t="s">
        <v>1881</v>
      </c>
      <c r="B48" s="23"/>
      <c r="C48" s="36"/>
      <c r="D48" s="36"/>
    </row>
    <row r="49" spans="1:4">
      <c r="A49" s="563" t="s">
        <v>1882</v>
      </c>
      <c r="B49" s="36">
        <f>B45-B47</f>
        <v>0</v>
      </c>
      <c r="C49" s="36">
        <f>C45-C47</f>
        <v>16135.658041306771</v>
      </c>
      <c r="D49" s="36">
        <f>D45-D47</f>
        <v>32083.21741333406</v>
      </c>
    </row>
    <row r="50" spans="1:4">
      <c r="A50" s="648"/>
    </row>
  </sheetData>
  <mergeCells count="5">
    <mergeCell ref="B2:C2"/>
    <mergeCell ref="D2:E2"/>
    <mergeCell ref="F2:G2"/>
    <mergeCell ref="H2:I2"/>
    <mergeCell ref="A1:I1"/>
  </mergeCells>
  <printOptions horizontalCentered="1" verticalCentered="1" headings="1" gridLines="1"/>
  <pageMargins left="0.19685039370078741" right="0" top="0.39370078740157483" bottom="0" header="0" footer="0"/>
  <pageSetup paperSize="9" scale="110" orientation="landscape"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L48"/>
  <sheetViews>
    <sheetView workbookViewId="0">
      <selection activeCell="I4" sqref="I4"/>
    </sheetView>
  </sheetViews>
  <sheetFormatPr defaultRowHeight="12.75"/>
  <cols>
    <col min="1" max="1" width="28.85546875" customWidth="1"/>
    <col min="2" max="2" width="11.5703125" customWidth="1"/>
    <col min="3" max="4" width="11.5703125" bestFit="1" customWidth="1"/>
    <col min="5" max="5" width="11.5703125" customWidth="1"/>
    <col min="6" max="6" width="12.42578125" customWidth="1"/>
    <col min="7" max="7" width="11.42578125" customWidth="1"/>
    <col min="8" max="8" width="11.85546875" customWidth="1"/>
  </cols>
  <sheetData>
    <row r="1" spans="1:8" ht="30.75" customHeight="1">
      <c r="A1" s="2011" t="s">
        <v>791</v>
      </c>
      <c r="B1" s="2013" t="s">
        <v>1883</v>
      </c>
      <c r="C1" s="2014"/>
      <c r="D1" s="2015" t="s">
        <v>1859</v>
      </c>
      <c r="E1" s="2016"/>
      <c r="F1" s="478" t="s">
        <v>1884</v>
      </c>
      <c r="G1" s="2017" t="s">
        <v>1885</v>
      </c>
      <c r="H1" s="2018"/>
    </row>
    <row r="2" spans="1:8" ht="25.5" customHeight="1">
      <c r="A2" s="2012"/>
      <c r="B2" s="479" t="s">
        <v>1886</v>
      </c>
      <c r="C2" s="479" t="s">
        <v>1887</v>
      </c>
      <c r="D2" s="479" t="s">
        <v>1888</v>
      </c>
      <c r="E2" s="479" t="s">
        <v>1889</v>
      </c>
      <c r="F2" s="479" t="s">
        <v>1887</v>
      </c>
      <c r="G2" s="479" t="s">
        <v>1890</v>
      </c>
      <c r="H2" s="479" t="s">
        <v>1891</v>
      </c>
    </row>
    <row r="3" spans="1:8" ht="15.75">
      <c r="A3" s="480" t="s">
        <v>1716</v>
      </c>
      <c r="B3" s="481"/>
      <c r="C3" s="481"/>
      <c r="D3" s="481"/>
      <c r="E3" s="481"/>
      <c r="F3" s="482"/>
      <c r="G3" s="482"/>
      <c r="H3" s="482"/>
    </row>
    <row r="4" spans="1:8" ht="15.75">
      <c r="A4" s="482" t="s">
        <v>1892</v>
      </c>
      <c r="B4" s="483">
        <v>2428.69</v>
      </c>
      <c r="C4" s="483">
        <v>2660.26</v>
      </c>
      <c r="D4" s="492">
        <v>2506.4</v>
      </c>
      <c r="E4" s="492">
        <v>2898.21</v>
      </c>
      <c r="F4" s="492">
        <f>'F-6'!G6/100</f>
        <v>3084.2472017979203</v>
      </c>
      <c r="G4" s="492">
        <f>'F-6'!L6/100</f>
        <v>4516.6069109159998</v>
      </c>
      <c r="H4" s="492">
        <f>'F-6'!P6/100</f>
        <v>4740</v>
      </c>
    </row>
    <row r="5" spans="1:8" ht="15.75">
      <c r="A5" s="482" t="s">
        <v>1893</v>
      </c>
      <c r="B5" s="483">
        <v>199.62</v>
      </c>
      <c r="C5" s="483">
        <v>206.12</v>
      </c>
      <c r="D5" s="492">
        <v>200</v>
      </c>
      <c r="E5" s="492">
        <v>240.8</v>
      </c>
      <c r="F5" s="492">
        <f>'F-6'!G7/100</f>
        <v>247.9389505</v>
      </c>
      <c r="G5" s="492">
        <f>'F-6'!L7/100</f>
        <v>340.95463934679998</v>
      </c>
      <c r="H5" s="492">
        <f>'F-6'!P7/100</f>
        <v>358.4</v>
      </c>
    </row>
    <row r="6" spans="1:8" ht="15.75">
      <c r="A6" s="482" t="s">
        <v>1894</v>
      </c>
      <c r="B6" s="483">
        <v>1.2</v>
      </c>
      <c r="C6" s="483">
        <v>1.22</v>
      </c>
      <c r="D6" s="492">
        <v>1.22</v>
      </c>
      <c r="E6" s="492">
        <v>1.48</v>
      </c>
      <c r="F6" s="492">
        <f>'F-6'!G8/100</f>
        <v>1.4715476999999999</v>
      </c>
      <c r="G6" s="492">
        <f>'F-6'!L8/100</f>
        <v>1.66716</v>
      </c>
      <c r="H6" s="492">
        <f>'F-6'!P8/100</f>
        <v>1.66716</v>
      </c>
    </row>
    <row r="7" spans="1:8" ht="31.5">
      <c r="A7" s="484" t="s">
        <v>1895</v>
      </c>
      <c r="B7" s="493">
        <f t="shared" ref="B7" si="0">SUM(B4:B6)</f>
        <v>2629.5099999999998</v>
      </c>
      <c r="C7" s="493">
        <f t="shared" ref="C7:E7" si="1">SUM(C4:C6)</f>
        <v>2867.6</v>
      </c>
      <c r="D7" s="493">
        <f t="shared" ref="D7" si="2">SUM(D4:D6)</f>
        <v>2707.62</v>
      </c>
      <c r="E7" s="493">
        <f t="shared" si="1"/>
        <v>3140.4900000000002</v>
      </c>
      <c r="F7" s="493">
        <f>SUM(F4:F6)</f>
        <v>3333.6576999979202</v>
      </c>
      <c r="G7" s="493">
        <f>SUM(G4:G6)</f>
        <v>4859.2287102627997</v>
      </c>
      <c r="H7" s="493">
        <f>SUM(H4:H6)</f>
        <v>5100.0671599999996</v>
      </c>
    </row>
    <row r="8" spans="1:8" ht="15.75">
      <c r="A8" s="482" t="s">
        <v>1896</v>
      </c>
      <c r="B8" s="483">
        <v>432.27</v>
      </c>
      <c r="C8" s="483">
        <v>523.86</v>
      </c>
      <c r="D8" s="492">
        <v>361.02</v>
      </c>
      <c r="E8" s="492">
        <v>409.49</v>
      </c>
      <c r="F8" s="492">
        <f>'F-6'!G12/100</f>
        <v>489.32065225800005</v>
      </c>
      <c r="G8" s="492">
        <f>'F-6'!L12/100</f>
        <v>583.68022321780563</v>
      </c>
      <c r="H8" s="492">
        <f>'F-6'!P12/100</f>
        <v>640.63950239203803</v>
      </c>
    </row>
    <row r="9" spans="1:8" ht="15.75">
      <c r="A9" s="482" t="s">
        <v>1897</v>
      </c>
      <c r="B9" s="483">
        <v>101.86</v>
      </c>
      <c r="C9" s="483">
        <v>109.53</v>
      </c>
      <c r="D9" s="492">
        <v>92.24</v>
      </c>
      <c r="E9" s="492">
        <v>160</v>
      </c>
      <c r="F9" s="492">
        <f>'F-6'!G13/100</f>
        <v>137.05430551199998</v>
      </c>
      <c r="G9" s="492">
        <f>'F-6'!L13/100</f>
        <v>302.35604208343204</v>
      </c>
      <c r="H9" s="492">
        <f ca="1">'F-6'!P13/100</f>
        <v>346.01089123978767</v>
      </c>
    </row>
    <row r="10" spans="1:8" ht="31.5">
      <c r="A10" s="482" t="s">
        <v>1898</v>
      </c>
      <c r="B10" s="483">
        <v>88.75</v>
      </c>
      <c r="C10" s="483">
        <v>83.38</v>
      </c>
      <c r="D10" s="492">
        <v>52.8</v>
      </c>
      <c r="E10" s="492">
        <v>103</v>
      </c>
      <c r="F10" s="492">
        <f>'F-6'!G14/100</f>
        <v>113.26648169400003</v>
      </c>
      <c r="G10" s="492">
        <f>'F-6'!L14/100</f>
        <v>173.75903063534577</v>
      </c>
      <c r="H10" s="492">
        <f>'F-6'!P14/100</f>
        <v>262.15699940195998</v>
      </c>
    </row>
    <row r="11" spans="1:8" ht="31.5">
      <c r="A11" s="482" t="s">
        <v>1899</v>
      </c>
      <c r="B11" s="483">
        <v>83.97</v>
      </c>
      <c r="C11" s="483">
        <v>90.62</v>
      </c>
      <c r="D11" s="492">
        <v>23.39</v>
      </c>
      <c r="E11" s="492">
        <v>27.42</v>
      </c>
      <c r="F11" s="492">
        <f>'F-6'!G15/100</f>
        <v>45.025525739999992</v>
      </c>
      <c r="G11" s="492">
        <f>'F-6'!L15/100</f>
        <v>58.318520046395491</v>
      </c>
      <c r="H11" s="492">
        <f>'F-6'!P15/100</f>
        <v>61.718238281292059</v>
      </c>
    </row>
    <row r="12" spans="1:8" ht="15.75">
      <c r="A12" s="482" t="s">
        <v>1900</v>
      </c>
      <c r="B12" s="483">
        <v>67.760000000000005</v>
      </c>
      <c r="C12" s="483">
        <v>72.89</v>
      </c>
      <c r="D12" s="492">
        <v>61.4</v>
      </c>
      <c r="E12" s="492">
        <v>36.340000000000003</v>
      </c>
      <c r="F12" s="492">
        <f>'F-6'!G16/100</f>
        <v>24.452570470999991</v>
      </c>
      <c r="G12" s="492">
        <f>'F-6'!L16/100</f>
        <v>37.901740655555834</v>
      </c>
      <c r="H12" s="492">
        <f ca="1">'F-6'!P16/100</f>
        <v>97.062046700311043</v>
      </c>
    </row>
    <row r="13" spans="1:8" ht="47.25">
      <c r="A13" s="482" t="s">
        <v>1901</v>
      </c>
      <c r="B13" s="483">
        <v>89.13</v>
      </c>
      <c r="C13" s="483">
        <v>84.2</v>
      </c>
      <c r="D13" s="492">
        <v>53.2</v>
      </c>
      <c r="E13" s="492">
        <v>34.369999999999997</v>
      </c>
      <c r="F13" s="492">
        <f>'F-6'!G17/100+'F-6'!G19/100</f>
        <v>38.292756400000002</v>
      </c>
      <c r="G13" s="492">
        <f ca="1">'F-6'!L17/100+'F-6'!L19/100</f>
        <v>60.05405998724531</v>
      </c>
      <c r="H13" s="492">
        <f ca="1">'F-6'!P17/100+'F-6'!P19/100</f>
        <v>122.66512939475138</v>
      </c>
    </row>
    <row r="14" spans="1:8" ht="31.5">
      <c r="A14" s="482" t="s">
        <v>1902</v>
      </c>
      <c r="B14" s="483"/>
      <c r="C14" s="483"/>
      <c r="D14" s="492"/>
      <c r="E14" s="492"/>
      <c r="F14" s="483"/>
      <c r="G14" s="483"/>
      <c r="H14" s="483"/>
    </row>
    <row r="15" spans="1:8" ht="15.75">
      <c r="A15" s="485" t="s">
        <v>1903</v>
      </c>
      <c r="B15" s="494">
        <f t="shared" ref="B15:D15" si="3">SUM(B8:B14)</f>
        <v>863.74</v>
      </c>
      <c r="C15" s="494">
        <f t="shared" si="3"/>
        <v>964.48</v>
      </c>
      <c r="D15" s="494">
        <f t="shared" si="3"/>
        <v>644.05000000000007</v>
      </c>
      <c r="E15" s="494">
        <f t="shared" ref="E15" si="4">SUM(E8:E14)</f>
        <v>770.62</v>
      </c>
      <c r="F15" s="494">
        <f>SUM(F8:F14)</f>
        <v>847.4122920750001</v>
      </c>
      <c r="G15" s="494">
        <f t="shared" ref="G15:H15" ca="1" si="5">SUM(G8:G14)</f>
        <v>1216.0696166257801</v>
      </c>
      <c r="H15" s="494">
        <f t="shared" ca="1" si="5"/>
        <v>1530.2528074101399</v>
      </c>
    </row>
    <row r="16" spans="1:8" ht="15.75">
      <c r="A16" s="482" t="s">
        <v>1904</v>
      </c>
      <c r="B16" s="483">
        <v>0</v>
      </c>
      <c r="C16" s="483">
        <v>0</v>
      </c>
      <c r="D16" s="492"/>
      <c r="E16" s="492"/>
      <c r="F16" s="492">
        <f>'F-6'!G23/100</f>
        <v>5.6372919999999995</v>
      </c>
      <c r="G16" s="492">
        <f>'F-6'!L23/100</f>
        <v>18.968374600012613</v>
      </c>
      <c r="H16" s="492">
        <f>'F-6'!P23/100</f>
        <v>25.665468944000001</v>
      </c>
    </row>
    <row r="17" spans="1:8" ht="15.75">
      <c r="A17" s="482" t="s">
        <v>1905</v>
      </c>
      <c r="B17" s="483"/>
      <c r="C17" s="483"/>
      <c r="D17" s="492"/>
      <c r="E17" s="492"/>
      <c r="F17" s="492">
        <f>'F-6'!G24/100</f>
        <v>0</v>
      </c>
      <c r="G17" s="492">
        <f ca="1">'F-6'!L24/100</f>
        <v>7.3209013882838549</v>
      </c>
      <c r="H17" s="492">
        <f ca="1">'F-6'!P24/100</f>
        <v>17.585544598578895</v>
      </c>
    </row>
    <row r="18" spans="1:8" ht="31.5">
      <c r="A18" s="480" t="s">
        <v>1906</v>
      </c>
      <c r="B18" s="495">
        <f t="shared" ref="B18:D18" si="6">B15-B16-B17</f>
        <v>863.74</v>
      </c>
      <c r="C18" s="495">
        <f t="shared" si="6"/>
        <v>964.48</v>
      </c>
      <c r="D18" s="495">
        <f t="shared" si="6"/>
        <v>644.05000000000007</v>
      </c>
      <c r="E18" s="495">
        <f t="shared" ref="E18" si="7">E15-E16-E17</f>
        <v>770.62</v>
      </c>
      <c r="F18" s="495">
        <f>F15-F16-F17</f>
        <v>841.77500007500009</v>
      </c>
      <c r="G18" s="495">
        <f t="shared" ref="G18:H18" ca="1" si="8">G15-G16-G17</f>
        <v>1189.7803406374837</v>
      </c>
      <c r="H18" s="495">
        <f t="shared" ca="1" si="8"/>
        <v>1487.001793867561</v>
      </c>
    </row>
    <row r="19" spans="1:8" ht="18">
      <c r="A19" s="486" t="s">
        <v>1907</v>
      </c>
      <c r="B19" s="487">
        <v>7.78</v>
      </c>
      <c r="C19" s="487">
        <v>7.78</v>
      </c>
      <c r="D19" s="497">
        <v>7.78</v>
      </c>
      <c r="E19" s="497">
        <v>48</v>
      </c>
      <c r="F19" s="487">
        <f>'F-6'!G20/100</f>
        <v>80.7768964019224</v>
      </c>
      <c r="G19" s="487">
        <f ca="1">'F-6'!L20/100</f>
        <v>82.485924841900143</v>
      </c>
      <c r="H19" s="487">
        <f ca="1">'F-6'!P20/100</f>
        <v>109.44288984158993</v>
      </c>
    </row>
    <row r="20" spans="1:8" ht="36">
      <c r="A20" s="488" t="s">
        <v>1908</v>
      </c>
      <c r="B20" s="496">
        <f t="shared" ref="B20" si="9">B19+B18</f>
        <v>871.52</v>
      </c>
      <c r="C20" s="496">
        <f t="shared" ref="C20:E20" si="10">C19+C18</f>
        <v>972.26</v>
      </c>
      <c r="D20" s="496">
        <f t="shared" ref="D20" si="11">D19+D18</f>
        <v>651.83000000000004</v>
      </c>
      <c r="E20" s="496">
        <f t="shared" si="10"/>
        <v>818.62</v>
      </c>
      <c r="F20" s="496">
        <f>F19+F18</f>
        <v>922.55189647692248</v>
      </c>
      <c r="G20" s="496">
        <f t="shared" ref="G20:H20" ca="1" si="12">G19+G18</f>
        <v>1272.2662654793839</v>
      </c>
      <c r="H20" s="496">
        <f t="shared" ca="1" si="12"/>
        <v>1596.4446837091509</v>
      </c>
    </row>
    <row r="21" spans="1:8" ht="36">
      <c r="A21" s="486" t="s">
        <v>1909</v>
      </c>
      <c r="B21" s="487"/>
      <c r="C21" s="487"/>
      <c r="D21" s="497"/>
      <c r="E21" s="497"/>
      <c r="F21" s="487"/>
      <c r="G21" s="487"/>
      <c r="H21" s="487"/>
    </row>
    <row r="22" spans="1:8" ht="18">
      <c r="A22" s="486" t="s">
        <v>1910</v>
      </c>
      <c r="B22" s="487"/>
      <c r="C22" s="487">
        <v>0</v>
      </c>
      <c r="D22" s="497"/>
      <c r="E22" s="497"/>
      <c r="F22" s="487"/>
      <c r="G22" s="487"/>
      <c r="H22" s="487"/>
    </row>
    <row r="23" spans="1:8" ht="36">
      <c r="A23" s="486" t="s">
        <v>1911</v>
      </c>
      <c r="B23" s="487">
        <v>7.07</v>
      </c>
      <c r="C23" s="487">
        <v>7.61</v>
      </c>
      <c r="D23" s="497"/>
      <c r="E23" s="497"/>
      <c r="F23" s="487">
        <f>'F-6'!G29/100</f>
        <v>0</v>
      </c>
      <c r="G23" s="497">
        <f>'F-6'!L29/100</f>
        <v>0</v>
      </c>
      <c r="H23" s="497">
        <f ca="1">'F-6'!P29/100</f>
        <v>0</v>
      </c>
    </row>
    <row r="24" spans="1:8" ht="36">
      <c r="A24" s="489" t="s">
        <v>1912</v>
      </c>
      <c r="B24" s="490">
        <f t="shared" ref="B24" si="13">SUM(B21:B23)</f>
        <v>7.07</v>
      </c>
      <c r="C24" s="490">
        <f t="shared" ref="C24:H24" si="14">SUM(C21:C23)</f>
        <v>7.61</v>
      </c>
      <c r="D24" s="499">
        <f t="shared" ref="D24" si="15">SUM(D21:D23)</f>
        <v>0</v>
      </c>
      <c r="E24" s="499">
        <f t="shared" si="14"/>
        <v>0</v>
      </c>
      <c r="F24" s="490">
        <f t="shared" si="14"/>
        <v>0</v>
      </c>
      <c r="G24" s="499">
        <f t="shared" si="14"/>
        <v>0</v>
      </c>
      <c r="H24" s="499">
        <f t="shared" ca="1" si="14"/>
        <v>0</v>
      </c>
    </row>
    <row r="25" spans="1:8" ht="18">
      <c r="A25" s="491" t="s">
        <v>1913</v>
      </c>
      <c r="B25" s="498">
        <f t="shared" ref="B25" si="16">B24+B20+B7</f>
        <v>3508.1</v>
      </c>
      <c r="C25" s="498">
        <f t="shared" ref="C25:H25" si="17">C24+C20+C7</f>
        <v>3847.47</v>
      </c>
      <c r="D25" s="498">
        <f t="shared" ref="D25" si="18">D24+D20+D7</f>
        <v>3359.45</v>
      </c>
      <c r="E25" s="498">
        <f t="shared" si="17"/>
        <v>3959.11</v>
      </c>
      <c r="F25" s="498">
        <f t="shared" si="17"/>
        <v>4256.2095964748423</v>
      </c>
      <c r="G25" s="498">
        <f t="shared" ca="1" si="17"/>
        <v>6131.4949757421837</v>
      </c>
      <c r="H25" s="498">
        <f t="shared" ca="1" si="17"/>
        <v>6696.5118437091505</v>
      </c>
    </row>
    <row r="26" spans="1:8">
      <c r="E26" s="7"/>
    </row>
    <row r="27" spans="1:8" ht="18">
      <c r="B27" s="7"/>
      <c r="D27" s="7"/>
      <c r="F27" s="7"/>
      <c r="G27" s="507" t="s">
        <v>1914</v>
      </c>
      <c r="H27" s="562"/>
    </row>
    <row r="28" spans="1:8" ht="33" customHeight="1">
      <c r="A28" s="2003" t="s">
        <v>791</v>
      </c>
      <c r="B28" s="2005" t="s">
        <v>1883</v>
      </c>
      <c r="C28" s="2006"/>
      <c r="D28" s="2007" t="s">
        <v>1859</v>
      </c>
      <c r="E28" s="2008"/>
      <c r="F28" s="478" t="s">
        <v>1884</v>
      </c>
      <c r="G28" s="2009" t="s">
        <v>1885</v>
      </c>
      <c r="H28" s="2010"/>
    </row>
    <row r="29" spans="1:8" ht="25.5" customHeight="1">
      <c r="A29" s="2004"/>
      <c r="B29" s="479" t="s">
        <v>1886</v>
      </c>
      <c r="C29" s="479" t="s">
        <v>1887</v>
      </c>
      <c r="D29" s="479" t="s">
        <v>1888</v>
      </c>
      <c r="E29" s="479" t="s">
        <v>1890</v>
      </c>
      <c r="F29" s="479" t="s">
        <v>1887</v>
      </c>
      <c r="G29" s="479" t="s">
        <v>1890</v>
      </c>
      <c r="H29" s="479" t="s">
        <v>1891</v>
      </c>
    </row>
    <row r="30" spans="1:8" ht="36">
      <c r="A30" s="500" t="s">
        <v>1915</v>
      </c>
      <c r="B30" s="487">
        <v>3148.97</v>
      </c>
      <c r="C30" s="487">
        <v>3398.3</v>
      </c>
      <c r="D30" s="487">
        <v>3187.81</v>
      </c>
      <c r="E30" s="487">
        <v>3705.75</v>
      </c>
      <c r="F30" s="497">
        <f>'F-6'!G36/100</f>
        <v>4691.8523974609998</v>
      </c>
      <c r="G30" s="497">
        <f>'F-6'!L36/100</f>
        <v>5831.8520046395479</v>
      </c>
      <c r="H30" s="497">
        <f>'F-6'!P36/100</f>
        <v>6171.823828129206</v>
      </c>
    </row>
    <row r="31" spans="1:8" ht="18">
      <c r="A31" s="486" t="s">
        <v>1916</v>
      </c>
      <c r="B31" s="487">
        <v>181.29</v>
      </c>
      <c r="C31" s="487">
        <v>192.25</v>
      </c>
      <c r="D31" s="487">
        <v>191.39</v>
      </c>
      <c r="E31" s="487">
        <v>237.45</v>
      </c>
      <c r="F31" s="497">
        <f>'F-6'!G33/100</f>
        <v>117.44200440200001</v>
      </c>
      <c r="G31" s="497">
        <f>'F-6'!L33/100</f>
        <v>536.09166554662806</v>
      </c>
      <c r="H31" s="497">
        <f>'F-6'!P33/100</f>
        <v>289.33400493333335</v>
      </c>
    </row>
    <row r="32" spans="1:8" ht="18">
      <c r="A32" s="491" t="s">
        <v>1917</v>
      </c>
      <c r="B32" s="498">
        <f t="shared" ref="B32" si="19">B31+B30</f>
        <v>3330.2599999999998</v>
      </c>
      <c r="C32" s="498">
        <f t="shared" ref="C32:E32" si="20">C31+C30</f>
        <v>3590.55</v>
      </c>
      <c r="D32" s="498">
        <f t="shared" ref="D32" si="21">D31+D30</f>
        <v>3379.2</v>
      </c>
      <c r="E32" s="498">
        <f t="shared" si="20"/>
        <v>3943.2</v>
      </c>
      <c r="F32" s="498">
        <f>F31+F30</f>
        <v>4809.2944018629996</v>
      </c>
      <c r="G32" s="498">
        <f>G31+G30</f>
        <v>6367.943670186176</v>
      </c>
      <c r="H32" s="498">
        <f>H31+H30</f>
        <v>6461.1578330625398</v>
      </c>
    </row>
    <row r="33" spans="1:12" ht="36">
      <c r="A33" s="500" t="s">
        <v>1918</v>
      </c>
      <c r="B33" s="497">
        <f>B25-B31</f>
        <v>3326.81</v>
      </c>
      <c r="C33" s="497">
        <f>C25-C31</f>
        <v>3655.22</v>
      </c>
      <c r="D33" s="497">
        <f>D25-D31</f>
        <v>3168.06</v>
      </c>
      <c r="E33" s="497">
        <f>E25-E31</f>
        <v>3721.6600000000003</v>
      </c>
      <c r="F33" s="497">
        <f>'F-6'!G34/100</f>
        <v>4166.327919713196</v>
      </c>
      <c r="G33" s="497">
        <f ca="1">'F-6'!L34/100</f>
        <v>5642.8242761241181</v>
      </c>
      <c r="H33" s="497">
        <f ca="1">'F-6'!P34/100</f>
        <v>5771.9450991917856</v>
      </c>
    </row>
    <row r="34" spans="1:12" ht="36">
      <c r="A34" s="486" t="s">
        <v>1919</v>
      </c>
      <c r="B34" s="487">
        <f>B30</f>
        <v>3148.97</v>
      </c>
      <c r="C34" s="487">
        <f>C30</f>
        <v>3398.3</v>
      </c>
      <c r="D34" s="487">
        <f>D30</f>
        <v>3187.81</v>
      </c>
      <c r="E34" s="487">
        <f>E30</f>
        <v>3705.75</v>
      </c>
      <c r="F34" s="497">
        <f>'F-6'!G36/100</f>
        <v>4691.8523974609998</v>
      </c>
      <c r="G34" s="497">
        <f>'F-6'!L36/100</f>
        <v>5831.8520046395479</v>
      </c>
      <c r="H34" s="497">
        <f>'F-6'!P36/100</f>
        <v>6171.823828129206</v>
      </c>
    </row>
    <row r="35" spans="1:12" ht="18">
      <c r="A35" s="491" t="s">
        <v>1920</v>
      </c>
      <c r="B35" s="498">
        <f t="shared" ref="B35" si="22">B34-B33</f>
        <v>-177.84000000000015</v>
      </c>
      <c r="C35" s="498">
        <f t="shared" ref="C35:E35" si="23">C34-C33</f>
        <v>-256.91999999999962</v>
      </c>
      <c r="D35" s="498">
        <f t="shared" ref="D35" si="24">D34-D33</f>
        <v>19.75</v>
      </c>
      <c r="E35" s="498">
        <f t="shared" si="23"/>
        <v>-15.910000000000309</v>
      </c>
      <c r="F35" s="498">
        <f>F34-F33</f>
        <v>525.52447774780376</v>
      </c>
      <c r="G35" s="498">
        <f t="shared" ref="G35:H35" ca="1" si="25">G34-G33</f>
        <v>189.02772851542977</v>
      </c>
      <c r="H35" s="498">
        <f t="shared" ca="1" si="25"/>
        <v>399.87872893742042</v>
      </c>
      <c r="J35" s="7"/>
    </row>
    <row r="36" spans="1:12" ht="18">
      <c r="G36" s="507" t="s">
        <v>1921</v>
      </c>
      <c r="H36" s="562"/>
    </row>
    <row r="37" spans="1:12" ht="18">
      <c r="A37" s="2003" t="s">
        <v>791</v>
      </c>
      <c r="B37" s="2005" t="s">
        <v>1883</v>
      </c>
      <c r="C37" s="2006"/>
      <c r="D37" s="2007" t="s">
        <v>1859</v>
      </c>
      <c r="E37" s="2008"/>
      <c r="F37" s="478" t="s">
        <v>1884</v>
      </c>
      <c r="G37" s="2009" t="s">
        <v>1885</v>
      </c>
      <c r="H37" s="2010"/>
    </row>
    <row r="38" spans="1:12" ht="31.5">
      <c r="A38" s="2004"/>
      <c r="B38" s="479" t="s">
        <v>1922</v>
      </c>
      <c r="C38" s="479" t="s">
        <v>1886</v>
      </c>
      <c r="D38" s="479" t="s">
        <v>1922</v>
      </c>
      <c r="E38" s="479" t="s">
        <v>1886</v>
      </c>
      <c r="F38" s="479" t="s">
        <v>1922</v>
      </c>
      <c r="G38" s="479" t="s">
        <v>1886</v>
      </c>
      <c r="H38" s="479" t="s">
        <v>1887</v>
      </c>
    </row>
    <row r="39" spans="1:12" ht="36">
      <c r="A39" s="500" t="s">
        <v>1915</v>
      </c>
      <c r="B39" s="487"/>
      <c r="C39" s="487"/>
      <c r="D39" s="487"/>
      <c r="E39" s="487"/>
      <c r="F39" s="497"/>
      <c r="G39" s="497"/>
      <c r="H39" s="497">
        <f>'ppt-2'!B16</f>
        <v>5599.9741129496115</v>
      </c>
    </row>
    <row r="40" spans="1:12" ht="18">
      <c r="A40" s="486" t="s">
        <v>1916</v>
      </c>
      <c r="B40" s="487"/>
      <c r="C40" s="487"/>
      <c r="D40" s="487"/>
      <c r="E40" s="487"/>
      <c r="F40" s="497"/>
      <c r="G40" s="497"/>
      <c r="H40" s="497">
        <f>'F-6'!P33/100</f>
        <v>289.33400493333335</v>
      </c>
    </row>
    <row r="41" spans="1:12" ht="18">
      <c r="A41" s="491" t="s">
        <v>1917</v>
      </c>
      <c r="B41" s="498">
        <f t="shared" ref="B41" si="26">B40+B39</f>
        <v>0</v>
      </c>
      <c r="C41" s="498">
        <f t="shared" ref="C41" si="27">C40+C39</f>
        <v>0</v>
      </c>
      <c r="D41" s="498">
        <f t="shared" ref="D41" si="28">D40+D39</f>
        <v>0</v>
      </c>
      <c r="E41" s="498">
        <f t="shared" ref="E41" si="29">E40+E39</f>
        <v>0</v>
      </c>
      <c r="F41" s="498">
        <f>F40+F39</f>
        <v>0</v>
      </c>
      <c r="G41" s="498">
        <f>G40+G39</f>
        <v>0</v>
      </c>
      <c r="H41" s="498">
        <f>H40+H39</f>
        <v>5889.3081178829452</v>
      </c>
    </row>
    <row r="42" spans="1:12" ht="36">
      <c r="A42" s="500" t="s">
        <v>1918</v>
      </c>
      <c r="B42" s="487"/>
      <c r="C42" s="497"/>
      <c r="D42" s="487"/>
      <c r="E42" s="487"/>
      <c r="F42" s="497"/>
      <c r="G42" s="497"/>
      <c r="H42" s="497">
        <f ca="1">'F-6'!P34/100-('ppt-2'!B5*3.48/10)</f>
        <v>5477.8850988437853</v>
      </c>
      <c r="J42" s="7"/>
      <c r="L42" s="7">
        <f>3177.28-J42</f>
        <v>3177.28</v>
      </c>
    </row>
    <row r="43" spans="1:12" ht="36">
      <c r="A43" s="486" t="s">
        <v>1919</v>
      </c>
      <c r="B43" s="487"/>
      <c r="C43" s="487"/>
      <c r="D43" s="487"/>
      <c r="E43" s="487"/>
      <c r="F43" s="497"/>
      <c r="G43" s="497"/>
      <c r="H43" s="497">
        <f>'F-6'!P36/100-(('T-8'!BQ58)+('T-8'!BQ49))/100</f>
        <v>5605.6926100921646</v>
      </c>
      <c r="J43" s="7"/>
    </row>
    <row r="44" spans="1:12" ht="18">
      <c r="A44" s="491" t="s">
        <v>1920</v>
      </c>
      <c r="B44" s="498">
        <f t="shared" ref="B44" si="30">B43-B42</f>
        <v>0</v>
      </c>
      <c r="C44" s="498">
        <f t="shared" ref="C44" si="31">C43-C42</f>
        <v>0</v>
      </c>
      <c r="D44" s="498">
        <f t="shared" ref="D44" si="32">D43-D42</f>
        <v>0</v>
      </c>
      <c r="E44" s="498">
        <f t="shared" ref="E44" si="33">E43-E42</f>
        <v>0</v>
      </c>
      <c r="F44" s="498">
        <f>F43-F42</f>
        <v>0</v>
      </c>
      <c r="G44" s="498">
        <f t="shared" ref="G44" si="34">G43-G42</f>
        <v>0</v>
      </c>
      <c r="H44" s="498">
        <f t="shared" ref="H44" ca="1" si="35">H43-H42</f>
        <v>127.80751124837934</v>
      </c>
      <c r="J44" s="7"/>
    </row>
    <row r="45" spans="1:12">
      <c r="J45" s="7"/>
    </row>
    <row r="46" spans="1:12">
      <c r="H46" s="7"/>
    </row>
    <row r="48" spans="1:12">
      <c r="H48" s="7">
        <f ca="1">H44-H35</f>
        <v>-272.07121768904108</v>
      </c>
    </row>
  </sheetData>
  <mergeCells count="12">
    <mergeCell ref="A37:A38"/>
    <mergeCell ref="B37:C37"/>
    <mergeCell ref="D37:E37"/>
    <mergeCell ref="G37:H37"/>
    <mergeCell ref="A1:A2"/>
    <mergeCell ref="B1:C1"/>
    <mergeCell ref="D1:E1"/>
    <mergeCell ref="G1:H1"/>
    <mergeCell ref="A28:A29"/>
    <mergeCell ref="B28:C28"/>
    <mergeCell ref="D28:E28"/>
    <mergeCell ref="G28:H28"/>
  </mergeCells>
  <printOptions horizontalCentered="1" gridLines="1"/>
  <pageMargins left="0.19685039370078741" right="0" top="0.39370078740157483" bottom="0.39370078740157483" header="0" footer="0"/>
  <pageSetup paperSize="9" scale="90" orientation="portrait" verticalDpi="300" r:id="rId1"/>
  <rowBreaks count="1" manualBreakCount="1">
    <brk id="35" max="7" man="1"/>
  </rowBreak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B20"/>
  <sheetViews>
    <sheetView topLeftCell="E1" workbookViewId="0">
      <selection activeCell="T8" sqref="T8"/>
    </sheetView>
  </sheetViews>
  <sheetFormatPr defaultRowHeight="12.75"/>
  <cols>
    <col min="1" max="1" width="43.42578125" bestFit="1" customWidth="1"/>
    <col min="2" max="2" width="10.85546875" customWidth="1"/>
  </cols>
  <sheetData>
    <row r="1" spans="1:2" ht="18">
      <c r="A1" s="6" t="s">
        <v>1923</v>
      </c>
    </row>
    <row r="2" spans="1:2">
      <c r="A2" s="502" t="s">
        <v>1924</v>
      </c>
      <c r="B2" s="79">
        <f>'T-1'!K53+'T-1'!K62</f>
        <v>406.72328000000005</v>
      </c>
    </row>
    <row r="3" spans="1:2">
      <c r="A3" s="502" t="s">
        <v>1925</v>
      </c>
      <c r="B3" s="79">
        <f>B4-B2</f>
        <v>396.27671999999995</v>
      </c>
    </row>
    <row r="4" spans="1:2">
      <c r="A4" s="502" t="s">
        <v>1926</v>
      </c>
      <c r="B4" s="79">
        <f>'T-1'!N62+'T-1'!N53</f>
        <v>803</v>
      </c>
    </row>
    <row r="5" spans="1:2">
      <c r="A5" s="502" t="s">
        <v>1927</v>
      </c>
      <c r="B5" s="79">
        <f>'T-1'!S53+'T-1'!S62</f>
        <v>845.000001</v>
      </c>
    </row>
    <row r="6" spans="1:2">
      <c r="A6" s="23"/>
      <c r="B6" s="23"/>
    </row>
    <row r="7" spans="1:2">
      <c r="A7" s="28" t="s">
        <v>791</v>
      </c>
      <c r="B7" s="28" t="s">
        <v>1928</v>
      </c>
    </row>
    <row r="8" spans="1:2">
      <c r="A8" s="23"/>
      <c r="B8" s="35" t="s">
        <v>103</v>
      </c>
    </row>
    <row r="9" spans="1:2">
      <c r="A9" s="502" t="s">
        <v>1929</v>
      </c>
      <c r="B9" s="79">
        <f>'ppt-1'!I4-B5</f>
        <v>11954.999999</v>
      </c>
    </row>
    <row r="10" spans="1:2">
      <c r="A10" s="502" t="s">
        <v>1865</v>
      </c>
      <c r="B10" s="79"/>
    </row>
    <row r="11" spans="1:2">
      <c r="A11" s="502" t="s">
        <v>45</v>
      </c>
      <c r="B11" s="79">
        <f>'ppt-1'!I6</f>
        <v>3313.9999999999995</v>
      </c>
    </row>
    <row r="12" spans="1:2">
      <c r="A12" s="502" t="s">
        <v>77</v>
      </c>
      <c r="B12" s="79">
        <f>'ppt-1'!I7-'T-1'!S53</f>
        <v>2123.0000009999999</v>
      </c>
    </row>
    <row r="13" spans="1:2">
      <c r="A13" s="502" t="s">
        <v>91</v>
      </c>
      <c r="B13" s="79">
        <f>'ppt-1'!I8-'T-1'!S62</f>
        <v>4200</v>
      </c>
    </row>
    <row r="14" spans="1:2">
      <c r="A14" s="502" t="s">
        <v>147</v>
      </c>
      <c r="B14" s="470">
        <f>SUM(B11:B13)</f>
        <v>9637.0000010000003</v>
      </c>
    </row>
    <row r="15" spans="1:2">
      <c r="A15" s="502" t="s">
        <v>1930</v>
      </c>
      <c r="B15" s="466">
        <f>(B9-B14)/B9</f>
        <v>0.19389376814670792</v>
      </c>
    </row>
    <row r="16" spans="1:2">
      <c r="A16" s="23" t="s">
        <v>1867</v>
      </c>
      <c r="B16" s="36">
        <f>'ppt-1'!I11-'T-8'!BB58/100-'T-8'!BB49/100</f>
        <v>5599.9741129496115</v>
      </c>
    </row>
    <row r="17" spans="1:2">
      <c r="A17" s="23" t="s">
        <v>1868</v>
      </c>
      <c r="B17" s="36">
        <f>'ppt-1'!I12-'T-8'!BB49/100-'T-8'!BB58/100</f>
        <v>5538.2558746683189</v>
      </c>
    </row>
    <row r="18" spans="1:2">
      <c r="A18" s="23" t="s">
        <v>1869</v>
      </c>
      <c r="B18" s="466">
        <f>B17/B16</f>
        <v>0.98897883507379569</v>
      </c>
    </row>
    <row r="19" spans="1:2">
      <c r="A19" s="23" t="s">
        <v>1870</v>
      </c>
      <c r="B19" s="323">
        <f>1-((1-B15)*B18)</f>
        <v>0.20277799787600415</v>
      </c>
    </row>
    <row r="20" spans="1:2">
      <c r="A20" s="23" t="s">
        <v>1871</v>
      </c>
      <c r="B20" s="23">
        <v>1600</v>
      </c>
    </row>
  </sheetData>
  <printOptions horizontalCentered="1" gridLines="1"/>
  <pageMargins left="0.70866141732283472" right="0.70866141732283472" top="0.74803149606299213" bottom="0.74803149606299213" header="0.31496062992125984" footer="0.31496062992125984"/>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56B105-476F-4B94-9093-B2238D470994}">
  <dimension ref="A1:I31"/>
  <sheetViews>
    <sheetView zoomScaleNormal="100" workbookViewId="0">
      <selection activeCell="C11" sqref="C11"/>
    </sheetView>
  </sheetViews>
  <sheetFormatPr defaultColWidth="29.140625" defaultRowHeight="12.75"/>
  <cols>
    <col min="2" max="3" width="19.42578125" customWidth="1"/>
    <col min="4" max="4" width="7.5703125" customWidth="1"/>
    <col min="6" max="6" width="18.7109375" customWidth="1"/>
    <col min="7" max="7" width="7.140625" customWidth="1"/>
    <col min="9" max="9" width="12.42578125" customWidth="1"/>
  </cols>
  <sheetData>
    <row r="1" spans="1:9" ht="13.5" thickBot="1"/>
    <row r="2" spans="1:9" ht="16.5" thickBot="1">
      <c r="A2" s="2019" t="s">
        <v>2434</v>
      </c>
      <c r="B2" s="2020"/>
      <c r="C2" s="1736"/>
      <c r="E2" s="2019" t="s">
        <v>2329</v>
      </c>
      <c r="F2" s="2020"/>
      <c r="H2" s="2019" t="s">
        <v>2321</v>
      </c>
      <c r="I2" s="2020"/>
    </row>
    <row r="3" spans="1:9" ht="15.75">
      <c r="A3" s="723" t="s">
        <v>1872</v>
      </c>
      <c r="B3" s="724" t="s">
        <v>1931</v>
      </c>
      <c r="C3" s="1737"/>
      <c r="E3" s="723" t="s">
        <v>1872</v>
      </c>
      <c r="F3" s="724" t="s">
        <v>1931</v>
      </c>
      <c r="H3" s="723" t="s">
        <v>1932</v>
      </c>
      <c r="I3" s="724">
        <f>summary!N5</f>
        <v>12800</v>
      </c>
    </row>
    <row r="4" spans="1:9" ht="31.5">
      <c r="A4" s="713" t="s">
        <v>1933</v>
      </c>
      <c r="B4" s="714">
        <f ca="1">('F-6'!P32)/100-B5-B6</f>
        <v>6666.388420546763</v>
      </c>
      <c r="C4" s="1738">
        <f ca="1">('F-6'!Q32/100)-'Revenue gap'!B5-'Revenue gap'!B6</f>
        <v>6666.3883507367627</v>
      </c>
      <c r="E4" s="713" t="s">
        <v>1933</v>
      </c>
      <c r="F4" s="714">
        <f ca="1">('F-6'!P32-'F-6'!P20-'F-6'!P30)/100</f>
        <v>6666.388420546763</v>
      </c>
      <c r="H4" s="711" t="s">
        <v>1934</v>
      </c>
      <c r="I4" s="712">
        <f>summary!N12</f>
        <v>10482.000001999999</v>
      </c>
    </row>
    <row r="5" spans="1:9" ht="31.5">
      <c r="A5" s="713" t="s">
        <v>1935</v>
      </c>
      <c r="B5" s="714">
        <f ca="1">'F-6'!P20/100</f>
        <v>109.44288984158993</v>
      </c>
      <c r="C5" s="1738">
        <f ca="1">B5</f>
        <v>109.44288984158993</v>
      </c>
      <c r="E5" s="713" t="s">
        <v>1935</v>
      </c>
      <c r="F5" s="714">
        <f ca="1">'F-6'!P20/100</f>
        <v>109.44288984158993</v>
      </c>
      <c r="H5" s="711" t="s">
        <v>1936</v>
      </c>
      <c r="I5" s="1291">
        <f>summary!N36</f>
        <v>0.1810937498437501</v>
      </c>
    </row>
    <row r="6" spans="1:9" ht="31.5">
      <c r="A6" s="713" t="s">
        <v>2322</v>
      </c>
      <c r="B6" s="714">
        <f ca="1">'F-6'!P30/100</f>
        <v>-714.55220626323364</v>
      </c>
      <c r="C6" s="1738">
        <f ca="1">B6</f>
        <v>-714.55220626323364</v>
      </c>
      <c r="E6" s="713" t="s">
        <v>2322</v>
      </c>
      <c r="F6" s="714">
        <f ca="1">'F-6'!P30/100</f>
        <v>-714.55220626323364</v>
      </c>
      <c r="H6" s="711"/>
      <c r="I6" s="718"/>
    </row>
    <row r="7" spans="1:9" ht="15.75">
      <c r="A7" s="713" t="s">
        <v>1937</v>
      </c>
      <c r="B7" s="715">
        <f ca="1">B5+B4+B6</f>
        <v>6061.2791041251194</v>
      </c>
      <c r="C7" s="1739">
        <f ca="1">C4+C5+C6</f>
        <v>6061.2790343151191</v>
      </c>
      <c r="E7" s="713" t="s">
        <v>1937</v>
      </c>
      <c r="F7" s="715">
        <f ca="1">F5+F4+F6</f>
        <v>6061.2791041251194</v>
      </c>
      <c r="H7" s="711" t="s">
        <v>1938</v>
      </c>
      <c r="I7" s="1291">
        <f>0.1808</f>
        <v>0.18079999999999999</v>
      </c>
    </row>
    <row r="8" spans="1:9" ht="31.5">
      <c r="A8" s="713" t="s">
        <v>1939</v>
      </c>
      <c r="B8" s="714">
        <f>('F-6'!P36+'F-6'!P37)/100</f>
        <v>6171.823828129206</v>
      </c>
      <c r="C8" s="1738">
        <f>B8</f>
        <v>6171.823828129206</v>
      </c>
      <c r="E8" s="713" t="s">
        <v>1939</v>
      </c>
      <c r="F8" s="714">
        <f>('F-6'!P36+'F-6'!P37)/100</f>
        <v>6171.823828129206</v>
      </c>
      <c r="H8" s="711" t="s">
        <v>1940</v>
      </c>
      <c r="I8" s="719">
        <f>I4/(100%-I7)</f>
        <v>12795.410158691404</v>
      </c>
    </row>
    <row r="9" spans="1:9" ht="31.5">
      <c r="A9" s="713" t="s">
        <v>1941</v>
      </c>
      <c r="B9" s="714">
        <f>'F-6'!P33/100</f>
        <v>289.33400493333335</v>
      </c>
      <c r="C9" s="1738">
        <f>B9</f>
        <v>289.33400493333335</v>
      </c>
      <c r="E9" s="713" t="s">
        <v>1941</v>
      </c>
      <c r="F9" s="714">
        <f>'F-6'!P33/100</f>
        <v>289.33400493333335</v>
      </c>
      <c r="H9" s="711" t="s">
        <v>1942</v>
      </c>
      <c r="I9" s="712">
        <f>I3*3.88/10</f>
        <v>4966.3999999999996</v>
      </c>
    </row>
    <row r="10" spans="1:9" ht="32.25" thickBot="1">
      <c r="A10" s="716" t="s">
        <v>1943</v>
      </c>
      <c r="B10" s="717">
        <f ca="1">B7-B8-B9</f>
        <v>-399.87872893742002</v>
      </c>
      <c r="C10" s="1739">
        <f ca="1">C7-C8-C9</f>
        <v>-399.87879874742026</v>
      </c>
      <c r="E10" s="716" t="s">
        <v>1943</v>
      </c>
      <c r="F10" s="717">
        <f ca="1">F7-F8-F9</f>
        <v>-399.87872893742002</v>
      </c>
      <c r="H10" s="711" t="s">
        <v>1944</v>
      </c>
      <c r="I10" s="720">
        <f>I8*3.88/10</f>
        <v>4964.6191415722651</v>
      </c>
    </row>
    <row r="11" spans="1:9" ht="48" thickBot="1">
      <c r="E11" s="711" t="s">
        <v>2436</v>
      </c>
      <c r="F11" s="720">
        <f>I11</f>
        <v>1.780858427734529</v>
      </c>
      <c r="H11" s="721" t="s">
        <v>2435</v>
      </c>
      <c r="I11" s="722">
        <f>I9-I10</f>
        <v>1.780858427734529</v>
      </c>
    </row>
    <row r="12" spans="1:9" ht="32.25" thickBot="1">
      <c r="E12" s="716" t="s">
        <v>2323</v>
      </c>
      <c r="F12" s="722">
        <f ca="1">F10+F11</f>
        <v>-398.09787050968549</v>
      </c>
      <c r="H12" s="1289"/>
      <c r="I12" s="1290"/>
    </row>
    <row r="14" spans="1:9" ht="13.5" thickBot="1"/>
    <row r="15" spans="1:9" ht="30" customHeight="1" thickBot="1">
      <c r="A15" s="2019" t="s">
        <v>2437</v>
      </c>
      <c r="B15" s="2020"/>
      <c r="C15" s="1736"/>
      <c r="E15" s="2021" t="s">
        <v>2324</v>
      </c>
      <c r="F15" s="2022"/>
      <c r="H15" s="2019" t="s">
        <v>2319</v>
      </c>
      <c r="I15" s="2020"/>
    </row>
    <row r="16" spans="1:9" ht="15.75">
      <c r="A16" s="723" t="s">
        <v>1872</v>
      </c>
      <c r="B16" s="724" t="s">
        <v>1931</v>
      </c>
      <c r="C16" s="1737"/>
      <c r="E16" s="711" t="s">
        <v>1872</v>
      </c>
      <c r="F16" s="712" t="s">
        <v>1931</v>
      </c>
      <c r="H16" s="723" t="s">
        <v>1945</v>
      </c>
      <c r="I16" s="724">
        <f>summary!M5</f>
        <v>12300</v>
      </c>
    </row>
    <row r="17" spans="1:9" ht="31.5">
      <c r="A17" s="713" t="s">
        <v>1933</v>
      </c>
      <c r="B17" s="714">
        <f ca="1">('F-6'!L32-'F-6'!L20)/100</f>
        <v>6096.4300168288455</v>
      </c>
      <c r="C17" s="1738"/>
      <c r="E17" s="713" t="s">
        <v>1933</v>
      </c>
      <c r="F17" s="714">
        <f ca="1">('F-6'!L32-'F-6'!L20)/100</f>
        <v>6096.4300168288455</v>
      </c>
      <c r="H17" s="711" t="s">
        <v>1946</v>
      </c>
      <c r="I17" s="712">
        <f>summary!M12</f>
        <v>10071.000000000002</v>
      </c>
    </row>
    <row r="18" spans="1:9" ht="31.5">
      <c r="A18" s="713" t="s">
        <v>1935</v>
      </c>
      <c r="B18" s="714">
        <f ca="1">'F-6'!L20/100</f>
        <v>82.485924841900143</v>
      </c>
      <c r="C18" s="1738"/>
      <c r="E18" s="713" t="s">
        <v>1935</v>
      </c>
      <c r="F18" s="714">
        <f ca="1">'F-6'!L20/100</f>
        <v>82.485924841900143</v>
      </c>
      <c r="H18" s="711" t="s">
        <v>1947</v>
      </c>
      <c r="I18" s="1291">
        <f>summary!M36</f>
        <v>0.18121951219512181</v>
      </c>
    </row>
    <row r="19" spans="1:9" ht="15.75">
      <c r="A19" s="713" t="s">
        <v>1937</v>
      </c>
      <c r="B19" s="715">
        <f ca="1">B18+B17</f>
        <v>6178.9159416707453</v>
      </c>
      <c r="C19" s="1739"/>
      <c r="E19" s="713" t="s">
        <v>1937</v>
      </c>
      <c r="F19" s="715">
        <f ca="1">F18+F17</f>
        <v>6178.9159416707453</v>
      </c>
      <c r="H19" s="711" t="s">
        <v>1938</v>
      </c>
      <c r="I19" s="718">
        <f>summary!D36</f>
        <v>0.19600000000000001</v>
      </c>
    </row>
    <row r="20" spans="1:9" ht="31.5">
      <c r="A20" s="713" t="s">
        <v>1939</v>
      </c>
      <c r="B20" s="714">
        <f>('F-6'!L36+'F-6'!L37)/100</f>
        <v>5831.8520046395479</v>
      </c>
      <c r="C20" s="1738"/>
      <c r="E20" s="713" t="s">
        <v>1939</v>
      </c>
      <c r="F20" s="714">
        <f>('F-6'!L36+'F-6'!L37)/100</f>
        <v>5831.8520046395479</v>
      </c>
      <c r="H20" s="711" t="s">
        <v>1940</v>
      </c>
      <c r="I20" s="719">
        <f>I17/(100%-I19)</f>
        <v>12526.119402985076</v>
      </c>
    </row>
    <row r="21" spans="1:9" ht="31.5">
      <c r="A21" s="713" t="s">
        <v>1941</v>
      </c>
      <c r="B21" s="714">
        <f>'F-6'!L33/100</f>
        <v>536.09166554662806</v>
      </c>
      <c r="C21" s="1738"/>
      <c r="E21" s="713" t="s">
        <v>1941</v>
      </c>
      <c r="F21" s="714">
        <f>'F-6'!L33/100</f>
        <v>536.09166554662806</v>
      </c>
      <c r="H21" s="711" t="s">
        <v>1948</v>
      </c>
      <c r="I21" s="712">
        <f>I16*3.88/10</f>
        <v>4772.3999999999996</v>
      </c>
    </row>
    <row r="22" spans="1:9" ht="32.25" thickBot="1">
      <c r="A22" s="716" t="s">
        <v>1943</v>
      </c>
      <c r="B22" s="717">
        <f ca="1">B19-B20-B21</f>
        <v>-189.02772851543068</v>
      </c>
      <c r="C22" s="1739"/>
      <c r="E22" s="713" t="s">
        <v>1943</v>
      </c>
      <c r="F22" s="715">
        <f ca="1">F19-F20-F21</f>
        <v>-189.02772851543068</v>
      </c>
      <c r="H22" s="711" t="s">
        <v>1944</v>
      </c>
      <c r="I22" s="720">
        <f>I20*3.88/10</f>
        <v>4860.1343283582091</v>
      </c>
    </row>
    <row r="23" spans="1:9" ht="48" thickBot="1">
      <c r="E23" s="711" t="s">
        <v>2325</v>
      </c>
      <c r="F23" s="720">
        <f>I23</f>
        <v>-87.734328358209495</v>
      </c>
      <c r="H23" s="721" t="s">
        <v>2320</v>
      </c>
      <c r="I23" s="722">
        <f>I21-I22</f>
        <v>-87.734328358209495</v>
      </c>
    </row>
    <row r="24" spans="1:9" ht="32.25" thickBot="1">
      <c r="E24" s="716" t="s">
        <v>2323</v>
      </c>
      <c r="F24" s="722">
        <f ca="1">F22-F23</f>
        <v>-101.29340015722119</v>
      </c>
    </row>
    <row r="27" spans="1:9">
      <c r="F27" t="s">
        <v>2326</v>
      </c>
      <c r="G27" s="99">
        <v>0.81920000000000004</v>
      </c>
    </row>
    <row r="28" spans="1:9">
      <c r="F28" t="s">
        <v>2327</v>
      </c>
      <c r="G28" s="366">
        <v>0.99</v>
      </c>
    </row>
    <row r="29" spans="1:9">
      <c r="F29" t="s">
        <v>2328</v>
      </c>
      <c r="G29" s="99">
        <f>1-(G28*G27)</f>
        <v>0.18899199999999994</v>
      </c>
    </row>
    <row r="31" spans="1:9">
      <c r="G31" s="99">
        <f>100%-G27</f>
        <v>0.18079999999999996</v>
      </c>
    </row>
  </sheetData>
  <mergeCells count="6">
    <mergeCell ref="A2:B2"/>
    <mergeCell ref="E2:F2"/>
    <mergeCell ref="A15:B15"/>
    <mergeCell ref="E15:F15"/>
    <mergeCell ref="H15:I15"/>
    <mergeCell ref="H2:I2"/>
  </mergeCells>
  <pageMargins left="0.7" right="0.7" top="0.75" bottom="0.75" header="0.3" footer="0.3"/>
  <pageSetup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85"/>
  <dimension ref="A1:C41"/>
  <sheetViews>
    <sheetView view="pageBreakPreview" zoomScale="90" zoomScaleSheetLayoutView="90" workbookViewId="0">
      <selection sqref="A1:C1"/>
    </sheetView>
  </sheetViews>
  <sheetFormatPr defaultRowHeight="12.75"/>
  <cols>
    <col min="1" max="1" width="21.85546875" customWidth="1"/>
    <col min="2" max="2" width="4" bestFit="1" customWidth="1"/>
    <col min="3" max="3" width="79.28515625" customWidth="1"/>
  </cols>
  <sheetData>
    <row r="1" spans="1:3" ht="18">
      <c r="A1" s="2023" t="s">
        <v>1490</v>
      </c>
      <c r="B1" s="2023"/>
      <c r="C1" s="2023"/>
    </row>
    <row r="2" spans="1:3" ht="15">
      <c r="A2" s="455"/>
      <c r="B2" s="506"/>
      <c r="C2" s="506"/>
    </row>
    <row r="3" spans="1:3" ht="15.75">
      <c r="A3" s="5" t="s">
        <v>1491</v>
      </c>
      <c r="B3" s="5" t="s">
        <v>1492</v>
      </c>
      <c r="C3" s="455" t="s">
        <v>389</v>
      </c>
    </row>
    <row r="4" spans="1:3" ht="15.75">
      <c r="A4" s="5"/>
      <c r="B4" s="5"/>
      <c r="C4" s="455"/>
    </row>
    <row r="5" spans="1:3" ht="15.75">
      <c r="A5" s="5" t="s">
        <v>1493</v>
      </c>
      <c r="B5" s="5" t="s">
        <v>1492</v>
      </c>
      <c r="C5" s="455" t="s">
        <v>1494</v>
      </c>
    </row>
    <row r="6" spans="1:3" ht="15.75">
      <c r="A6" s="5"/>
      <c r="B6" s="5"/>
      <c r="C6" s="455"/>
    </row>
    <row r="7" spans="1:3" ht="15.75">
      <c r="A7" s="5" t="s">
        <v>1495</v>
      </c>
      <c r="B7" s="5" t="s">
        <v>1492</v>
      </c>
      <c r="C7" s="455" t="s">
        <v>1496</v>
      </c>
    </row>
    <row r="8" spans="1:3" ht="15.75">
      <c r="A8" s="5" t="s">
        <v>1497</v>
      </c>
      <c r="B8" s="5" t="s">
        <v>1492</v>
      </c>
      <c r="C8" s="455" t="s">
        <v>2471</v>
      </c>
    </row>
    <row r="9" spans="1:3" ht="15">
      <c r="A9" s="455"/>
      <c r="B9" s="455"/>
      <c r="C9" s="455"/>
    </row>
    <row r="10" spans="1:3" ht="15.75">
      <c r="A10" s="1527" t="s">
        <v>1498</v>
      </c>
      <c r="B10" s="455"/>
      <c r="C10" s="455"/>
    </row>
    <row r="11" spans="1:3" ht="15.75">
      <c r="A11" s="5"/>
      <c r="B11" s="455"/>
      <c r="C11" s="455"/>
    </row>
    <row r="12" spans="1:3" ht="15">
      <c r="A12" s="455"/>
      <c r="B12" s="1402">
        <v>1</v>
      </c>
      <c r="C12" s="1703" t="s">
        <v>1499</v>
      </c>
    </row>
    <row r="13" spans="1:3" ht="15">
      <c r="A13" s="455"/>
      <c r="B13" s="1402">
        <v>2</v>
      </c>
      <c r="C13" s="455" t="s">
        <v>1500</v>
      </c>
    </row>
    <row r="14" spans="1:3" ht="15">
      <c r="A14" s="455"/>
      <c r="B14" s="1402">
        <v>3</v>
      </c>
      <c r="C14" s="455" t="s">
        <v>1501</v>
      </c>
    </row>
    <row r="15" spans="1:3" ht="15">
      <c r="A15" s="455"/>
      <c r="B15" s="1402">
        <v>4</v>
      </c>
      <c r="C15" s="455" t="s">
        <v>1502</v>
      </c>
    </row>
    <row r="16" spans="1:3" ht="15">
      <c r="A16" s="455"/>
      <c r="B16" s="1402">
        <v>5</v>
      </c>
      <c r="C16" s="455" t="s">
        <v>1503</v>
      </c>
    </row>
    <row r="17" spans="1:3" ht="15.75">
      <c r="A17" s="5"/>
      <c r="B17" s="1402"/>
      <c r="C17" s="455"/>
    </row>
    <row r="18" spans="1:3" ht="15.75">
      <c r="A18" s="1527" t="s">
        <v>1504</v>
      </c>
      <c r="B18" s="1402"/>
      <c r="C18" s="455"/>
    </row>
    <row r="19" spans="1:3" ht="15">
      <c r="A19" s="455"/>
      <c r="B19" s="1402">
        <v>1</v>
      </c>
      <c r="C19" s="455" t="s">
        <v>1505</v>
      </c>
    </row>
    <row r="20" spans="1:3" ht="15">
      <c r="A20" s="455"/>
      <c r="B20" s="1402">
        <v>2</v>
      </c>
      <c r="C20" s="455" t="s">
        <v>1506</v>
      </c>
    </row>
    <row r="21" spans="1:3" ht="15">
      <c r="A21" s="455"/>
      <c r="B21" s="1402">
        <v>3</v>
      </c>
      <c r="C21" s="455" t="s">
        <v>1507</v>
      </c>
    </row>
    <row r="22" spans="1:3" ht="15">
      <c r="A22" s="455"/>
      <c r="B22" s="1402">
        <v>4</v>
      </c>
      <c r="C22" s="455" t="s">
        <v>1508</v>
      </c>
    </row>
    <row r="23" spans="1:3" ht="15">
      <c r="A23" s="455"/>
      <c r="B23" s="1402">
        <v>5</v>
      </c>
      <c r="C23" s="455" t="s">
        <v>1509</v>
      </c>
    </row>
    <row r="24" spans="1:3" ht="15">
      <c r="A24" s="455"/>
      <c r="B24" s="1402">
        <v>6</v>
      </c>
      <c r="C24" s="455" t="s">
        <v>1510</v>
      </c>
    </row>
    <row r="25" spans="1:3" ht="15">
      <c r="A25" s="455"/>
      <c r="B25" s="1402">
        <v>7</v>
      </c>
      <c r="C25" s="455" t="s">
        <v>1511</v>
      </c>
    </row>
    <row r="26" spans="1:3" ht="15">
      <c r="A26" s="455"/>
      <c r="B26" s="1402">
        <v>8</v>
      </c>
      <c r="C26" s="455" t="s">
        <v>1512</v>
      </c>
    </row>
    <row r="27" spans="1:3" ht="15">
      <c r="A27" s="455"/>
      <c r="B27" s="1402">
        <v>9</v>
      </c>
      <c r="C27" s="455" t="s">
        <v>2445</v>
      </c>
    </row>
    <row r="28" spans="1:3" ht="15">
      <c r="A28" s="455"/>
      <c r="B28" s="1402">
        <v>10</v>
      </c>
      <c r="C28" s="455" t="s">
        <v>1513</v>
      </c>
    </row>
    <row r="29" spans="1:3" ht="15">
      <c r="A29" s="455"/>
      <c r="B29" s="1402">
        <v>11</v>
      </c>
      <c r="C29" s="455" t="s">
        <v>1514</v>
      </c>
    </row>
    <row r="30" spans="1:3" ht="15">
      <c r="A30" s="455"/>
      <c r="B30" s="1402">
        <v>12</v>
      </c>
      <c r="C30" s="455" t="s">
        <v>1515</v>
      </c>
    </row>
    <row r="31" spans="1:3" ht="15">
      <c r="A31" s="455"/>
      <c r="B31" s="1402">
        <v>13</v>
      </c>
      <c r="C31" s="455" t="s">
        <v>1516</v>
      </c>
    </row>
    <row r="32" spans="1:3" ht="15">
      <c r="A32" s="455"/>
      <c r="B32" s="1402">
        <v>14</v>
      </c>
      <c r="C32" s="455" t="s">
        <v>1517</v>
      </c>
    </row>
    <row r="33" spans="1:3" ht="15">
      <c r="A33" s="455"/>
      <c r="B33" s="1402">
        <v>15</v>
      </c>
      <c r="C33" s="455" t="s">
        <v>1518</v>
      </c>
    </row>
    <row r="34" spans="1:3" ht="15">
      <c r="A34" s="455"/>
      <c r="B34" s="1402">
        <v>16</v>
      </c>
      <c r="C34" s="455" t="s">
        <v>1519</v>
      </c>
    </row>
    <row r="35" spans="1:3" ht="15.75">
      <c r="A35" s="5"/>
      <c r="B35" s="1402">
        <v>17</v>
      </c>
      <c r="C35" s="455" t="s">
        <v>1520</v>
      </c>
    </row>
    <row r="36" spans="1:3" ht="15.75">
      <c r="A36" s="1527" t="s">
        <v>1521</v>
      </c>
      <c r="B36" s="1402"/>
      <c r="C36" s="455"/>
    </row>
    <row r="37" spans="1:3" ht="15">
      <c r="A37" s="455"/>
      <c r="B37" s="1402">
        <v>1</v>
      </c>
      <c r="C37" s="455" t="s">
        <v>1522</v>
      </c>
    </row>
    <row r="38" spans="1:3" ht="15">
      <c r="A38" s="455"/>
      <c r="B38" s="1402">
        <v>2</v>
      </c>
      <c r="C38" s="455" t="s">
        <v>1523</v>
      </c>
    </row>
    <row r="39" spans="1:3" ht="15">
      <c r="A39" s="455"/>
      <c r="B39" s="1402">
        <v>3</v>
      </c>
      <c r="C39" s="455" t="s">
        <v>1524</v>
      </c>
    </row>
    <row r="40" spans="1:3" ht="15">
      <c r="A40" s="455"/>
      <c r="B40" s="1402">
        <v>4</v>
      </c>
      <c r="C40" s="455" t="s">
        <v>1525</v>
      </c>
    </row>
    <row r="41" spans="1:3" ht="15">
      <c r="A41" s="455"/>
      <c r="B41" s="1402">
        <v>5</v>
      </c>
      <c r="C41" s="455" t="s">
        <v>1526</v>
      </c>
    </row>
  </sheetData>
  <mergeCells count="1">
    <mergeCell ref="A1:C1"/>
  </mergeCells>
  <phoneticPr fontId="80" type="noConversion"/>
  <printOptions horizontalCentered="1"/>
  <pageMargins left="0.39370078740157483" right="0.39370078740157483" top="0.98425196850393704" bottom="0.78740157480314965" header="0.51181102362204722" footer="0.51181102362204722"/>
  <pageSetup paperSize="9" scale="90" orientation="portrait" r:id="rId1"/>
  <headerFooter alignWithMargins="0"/>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I87"/>
  <sheetViews>
    <sheetView showGridLines="0" view="pageBreakPreview" zoomScale="80" zoomScaleSheetLayoutView="80" workbookViewId="0">
      <pane ySplit="2" topLeftCell="A77" activePane="bottomLeft" state="frozen"/>
      <selection activeCell="G8" sqref="G8"/>
      <selection pane="bottomLeft" activeCell="L8" sqref="L8"/>
    </sheetView>
  </sheetViews>
  <sheetFormatPr defaultColWidth="9.140625" defaultRowHeight="12.75"/>
  <cols>
    <col min="1" max="1" width="6.140625" style="592" customWidth="1"/>
    <col min="2" max="2" width="44" style="592" customWidth="1"/>
    <col min="3" max="5" width="9.140625" style="592"/>
    <col min="6" max="6" width="9.85546875" style="592" customWidth="1"/>
    <col min="7" max="7" width="9.140625" style="592"/>
    <col min="8" max="8" width="9.7109375" style="592" customWidth="1"/>
    <col min="9" max="9" width="12.28515625" style="592" customWidth="1"/>
    <col min="10" max="16384" width="9.140625" style="592"/>
  </cols>
  <sheetData>
    <row r="1" spans="1:9" ht="18">
      <c r="A1" s="2026" t="s">
        <v>2102</v>
      </c>
      <c r="B1" s="2027"/>
      <c r="C1" s="2027"/>
      <c r="D1" s="2027"/>
      <c r="E1" s="2027"/>
      <c r="F1" s="2027"/>
      <c r="G1" s="2027"/>
      <c r="H1" s="2027"/>
      <c r="I1" s="2028"/>
    </row>
    <row r="2" spans="1:9" ht="89.25">
      <c r="A2" s="1704" t="s">
        <v>790</v>
      </c>
      <c r="B2" s="1704" t="s">
        <v>1404</v>
      </c>
      <c r="C2" s="1704" t="s">
        <v>1405</v>
      </c>
      <c r="D2" s="1704" t="s">
        <v>1406</v>
      </c>
      <c r="E2" s="1704" t="s">
        <v>326</v>
      </c>
      <c r="F2" s="1704" t="s">
        <v>1407</v>
      </c>
      <c r="G2" s="1704" t="s">
        <v>1408</v>
      </c>
      <c r="H2" s="1704" t="s">
        <v>1409</v>
      </c>
      <c r="I2" s="1704" t="s">
        <v>1410</v>
      </c>
    </row>
    <row r="3" spans="1:9">
      <c r="A3" s="1705"/>
      <c r="B3" s="1706" t="s">
        <v>1411</v>
      </c>
      <c r="C3" s="1706"/>
      <c r="D3" s="1706"/>
      <c r="E3" s="1704" t="s">
        <v>2073</v>
      </c>
      <c r="F3" s="1706"/>
      <c r="G3" s="1706"/>
      <c r="H3" s="1706"/>
      <c r="I3" s="1706"/>
    </row>
    <row r="4" spans="1:9">
      <c r="A4" s="1705">
        <v>1</v>
      </c>
      <c r="B4" s="1707" t="s">
        <v>174</v>
      </c>
      <c r="C4" s="1708"/>
      <c r="D4" s="1705"/>
      <c r="E4" s="1705"/>
      <c r="F4" s="1705"/>
      <c r="G4" s="1705"/>
      <c r="H4" s="1705"/>
      <c r="I4" s="1705"/>
    </row>
    <row r="5" spans="1:9">
      <c r="A5" s="1705" t="s">
        <v>1412</v>
      </c>
      <c r="B5" s="1707" t="s">
        <v>1413</v>
      </c>
      <c r="C5" s="1705" t="s">
        <v>45</v>
      </c>
      <c r="D5" s="2029" t="s">
        <v>1414</v>
      </c>
      <c r="E5" s="2029"/>
      <c r="F5" s="2029"/>
      <c r="G5" s="1705">
        <v>80</v>
      </c>
      <c r="H5" s="1705"/>
      <c r="I5" s="1705"/>
    </row>
    <row r="6" spans="1:9">
      <c r="A6" s="1705" t="s">
        <v>1415</v>
      </c>
      <c r="B6" s="1707" t="s">
        <v>50</v>
      </c>
      <c r="C6" s="1705"/>
      <c r="D6" s="1705"/>
      <c r="E6" s="1705"/>
      <c r="F6" s="1705"/>
      <c r="G6" s="1705"/>
      <c r="H6" s="1705"/>
      <c r="I6" s="1705">
        <v>10</v>
      </c>
    </row>
    <row r="7" spans="1:9">
      <c r="A7" s="1705"/>
      <c r="B7" s="1707" t="s">
        <v>1416</v>
      </c>
      <c r="C7" s="1705" t="s">
        <v>45</v>
      </c>
      <c r="D7" s="1705"/>
      <c r="E7" s="1705">
        <v>300</v>
      </c>
      <c r="F7" s="1705"/>
      <c r="G7" s="1705">
        <v>20</v>
      </c>
      <c r="H7" s="1705">
        <v>20</v>
      </c>
      <c r="I7" s="1705"/>
    </row>
    <row r="8" spans="1:9">
      <c r="A8" s="1705"/>
      <c r="B8" s="1707" t="s">
        <v>1417</v>
      </c>
      <c r="C8" s="1705" t="s">
        <v>45</v>
      </c>
      <c r="D8" s="1705"/>
      <c r="E8" s="1705">
        <v>480</v>
      </c>
      <c r="F8" s="1705"/>
      <c r="G8" s="1705">
        <v>20</v>
      </c>
      <c r="H8" s="1705">
        <v>20</v>
      </c>
      <c r="I8" s="1705"/>
    </row>
    <row r="9" spans="1:9">
      <c r="A9" s="1705"/>
      <c r="B9" s="1707" t="s">
        <v>1418</v>
      </c>
      <c r="C9" s="1705" t="s">
        <v>45</v>
      </c>
      <c r="D9" s="1705"/>
      <c r="E9" s="1705">
        <v>580</v>
      </c>
      <c r="F9" s="1705"/>
      <c r="G9" s="1705">
        <v>20</v>
      </c>
      <c r="H9" s="1705">
        <v>20</v>
      </c>
      <c r="I9" s="1705"/>
    </row>
    <row r="10" spans="1:9">
      <c r="A10" s="1705"/>
      <c r="B10" s="1707" t="s">
        <v>1419</v>
      </c>
      <c r="C10" s="1705" t="s">
        <v>45</v>
      </c>
      <c r="D10" s="1705"/>
      <c r="E10" s="1705">
        <v>620</v>
      </c>
      <c r="F10" s="1705"/>
      <c r="G10" s="1705">
        <v>20</v>
      </c>
      <c r="H10" s="1705">
        <v>20</v>
      </c>
      <c r="I10" s="1705"/>
    </row>
    <row r="11" spans="1:9">
      <c r="A11" s="1705">
        <v>2</v>
      </c>
      <c r="B11" s="1707" t="s">
        <v>189</v>
      </c>
      <c r="C11" s="1705"/>
      <c r="D11" s="1705"/>
      <c r="E11" s="1705"/>
      <c r="F11" s="1705"/>
      <c r="G11" s="1705"/>
      <c r="H11" s="1705"/>
      <c r="I11" s="1705">
        <v>10</v>
      </c>
    </row>
    <row r="12" spans="1:9">
      <c r="A12" s="1705"/>
      <c r="B12" s="1707" t="s">
        <v>1420</v>
      </c>
      <c r="C12" s="1705" t="s">
        <v>45</v>
      </c>
      <c r="D12" s="1705"/>
      <c r="E12" s="1705">
        <v>590</v>
      </c>
      <c r="F12" s="1705"/>
      <c r="G12" s="1705">
        <v>30</v>
      </c>
      <c r="H12" s="1705">
        <v>30</v>
      </c>
      <c r="I12" s="1705"/>
    </row>
    <row r="13" spans="1:9">
      <c r="A13" s="1705"/>
      <c r="B13" s="1707" t="s">
        <v>1421</v>
      </c>
      <c r="C13" s="1705" t="s">
        <v>45</v>
      </c>
      <c r="D13" s="1705"/>
      <c r="E13" s="1705">
        <v>700</v>
      </c>
      <c r="F13" s="1705"/>
      <c r="G13" s="1705">
        <v>30</v>
      </c>
      <c r="H13" s="1705">
        <v>30</v>
      </c>
      <c r="I13" s="1705"/>
    </row>
    <row r="14" spans="1:9">
      <c r="A14" s="1705"/>
      <c r="B14" s="1707" t="s">
        <v>1422</v>
      </c>
      <c r="C14" s="1705" t="s">
        <v>45</v>
      </c>
      <c r="D14" s="1705"/>
      <c r="E14" s="1705">
        <v>760</v>
      </c>
      <c r="F14" s="1705"/>
      <c r="G14" s="1705">
        <v>30</v>
      </c>
      <c r="H14" s="1705">
        <v>30</v>
      </c>
      <c r="I14" s="1705"/>
    </row>
    <row r="15" spans="1:9">
      <c r="A15" s="1705">
        <v>3</v>
      </c>
      <c r="B15" s="1707" t="s">
        <v>63</v>
      </c>
      <c r="C15" s="1705" t="s">
        <v>45</v>
      </c>
      <c r="D15" s="1705"/>
      <c r="E15" s="1705">
        <v>150</v>
      </c>
      <c r="F15" s="1705"/>
      <c r="G15" s="1705">
        <v>20</v>
      </c>
      <c r="H15" s="1705">
        <v>10</v>
      </c>
      <c r="I15" s="1705">
        <v>10</v>
      </c>
    </row>
    <row r="16" spans="1:9">
      <c r="A16" s="1705">
        <v>4</v>
      </c>
      <c r="B16" s="1707" t="s">
        <v>1423</v>
      </c>
      <c r="C16" s="1705" t="s">
        <v>45</v>
      </c>
      <c r="D16" s="1709"/>
      <c r="E16" s="1705">
        <v>160</v>
      </c>
      <c r="F16" s="1705"/>
      <c r="G16" s="1705">
        <v>20</v>
      </c>
      <c r="H16" s="1705">
        <v>10</v>
      </c>
      <c r="I16" s="1705" t="s">
        <v>1424</v>
      </c>
    </row>
    <row r="17" spans="1:9">
      <c r="A17" s="1705">
        <v>5</v>
      </c>
      <c r="B17" s="1707" t="s">
        <v>1425</v>
      </c>
      <c r="C17" s="1705" t="s">
        <v>45</v>
      </c>
      <c r="D17" s="1708"/>
      <c r="E17" s="1705">
        <v>470</v>
      </c>
      <c r="F17" s="1705"/>
      <c r="G17" s="1705">
        <v>80</v>
      </c>
      <c r="H17" s="1705">
        <v>50</v>
      </c>
      <c r="I17" s="1705" t="s">
        <v>1426</v>
      </c>
    </row>
    <row r="18" spans="1:9">
      <c r="A18" s="1705">
        <v>6</v>
      </c>
      <c r="B18" s="1707" t="s">
        <v>1427</v>
      </c>
      <c r="C18" s="1705" t="s">
        <v>45</v>
      </c>
      <c r="D18" s="1705"/>
      <c r="E18" s="1705">
        <v>620</v>
      </c>
      <c r="F18" s="1705"/>
      <c r="G18" s="1705">
        <v>20</v>
      </c>
      <c r="H18" s="1705">
        <v>15</v>
      </c>
      <c r="I18" s="1705" t="s">
        <v>1426</v>
      </c>
    </row>
    <row r="19" spans="1:9">
      <c r="A19" s="1705">
        <v>7</v>
      </c>
      <c r="B19" s="1707" t="s">
        <v>67</v>
      </c>
      <c r="C19" s="1705" t="s">
        <v>45</v>
      </c>
      <c r="D19" s="1705"/>
      <c r="E19" s="1705">
        <v>620</v>
      </c>
      <c r="F19" s="1705"/>
      <c r="G19" s="1705">
        <v>80</v>
      </c>
      <c r="H19" s="1705">
        <v>35</v>
      </c>
      <c r="I19" s="1705">
        <v>10</v>
      </c>
    </row>
    <row r="20" spans="1:9">
      <c r="A20" s="1705">
        <v>8</v>
      </c>
      <c r="B20" s="1707" t="s">
        <v>68</v>
      </c>
      <c r="C20" s="1705" t="s">
        <v>45</v>
      </c>
      <c r="D20" s="1705"/>
      <c r="E20" s="1705">
        <v>620</v>
      </c>
      <c r="F20" s="1705"/>
      <c r="G20" s="1705">
        <v>100</v>
      </c>
      <c r="H20" s="1705">
        <v>80</v>
      </c>
      <c r="I20" s="1705" t="s">
        <v>1426</v>
      </c>
    </row>
    <row r="21" spans="1:9">
      <c r="A21" s="1705">
        <v>9</v>
      </c>
      <c r="B21" s="1707" t="s">
        <v>294</v>
      </c>
      <c r="C21" s="1705" t="s">
        <v>45</v>
      </c>
      <c r="D21" s="1705"/>
      <c r="E21" s="1705">
        <v>620</v>
      </c>
      <c r="F21" s="1705"/>
      <c r="G21" s="1705">
        <v>50</v>
      </c>
      <c r="H21" s="1705">
        <v>50</v>
      </c>
      <c r="I21" s="1705" t="s">
        <v>1426</v>
      </c>
    </row>
    <row r="22" spans="1:9" ht="25.5">
      <c r="A22" s="1705">
        <v>10</v>
      </c>
      <c r="B22" s="1707" t="s">
        <v>1428</v>
      </c>
      <c r="C22" s="1705" t="s">
        <v>45</v>
      </c>
      <c r="D22" s="1705"/>
      <c r="E22" s="1705">
        <v>620</v>
      </c>
      <c r="F22" s="1705"/>
      <c r="G22" s="1705">
        <v>50</v>
      </c>
      <c r="H22" s="1705">
        <v>50</v>
      </c>
      <c r="I22" s="1705">
        <v>10</v>
      </c>
    </row>
    <row r="23" spans="1:9" ht="15.75" customHeight="1">
      <c r="A23" s="1705">
        <v>11</v>
      </c>
      <c r="B23" s="1707" t="s">
        <v>1429</v>
      </c>
      <c r="C23" s="1705" t="s">
        <v>45</v>
      </c>
      <c r="D23" s="1705">
        <v>200</v>
      </c>
      <c r="E23" s="1705">
        <v>620</v>
      </c>
      <c r="F23" s="1705">
        <v>30</v>
      </c>
      <c r="G23" s="1705"/>
      <c r="H23" s="1705"/>
      <c r="I23" s="1705">
        <v>10</v>
      </c>
    </row>
    <row r="24" spans="1:9">
      <c r="A24" s="1705">
        <v>12</v>
      </c>
      <c r="B24" s="1707" t="s">
        <v>1430</v>
      </c>
      <c r="C24" s="1705" t="s">
        <v>45</v>
      </c>
      <c r="D24" s="1705">
        <v>200</v>
      </c>
      <c r="E24" s="1705">
        <v>620</v>
      </c>
      <c r="F24" s="1705">
        <v>30</v>
      </c>
      <c r="G24" s="1705"/>
      <c r="H24" s="1705"/>
      <c r="I24" s="1705" t="s">
        <v>1426</v>
      </c>
    </row>
    <row r="25" spans="1:9">
      <c r="A25" s="1705">
        <v>13</v>
      </c>
      <c r="B25" s="1707" t="s">
        <v>73</v>
      </c>
      <c r="C25" s="1705" t="s">
        <v>45</v>
      </c>
      <c r="D25" s="1705">
        <v>200</v>
      </c>
      <c r="E25" s="1705">
        <v>620</v>
      </c>
      <c r="F25" s="1705">
        <v>30</v>
      </c>
      <c r="G25" s="1705"/>
      <c r="H25" s="1705"/>
      <c r="I25" s="1705" t="s">
        <v>1426</v>
      </c>
    </row>
    <row r="26" spans="1:9" ht="38.25">
      <c r="A26" s="1705"/>
      <c r="B26" s="1710" t="s">
        <v>1431</v>
      </c>
      <c r="C26" s="1706"/>
      <c r="D26" s="1706"/>
      <c r="E26" s="1704" t="s">
        <v>2072</v>
      </c>
      <c r="F26" s="1706"/>
      <c r="G26" s="1706"/>
      <c r="H26" s="1706"/>
      <c r="I26" s="1711"/>
    </row>
    <row r="27" spans="1:9">
      <c r="A27" s="1705">
        <v>14</v>
      </c>
      <c r="B27" s="1707" t="s">
        <v>76</v>
      </c>
      <c r="C27" s="1712" t="s">
        <v>77</v>
      </c>
      <c r="D27" s="1705">
        <v>20</v>
      </c>
      <c r="E27" s="1705">
        <v>490</v>
      </c>
      <c r="F27" s="1705">
        <v>250</v>
      </c>
      <c r="G27" s="1705"/>
      <c r="H27" s="1705"/>
      <c r="I27" s="1705">
        <v>10</v>
      </c>
    </row>
    <row r="28" spans="1:9">
      <c r="A28" s="1705">
        <v>15</v>
      </c>
      <c r="B28" s="1707" t="s">
        <v>63</v>
      </c>
      <c r="C28" s="1712" t="s">
        <v>77</v>
      </c>
      <c r="D28" s="1705">
        <v>30</v>
      </c>
      <c r="E28" s="1705">
        <v>140</v>
      </c>
      <c r="F28" s="1705">
        <v>250</v>
      </c>
      <c r="G28" s="1705"/>
      <c r="H28" s="1705"/>
      <c r="I28" s="1705">
        <v>10</v>
      </c>
    </row>
    <row r="29" spans="1:9">
      <c r="A29" s="1705">
        <v>16</v>
      </c>
      <c r="B29" s="1707" t="s">
        <v>1423</v>
      </c>
      <c r="C29" s="1712" t="s">
        <v>77</v>
      </c>
      <c r="D29" s="1705">
        <v>30</v>
      </c>
      <c r="E29" s="1705">
        <v>150</v>
      </c>
      <c r="F29" s="1705">
        <v>250</v>
      </c>
      <c r="G29" s="1708"/>
      <c r="H29" s="1708"/>
      <c r="I29" s="1705">
        <v>10</v>
      </c>
    </row>
    <row r="30" spans="1:9" ht="12.75" customHeight="1">
      <c r="A30" s="1705">
        <v>17</v>
      </c>
      <c r="B30" s="1707" t="s">
        <v>1425</v>
      </c>
      <c r="C30" s="1712" t="s">
        <v>77</v>
      </c>
      <c r="D30" s="1705">
        <v>50</v>
      </c>
      <c r="E30" s="1713">
        <v>460</v>
      </c>
      <c r="F30" s="1705">
        <v>250</v>
      </c>
      <c r="G30" s="1708"/>
      <c r="H30" s="1708"/>
      <c r="I30" s="1705" t="s">
        <v>1426</v>
      </c>
    </row>
    <row r="31" spans="1:9" ht="12.75" customHeight="1">
      <c r="A31" s="1705">
        <v>18</v>
      </c>
      <c r="B31" s="1707" t="s">
        <v>294</v>
      </c>
      <c r="C31" s="1712" t="s">
        <v>77</v>
      </c>
      <c r="D31" s="1705">
        <v>250</v>
      </c>
      <c r="E31" s="2030" t="s">
        <v>1432</v>
      </c>
      <c r="F31" s="1705">
        <v>250</v>
      </c>
      <c r="G31" s="1705"/>
      <c r="H31" s="1705"/>
      <c r="I31" s="1705" t="s">
        <v>1426</v>
      </c>
    </row>
    <row r="32" spans="1:9">
      <c r="A32" s="1705">
        <v>19</v>
      </c>
      <c r="B32" s="1707" t="s">
        <v>1433</v>
      </c>
      <c r="C32" s="1712" t="s">
        <v>77</v>
      </c>
      <c r="D32" s="1705">
        <v>250</v>
      </c>
      <c r="E32" s="2030"/>
      <c r="F32" s="1705">
        <v>250</v>
      </c>
      <c r="G32" s="1705"/>
      <c r="H32" s="1705"/>
      <c r="I32" s="1705">
        <v>10</v>
      </c>
    </row>
    <row r="33" spans="1:9">
      <c r="A33" s="1705">
        <v>20</v>
      </c>
      <c r="B33" s="1707" t="s">
        <v>1434</v>
      </c>
      <c r="C33" s="1712" t="s">
        <v>77</v>
      </c>
      <c r="D33" s="1705">
        <v>150</v>
      </c>
      <c r="E33" s="2030"/>
      <c r="F33" s="1705">
        <v>250</v>
      </c>
      <c r="G33" s="1705"/>
      <c r="H33" s="1705"/>
      <c r="I33" s="1705" t="s">
        <v>1426</v>
      </c>
    </row>
    <row r="34" spans="1:9">
      <c r="A34" s="1705">
        <v>21</v>
      </c>
      <c r="B34" s="1707" t="s">
        <v>1430</v>
      </c>
      <c r="C34" s="1712" t="s">
        <v>77</v>
      </c>
      <c r="D34" s="1705">
        <v>250</v>
      </c>
      <c r="E34" s="2030"/>
      <c r="F34" s="1705">
        <v>250</v>
      </c>
      <c r="G34" s="1705"/>
      <c r="H34" s="1705"/>
      <c r="I34" s="1705" t="s">
        <v>1426</v>
      </c>
    </row>
    <row r="35" spans="1:9">
      <c r="A35" s="1705">
        <v>22</v>
      </c>
      <c r="B35" s="1707" t="s">
        <v>1435</v>
      </c>
      <c r="C35" s="1712" t="s">
        <v>77</v>
      </c>
      <c r="D35" s="1705">
        <v>250</v>
      </c>
      <c r="E35" s="2030"/>
      <c r="F35" s="1705">
        <v>250</v>
      </c>
      <c r="G35" s="1705"/>
      <c r="H35" s="1705"/>
      <c r="I35" s="1705">
        <v>10</v>
      </c>
    </row>
    <row r="36" spans="1:9">
      <c r="A36" s="1705">
        <v>23</v>
      </c>
      <c r="B36" s="1707" t="s">
        <v>73</v>
      </c>
      <c r="C36" s="1712" t="s">
        <v>77</v>
      </c>
      <c r="D36" s="1705">
        <v>250</v>
      </c>
      <c r="E36" s="2030"/>
      <c r="F36" s="1705">
        <v>250</v>
      </c>
      <c r="G36" s="1705"/>
      <c r="H36" s="1705"/>
      <c r="I36" s="1705" t="s">
        <v>1426</v>
      </c>
    </row>
    <row r="37" spans="1:9">
      <c r="A37" s="1705">
        <v>24</v>
      </c>
      <c r="B37" s="1707" t="s">
        <v>83</v>
      </c>
      <c r="C37" s="1712" t="s">
        <v>77</v>
      </c>
      <c r="D37" s="1705">
        <v>250</v>
      </c>
      <c r="E37" s="2030"/>
      <c r="F37" s="1705">
        <v>250</v>
      </c>
      <c r="G37" s="1705"/>
      <c r="H37" s="1705"/>
      <c r="I37" s="1705" t="s">
        <v>1426</v>
      </c>
    </row>
    <row r="38" spans="1:9">
      <c r="A38" s="1705">
        <v>25</v>
      </c>
      <c r="B38" s="1707" t="s">
        <v>745</v>
      </c>
      <c r="C38" s="1712" t="s">
        <v>77</v>
      </c>
      <c r="D38" s="1705">
        <v>250</v>
      </c>
      <c r="E38" s="2030"/>
      <c r="F38" s="1705">
        <v>250</v>
      </c>
      <c r="G38" s="1705"/>
      <c r="H38" s="1705"/>
      <c r="I38" s="1705" t="s">
        <v>1426</v>
      </c>
    </row>
    <row r="39" spans="1:9">
      <c r="A39" s="1705">
        <v>26</v>
      </c>
      <c r="B39" s="1707" t="s">
        <v>85</v>
      </c>
      <c r="C39" s="1712" t="s">
        <v>77</v>
      </c>
      <c r="D39" s="1705">
        <v>250</v>
      </c>
      <c r="E39" s="2030"/>
      <c r="F39" s="1705">
        <v>250</v>
      </c>
      <c r="G39" s="1705"/>
      <c r="H39" s="1705"/>
      <c r="I39" s="1705" t="s">
        <v>1426</v>
      </c>
    </row>
    <row r="40" spans="1:9">
      <c r="A40" s="1705">
        <v>27</v>
      </c>
      <c r="B40" s="1707" t="s">
        <v>1436</v>
      </c>
      <c r="C40" s="1712" t="s">
        <v>77</v>
      </c>
      <c r="D40" s="1705">
        <v>0</v>
      </c>
      <c r="E40" s="1713">
        <v>780</v>
      </c>
      <c r="F40" s="1705">
        <v>250</v>
      </c>
      <c r="G40" s="1705"/>
      <c r="H40" s="1705"/>
      <c r="I40" s="1705" t="s">
        <v>1426</v>
      </c>
    </row>
    <row r="41" spans="1:9">
      <c r="A41" s="1705">
        <v>28</v>
      </c>
      <c r="B41" s="1707" t="s">
        <v>1437</v>
      </c>
      <c r="C41" s="1712" t="s">
        <v>77</v>
      </c>
      <c r="D41" s="1705">
        <v>0</v>
      </c>
      <c r="E41" s="1705">
        <v>490</v>
      </c>
      <c r="F41" s="1705">
        <v>0</v>
      </c>
      <c r="G41" s="1705"/>
      <c r="H41" s="1705"/>
      <c r="I41" s="1705" t="s">
        <v>1426</v>
      </c>
    </row>
    <row r="42" spans="1:9" ht="38.25">
      <c r="A42" s="1705"/>
      <c r="B42" s="1714" t="s">
        <v>1438</v>
      </c>
      <c r="C42" s="1715"/>
      <c r="D42" s="1715"/>
      <c r="E42" s="1704" t="s">
        <v>2072</v>
      </c>
      <c r="F42" s="1715"/>
      <c r="G42" s="1715"/>
      <c r="H42" s="1715"/>
      <c r="I42" s="1716"/>
    </row>
    <row r="43" spans="1:9" ht="12.75" customHeight="1">
      <c r="A43" s="1705">
        <v>29</v>
      </c>
      <c r="B43" s="1707" t="s">
        <v>90</v>
      </c>
      <c r="C43" s="1712" t="s">
        <v>91</v>
      </c>
      <c r="D43" s="1705">
        <v>250</v>
      </c>
      <c r="E43" s="2030" t="s">
        <v>1432</v>
      </c>
      <c r="F43" s="1705">
        <v>700</v>
      </c>
      <c r="G43" s="1705"/>
      <c r="H43" s="1705"/>
      <c r="I43" s="1705" t="s">
        <v>1426</v>
      </c>
    </row>
    <row r="44" spans="1:9">
      <c r="A44" s="1705">
        <v>30</v>
      </c>
      <c r="B44" s="1707" t="s">
        <v>73</v>
      </c>
      <c r="C44" s="1712" t="s">
        <v>91</v>
      </c>
      <c r="D44" s="1705">
        <v>250</v>
      </c>
      <c r="E44" s="2030"/>
      <c r="F44" s="1705">
        <v>700</v>
      </c>
      <c r="G44" s="1705"/>
      <c r="H44" s="1705"/>
      <c r="I44" s="1705" t="s">
        <v>1426</v>
      </c>
    </row>
    <row r="45" spans="1:9">
      <c r="A45" s="1705">
        <v>31</v>
      </c>
      <c r="B45" s="1707" t="s">
        <v>85</v>
      </c>
      <c r="C45" s="1712" t="s">
        <v>91</v>
      </c>
      <c r="D45" s="1705">
        <v>250</v>
      </c>
      <c r="E45" s="2030"/>
      <c r="F45" s="1705">
        <v>700</v>
      </c>
      <c r="G45" s="1705"/>
      <c r="H45" s="1705"/>
      <c r="I45" s="1705" t="s">
        <v>1426</v>
      </c>
    </row>
    <row r="46" spans="1:9">
      <c r="A46" s="1705">
        <v>32</v>
      </c>
      <c r="B46" s="1707" t="s">
        <v>92</v>
      </c>
      <c r="C46" s="1712" t="s">
        <v>91</v>
      </c>
      <c r="D46" s="1705">
        <v>250</v>
      </c>
      <c r="E46" s="2030"/>
      <c r="F46" s="1705">
        <v>700</v>
      </c>
      <c r="G46" s="1705"/>
      <c r="H46" s="1705"/>
      <c r="I46" s="1705" t="s">
        <v>1426</v>
      </c>
    </row>
    <row r="47" spans="1:9">
      <c r="A47" s="1705">
        <v>33</v>
      </c>
      <c r="B47" s="1707" t="s">
        <v>83</v>
      </c>
      <c r="C47" s="1712" t="s">
        <v>91</v>
      </c>
      <c r="D47" s="1705">
        <v>250</v>
      </c>
      <c r="E47" s="2030"/>
      <c r="F47" s="1705">
        <v>700</v>
      </c>
      <c r="G47" s="1705"/>
      <c r="H47" s="1705"/>
      <c r="I47" s="1705" t="s">
        <v>1426</v>
      </c>
    </row>
    <row r="48" spans="1:9">
      <c r="A48" s="1705">
        <v>34</v>
      </c>
      <c r="B48" s="1707" t="s">
        <v>745</v>
      </c>
      <c r="C48" s="1712" t="s">
        <v>91</v>
      </c>
      <c r="D48" s="1705">
        <v>250</v>
      </c>
      <c r="E48" s="2030"/>
      <c r="F48" s="1705">
        <v>700</v>
      </c>
      <c r="G48" s="1705"/>
      <c r="H48" s="1705"/>
      <c r="I48" s="1705" t="s">
        <v>1426</v>
      </c>
    </row>
    <row r="49" spans="1:9">
      <c r="A49" s="1705">
        <v>35</v>
      </c>
      <c r="B49" s="1707" t="s">
        <v>1436</v>
      </c>
      <c r="C49" s="1712" t="s">
        <v>91</v>
      </c>
      <c r="D49" s="1717">
        <v>0</v>
      </c>
      <c r="E49" s="1713">
        <v>770</v>
      </c>
      <c r="F49" s="1705">
        <v>700</v>
      </c>
      <c r="G49" s="1705"/>
      <c r="H49" s="1705"/>
      <c r="I49" s="1705" t="s">
        <v>1426</v>
      </c>
    </row>
    <row r="50" spans="1:9">
      <c r="A50" s="1705">
        <v>36</v>
      </c>
      <c r="B50" s="1707" t="s">
        <v>87</v>
      </c>
      <c r="C50" s="1712" t="s">
        <v>91</v>
      </c>
      <c r="D50" s="1705">
        <v>0</v>
      </c>
      <c r="E50" s="1705">
        <v>485</v>
      </c>
      <c r="F50" s="1705">
        <v>0</v>
      </c>
      <c r="G50" s="1705"/>
      <c r="H50" s="1705"/>
      <c r="I50" s="1705" t="s">
        <v>1426</v>
      </c>
    </row>
    <row r="51" spans="1:9">
      <c r="A51" s="1709" t="s">
        <v>1439</v>
      </c>
      <c r="B51" s="1709" t="s">
        <v>1440</v>
      </c>
      <c r="C51" s="1718"/>
      <c r="D51" s="1718"/>
      <c r="E51" s="1718"/>
      <c r="F51" s="1718"/>
      <c r="G51" s="1718"/>
      <c r="H51" s="1718"/>
      <c r="I51" s="1718"/>
    </row>
    <row r="52" spans="1:9">
      <c r="A52" s="1718"/>
      <c r="B52" s="1719" t="s">
        <v>1441</v>
      </c>
      <c r="C52" s="1720" t="s">
        <v>77</v>
      </c>
      <c r="D52" s="1720" t="s">
        <v>91</v>
      </c>
      <c r="E52" s="1718"/>
      <c r="F52" s="1718"/>
      <c r="G52" s="1718"/>
      <c r="H52" s="1718"/>
      <c r="I52" s="1718"/>
    </row>
    <row r="53" spans="1:9">
      <c r="A53" s="1718"/>
      <c r="B53" s="1719" t="s">
        <v>1442</v>
      </c>
      <c r="C53" s="1721" t="s">
        <v>1443</v>
      </c>
      <c r="D53" s="1721" t="s">
        <v>1444</v>
      </c>
      <c r="E53" s="1718"/>
      <c r="F53" s="1718"/>
      <c r="G53" s="1718"/>
      <c r="H53" s="1718"/>
      <c r="I53" s="1718"/>
    </row>
    <row r="54" spans="1:9">
      <c r="A54" s="1718"/>
      <c r="B54" s="1719" t="s">
        <v>1445</v>
      </c>
      <c r="C54" s="1721" t="s">
        <v>1446</v>
      </c>
      <c r="D54" s="1721" t="s">
        <v>1447</v>
      </c>
      <c r="E54" s="1718"/>
      <c r="F54" s="1718"/>
      <c r="G54" s="1718"/>
      <c r="H54" s="1718"/>
      <c r="I54" s="1718"/>
    </row>
    <row r="55" spans="1:9">
      <c r="A55" s="1722"/>
      <c r="B55" s="1723"/>
      <c r="C55" s="1724"/>
      <c r="D55" s="1724"/>
      <c r="E55" s="1723"/>
      <c r="F55" s="1723"/>
      <c r="G55" s="1723"/>
      <c r="H55" s="1723"/>
      <c r="I55" s="1725"/>
    </row>
    <row r="56" spans="1:9" ht="68.25" customHeight="1">
      <c r="A56" s="1726" t="s">
        <v>1448</v>
      </c>
      <c r="B56" s="2024" t="s">
        <v>2052</v>
      </c>
      <c r="C56" s="2024"/>
      <c r="D56" s="2024"/>
      <c r="E56" s="2024"/>
      <c r="F56" s="2024"/>
      <c r="G56" s="2024"/>
      <c r="H56" s="2024"/>
      <c r="I56" s="2024"/>
    </row>
    <row r="57" spans="1:9" ht="18.75" customHeight="1">
      <c r="A57" s="1726" t="s">
        <v>1449</v>
      </c>
      <c r="B57" s="2024" t="s">
        <v>1450</v>
      </c>
      <c r="C57" s="2024"/>
      <c r="D57" s="2024"/>
      <c r="E57" s="2024"/>
      <c r="F57" s="2024"/>
      <c r="G57" s="2024"/>
      <c r="H57" s="2024"/>
      <c r="I57" s="2024"/>
    </row>
    <row r="58" spans="1:9" ht="18.75" customHeight="1">
      <c r="A58" s="1726" t="s">
        <v>1451</v>
      </c>
      <c r="B58" s="2031" t="s">
        <v>1452</v>
      </c>
      <c r="C58" s="2031"/>
      <c r="D58" s="2031"/>
      <c r="E58" s="2031"/>
      <c r="F58" s="2031"/>
      <c r="G58" s="2031"/>
      <c r="H58" s="2031"/>
      <c r="I58" s="2031"/>
    </row>
    <row r="59" spans="1:9" ht="24.75" customHeight="1">
      <c r="A59" s="1726" t="s">
        <v>1453</v>
      </c>
      <c r="B59" s="2024" t="s">
        <v>1454</v>
      </c>
      <c r="C59" s="2024"/>
      <c r="D59" s="2024"/>
      <c r="E59" s="2024"/>
      <c r="F59" s="2024"/>
      <c r="G59" s="2024"/>
      <c r="H59" s="2024"/>
      <c r="I59" s="2024"/>
    </row>
    <row r="60" spans="1:9" ht="111" customHeight="1">
      <c r="A60" s="1726" t="s">
        <v>1455</v>
      </c>
      <c r="B60" s="2024" t="s">
        <v>2443</v>
      </c>
      <c r="C60" s="2024"/>
      <c r="D60" s="2024"/>
      <c r="E60" s="2024"/>
      <c r="F60" s="2024"/>
      <c r="G60" s="2024"/>
      <c r="H60" s="2024"/>
      <c r="I60" s="2024"/>
    </row>
    <row r="61" spans="1:9" ht="66" customHeight="1">
      <c r="A61" s="1726" t="s">
        <v>1456</v>
      </c>
      <c r="B61" s="2024" t="s">
        <v>2444</v>
      </c>
      <c r="C61" s="2024"/>
      <c r="D61" s="2024"/>
      <c r="E61" s="2024"/>
      <c r="F61" s="2024"/>
      <c r="G61" s="2024"/>
      <c r="H61" s="2024"/>
      <c r="I61" s="2024"/>
    </row>
    <row r="62" spans="1:9" ht="70.5" customHeight="1">
      <c r="A62" s="1726" t="s">
        <v>2062</v>
      </c>
      <c r="B62" s="2024" t="s">
        <v>2053</v>
      </c>
      <c r="C62" s="2024"/>
      <c r="D62" s="2024"/>
      <c r="E62" s="2024"/>
      <c r="F62" s="2024"/>
      <c r="G62" s="2024"/>
      <c r="H62" s="2024"/>
      <c r="I62" s="2024"/>
    </row>
    <row r="63" spans="1:9" ht="30.95" customHeight="1">
      <c r="A63" s="1726" t="s">
        <v>2063</v>
      </c>
      <c r="B63" s="2031" t="s">
        <v>2054</v>
      </c>
      <c r="C63" s="2031"/>
      <c r="D63" s="2031"/>
      <c r="E63" s="2031"/>
      <c r="F63" s="2031"/>
      <c r="G63" s="2031"/>
      <c r="H63" s="2031"/>
      <c r="I63" s="2031"/>
    </row>
    <row r="64" spans="1:9" ht="81.599999999999994" customHeight="1">
      <c r="A64" s="1726" t="s">
        <v>1458</v>
      </c>
      <c r="B64" s="2031" t="s">
        <v>2055</v>
      </c>
      <c r="C64" s="2031"/>
      <c r="D64" s="2031"/>
      <c r="E64" s="2031"/>
      <c r="F64" s="2031"/>
      <c r="G64" s="2031"/>
      <c r="H64" s="2031"/>
      <c r="I64" s="2031"/>
    </row>
    <row r="65" spans="1:9" ht="21.95" customHeight="1">
      <c r="A65" s="1726" t="s">
        <v>1460</v>
      </c>
      <c r="B65" s="2024" t="s">
        <v>1457</v>
      </c>
      <c r="C65" s="2024"/>
      <c r="D65" s="2024"/>
      <c r="E65" s="2024"/>
      <c r="F65" s="2024"/>
      <c r="G65" s="2024"/>
      <c r="H65" s="2024"/>
      <c r="I65" s="2024"/>
    </row>
    <row r="66" spans="1:9" ht="55.5" customHeight="1">
      <c r="A66" s="1726" t="s">
        <v>1462</v>
      </c>
      <c r="B66" s="2024" t="s">
        <v>1459</v>
      </c>
      <c r="C66" s="2024"/>
      <c r="D66" s="2024"/>
      <c r="E66" s="2024"/>
      <c r="F66" s="2024"/>
      <c r="G66" s="2024"/>
      <c r="H66" s="2024"/>
      <c r="I66" s="2024"/>
    </row>
    <row r="67" spans="1:9" ht="39" customHeight="1">
      <c r="A67" s="1726" t="s">
        <v>2064</v>
      </c>
      <c r="B67" s="2024" t="s">
        <v>1461</v>
      </c>
      <c r="C67" s="2024"/>
      <c r="D67" s="2024"/>
      <c r="E67" s="2024"/>
      <c r="F67" s="2024"/>
      <c r="G67" s="2024"/>
      <c r="H67" s="2024"/>
      <c r="I67" s="2024"/>
    </row>
    <row r="68" spans="1:9" ht="33" customHeight="1">
      <c r="A68" s="1726" t="s">
        <v>2065</v>
      </c>
      <c r="B68" s="2031" t="s">
        <v>1463</v>
      </c>
      <c r="C68" s="2031"/>
      <c r="D68" s="2031"/>
      <c r="E68" s="2031"/>
      <c r="F68" s="2031"/>
      <c r="G68" s="2031"/>
      <c r="H68" s="2031"/>
      <c r="I68" s="2031"/>
    </row>
    <row r="69" spans="1:9" ht="43.5" customHeight="1">
      <c r="A69" s="1726" t="s">
        <v>1466</v>
      </c>
      <c r="B69" s="2024" t="s">
        <v>1464</v>
      </c>
      <c r="C69" s="2024"/>
      <c r="D69" s="2024"/>
      <c r="E69" s="2024"/>
      <c r="F69" s="2024"/>
      <c r="G69" s="2024"/>
      <c r="H69" s="2024"/>
      <c r="I69" s="2024"/>
    </row>
    <row r="70" spans="1:9" ht="38.450000000000003" customHeight="1">
      <c r="A70" s="1726" t="s">
        <v>1468</v>
      </c>
      <c r="B70" s="2031" t="s">
        <v>1465</v>
      </c>
      <c r="C70" s="2031"/>
      <c r="D70" s="2031"/>
      <c r="E70" s="2031"/>
      <c r="F70" s="2031"/>
      <c r="G70" s="2031"/>
      <c r="H70" s="2031"/>
      <c r="I70" s="2031"/>
    </row>
    <row r="71" spans="1:9" ht="26.45" customHeight="1">
      <c r="A71" s="1726" t="s">
        <v>1470</v>
      </c>
      <c r="B71" s="2024" t="s">
        <v>1467</v>
      </c>
      <c r="C71" s="2024"/>
      <c r="D71" s="2024"/>
      <c r="E71" s="2024"/>
      <c r="F71" s="2024"/>
      <c r="G71" s="2024"/>
      <c r="H71" s="2024"/>
      <c r="I71" s="2024"/>
    </row>
    <row r="72" spans="1:9" ht="41.1" customHeight="1">
      <c r="A72" s="1726" t="s">
        <v>1472</v>
      </c>
      <c r="B72" s="2024" t="s">
        <v>1469</v>
      </c>
      <c r="C72" s="2024"/>
      <c r="D72" s="2024"/>
      <c r="E72" s="2024"/>
      <c r="F72" s="2024"/>
      <c r="G72" s="2024"/>
      <c r="H72" s="2024"/>
      <c r="I72" s="2024"/>
    </row>
    <row r="73" spans="1:9" ht="56.45" customHeight="1">
      <c r="A73" s="1726" t="s">
        <v>1474</v>
      </c>
      <c r="B73" s="2024" t="s">
        <v>1471</v>
      </c>
      <c r="C73" s="2024"/>
      <c r="D73" s="2024"/>
      <c r="E73" s="2024"/>
      <c r="F73" s="2024"/>
      <c r="G73" s="2024"/>
      <c r="H73" s="2024"/>
      <c r="I73" s="2024"/>
    </row>
    <row r="74" spans="1:9" ht="59.45" customHeight="1">
      <c r="A74" s="1726" t="s">
        <v>1476</v>
      </c>
      <c r="B74" s="2024" t="s">
        <v>1473</v>
      </c>
      <c r="C74" s="2024"/>
      <c r="D74" s="2024"/>
      <c r="E74" s="2024"/>
      <c r="F74" s="2024"/>
      <c r="G74" s="2024"/>
      <c r="H74" s="2024"/>
      <c r="I74" s="2024"/>
    </row>
    <row r="75" spans="1:9" ht="76.5" customHeight="1">
      <c r="A75" s="1726" t="s">
        <v>2066</v>
      </c>
      <c r="B75" s="2024" t="s">
        <v>1475</v>
      </c>
      <c r="C75" s="2024"/>
      <c r="D75" s="2024"/>
      <c r="E75" s="2024"/>
      <c r="F75" s="2024"/>
      <c r="G75" s="2024"/>
      <c r="H75" s="2024"/>
      <c r="I75" s="2024"/>
    </row>
    <row r="76" spans="1:9" ht="45" customHeight="1">
      <c r="A76" s="1726" t="s">
        <v>2067</v>
      </c>
      <c r="B76" s="2024" t="s">
        <v>1477</v>
      </c>
      <c r="C76" s="2024"/>
      <c r="D76" s="2024"/>
      <c r="E76" s="2024"/>
      <c r="F76" s="2024"/>
      <c r="G76" s="2024"/>
      <c r="H76" s="2024"/>
      <c r="I76" s="2024"/>
    </row>
    <row r="77" spans="1:9" ht="78" customHeight="1">
      <c r="A77" s="1726" t="s">
        <v>1479</v>
      </c>
      <c r="B77" s="2024" t="s">
        <v>1478</v>
      </c>
      <c r="C77" s="2024"/>
      <c r="D77" s="2024"/>
      <c r="E77" s="2024"/>
      <c r="F77" s="2024"/>
      <c r="G77" s="2024"/>
      <c r="H77" s="2024"/>
      <c r="I77" s="2024"/>
    </row>
    <row r="78" spans="1:9" ht="34.5" customHeight="1">
      <c r="A78" s="1726" t="s">
        <v>1480</v>
      </c>
      <c r="B78" s="2024" t="s">
        <v>2056</v>
      </c>
      <c r="C78" s="2024"/>
      <c r="D78" s="2024"/>
      <c r="E78" s="2024"/>
      <c r="F78" s="2024"/>
      <c r="G78" s="2024"/>
      <c r="H78" s="2024"/>
      <c r="I78" s="2024"/>
    </row>
    <row r="79" spans="1:9" ht="36" customHeight="1">
      <c r="A79" s="1726" t="s">
        <v>1482</v>
      </c>
      <c r="B79" s="2024" t="s">
        <v>2057</v>
      </c>
      <c r="C79" s="2024"/>
      <c r="D79" s="2024"/>
      <c r="E79" s="2024"/>
      <c r="F79" s="2024"/>
      <c r="G79" s="2024"/>
      <c r="H79" s="2024"/>
      <c r="I79" s="2024"/>
    </row>
    <row r="80" spans="1:9" ht="18.75" customHeight="1">
      <c r="A80" s="1726" t="s">
        <v>1483</v>
      </c>
      <c r="B80" s="2024" t="s">
        <v>1481</v>
      </c>
      <c r="C80" s="2024"/>
      <c r="D80" s="2024"/>
      <c r="E80" s="2024"/>
      <c r="F80" s="2024"/>
      <c r="G80" s="2024"/>
      <c r="H80" s="2024"/>
      <c r="I80" s="2024"/>
    </row>
    <row r="81" spans="1:9" ht="42" customHeight="1">
      <c r="A81" s="1726" t="s">
        <v>1485</v>
      </c>
      <c r="B81" s="2024" t="s">
        <v>1484</v>
      </c>
      <c r="C81" s="2024"/>
      <c r="D81" s="2024"/>
      <c r="E81" s="2024"/>
      <c r="F81" s="2024"/>
      <c r="G81" s="2024"/>
      <c r="H81" s="2024"/>
      <c r="I81" s="2024"/>
    </row>
    <row r="82" spans="1:9" ht="30" customHeight="1">
      <c r="A82" s="1726" t="s">
        <v>1487</v>
      </c>
      <c r="B82" s="2024" t="s">
        <v>1486</v>
      </c>
      <c r="C82" s="2024"/>
      <c r="D82" s="2024"/>
      <c r="E82" s="2024"/>
      <c r="F82" s="2024"/>
      <c r="G82" s="2024"/>
      <c r="H82" s="2024"/>
      <c r="I82" s="2024"/>
    </row>
    <row r="83" spans="1:9" ht="58.5" customHeight="1">
      <c r="A83" s="1726" t="s">
        <v>1489</v>
      </c>
      <c r="B83" s="2024" t="s">
        <v>2058</v>
      </c>
      <c r="C83" s="2024"/>
      <c r="D83" s="2024"/>
      <c r="E83" s="2024"/>
      <c r="F83" s="2024"/>
      <c r="G83" s="2024"/>
      <c r="H83" s="2024"/>
      <c r="I83" s="2024"/>
    </row>
    <row r="84" spans="1:9" ht="27.95" customHeight="1">
      <c r="A84" s="1726" t="s">
        <v>2068</v>
      </c>
      <c r="B84" s="2024" t="s">
        <v>1488</v>
      </c>
      <c r="C84" s="2024"/>
      <c r="D84" s="2024"/>
      <c r="E84" s="2024"/>
      <c r="F84" s="2024"/>
      <c r="G84" s="2024"/>
      <c r="H84" s="2024"/>
      <c r="I84" s="2024"/>
    </row>
    <row r="85" spans="1:9" ht="42.6" customHeight="1">
      <c r="A85" s="1726" t="s">
        <v>2069</v>
      </c>
      <c r="B85" s="2024" t="s">
        <v>2059</v>
      </c>
      <c r="C85" s="2024"/>
      <c r="D85" s="2024"/>
      <c r="E85" s="2024"/>
      <c r="F85" s="2024"/>
      <c r="G85" s="2024"/>
      <c r="H85" s="2024"/>
      <c r="I85" s="2024"/>
    </row>
    <row r="86" spans="1:9" ht="49.5" customHeight="1">
      <c r="A86" s="1726" t="s">
        <v>2070</v>
      </c>
      <c r="B86" s="2024" t="s">
        <v>2060</v>
      </c>
      <c r="C86" s="2025"/>
      <c r="D86" s="2025"/>
      <c r="E86" s="2025"/>
      <c r="F86" s="2025"/>
      <c r="G86" s="2025"/>
      <c r="H86" s="2025"/>
      <c r="I86" s="2025"/>
    </row>
    <row r="87" spans="1:9" ht="36.950000000000003" customHeight="1">
      <c r="A87" s="1726" t="s">
        <v>2071</v>
      </c>
      <c r="B87" s="2024" t="s">
        <v>2061</v>
      </c>
      <c r="C87" s="2025"/>
      <c r="D87" s="2025"/>
      <c r="E87" s="2025"/>
      <c r="F87" s="2025"/>
      <c r="G87" s="2025"/>
      <c r="H87" s="2025"/>
      <c r="I87" s="2025"/>
    </row>
  </sheetData>
  <mergeCells count="36">
    <mergeCell ref="B80:I80"/>
    <mergeCell ref="B81:I81"/>
    <mergeCell ref="B82:I82"/>
    <mergeCell ref="B83:I83"/>
    <mergeCell ref="B84:I84"/>
    <mergeCell ref="B64:I64"/>
    <mergeCell ref="B65:I65"/>
    <mergeCell ref="B79:I79"/>
    <mergeCell ref="B67:I67"/>
    <mergeCell ref="B69:I69"/>
    <mergeCell ref="B70:I70"/>
    <mergeCell ref="B71:I71"/>
    <mergeCell ref="B72:I72"/>
    <mergeCell ref="B73:I73"/>
    <mergeCell ref="B74:I74"/>
    <mergeCell ref="B75:I75"/>
    <mergeCell ref="B76:I76"/>
    <mergeCell ref="B77:I77"/>
    <mergeCell ref="B78:I78"/>
    <mergeCell ref="B68:I68"/>
    <mergeCell ref="B85:I85"/>
    <mergeCell ref="B86:I86"/>
    <mergeCell ref="B87:I87"/>
    <mergeCell ref="A1:I1"/>
    <mergeCell ref="D5:F5"/>
    <mergeCell ref="E31:E39"/>
    <mergeCell ref="B66:I66"/>
    <mergeCell ref="E43:E48"/>
    <mergeCell ref="B56:I56"/>
    <mergeCell ref="B57:I57"/>
    <mergeCell ref="B58:I58"/>
    <mergeCell ref="B59:I59"/>
    <mergeCell ref="B60:I60"/>
    <mergeCell ref="B61:I61"/>
    <mergeCell ref="B62:I62"/>
    <mergeCell ref="B63:I63"/>
  </mergeCells>
  <printOptions horizontalCentered="1"/>
  <pageMargins left="0" right="0" top="0.78740157480314965" bottom="0" header="0.31496062992125984" footer="0.51181102362204722"/>
  <pageSetup paperSize="9" scale="86" orientation="portrait" r:id="rId1"/>
  <headerFooter alignWithMargins="0"/>
  <rowBreaks count="2" manualBreakCount="2">
    <brk id="55" max="8" man="1"/>
    <brk id="71"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0FEA5B-1337-4D0C-8426-3A5A28D870C4}">
  <dimension ref="A1:S61"/>
  <sheetViews>
    <sheetView view="pageBreakPreview" topLeftCell="A9" zoomScale="70" zoomScaleNormal="75" zoomScaleSheetLayoutView="70" workbookViewId="0">
      <selection activeCell="H21" sqref="H21"/>
    </sheetView>
  </sheetViews>
  <sheetFormatPr defaultColWidth="14.7109375" defaultRowHeight="15"/>
  <cols>
    <col min="1" max="1" width="25.7109375" style="541" customWidth="1"/>
    <col min="2" max="2" width="15.5703125" style="541" customWidth="1"/>
    <col min="3" max="4" width="17.42578125" style="541" customWidth="1"/>
    <col min="5" max="5" width="14.5703125" style="541" customWidth="1"/>
    <col min="6" max="8" width="17.42578125" style="541" customWidth="1"/>
    <col min="9" max="10" width="16" style="541" customWidth="1"/>
    <col min="11" max="11" width="14.85546875" style="541" customWidth="1"/>
    <col min="12" max="12" width="13" style="541" customWidth="1"/>
    <col min="13" max="13" width="13.7109375" style="541" customWidth="1"/>
    <col min="14" max="15" width="14.7109375" style="541"/>
    <col min="16" max="16" width="20.140625" style="541" bestFit="1" customWidth="1"/>
    <col min="17" max="256" width="14.7109375" style="541"/>
    <col min="257" max="257" width="25.7109375" style="541" customWidth="1"/>
    <col min="258" max="258" width="15.5703125" style="541" customWidth="1"/>
    <col min="259" max="260" width="17.42578125" style="541" customWidth="1"/>
    <col min="261" max="261" width="14.5703125" style="541" customWidth="1"/>
    <col min="262" max="264" width="17.42578125" style="541" customWidth="1"/>
    <col min="265" max="266" width="16" style="541" customWidth="1"/>
    <col min="267" max="267" width="14.85546875" style="541" customWidth="1"/>
    <col min="268" max="268" width="13" style="541" customWidth="1"/>
    <col min="269" max="269" width="13.7109375" style="541" customWidth="1"/>
    <col min="270" max="512" width="14.7109375" style="541"/>
    <col min="513" max="513" width="25.7109375" style="541" customWidth="1"/>
    <col min="514" max="514" width="15.5703125" style="541" customWidth="1"/>
    <col min="515" max="516" width="17.42578125" style="541" customWidth="1"/>
    <col min="517" max="517" width="14.5703125" style="541" customWidth="1"/>
    <col min="518" max="520" width="17.42578125" style="541" customWidth="1"/>
    <col min="521" max="522" width="16" style="541" customWidth="1"/>
    <col min="523" max="523" width="14.85546875" style="541" customWidth="1"/>
    <col min="524" max="524" width="13" style="541" customWidth="1"/>
    <col min="525" max="525" width="13.7109375" style="541" customWidth="1"/>
    <col min="526" max="768" width="14.7109375" style="541"/>
    <col min="769" max="769" width="25.7109375" style="541" customWidth="1"/>
    <col min="770" max="770" width="15.5703125" style="541" customWidth="1"/>
    <col min="771" max="772" width="17.42578125" style="541" customWidth="1"/>
    <col min="773" max="773" width="14.5703125" style="541" customWidth="1"/>
    <col min="774" max="776" width="17.42578125" style="541" customWidth="1"/>
    <col min="777" max="778" width="16" style="541" customWidth="1"/>
    <col min="779" max="779" width="14.85546875" style="541" customWidth="1"/>
    <col min="780" max="780" width="13" style="541" customWidth="1"/>
    <col min="781" max="781" width="13.7109375" style="541" customWidth="1"/>
    <col min="782" max="1024" width="14.7109375" style="541"/>
    <col min="1025" max="1025" width="25.7109375" style="541" customWidth="1"/>
    <col min="1026" max="1026" width="15.5703125" style="541" customWidth="1"/>
    <col min="1027" max="1028" width="17.42578125" style="541" customWidth="1"/>
    <col min="1029" max="1029" width="14.5703125" style="541" customWidth="1"/>
    <col min="1030" max="1032" width="17.42578125" style="541" customWidth="1"/>
    <col min="1033" max="1034" width="16" style="541" customWidth="1"/>
    <col min="1035" max="1035" width="14.85546875" style="541" customWidth="1"/>
    <col min="1036" max="1036" width="13" style="541" customWidth="1"/>
    <col min="1037" max="1037" width="13.7109375" style="541" customWidth="1"/>
    <col min="1038" max="1280" width="14.7109375" style="541"/>
    <col min="1281" max="1281" width="25.7109375" style="541" customWidth="1"/>
    <col min="1282" max="1282" width="15.5703125" style="541" customWidth="1"/>
    <col min="1283" max="1284" width="17.42578125" style="541" customWidth="1"/>
    <col min="1285" max="1285" width="14.5703125" style="541" customWidth="1"/>
    <col min="1286" max="1288" width="17.42578125" style="541" customWidth="1"/>
    <col min="1289" max="1290" width="16" style="541" customWidth="1"/>
    <col min="1291" max="1291" width="14.85546875" style="541" customWidth="1"/>
    <col min="1292" max="1292" width="13" style="541" customWidth="1"/>
    <col min="1293" max="1293" width="13.7109375" style="541" customWidth="1"/>
    <col min="1294" max="1536" width="14.7109375" style="541"/>
    <col min="1537" max="1537" width="25.7109375" style="541" customWidth="1"/>
    <col min="1538" max="1538" width="15.5703125" style="541" customWidth="1"/>
    <col min="1539" max="1540" width="17.42578125" style="541" customWidth="1"/>
    <col min="1541" max="1541" width="14.5703125" style="541" customWidth="1"/>
    <col min="1542" max="1544" width="17.42578125" style="541" customWidth="1"/>
    <col min="1545" max="1546" width="16" style="541" customWidth="1"/>
    <col min="1547" max="1547" width="14.85546875" style="541" customWidth="1"/>
    <col min="1548" max="1548" width="13" style="541" customWidth="1"/>
    <col min="1549" max="1549" width="13.7109375" style="541" customWidth="1"/>
    <col min="1550" max="1792" width="14.7109375" style="541"/>
    <col min="1793" max="1793" width="25.7109375" style="541" customWidth="1"/>
    <col min="1794" max="1794" width="15.5703125" style="541" customWidth="1"/>
    <col min="1795" max="1796" width="17.42578125" style="541" customWidth="1"/>
    <col min="1797" max="1797" width="14.5703125" style="541" customWidth="1"/>
    <col min="1798" max="1800" width="17.42578125" style="541" customWidth="1"/>
    <col min="1801" max="1802" width="16" style="541" customWidth="1"/>
    <col min="1803" max="1803" width="14.85546875" style="541" customWidth="1"/>
    <col min="1804" max="1804" width="13" style="541" customWidth="1"/>
    <col min="1805" max="1805" width="13.7109375" style="541" customWidth="1"/>
    <col min="1806" max="2048" width="14.7109375" style="541"/>
    <col min="2049" max="2049" width="25.7109375" style="541" customWidth="1"/>
    <col min="2050" max="2050" width="15.5703125" style="541" customWidth="1"/>
    <col min="2051" max="2052" width="17.42578125" style="541" customWidth="1"/>
    <col min="2053" max="2053" width="14.5703125" style="541" customWidth="1"/>
    <col min="2054" max="2056" width="17.42578125" style="541" customWidth="1"/>
    <col min="2057" max="2058" width="16" style="541" customWidth="1"/>
    <col min="2059" max="2059" width="14.85546875" style="541" customWidth="1"/>
    <col min="2060" max="2060" width="13" style="541" customWidth="1"/>
    <col min="2061" max="2061" width="13.7109375" style="541" customWidth="1"/>
    <col min="2062" max="2304" width="14.7109375" style="541"/>
    <col min="2305" max="2305" width="25.7109375" style="541" customWidth="1"/>
    <col min="2306" max="2306" width="15.5703125" style="541" customWidth="1"/>
    <col min="2307" max="2308" width="17.42578125" style="541" customWidth="1"/>
    <col min="2309" max="2309" width="14.5703125" style="541" customWidth="1"/>
    <col min="2310" max="2312" width="17.42578125" style="541" customWidth="1"/>
    <col min="2313" max="2314" width="16" style="541" customWidth="1"/>
    <col min="2315" max="2315" width="14.85546875" style="541" customWidth="1"/>
    <col min="2316" max="2316" width="13" style="541" customWidth="1"/>
    <col min="2317" max="2317" width="13.7109375" style="541" customWidth="1"/>
    <col min="2318" max="2560" width="14.7109375" style="541"/>
    <col min="2561" max="2561" width="25.7109375" style="541" customWidth="1"/>
    <col min="2562" max="2562" width="15.5703125" style="541" customWidth="1"/>
    <col min="2563" max="2564" width="17.42578125" style="541" customWidth="1"/>
    <col min="2565" max="2565" width="14.5703125" style="541" customWidth="1"/>
    <col min="2566" max="2568" width="17.42578125" style="541" customWidth="1"/>
    <col min="2569" max="2570" width="16" style="541" customWidth="1"/>
    <col min="2571" max="2571" width="14.85546875" style="541" customWidth="1"/>
    <col min="2572" max="2572" width="13" style="541" customWidth="1"/>
    <col min="2573" max="2573" width="13.7109375" style="541" customWidth="1"/>
    <col min="2574" max="2816" width="14.7109375" style="541"/>
    <col min="2817" max="2817" width="25.7109375" style="541" customWidth="1"/>
    <col min="2818" max="2818" width="15.5703125" style="541" customWidth="1"/>
    <col min="2819" max="2820" width="17.42578125" style="541" customWidth="1"/>
    <col min="2821" max="2821" width="14.5703125" style="541" customWidth="1"/>
    <col min="2822" max="2824" width="17.42578125" style="541" customWidth="1"/>
    <col min="2825" max="2826" width="16" style="541" customWidth="1"/>
    <col min="2827" max="2827" width="14.85546875" style="541" customWidth="1"/>
    <col min="2828" max="2828" width="13" style="541" customWidth="1"/>
    <col min="2829" max="2829" width="13.7109375" style="541" customWidth="1"/>
    <col min="2830" max="3072" width="14.7109375" style="541"/>
    <col min="3073" max="3073" width="25.7109375" style="541" customWidth="1"/>
    <col min="3074" max="3074" width="15.5703125" style="541" customWidth="1"/>
    <col min="3075" max="3076" width="17.42578125" style="541" customWidth="1"/>
    <col min="3077" max="3077" width="14.5703125" style="541" customWidth="1"/>
    <col min="3078" max="3080" width="17.42578125" style="541" customWidth="1"/>
    <col min="3081" max="3082" width="16" style="541" customWidth="1"/>
    <col min="3083" max="3083" width="14.85546875" style="541" customWidth="1"/>
    <col min="3084" max="3084" width="13" style="541" customWidth="1"/>
    <col min="3085" max="3085" width="13.7109375" style="541" customWidth="1"/>
    <col min="3086" max="3328" width="14.7109375" style="541"/>
    <col min="3329" max="3329" width="25.7109375" style="541" customWidth="1"/>
    <col min="3330" max="3330" width="15.5703125" style="541" customWidth="1"/>
    <col min="3331" max="3332" width="17.42578125" style="541" customWidth="1"/>
    <col min="3333" max="3333" width="14.5703125" style="541" customWidth="1"/>
    <col min="3334" max="3336" width="17.42578125" style="541" customWidth="1"/>
    <col min="3337" max="3338" width="16" style="541" customWidth="1"/>
    <col min="3339" max="3339" width="14.85546875" style="541" customWidth="1"/>
    <col min="3340" max="3340" width="13" style="541" customWidth="1"/>
    <col min="3341" max="3341" width="13.7109375" style="541" customWidth="1"/>
    <col min="3342" max="3584" width="14.7109375" style="541"/>
    <col min="3585" max="3585" width="25.7109375" style="541" customWidth="1"/>
    <col min="3586" max="3586" width="15.5703125" style="541" customWidth="1"/>
    <col min="3587" max="3588" width="17.42578125" style="541" customWidth="1"/>
    <col min="3589" max="3589" width="14.5703125" style="541" customWidth="1"/>
    <col min="3590" max="3592" width="17.42578125" style="541" customWidth="1"/>
    <col min="3593" max="3594" width="16" style="541" customWidth="1"/>
    <col min="3595" max="3595" width="14.85546875" style="541" customWidth="1"/>
    <col min="3596" max="3596" width="13" style="541" customWidth="1"/>
    <col min="3597" max="3597" width="13.7109375" style="541" customWidth="1"/>
    <col min="3598" max="3840" width="14.7109375" style="541"/>
    <col min="3841" max="3841" width="25.7109375" style="541" customWidth="1"/>
    <col min="3842" max="3842" width="15.5703125" style="541" customWidth="1"/>
    <col min="3843" max="3844" width="17.42578125" style="541" customWidth="1"/>
    <col min="3845" max="3845" width="14.5703125" style="541" customWidth="1"/>
    <col min="3846" max="3848" width="17.42578125" style="541" customWidth="1"/>
    <col min="3849" max="3850" width="16" style="541" customWidth="1"/>
    <col min="3851" max="3851" width="14.85546875" style="541" customWidth="1"/>
    <col min="3852" max="3852" width="13" style="541" customWidth="1"/>
    <col min="3853" max="3853" width="13.7109375" style="541" customWidth="1"/>
    <col min="3854" max="4096" width="14.7109375" style="541"/>
    <col min="4097" max="4097" width="25.7109375" style="541" customWidth="1"/>
    <col min="4098" max="4098" width="15.5703125" style="541" customWidth="1"/>
    <col min="4099" max="4100" width="17.42578125" style="541" customWidth="1"/>
    <col min="4101" max="4101" width="14.5703125" style="541" customWidth="1"/>
    <col min="4102" max="4104" width="17.42578125" style="541" customWidth="1"/>
    <col min="4105" max="4106" width="16" style="541" customWidth="1"/>
    <col min="4107" max="4107" width="14.85546875" style="541" customWidth="1"/>
    <col min="4108" max="4108" width="13" style="541" customWidth="1"/>
    <col min="4109" max="4109" width="13.7109375" style="541" customWidth="1"/>
    <col min="4110" max="4352" width="14.7109375" style="541"/>
    <col min="4353" max="4353" width="25.7109375" style="541" customWidth="1"/>
    <col min="4354" max="4354" width="15.5703125" style="541" customWidth="1"/>
    <col min="4355" max="4356" width="17.42578125" style="541" customWidth="1"/>
    <col min="4357" max="4357" width="14.5703125" style="541" customWidth="1"/>
    <col min="4358" max="4360" width="17.42578125" style="541" customWidth="1"/>
    <col min="4361" max="4362" width="16" style="541" customWidth="1"/>
    <col min="4363" max="4363" width="14.85546875" style="541" customWidth="1"/>
    <col min="4364" max="4364" width="13" style="541" customWidth="1"/>
    <col min="4365" max="4365" width="13.7109375" style="541" customWidth="1"/>
    <col min="4366" max="4608" width="14.7109375" style="541"/>
    <col min="4609" max="4609" width="25.7109375" style="541" customWidth="1"/>
    <col min="4610" max="4610" width="15.5703125" style="541" customWidth="1"/>
    <col min="4611" max="4612" width="17.42578125" style="541" customWidth="1"/>
    <col min="4613" max="4613" width="14.5703125" style="541" customWidth="1"/>
    <col min="4614" max="4616" width="17.42578125" style="541" customWidth="1"/>
    <col min="4617" max="4618" width="16" style="541" customWidth="1"/>
    <col min="4619" max="4619" width="14.85546875" style="541" customWidth="1"/>
    <col min="4620" max="4620" width="13" style="541" customWidth="1"/>
    <col min="4621" max="4621" width="13.7109375" style="541" customWidth="1"/>
    <col min="4622" max="4864" width="14.7109375" style="541"/>
    <col min="4865" max="4865" width="25.7109375" style="541" customWidth="1"/>
    <col min="4866" max="4866" width="15.5703125" style="541" customWidth="1"/>
    <col min="4867" max="4868" width="17.42578125" style="541" customWidth="1"/>
    <col min="4869" max="4869" width="14.5703125" style="541" customWidth="1"/>
    <col min="4870" max="4872" width="17.42578125" style="541" customWidth="1"/>
    <col min="4873" max="4874" width="16" style="541" customWidth="1"/>
    <col min="4875" max="4875" width="14.85546875" style="541" customWidth="1"/>
    <col min="4876" max="4876" width="13" style="541" customWidth="1"/>
    <col min="4877" max="4877" width="13.7109375" style="541" customWidth="1"/>
    <col min="4878" max="5120" width="14.7109375" style="541"/>
    <col min="5121" max="5121" width="25.7109375" style="541" customWidth="1"/>
    <col min="5122" max="5122" width="15.5703125" style="541" customWidth="1"/>
    <col min="5123" max="5124" width="17.42578125" style="541" customWidth="1"/>
    <col min="5125" max="5125" width="14.5703125" style="541" customWidth="1"/>
    <col min="5126" max="5128" width="17.42578125" style="541" customWidth="1"/>
    <col min="5129" max="5130" width="16" style="541" customWidth="1"/>
    <col min="5131" max="5131" width="14.85546875" style="541" customWidth="1"/>
    <col min="5132" max="5132" width="13" style="541" customWidth="1"/>
    <col min="5133" max="5133" width="13.7109375" style="541" customWidth="1"/>
    <col min="5134" max="5376" width="14.7109375" style="541"/>
    <col min="5377" max="5377" width="25.7109375" style="541" customWidth="1"/>
    <col min="5378" max="5378" width="15.5703125" style="541" customWidth="1"/>
    <col min="5379" max="5380" width="17.42578125" style="541" customWidth="1"/>
    <col min="5381" max="5381" width="14.5703125" style="541" customWidth="1"/>
    <col min="5382" max="5384" width="17.42578125" style="541" customWidth="1"/>
    <col min="5385" max="5386" width="16" style="541" customWidth="1"/>
    <col min="5387" max="5387" width="14.85546875" style="541" customWidth="1"/>
    <col min="5388" max="5388" width="13" style="541" customWidth="1"/>
    <col min="5389" max="5389" width="13.7109375" style="541" customWidth="1"/>
    <col min="5390" max="5632" width="14.7109375" style="541"/>
    <col min="5633" max="5633" width="25.7109375" style="541" customWidth="1"/>
    <col min="5634" max="5634" width="15.5703125" style="541" customWidth="1"/>
    <col min="5635" max="5636" width="17.42578125" style="541" customWidth="1"/>
    <col min="5637" max="5637" width="14.5703125" style="541" customWidth="1"/>
    <col min="5638" max="5640" width="17.42578125" style="541" customWidth="1"/>
    <col min="5641" max="5642" width="16" style="541" customWidth="1"/>
    <col min="5643" max="5643" width="14.85546875" style="541" customWidth="1"/>
    <col min="5644" max="5644" width="13" style="541" customWidth="1"/>
    <col min="5645" max="5645" width="13.7109375" style="541" customWidth="1"/>
    <col min="5646" max="5888" width="14.7109375" style="541"/>
    <col min="5889" max="5889" width="25.7109375" style="541" customWidth="1"/>
    <col min="5890" max="5890" width="15.5703125" style="541" customWidth="1"/>
    <col min="5891" max="5892" width="17.42578125" style="541" customWidth="1"/>
    <col min="5893" max="5893" width="14.5703125" style="541" customWidth="1"/>
    <col min="5894" max="5896" width="17.42578125" style="541" customWidth="1"/>
    <col min="5897" max="5898" width="16" style="541" customWidth="1"/>
    <col min="5899" max="5899" width="14.85546875" style="541" customWidth="1"/>
    <col min="5900" max="5900" width="13" style="541" customWidth="1"/>
    <col min="5901" max="5901" width="13.7109375" style="541" customWidth="1"/>
    <col min="5902" max="6144" width="14.7109375" style="541"/>
    <col min="6145" max="6145" width="25.7109375" style="541" customWidth="1"/>
    <col min="6146" max="6146" width="15.5703125" style="541" customWidth="1"/>
    <col min="6147" max="6148" width="17.42578125" style="541" customWidth="1"/>
    <col min="6149" max="6149" width="14.5703125" style="541" customWidth="1"/>
    <col min="6150" max="6152" width="17.42578125" style="541" customWidth="1"/>
    <col min="6153" max="6154" width="16" style="541" customWidth="1"/>
    <col min="6155" max="6155" width="14.85546875" style="541" customWidth="1"/>
    <col min="6156" max="6156" width="13" style="541" customWidth="1"/>
    <col min="6157" max="6157" width="13.7109375" style="541" customWidth="1"/>
    <col min="6158" max="6400" width="14.7109375" style="541"/>
    <col min="6401" max="6401" width="25.7109375" style="541" customWidth="1"/>
    <col min="6402" max="6402" width="15.5703125" style="541" customWidth="1"/>
    <col min="6403" max="6404" width="17.42578125" style="541" customWidth="1"/>
    <col min="6405" max="6405" width="14.5703125" style="541" customWidth="1"/>
    <col min="6406" max="6408" width="17.42578125" style="541" customWidth="1"/>
    <col min="6409" max="6410" width="16" style="541" customWidth="1"/>
    <col min="6411" max="6411" width="14.85546875" style="541" customWidth="1"/>
    <col min="6412" max="6412" width="13" style="541" customWidth="1"/>
    <col min="6413" max="6413" width="13.7109375" style="541" customWidth="1"/>
    <col min="6414" max="6656" width="14.7109375" style="541"/>
    <col min="6657" max="6657" width="25.7109375" style="541" customWidth="1"/>
    <col min="6658" max="6658" width="15.5703125" style="541" customWidth="1"/>
    <col min="6659" max="6660" width="17.42578125" style="541" customWidth="1"/>
    <col min="6661" max="6661" width="14.5703125" style="541" customWidth="1"/>
    <col min="6662" max="6664" width="17.42578125" style="541" customWidth="1"/>
    <col min="6665" max="6666" width="16" style="541" customWidth="1"/>
    <col min="6667" max="6667" width="14.85546875" style="541" customWidth="1"/>
    <col min="6668" max="6668" width="13" style="541" customWidth="1"/>
    <col min="6669" max="6669" width="13.7109375" style="541" customWidth="1"/>
    <col min="6670" max="6912" width="14.7109375" style="541"/>
    <col min="6913" max="6913" width="25.7109375" style="541" customWidth="1"/>
    <col min="6914" max="6914" width="15.5703125" style="541" customWidth="1"/>
    <col min="6915" max="6916" width="17.42578125" style="541" customWidth="1"/>
    <col min="6917" max="6917" width="14.5703125" style="541" customWidth="1"/>
    <col min="6918" max="6920" width="17.42578125" style="541" customWidth="1"/>
    <col min="6921" max="6922" width="16" style="541" customWidth="1"/>
    <col min="6923" max="6923" width="14.85546875" style="541" customWidth="1"/>
    <col min="6924" max="6924" width="13" style="541" customWidth="1"/>
    <col min="6925" max="6925" width="13.7109375" style="541" customWidth="1"/>
    <col min="6926" max="7168" width="14.7109375" style="541"/>
    <col min="7169" max="7169" width="25.7109375" style="541" customWidth="1"/>
    <col min="7170" max="7170" width="15.5703125" style="541" customWidth="1"/>
    <col min="7171" max="7172" width="17.42578125" style="541" customWidth="1"/>
    <col min="7173" max="7173" width="14.5703125" style="541" customWidth="1"/>
    <col min="7174" max="7176" width="17.42578125" style="541" customWidth="1"/>
    <col min="7177" max="7178" width="16" style="541" customWidth="1"/>
    <col min="7179" max="7179" width="14.85546875" style="541" customWidth="1"/>
    <col min="7180" max="7180" width="13" style="541" customWidth="1"/>
    <col min="7181" max="7181" width="13.7109375" style="541" customWidth="1"/>
    <col min="7182" max="7424" width="14.7109375" style="541"/>
    <col min="7425" max="7425" width="25.7109375" style="541" customWidth="1"/>
    <col min="7426" max="7426" width="15.5703125" style="541" customWidth="1"/>
    <col min="7427" max="7428" width="17.42578125" style="541" customWidth="1"/>
    <col min="7429" max="7429" width="14.5703125" style="541" customWidth="1"/>
    <col min="7430" max="7432" width="17.42578125" style="541" customWidth="1"/>
    <col min="7433" max="7434" width="16" style="541" customWidth="1"/>
    <col min="7435" max="7435" width="14.85546875" style="541" customWidth="1"/>
    <col min="7436" max="7436" width="13" style="541" customWidth="1"/>
    <col min="7437" max="7437" width="13.7109375" style="541" customWidth="1"/>
    <col min="7438" max="7680" width="14.7109375" style="541"/>
    <col min="7681" max="7681" width="25.7109375" style="541" customWidth="1"/>
    <col min="7682" max="7682" width="15.5703125" style="541" customWidth="1"/>
    <col min="7683" max="7684" width="17.42578125" style="541" customWidth="1"/>
    <col min="7685" max="7685" width="14.5703125" style="541" customWidth="1"/>
    <col min="7686" max="7688" width="17.42578125" style="541" customWidth="1"/>
    <col min="7689" max="7690" width="16" style="541" customWidth="1"/>
    <col min="7691" max="7691" width="14.85546875" style="541" customWidth="1"/>
    <col min="7692" max="7692" width="13" style="541" customWidth="1"/>
    <col min="7693" max="7693" width="13.7109375" style="541" customWidth="1"/>
    <col min="7694" max="7936" width="14.7109375" style="541"/>
    <col min="7937" max="7937" width="25.7109375" style="541" customWidth="1"/>
    <col min="7938" max="7938" width="15.5703125" style="541" customWidth="1"/>
    <col min="7939" max="7940" width="17.42578125" style="541" customWidth="1"/>
    <col min="7941" max="7941" width="14.5703125" style="541" customWidth="1"/>
    <col min="7942" max="7944" width="17.42578125" style="541" customWidth="1"/>
    <col min="7945" max="7946" width="16" style="541" customWidth="1"/>
    <col min="7947" max="7947" width="14.85546875" style="541" customWidth="1"/>
    <col min="7948" max="7948" width="13" style="541" customWidth="1"/>
    <col min="7949" max="7949" width="13.7109375" style="541" customWidth="1"/>
    <col min="7950" max="8192" width="14.7109375" style="541"/>
    <col min="8193" max="8193" width="25.7109375" style="541" customWidth="1"/>
    <col min="8194" max="8194" width="15.5703125" style="541" customWidth="1"/>
    <col min="8195" max="8196" width="17.42578125" style="541" customWidth="1"/>
    <col min="8197" max="8197" width="14.5703125" style="541" customWidth="1"/>
    <col min="8198" max="8200" width="17.42578125" style="541" customWidth="1"/>
    <col min="8201" max="8202" width="16" style="541" customWidth="1"/>
    <col min="8203" max="8203" width="14.85546875" style="541" customWidth="1"/>
    <col min="8204" max="8204" width="13" style="541" customWidth="1"/>
    <col min="8205" max="8205" width="13.7109375" style="541" customWidth="1"/>
    <col min="8206" max="8448" width="14.7109375" style="541"/>
    <col min="8449" max="8449" width="25.7109375" style="541" customWidth="1"/>
    <col min="8450" max="8450" width="15.5703125" style="541" customWidth="1"/>
    <col min="8451" max="8452" width="17.42578125" style="541" customWidth="1"/>
    <col min="8453" max="8453" width="14.5703125" style="541" customWidth="1"/>
    <col min="8454" max="8456" width="17.42578125" style="541" customWidth="1"/>
    <col min="8457" max="8458" width="16" style="541" customWidth="1"/>
    <col min="8459" max="8459" width="14.85546875" style="541" customWidth="1"/>
    <col min="8460" max="8460" width="13" style="541" customWidth="1"/>
    <col min="8461" max="8461" width="13.7109375" style="541" customWidth="1"/>
    <col min="8462" max="8704" width="14.7109375" style="541"/>
    <col min="8705" max="8705" width="25.7109375" style="541" customWidth="1"/>
    <col min="8706" max="8706" width="15.5703125" style="541" customWidth="1"/>
    <col min="8707" max="8708" width="17.42578125" style="541" customWidth="1"/>
    <col min="8709" max="8709" width="14.5703125" style="541" customWidth="1"/>
    <col min="8710" max="8712" width="17.42578125" style="541" customWidth="1"/>
    <col min="8713" max="8714" width="16" style="541" customWidth="1"/>
    <col min="8715" max="8715" width="14.85546875" style="541" customWidth="1"/>
    <col min="8716" max="8716" width="13" style="541" customWidth="1"/>
    <col min="8717" max="8717" width="13.7109375" style="541" customWidth="1"/>
    <col min="8718" max="8960" width="14.7109375" style="541"/>
    <col min="8961" max="8961" width="25.7109375" style="541" customWidth="1"/>
    <col min="8962" max="8962" width="15.5703125" style="541" customWidth="1"/>
    <col min="8963" max="8964" width="17.42578125" style="541" customWidth="1"/>
    <col min="8965" max="8965" width="14.5703125" style="541" customWidth="1"/>
    <col min="8966" max="8968" width="17.42578125" style="541" customWidth="1"/>
    <col min="8969" max="8970" width="16" style="541" customWidth="1"/>
    <col min="8971" max="8971" width="14.85546875" style="541" customWidth="1"/>
    <col min="8972" max="8972" width="13" style="541" customWidth="1"/>
    <col min="8973" max="8973" width="13.7109375" style="541" customWidth="1"/>
    <col min="8974" max="9216" width="14.7109375" style="541"/>
    <col min="9217" max="9217" width="25.7109375" style="541" customWidth="1"/>
    <col min="9218" max="9218" width="15.5703125" style="541" customWidth="1"/>
    <col min="9219" max="9220" width="17.42578125" style="541" customWidth="1"/>
    <col min="9221" max="9221" width="14.5703125" style="541" customWidth="1"/>
    <col min="9222" max="9224" width="17.42578125" style="541" customWidth="1"/>
    <col min="9225" max="9226" width="16" style="541" customWidth="1"/>
    <col min="9227" max="9227" width="14.85546875" style="541" customWidth="1"/>
    <col min="9228" max="9228" width="13" style="541" customWidth="1"/>
    <col min="9229" max="9229" width="13.7109375" style="541" customWidth="1"/>
    <col min="9230" max="9472" width="14.7109375" style="541"/>
    <col min="9473" max="9473" width="25.7109375" style="541" customWidth="1"/>
    <col min="9474" max="9474" width="15.5703125" style="541" customWidth="1"/>
    <col min="9475" max="9476" width="17.42578125" style="541" customWidth="1"/>
    <col min="9477" max="9477" width="14.5703125" style="541" customWidth="1"/>
    <col min="9478" max="9480" width="17.42578125" style="541" customWidth="1"/>
    <col min="9481" max="9482" width="16" style="541" customWidth="1"/>
    <col min="9483" max="9483" width="14.85546875" style="541" customWidth="1"/>
    <col min="9484" max="9484" width="13" style="541" customWidth="1"/>
    <col min="9485" max="9485" width="13.7109375" style="541" customWidth="1"/>
    <col min="9486" max="9728" width="14.7109375" style="541"/>
    <col min="9729" max="9729" width="25.7109375" style="541" customWidth="1"/>
    <col min="9730" max="9730" width="15.5703125" style="541" customWidth="1"/>
    <col min="9731" max="9732" width="17.42578125" style="541" customWidth="1"/>
    <col min="9733" max="9733" width="14.5703125" style="541" customWidth="1"/>
    <col min="9734" max="9736" width="17.42578125" style="541" customWidth="1"/>
    <col min="9737" max="9738" width="16" style="541" customWidth="1"/>
    <col min="9739" max="9739" width="14.85546875" style="541" customWidth="1"/>
    <col min="9740" max="9740" width="13" style="541" customWidth="1"/>
    <col min="9741" max="9741" width="13.7109375" style="541" customWidth="1"/>
    <col min="9742" max="9984" width="14.7109375" style="541"/>
    <col min="9985" max="9985" width="25.7109375" style="541" customWidth="1"/>
    <col min="9986" max="9986" width="15.5703125" style="541" customWidth="1"/>
    <col min="9987" max="9988" width="17.42578125" style="541" customWidth="1"/>
    <col min="9989" max="9989" width="14.5703125" style="541" customWidth="1"/>
    <col min="9990" max="9992" width="17.42578125" style="541" customWidth="1"/>
    <col min="9993" max="9994" width="16" style="541" customWidth="1"/>
    <col min="9995" max="9995" width="14.85546875" style="541" customWidth="1"/>
    <col min="9996" max="9996" width="13" style="541" customWidth="1"/>
    <col min="9997" max="9997" width="13.7109375" style="541" customWidth="1"/>
    <col min="9998" max="10240" width="14.7109375" style="541"/>
    <col min="10241" max="10241" width="25.7109375" style="541" customWidth="1"/>
    <col min="10242" max="10242" width="15.5703125" style="541" customWidth="1"/>
    <col min="10243" max="10244" width="17.42578125" style="541" customWidth="1"/>
    <col min="10245" max="10245" width="14.5703125" style="541" customWidth="1"/>
    <col min="10246" max="10248" width="17.42578125" style="541" customWidth="1"/>
    <col min="10249" max="10250" width="16" style="541" customWidth="1"/>
    <col min="10251" max="10251" width="14.85546875" style="541" customWidth="1"/>
    <col min="10252" max="10252" width="13" style="541" customWidth="1"/>
    <col min="10253" max="10253" width="13.7109375" style="541" customWidth="1"/>
    <col min="10254" max="10496" width="14.7109375" style="541"/>
    <col min="10497" max="10497" width="25.7109375" style="541" customWidth="1"/>
    <col min="10498" max="10498" width="15.5703125" style="541" customWidth="1"/>
    <col min="10499" max="10500" width="17.42578125" style="541" customWidth="1"/>
    <col min="10501" max="10501" width="14.5703125" style="541" customWidth="1"/>
    <col min="10502" max="10504" width="17.42578125" style="541" customWidth="1"/>
    <col min="10505" max="10506" width="16" style="541" customWidth="1"/>
    <col min="10507" max="10507" width="14.85546875" style="541" customWidth="1"/>
    <col min="10508" max="10508" width="13" style="541" customWidth="1"/>
    <col min="10509" max="10509" width="13.7109375" style="541" customWidth="1"/>
    <col min="10510" max="10752" width="14.7109375" style="541"/>
    <col min="10753" max="10753" width="25.7109375" style="541" customWidth="1"/>
    <col min="10754" max="10754" width="15.5703125" style="541" customWidth="1"/>
    <col min="10755" max="10756" width="17.42578125" style="541" customWidth="1"/>
    <col min="10757" max="10757" width="14.5703125" style="541" customWidth="1"/>
    <col min="10758" max="10760" width="17.42578125" style="541" customWidth="1"/>
    <col min="10761" max="10762" width="16" style="541" customWidth="1"/>
    <col min="10763" max="10763" width="14.85546875" style="541" customWidth="1"/>
    <col min="10764" max="10764" width="13" style="541" customWidth="1"/>
    <col min="10765" max="10765" width="13.7109375" style="541" customWidth="1"/>
    <col min="10766" max="11008" width="14.7109375" style="541"/>
    <col min="11009" max="11009" width="25.7109375" style="541" customWidth="1"/>
    <col min="11010" max="11010" width="15.5703125" style="541" customWidth="1"/>
    <col min="11011" max="11012" width="17.42578125" style="541" customWidth="1"/>
    <col min="11013" max="11013" width="14.5703125" style="541" customWidth="1"/>
    <col min="11014" max="11016" width="17.42578125" style="541" customWidth="1"/>
    <col min="11017" max="11018" width="16" style="541" customWidth="1"/>
    <col min="11019" max="11019" width="14.85546875" style="541" customWidth="1"/>
    <col min="11020" max="11020" width="13" style="541" customWidth="1"/>
    <col min="11021" max="11021" width="13.7109375" style="541" customWidth="1"/>
    <col min="11022" max="11264" width="14.7109375" style="541"/>
    <col min="11265" max="11265" width="25.7109375" style="541" customWidth="1"/>
    <col min="11266" max="11266" width="15.5703125" style="541" customWidth="1"/>
    <col min="11267" max="11268" width="17.42578125" style="541" customWidth="1"/>
    <col min="11269" max="11269" width="14.5703125" style="541" customWidth="1"/>
    <col min="11270" max="11272" width="17.42578125" style="541" customWidth="1"/>
    <col min="11273" max="11274" width="16" style="541" customWidth="1"/>
    <col min="11275" max="11275" width="14.85546875" style="541" customWidth="1"/>
    <col min="11276" max="11276" width="13" style="541" customWidth="1"/>
    <col min="11277" max="11277" width="13.7109375" style="541" customWidth="1"/>
    <col min="11278" max="11520" width="14.7109375" style="541"/>
    <col min="11521" max="11521" width="25.7109375" style="541" customWidth="1"/>
    <col min="11522" max="11522" width="15.5703125" style="541" customWidth="1"/>
    <col min="11523" max="11524" width="17.42578125" style="541" customWidth="1"/>
    <col min="11525" max="11525" width="14.5703125" style="541" customWidth="1"/>
    <col min="11526" max="11528" width="17.42578125" style="541" customWidth="1"/>
    <col min="11529" max="11530" width="16" style="541" customWidth="1"/>
    <col min="11531" max="11531" width="14.85546875" style="541" customWidth="1"/>
    <col min="11532" max="11532" width="13" style="541" customWidth="1"/>
    <col min="11533" max="11533" width="13.7109375" style="541" customWidth="1"/>
    <col min="11534" max="11776" width="14.7109375" style="541"/>
    <col min="11777" max="11777" width="25.7109375" style="541" customWidth="1"/>
    <col min="11778" max="11778" width="15.5703125" style="541" customWidth="1"/>
    <col min="11779" max="11780" width="17.42578125" style="541" customWidth="1"/>
    <col min="11781" max="11781" width="14.5703125" style="541" customWidth="1"/>
    <col min="11782" max="11784" width="17.42578125" style="541" customWidth="1"/>
    <col min="11785" max="11786" width="16" style="541" customWidth="1"/>
    <col min="11787" max="11787" width="14.85546875" style="541" customWidth="1"/>
    <col min="11788" max="11788" width="13" style="541" customWidth="1"/>
    <col min="11789" max="11789" width="13.7109375" style="541" customWidth="1"/>
    <col min="11790" max="12032" width="14.7109375" style="541"/>
    <col min="12033" max="12033" width="25.7109375" style="541" customWidth="1"/>
    <col min="12034" max="12034" width="15.5703125" style="541" customWidth="1"/>
    <col min="12035" max="12036" width="17.42578125" style="541" customWidth="1"/>
    <col min="12037" max="12037" width="14.5703125" style="541" customWidth="1"/>
    <col min="12038" max="12040" width="17.42578125" style="541" customWidth="1"/>
    <col min="12041" max="12042" width="16" style="541" customWidth="1"/>
    <col min="12043" max="12043" width="14.85546875" style="541" customWidth="1"/>
    <col min="12044" max="12044" width="13" style="541" customWidth="1"/>
    <col min="12045" max="12045" width="13.7109375" style="541" customWidth="1"/>
    <col min="12046" max="12288" width="14.7109375" style="541"/>
    <col min="12289" max="12289" width="25.7109375" style="541" customWidth="1"/>
    <col min="12290" max="12290" width="15.5703125" style="541" customWidth="1"/>
    <col min="12291" max="12292" width="17.42578125" style="541" customWidth="1"/>
    <col min="12293" max="12293" width="14.5703125" style="541" customWidth="1"/>
    <col min="12294" max="12296" width="17.42578125" style="541" customWidth="1"/>
    <col min="12297" max="12298" width="16" style="541" customWidth="1"/>
    <col min="12299" max="12299" width="14.85546875" style="541" customWidth="1"/>
    <col min="12300" max="12300" width="13" style="541" customWidth="1"/>
    <col min="12301" max="12301" width="13.7109375" style="541" customWidth="1"/>
    <col min="12302" max="12544" width="14.7109375" style="541"/>
    <col min="12545" max="12545" width="25.7109375" style="541" customWidth="1"/>
    <col min="12546" max="12546" width="15.5703125" style="541" customWidth="1"/>
    <col min="12547" max="12548" width="17.42578125" style="541" customWidth="1"/>
    <col min="12549" max="12549" width="14.5703125" style="541" customWidth="1"/>
    <col min="12550" max="12552" width="17.42578125" style="541" customWidth="1"/>
    <col min="12553" max="12554" width="16" style="541" customWidth="1"/>
    <col min="12555" max="12555" width="14.85546875" style="541" customWidth="1"/>
    <col min="12556" max="12556" width="13" style="541" customWidth="1"/>
    <col min="12557" max="12557" width="13.7109375" style="541" customWidth="1"/>
    <col min="12558" max="12800" width="14.7109375" style="541"/>
    <col min="12801" max="12801" width="25.7109375" style="541" customWidth="1"/>
    <col min="12802" max="12802" width="15.5703125" style="541" customWidth="1"/>
    <col min="12803" max="12804" width="17.42578125" style="541" customWidth="1"/>
    <col min="12805" max="12805" width="14.5703125" style="541" customWidth="1"/>
    <col min="12806" max="12808" width="17.42578125" style="541" customWidth="1"/>
    <col min="12809" max="12810" width="16" style="541" customWidth="1"/>
    <col min="12811" max="12811" width="14.85546875" style="541" customWidth="1"/>
    <col min="12812" max="12812" width="13" style="541" customWidth="1"/>
    <col min="12813" max="12813" width="13.7109375" style="541" customWidth="1"/>
    <col min="12814" max="13056" width="14.7109375" style="541"/>
    <col min="13057" max="13057" width="25.7109375" style="541" customWidth="1"/>
    <col min="13058" max="13058" width="15.5703125" style="541" customWidth="1"/>
    <col min="13059" max="13060" width="17.42578125" style="541" customWidth="1"/>
    <col min="13061" max="13061" width="14.5703125" style="541" customWidth="1"/>
    <col min="13062" max="13064" width="17.42578125" style="541" customWidth="1"/>
    <col min="13065" max="13066" width="16" style="541" customWidth="1"/>
    <col min="13067" max="13067" width="14.85546875" style="541" customWidth="1"/>
    <col min="13068" max="13068" width="13" style="541" customWidth="1"/>
    <col min="13069" max="13069" width="13.7109375" style="541" customWidth="1"/>
    <col min="13070" max="13312" width="14.7109375" style="541"/>
    <col min="13313" max="13313" width="25.7109375" style="541" customWidth="1"/>
    <col min="13314" max="13314" width="15.5703125" style="541" customWidth="1"/>
    <col min="13315" max="13316" width="17.42578125" style="541" customWidth="1"/>
    <col min="13317" max="13317" width="14.5703125" style="541" customWidth="1"/>
    <col min="13318" max="13320" width="17.42578125" style="541" customWidth="1"/>
    <col min="13321" max="13322" width="16" style="541" customWidth="1"/>
    <col min="13323" max="13323" width="14.85546875" style="541" customWidth="1"/>
    <col min="13324" max="13324" width="13" style="541" customWidth="1"/>
    <col min="13325" max="13325" width="13.7109375" style="541" customWidth="1"/>
    <col min="13326" max="13568" width="14.7109375" style="541"/>
    <col min="13569" max="13569" width="25.7109375" style="541" customWidth="1"/>
    <col min="13570" max="13570" width="15.5703125" style="541" customWidth="1"/>
    <col min="13571" max="13572" width="17.42578125" style="541" customWidth="1"/>
    <col min="13573" max="13573" width="14.5703125" style="541" customWidth="1"/>
    <col min="13574" max="13576" width="17.42578125" style="541" customWidth="1"/>
    <col min="13577" max="13578" width="16" style="541" customWidth="1"/>
    <col min="13579" max="13579" width="14.85546875" style="541" customWidth="1"/>
    <col min="13580" max="13580" width="13" style="541" customWidth="1"/>
    <col min="13581" max="13581" width="13.7109375" style="541" customWidth="1"/>
    <col min="13582" max="13824" width="14.7109375" style="541"/>
    <col min="13825" max="13825" width="25.7109375" style="541" customWidth="1"/>
    <col min="13826" max="13826" width="15.5703125" style="541" customWidth="1"/>
    <col min="13827" max="13828" width="17.42578125" style="541" customWidth="1"/>
    <col min="13829" max="13829" width="14.5703125" style="541" customWidth="1"/>
    <col min="13830" max="13832" width="17.42578125" style="541" customWidth="1"/>
    <col min="13833" max="13834" width="16" style="541" customWidth="1"/>
    <col min="13835" max="13835" width="14.85546875" style="541" customWidth="1"/>
    <col min="13836" max="13836" width="13" style="541" customWidth="1"/>
    <col min="13837" max="13837" width="13.7109375" style="541" customWidth="1"/>
    <col min="13838" max="14080" width="14.7109375" style="541"/>
    <col min="14081" max="14081" width="25.7109375" style="541" customWidth="1"/>
    <col min="14082" max="14082" width="15.5703125" style="541" customWidth="1"/>
    <col min="14083" max="14084" width="17.42578125" style="541" customWidth="1"/>
    <col min="14085" max="14085" width="14.5703125" style="541" customWidth="1"/>
    <col min="14086" max="14088" width="17.42578125" style="541" customWidth="1"/>
    <col min="14089" max="14090" width="16" style="541" customWidth="1"/>
    <col min="14091" max="14091" width="14.85546875" style="541" customWidth="1"/>
    <col min="14092" max="14092" width="13" style="541" customWidth="1"/>
    <col min="14093" max="14093" width="13.7109375" style="541" customWidth="1"/>
    <col min="14094" max="14336" width="14.7109375" style="541"/>
    <col min="14337" max="14337" width="25.7109375" style="541" customWidth="1"/>
    <col min="14338" max="14338" width="15.5703125" style="541" customWidth="1"/>
    <col min="14339" max="14340" width="17.42578125" style="541" customWidth="1"/>
    <col min="14341" max="14341" width="14.5703125" style="541" customWidth="1"/>
    <col min="14342" max="14344" width="17.42578125" style="541" customWidth="1"/>
    <col min="14345" max="14346" width="16" style="541" customWidth="1"/>
    <col min="14347" max="14347" width="14.85546875" style="541" customWidth="1"/>
    <col min="14348" max="14348" width="13" style="541" customWidth="1"/>
    <col min="14349" max="14349" width="13.7109375" style="541" customWidth="1"/>
    <col min="14350" max="14592" width="14.7109375" style="541"/>
    <col min="14593" max="14593" width="25.7109375" style="541" customWidth="1"/>
    <col min="14594" max="14594" width="15.5703125" style="541" customWidth="1"/>
    <col min="14595" max="14596" width="17.42578125" style="541" customWidth="1"/>
    <col min="14597" max="14597" width="14.5703125" style="541" customWidth="1"/>
    <col min="14598" max="14600" width="17.42578125" style="541" customWidth="1"/>
    <col min="14601" max="14602" width="16" style="541" customWidth="1"/>
    <col min="14603" max="14603" width="14.85546875" style="541" customWidth="1"/>
    <col min="14604" max="14604" width="13" style="541" customWidth="1"/>
    <col min="14605" max="14605" width="13.7109375" style="541" customWidth="1"/>
    <col min="14606" max="14848" width="14.7109375" style="541"/>
    <col min="14849" max="14849" width="25.7109375" style="541" customWidth="1"/>
    <col min="14850" max="14850" width="15.5703125" style="541" customWidth="1"/>
    <col min="14851" max="14852" width="17.42578125" style="541" customWidth="1"/>
    <col min="14853" max="14853" width="14.5703125" style="541" customWidth="1"/>
    <col min="14854" max="14856" width="17.42578125" style="541" customWidth="1"/>
    <col min="14857" max="14858" width="16" style="541" customWidth="1"/>
    <col min="14859" max="14859" width="14.85546875" style="541" customWidth="1"/>
    <col min="14860" max="14860" width="13" style="541" customWidth="1"/>
    <col min="14861" max="14861" width="13.7109375" style="541" customWidth="1"/>
    <col min="14862" max="15104" width="14.7109375" style="541"/>
    <col min="15105" max="15105" width="25.7109375" style="541" customWidth="1"/>
    <col min="15106" max="15106" width="15.5703125" style="541" customWidth="1"/>
    <col min="15107" max="15108" width="17.42578125" style="541" customWidth="1"/>
    <col min="15109" max="15109" width="14.5703125" style="541" customWidth="1"/>
    <col min="15110" max="15112" width="17.42578125" style="541" customWidth="1"/>
    <col min="15113" max="15114" width="16" style="541" customWidth="1"/>
    <col min="15115" max="15115" width="14.85546875" style="541" customWidth="1"/>
    <col min="15116" max="15116" width="13" style="541" customWidth="1"/>
    <col min="15117" max="15117" width="13.7109375" style="541" customWidth="1"/>
    <col min="15118" max="15360" width="14.7109375" style="541"/>
    <col min="15361" max="15361" width="25.7109375" style="541" customWidth="1"/>
    <col min="15362" max="15362" width="15.5703125" style="541" customWidth="1"/>
    <col min="15363" max="15364" width="17.42578125" style="541" customWidth="1"/>
    <col min="15365" max="15365" width="14.5703125" style="541" customWidth="1"/>
    <col min="15366" max="15368" width="17.42578125" style="541" customWidth="1"/>
    <col min="15369" max="15370" width="16" style="541" customWidth="1"/>
    <col min="15371" max="15371" width="14.85546875" style="541" customWidth="1"/>
    <col min="15372" max="15372" width="13" style="541" customWidth="1"/>
    <col min="15373" max="15373" width="13.7109375" style="541" customWidth="1"/>
    <col min="15374" max="15616" width="14.7109375" style="541"/>
    <col min="15617" max="15617" width="25.7109375" style="541" customWidth="1"/>
    <col min="15618" max="15618" width="15.5703125" style="541" customWidth="1"/>
    <col min="15619" max="15620" width="17.42578125" style="541" customWidth="1"/>
    <col min="15621" max="15621" width="14.5703125" style="541" customWidth="1"/>
    <col min="15622" max="15624" width="17.42578125" style="541" customWidth="1"/>
    <col min="15625" max="15626" width="16" style="541" customWidth="1"/>
    <col min="15627" max="15627" width="14.85546875" style="541" customWidth="1"/>
    <col min="15628" max="15628" width="13" style="541" customWidth="1"/>
    <col min="15629" max="15629" width="13.7109375" style="541" customWidth="1"/>
    <col min="15630" max="15872" width="14.7109375" style="541"/>
    <col min="15873" max="15873" width="25.7109375" style="541" customWidth="1"/>
    <col min="15874" max="15874" width="15.5703125" style="541" customWidth="1"/>
    <col min="15875" max="15876" width="17.42578125" style="541" customWidth="1"/>
    <col min="15877" max="15877" width="14.5703125" style="541" customWidth="1"/>
    <col min="15878" max="15880" width="17.42578125" style="541" customWidth="1"/>
    <col min="15881" max="15882" width="16" style="541" customWidth="1"/>
    <col min="15883" max="15883" width="14.85546875" style="541" customWidth="1"/>
    <col min="15884" max="15884" width="13" style="541" customWidth="1"/>
    <col min="15885" max="15885" width="13.7109375" style="541" customWidth="1"/>
    <col min="15886" max="16128" width="14.7109375" style="541"/>
    <col min="16129" max="16129" width="25.7109375" style="541" customWidth="1"/>
    <col min="16130" max="16130" width="15.5703125" style="541" customWidth="1"/>
    <col min="16131" max="16132" width="17.42578125" style="541" customWidth="1"/>
    <col min="16133" max="16133" width="14.5703125" style="541" customWidth="1"/>
    <col min="16134" max="16136" width="17.42578125" style="541" customWidth="1"/>
    <col min="16137" max="16138" width="16" style="541" customWidth="1"/>
    <col min="16139" max="16139" width="14.85546875" style="541" customWidth="1"/>
    <col min="16140" max="16140" width="13" style="541" customWidth="1"/>
    <col min="16141" max="16141" width="13.7109375" style="541" customWidth="1"/>
    <col min="16142" max="16384" width="14.7109375" style="541"/>
  </cols>
  <sheetData>
    <row r="1" spans="1:19" ht="18">
      <c r="A1" s="514" t="s">
        <v>198</v>
      </c>
      <c r="B1" s="546"/>
      <c r="C1" s="546"/>
      <c r="D1" s="546"/>
      <c r="E1" s="546"/>
      <c r="F1" s="546"/>
      <c r="I1" s="547" t="s">
        <v>0</v>
      </c>
      <c r="J1" s="542" t="s">
        <v>199</v>
      </c>
    </row>
    <row r="2" spans="1:19" ht="18">
      <c r="A2" s="514" t="s">
        <v>200</v>
      </c>
      <c r="B2" s="514"/>
      <c r="C2" s="546"/>
      <c r="D2" s="546"/>
      <c r="E2" s="546"/>
      <c r="F2" s="546"/>
    </row>
    <row r="3" spans="1:19" ht="18">
      <c r="A3" s="548" t="s">
        <v>201</v>
      </c>
      <c r="B3" s="514"/>
      <c r="C3" s="546"/>
      <c r="D3" s="546"/>
      <c r="E3" s="546"/>
      <c r="F3" s="546"/>
    </row>
    <row r="4" spans="1:19" s="542" customFormat="1" ht="18">
      <c r="A4" s="514"/>
      <c r="B4" s="1796" t="s">
        <v>4</v>
      </c>
      <c r="C4" s="1796"/>
      <c r="D4" s="1796"/>
      <c r="E4" s="1796"/>
      <c r="F4" s="1796"/>
      <c r="G4" s="1797" t="s">
        <v>202</v>
      </c>
      <c r="H4" s="1797"/>
      <c r="I4" s="1797"/>
      <c r="J4" s="1797"/>
      <c r="K4" s="1797"/>
    </row>
    <row r="5" spans="1:19" ht="96.75" customHeight="1">
      <c r="A5" s="1034"/>
      <c r="B5" s="1035" t="s">
        <v>115</v>
      </c>
      <c r="C5" s="1035" t="s">
        <v>116</v>
      </c>
      <c r="D5" s="576" t="s">
        <v>123</v>
      </c>
      <c r="E5" s="576" t="s">
        <v>124</v>
      </c>
      <c r="F5" s="576" t="s">
        <v>125</v>
      </c>
      <c r="G5" s="1035" t="s">
        <v>115</v>
      </c>
      <c r="H5" s="1035" t="s">
        <v>116</v>
      </c>
      <c r="I5" s="576" t="s">
        <v>123</v>
      </c>
      <c r="J5" s="576" t="s">
        <v>124</v>
      </c>
      <c r="K5" s="576" t="s">
        <v>125</v>
      </c>
    </row>
    <row r="6" spans="1:19" ht="18">
      <c r="A6" s="550" t="s">
        <v>203</v>
      </c>
      <c r="B6" s="551"/>
      <c r="C6" s="551"/>
      <c r="D6" s="551"/>
      <c r="E6" s="550"/>
      <c r="F6" s="550"/>
      <c r="G6" s="549"/>
      <c r="H6" s="549"/>
      <c r="I6" s="552"/>
      <c r="J6" s="550"/>
      <c r="K6" s="549"/>
    </row>
    <row r="7" spans="1:19" ht="18">
      <c r="A7" s="553">
        <v>1</v>
      </c>
      <c r="B7" s="1028">
        <v>1152.610621105744</v>
      </c>
      <c r="C7" s="1028">
        <v>793.28609931336553</v>
      </c>
      <c r="D7" s="554">
        <v>2.2955930045516357</v>
      </c>
      <c r="E7" s="554">
        <v>41.970344498586321</v>
      </c>
      <c r="F7" s="554">
        <v>36.517344702946879</v>
      </c>
      <c r="G7" s="1028">
        <v>1319.6208475810733</v>
      </c>
      <c r="H7" s="1028">
        <v>816.56079740981261</v>
      </c>
      <c r="I7" s="554">
        <v>1.2624032384711301</v>
      </c>
      <c r="J7" s="554">
        <v>21.556891529743279</v>
      </c>
      <c r="K7" s="554">
        <v>4.7894974033668216</v>
      </c>
      <c r="O7" s="1033"/>
      <c r="P7" s="1033"/>
      <c r="Q7" s="219"/>
      <c r="R7" s="1032"/>
    </row>
    <row r="8" spans="1:19" ht="18">
      <c r="A8" s="553">
        <v>2</v>
      </c>
      <c r="B8" s="1028">
        <v>6798.8536164533707</v>
      </c>
      <c r="C8" s="1028">
        <v>8140.3335083137408</v>
      </c>
      <c r="D8" s="554">
        <v>24.506868473704415</v>
      </c>
      <c r="E8" s="554">
        <v>373.88635292846743</v>
      </c>
      <c r="F8" s="554">
        <v>185.4226360336242</v>
      </c>
      <c r="G8" s="1028">
        <v>6768.407273445504</v>
      </c>
      <c r="H8" s="1028">
        <v>7739.166060998381</v>
      </c>
      <c r="I8" s="554">
        <v>10.949700450539382</v>
      </c>
      <c r="J8" s="554">
        <v>164.69294389765483</v>
      </c>
      <c r="K8" s="554">
        <v>35.465645616375483</v>
      </c>
      <c r="O8" s="1033"/>
      <c r="P8" s="1033"/>
      <c r="Q8" s="219"/>
      <c r="R8" s="1032"/>
    </row>
    <row r="9" spans="1:19" ht="18">
      <c r="A9" s="553">
        <v>3</v>
      </c>
      <c r="B9" s="1028">
        <v>46831.295256624246</v>
      </c>
      <c r="C9" s="1028">
        <v>87361.066568071037</v>
      </c>
      <c r="D9" s="554">
        <v>229.33597538450078</v>
      </c>
      <c r="E9" s="554">
        <v>3722.603429135243</v>
      </c>
      <c r="F9" s="554">
        <v>1732.1984646053281</v>
      </c>
      <c r="G9" s="1028">
        <v>52081.764687002353</v>
      </c>
      <c r="H9" s="1028">
        <v>92665.227489879675</v>
      </c>
      <c r="I9" s="554">
        <v>130.29296397280004</v>
      </c>
      <c r="J9" s="554">
        <v>1903.4006337797805</v>
      </c>
      <c r="K9" s="554">
        <v>401.74128111960727</v>
      </c>
      <c r="M9" s="557"/>
      <c r="O9" s="1033"/>
      <c r="P9" s="1033"/>
      <c r="Q9" s="219"/>
      <c r="R9" s="1032"/>
    </row>
    <row r="10" spans="1:19" ht="18">
      <c r="A10" s="553">
        <v>4</v>
      </c>
      <c r="B10" s="1028">
        <v>5693.9423513776374</v>
      </c>
      <c r="C10" s="1028">
        <v>16746.252648400776</v>
      </c>
      <c r="D10" s="554">
        <v>38.981791522864008</v>
      </c>
      <c r="E10" s="554">
        <v>565.14201436324515</v>
      </c>
      <c r="F10" s="554">
        <v>237.54576870066683</v>
      </c>
      <c r="G10" s="1028">
        <v>6858.5677040255778</v>
      </c>
      <c r="H10" s="1028">
        <v>18082.802328327707</v>
      </c>
      <c r="I10" s="554">
        <v>17.889028790321579</v>
      </c>
      <c r="J10" s="554">
        <v>255.94956470487483</v>
      </c>
      <c r="K10" s="554">
        <v>51.985180257792557</v>
      </c>
      <c r="O10" s="1033"/>
      <c r="P10" s="1033"/>
      <c r="Q10" s="219"/>
      <c r="R10" s="1032"/>
    </row>
    <row r="11" spans="1:19" ht="18">
      <c r="A11" s="553">
        <v>5</v>
      </c>
      <c r="B11" s="1028">
        <v>179.02336696331523</v>
      </c>
      <c r="C11" s="1028">
        <v>604.54539069290809</v>
      </c>
      <c r="D11" s="554">
        <v>1.7652144941295915</v>
      </c>
      <c r="E11" s="554">
        <v>36.584931699016401</v>
      </c>
      <c r="F11" s="554">
        <v>44.827161522851057</v>
      </c>
      <c r="G11" s="1028">
        <v>245.89208340019997</v>
      </c>
      <c r="H11" s="1028">
        <v>783.3456544446118</v>
      </c>
      <c r="I11" s="554">
        <v>1.0327932264147448</v>
      </c>
      <c r="J11" s="554">
        <v>21.004995513740404</v>
      </c>
      <c r="K11" s="554">
        <v>3.8285942100799266</v>
      </c>
      <c r="O11" s="1033"/>
      <c r="P11" s="1033"/>
      <c r="Q11" s="219"/>
      <c r="R11" s="1032"/>
    </row>
    <row r="12" spans="1:19" ht="18">
      <c r="A12" s="553">
        <v>6</v>
      </c>
      <c r="B12" s="1028">
        <v>390.62272182427705</v>
      </c>
      <c r="C12" s="1028">
        <v>1869.2690765852471</v>
      </c>
      <c r="D12" s="554">
        <v>4.1789615685992976</v>
      </c>
      <c r="E12" s="554">
        <v>65.150055213594968</v>
      </c>
      <c r="F12" s="554">
        <v>44.686845567859912</v>
      </c>
      <c r="G12" s="1028">
        <v>398.89160196032441</v>
      </c>
      <c r="H12" s="1028">
        <v>1704.7638708762179</v>
      </c>
      <c r="I12" s="554">
        <v>1.7829069507614643</v>
      </c>
      <c r="J12" s="554">
        <v>27.660444235756348</v>
      </c>
      <c r="K12" s="554">
        <v>7.1628344133969231</v>
      </c>
      <c r="O12" s="1033"/>
      <c r="P12" s="1033"/>
      <c r="Q12" s="219"/>
      <c r="R12" s="1032"/>
    </row>
    <row r="13" spans="1:19" ht="18">
      <c r="A13" s="553">
        <v>7</v>
      </c>
      <c r="B13" s="1028">
        <v>39.781364857483482</v>
      </c>
      <c r="C13" s="1028">
        <v>196.39898822834468</v>
      </c>
      <c r="D13" s="554">
        <v>0.45462552541206969</v>
      </c>
      <c r="E13" s="554">
        <v>12.844496990784561</v>
      </c>
      <c r="F13" s="554">
        <v>11.05077741149044</v>
      </c>
      <c r="G13" s="1028">
        <v>45.535571000037031</v>
      </c>
      <c r="H13" s="1028">
        <v>202.25393173138571</v>
      </c>
      <c r="I13" s="554">
        <v>0.21566391811871471</v>
      </c>
      <c r="J13" s="554">
        <v>4.7525141904230148</v>
      </c>
      <c r="K13" s="554">
        <v>1.662036327790549</v>
      </c>
      <c r="O13" s="1033"/>
      <c r="P13" s="1033"/>
      <c r="Q13" s="219"/>
      <c r="R13" s="1032"/>
    </row>
    <row r="14" spans="1:19" ht="18">
      <c r="A14" s="550" t="s">
        <v>204</v>
      </c>
      <c r="B14" s="1028">
        <v>5730.870700793932</v>
      </c>
      <c r="C14" s="1028">
        <v>111712.84772039455</v>
      </c>
      <c r="D14" s="554">
        <v>118.7259700262382</v>
      </c>
      <c r="E14" s="554">
        <v>1773.6393751710618</v>
      </c>
      <c r="F14" s="554">
        <v>1008.3258500736871</v>
      </c>
      <c r="G14" s="1028">
        <v>6055.3202315849248</v>
      </c>
      <c r="H14" s="1028">
        <v>115613.62496633215</v>
      </c>
      <c r="I14" s="554">
        <v>54.49708282313442</v>
      </c>
      <c r="J14" s="554">
        <v>813.02201214802665</v>
      </c>
      <c r="K14" s="554">
        <v>169.47872060011886</v>
      </c>
      <c r="O14" s="1033"/>
      <c r="P14" s="1033"/>
      <c r="Q14" s="219"/>
      <c r="R14" s="1032"/>
    </row>
    <row r="15" spans="1:19" ht="18">
      <c r="A15" s="1029" t="s">
        <v>205</v>
      </c>
      <c r="B15" s="1030">
        <f>SUM(B7:B14)</f>
        <v>66817</v>
      </c>
      <c r="C15" s="1030">
        <f>SUM(C7:C14)</f>
        <v>227423.99999999994</v>
      </c>
      <c r="D15" s="1031">
        <f>SUM(D7:D14)</f>
        <v>420.245</v>
      </c>
      <c r="E15" s="1031">
        <f t="shared" ref="E15:K15" si="0">SUM(E7:E14)</f>
        <v>6591.820999999999</v>
      </c>
      <c r="F15" s="1031">
        <f t="shared" si="0"/>
        <v>3300.5748486184543</v>
      </c>
      <c r="G15" s="1029">
        <f t="shared" si="0"/>
        <v>73774</v>
      </c>
      <c r="H15" s="1030">
        <f t="shared" si="0"/>
        <v>237607.74509999994</v>
      </c>
      <c r="I15" s="1031">
        <f t="shared" si="0"/>
        <v>217.92254337056147</v>
      </c>
      <c r="J15" s="1031">
        <f t="shared" si="0"/>
        <v>3212.0399999999995</v>
      </c>
      <c r="K15" s="1031">
        <f t="shared" si="0"/>
        <v>676.11378994852839</v>
      </c>
      <c r="L15" s="557"/>
      <c r="O15" s="1033"/>
      <c r="P15" s="1033"/>
      <c r="Q15" s="219"/>
      <c r="R15" s="1042"/>
      <c r="S15" s="542">
        <v>227424</v>
      </c>
    </row>
    <row r="16" spans="1:19" ht="18">
      <c r="A16" s="519" t="s">
        <v>206</v>
      </c>
      <c r="B16" s="546"/>
      <c r="C16" s="546"/>
      <c r="D16" s="546"/>
      <c r="E16" s="546"/>
      <c r="F16" s="687"/>
      <c r="G16" s="546"/>
      <c r="H16" s="546"/>
      <c r="I16" s="546"/>
      <c r="J16" s="546"/>
      <c r="O16" s="1036"/>
      <c r="P16" s="1036"/>
    </row>
    <row r="17" spans="1:16" ht="18">
      <c r="A17" s="519"/>
      <c r="B17" s="1796" t="s">
        <v>4</v>
      </c>
      <c r="C17" s="1796"/>
      <c r="D17" s="1796"/>
      <c r="E17" s="1796"/>
      <c r="F17" s="1796"/>
      <c r="G17" s="515"/>
      <c r="H17" s="1797" t="s">
        <v>202</v>
      </c>
      <c r="I17" s="1797"/>
      <c r="J17" s="1797"/>
      <c r="K17" s="1797"/>
      <c r="L17" s="1797"/>
      <c r="O17" s="1036"/>
      <c r="P17" s="1036"/>
    </row>
    <row r="18" spans="1:16" ht="36" customHeight="1">
      <c r="A18" s="519"/>
      <c r="B18" s="1781" t="s">
        <v>207</v>
      </c>
      <c r="C18" s="1783"/>
      <c r="D18" s="1781" t="s">
        <v>208</v>
      </c>
      <c r="E18" s="1783"/>
      <c r="F18" s="1781" t="s">
        <v>209</v>
      </c>
      <c r="G18" s="1783"/>
      <c r="H18" s="1781" t="s">
        <v>207</v>
      </c>
      <c r="I18" s="1783"/>
      <c r="J18" s="1781" t="s">
        <v>208</v>
      </c>
      <c r="K18" s="1783"/>
      <c r="L18" s="1781" t="s">
        <v>209</v>
      </c>
      <c r="M18" s="1783"/>
    </row>
    <row r="19" spans="1:16" ht="74.25" customHeight="1">
      <c r="A19" s="536"/>
      <c r="B19" s="576" t="s">
        <v>145</v>
      </c>
      <c r="C19" s="576" t="s">
        <v>27</v>
      </c>
      <c r="D19" s="576" t="s">
        <v>145</v>
      </c>
      <c r="E19" s="555" t="s">
        <v>27</v>
      </c>
      <c r="F19" s="576" t="s">
        <v>145</v>
      </c>
      <c r="G19" s="555" t="s">
        <v>27</v>
      </c>
      <c r="H19" s="576" t="s">
        <v>145</v>
      </c>
      <c r="I19" s="576" t="s">
        <v>27</v>
      </c>
      <c r="J19" s="576" t="s">
        <v>145</v>
      </c>
      <c r="K19" s="576" t="s">
        <v>27</v>
      </c>
      <c r="L19" s="576" t="s">
        <v>145</v>
      </c>
      <c r="M19" s="576" t="s">
        <v>27</v>
      </c>
    </row>
    <row r="20" spans="1:16" ht="18">
      <c r="A20" s="550" t="s">
        <v>203</v>
      </c>
      <c r="B20" s="551"/>
      <c r="C20" s="551"/>
      <c r="D20" s="551"/>
      <c r="E20" s="551"/>
      <c r="F20" s="551"/>
      <c r="G20" s="551"/>
      <c r="H20" s="551"/>
      <c r="I20" s="551"/>
      <c r="J20" s="551"/>
      <c r="K20" s="551"/>
      <c r="L20" s="551"/>
      <c r="M20" s="551"/>
    </row>
    <row r="21" spans="1:16" ht="18">
      <c r="A21" s="553">
        <v>1</v>
      </c>
      <c r="B21" s="1028">
        <v>504.51871697664359</v>
      </c>
      <c r="C21" s="1039">
        <v>1.0030128159345317E-2</v>
      </c>
      <c r="D21" s="551"/>
      <c r="E21" s="551"/>
      <c r="F21" s="1028">
        <v>648.09190412910061</v>
      </c>
      <c r="G21" s="1039">
        <v>2.2855628763922904</v>
      </c>
      <c r="H21" s="1028">
        <v>164.83876702013407</v>
      </c>
      <c r="I21" s="554">
        <v>2.7513758616427398E-2</v>
      </c>
      <c r="J21" s="551"/>
      <c r="K21" s="551"/>
      <c r="L21" s="1028">
        <v>1154.7820805609392</v>
      </c>
      <c r="M21" s="554">
        <v>1.2348894798547028</v>
      </c>
    </row>
    <row r="22" spans="1:16" ht="18">
      <c r="A22" s="553">
        <v>2</v>
      </c>
      <c r="B22" s="1028">
        <v>3071.860918496051</v>
      </c>
      <c r="C22" s="1039">
        <v>0.10973084642592229</v>
      </c>
      <c r="D22" s="551"/>
      <c r="E22" s="551"/>
      <c r="F22" s="1028">
        <v>3726.9926979573211</v>
      </c>
      <c r="G22" s="1039">
        <v>24.397137627278493</v>
      </c>
      <c r="H22" s="1028">
        <v>425.30223314034583</v>
      </c>
      <c r="I22" s="554">
        <v>0.31320550332825825</v>
      </c>
      <c r="J22" s="551"/>
      <c r="K22" s="551"/>
      <c r="L22" s="1028">
        <v>6343.1050403051586</v>
      </c>
      <c r="M22" s="554">
        <v>10.636494947211123</v>
      </c>
    </row>
    <row r="23" spans="1:16" ht="18">
      <c r="A23" s="553">
        <v>3</v>
      </c>
      <c r="B23" s="1028">
        <v>29275.246942479502</v>
      </c>
      <c r="C23" s="1039">
        <v>1.9351752338169828</v>
      </c>
      <c r="D23" s="551"/>
      <c r="E23" s="551"/>
      <c r="F23" s="1028">
        <v>17556.048314144751</v>
      </c>
      <c r="G23" s="1039">
        <v>227.40080015068381</v>
      </c>
      <c r="H23" s="1028">
        <v>3790.3809300430826</v>
      </c>
      <c r="I23" s="554">
        <v>1.3538507762897072</v>
      </c>
      <c r="J23" s="551"/>
      <c r="K23" s="551"/>
      <c r="L23" s="1028">
        <v>48291.383756959272</v>
      </c>
      <c r="M23" s="554">
        <v>128.93911319651033</v>
      </c>
    </row>
    <row r="24" spans="1:16" ht="18">
      <c r="A24" s="553">
        <v>4</v>
      </c>
      <c r="B24" s="1028">
        <v>2274.2826337451484</v>
      </c>
      <c r="C24" s="1039">
        <v>0.13293131295104213</v>
      </c>
      <c r="D24" s="551"/>
      <c r="E24" s="551"/>
      <c r="F24" s="1028">
        <v>3419.6597176324904</v>
      </c>
      <c r="G24" s="1039">
        <f>38.848860209913</f>
        <v>38.848860209912999</v>
      </c>
      <c r="H24" s="1028">
        <v>863.35442616070213</v>
      </c>
      <c r="I24" s="554">
        <v>0.54</v>
      </c>
      <c r="J24" s="551"/>
      <c r="K24" s="551"/>
      <c r="L24" s="1028">
        <v>5995.2132778648756</v>
      </c>
      <c r="M24" s="554">
        <f>18.4292432750361-0.54-0.54</f>
        <v>17.349243275036102</v>
      </c>
    </row>
    <row r="25" spans="1:16" ht="18">
      <c r="A25" s="553">
        <v>5</v>
      </c>
      <c r="B25" s="1028">
        <v>50.890583625470143</v>
      </c>
      <c r="C25" s="1039">
        <v>1.3670673612826371E-2</v>
      </c>
      <c r="D25" s="551"/>
      <c r="E25" s="551"/>
      <c r="F25" s="1028">
        <v>128.13278333784513</v>
      </c>
      <c r="G25" s="1039">
        <v>1.751543820516765</v>
      </c>
      <c r="H25" s="1028">
        <v>47.356993840038513</v>
      </c>
      <c r="I25" s="554">
        <v>0.11398614906740821</v>
      </c>
      <c r="J25" s="551"/>
      <c r="K25" s="551"/>
      <c r="L25" s="1028">
        <v>198.53508956016145</v>
      </c>
      <c r="M25" s="554">
        <v>0.91880707734733658</v>
      </c>
    </row>
    <row r="26" spans="1:16" ht="18">
      <c r="A26" s="553">
        <v>6</v>
      </c>
      <c r="B26" s="1028">
        <v>148.28463159835266</v>
      </c>
      <c r="C26" s="1039">
        <v>1.5920988717385062E-2</v>
      </c>
      <c r="D26" s="551"/>
      <c r="E26" s="551"/>
      <c r="F26" s="1028">
        <v>242.33809022592447</v>
      </c>
      <c r="G26" s="1039">
        <v>4.1630405798819128</v>
      </c>
      <c r="H26" s="1028">
        <v>30.053476860024439</v>
      </c>
      <c r="I26" s="554">
        <v>1.4803755424552837E-2</v>
      </c>
      <c r="J26" s="551"/>
      <c r="K26" s="551"/>
      <c r="L26" s="1028">
        <v>368.83812510029998</v>
      </c>
      <c r="M26" s="554">
        <v>1.7681031953369115</v>
      </c>
    </row>
    <row r="27" spans="1:16" ht="18">
      <c r="A27" s="553">
        <v>7</v>
      </c>
      <c r="B27" s="1028">
        <v>18.425900967842637</v>
      </c>
      <c r="C27" s="1039">
        <v>6.2525349962100248E-3</v>
      </c>
      <c r="D27" s="551"/>
      <c r="E27" s="551"/>
      <c r="F27" s="1028">
        <v>21.355463889640852</v>
      </c>
      <c r="G27" s="1039">
        <v>0.44837299041585965</v>
      </c>
      <c r="H27" s="1028">
        <v>13.660671300011108</v>
      </c>
      <c r="I27" s="554">
        <v>2.4556107131829395E-2</v>
      </c>
      <c r="J27" s="551"/>
      <c r="K27" s="551"/>
      <c r="L27" s="1028">
        <v>31.874899700025924</v>
      </c>
      <c r="M27" s="554">
        <v>0.19110781098688531</v>
      </c>
    </row>
    <row r="28" spans="1:16" ht="18" customHeight="1">
      <c r="A28" s="550" t="s">
        <v>204</v>
      </c>
      <c r="B28" s="1028">
        <v>1464.4204150156838</v>
      </c>
      <c r="C28" s="1039">
        <v>1.9766790221602824</v>
      </c>
      <c r="D28" s="551"/>
      <c r="E28" s="551"/>
      <c r="F28" s="1028">
        <v>4266.4502857782491</v>
      </c>
      <c r="G28" s="1039">
        <v>116.74929100407792</v>
      </c>
      <c r="H28" s="1028">
        <v>836.94379498068054</v>
      </c>
      <c r="I28" s="554">
        <v>11.437865254730665</v>
      </c>
      <c r="J28" s="551"/>
      <c r="K28" s="551"/>
      <c r="L28" s="1028">
        <v>5218.3764366042442</v>
      </c>
      <c r="M28" s="554">
        <v>43.059217568403753</v>
      </c>
    </row>
    <row r="29" spans="1:16" s="542" customFormat="1" ht="18">
      <c r="A29" s="1029" t="s">
        <v>205</v>
      </c>
      <c r="B29" s="1030">
        <f>SUM(B21:B28)</f>
        <v>36807.930742904689</v>
      </c>
      <c r="C29" s="1050">
        <f t="shared" ref="C29:I29" si="1">SUM(C21:C28)</f>
        <v>4.2003907408399961</v>
      </c>
      <c r="D29" s="1029"/>
      <c r="E29" s="1029"/>
      <c r="F29" s="1030">
        <f t="shared" si="1"/>
        <v>30009.069257095325</v>
      </c>
      <c r="G29" s="1050">
        <f t="shared" si="1"/>
        <v>416.04460925916004</v>
      </c>
      <c r="H29" s="1030">
        <f t="shared" si="1"/>
        <v>6171.8912933450192</v>
      </c>
      <c r="I29" s="1031">
        <f t="shared" si="1"/>
        <v>13.825781304588849</v>
      </c>
      <c r="J29" s="1029"/>
      <c r="K29" s="1029"/>
      <c r="L29" s="1030">
        <f>SUM(L21:L28)</f>
        <v>67602.108706654981</v>
      </c>
      <c r="M29" s="1031">
        <f>SUM(M21:M28)</f>
        <v>204.09697655068715</v>
      </c>
      <c r="O29" s="1051"/>
      <c r="P29" s="1052"/>
    </row>
    <row r="30" spans="1:16" ht="18">
      <c r="A30" s="556"/>
      <c r="B30" s="556"/>
      <c r="C30" s="546"/>
      <c r="D30" s="556"/>
      <c r="E30" s="556"/>
      <c r="F30" s="556"/>
    </row>
    <row r="31" spans="1:16" ht="18">
      <c r="A31" s="556"/>
      <c r="B31" s="556"/>
      <c r="C31" s="546"/>
      <c r="D31" s="556"/>
      <c r="E31" s="556"/>
      <c r="F31" s="556"/>
      <c r="J31" s="557"/>
    </row>
    <row r="32" spans="1:16" ht="18">
      <c r="A32" s="546"/>
      <c r="B32" s="556"/>
      <c r="C32" s="546"/>
      <c r="D32" s="546"/>
      <c r="E32" s="556"/>
      <c r="F32" s="556"/>
      <c r="J32" s="557"/>
    </row>
    <row r="33" spans="1:8" ht="18">
      <c r="A33" s="556"/>
      <c r="B33" s="546"/>
      <c r="C33" s="1037"/>
      <c r="D33" s="546"/>
      <c r="E33" s="556"/>
      <c r="F33" s="556"/>
      <c r="G33" s="557"/>
      <c r="H33" s="557"/>
    </row>
    <row r="34" spans="1:8" ht="18">
      <c r="A34" s="556"/>
      <c r="B34" s="546"/>
      <c r="C34" s="1037"/>
      <c r="D34" s="546"/>
      <c r="E34" s="556"/>
      <c r="F34" s="556"/>
      <c r="G34" s="557"/>
      <c r="H34" s="557"/>
    </row>
    <row r="35" spans="1:8" ht="18">
      <c r="A35" s="556"/>
      <c r="B35" s="546"/>
      <c r="C35" s="1037"/>
      <c r="D35" s="546"/>
      <c r="E35" s="556"/>
      <c r="F35" s="556"/>
      <c r="G35" s="557"/>
      <c r="H35" s="557"/>
    </row>
    <row r="36" spans="1:8" ht="18">
      <c r="A36" s="556"/>
      <c r="B36" s="546"/>
      <c r="C36" s="1037"/>
      <c r="D36" s="546"/>
      <c r="E36" s="556"/>
      <c r="F36" s="556"/>
      <c r="G36" s="557"/>
      <c r="H36" s="557"/>
    </row>
    <row r="37" spans="1:8" ht="18">
      <c r="A37" s="556"/>
      <c r="B37" s="546"/>
      <c r="C37" s="1037"/>
      <c r="D37" s="546"/>
      <c r="E37" s="556"/>
      <c r="F37" s="556"/>
      <c r="G37" s="557"/>
      <c r="H37" s="557"/>
    </row>
    <row r="38" spans="1:8" ht="18">
      <c r="A38" s="556"/>
      <c r="B38" s="546"/>
      <c r="C38" s="1037"/>
      <c r="D38" s="546"/>
      <c r="E38" s="556"/>
      <c r="F38" s="556"/>
      <c r="G38" s="557"/>
      <c r="H38" s="557"/>
    </row>
    <row r="39" spans="1:8" ht="18">
      <c r="A39" s="556"/>
      <c r="B39" s="546"/>
      <c r="C39" s="1037"/>
      <c r="D39" s="546"/>
      <c r="E39" s="556"/>
      <c r="F39" s="556"/>
      <c r="G39" s="557"/>
      <c r="H39" s="557"/>
    </row>
    <row r="40" spans="1:8" ht="18">
      <c r="A40" s="546"/>
      <c r="B40" s="546"/>
      <c r="C40" s="1037"/>
      <c r="D40" s="546"/>
      <c r="E40" s="556"/>
      <c r="F40" s="556"/>
      <c r="G40" s="557"/>
      <c r="H40" s="557"/>
    </row>
    <row r="41" spans="1:8" ht="18">
      <c r="A41" s="546"/>
      <c r="B41" s="546"/>
      <c r="C41" s="1037"/>
      <c r="D41" s="546"/>
      <c r="E41" s="1038"/>
      <c r="F41" s="1038"/>
      <c r="G41" s="557"/>
      <c r="H41" s="557"/>
    </row>
    <row r="42" spans="1:8" ht="18">
      <c r="A42" s="558"/>
      <c r="B42" s="546"/>
      <c r="C42" s="546"/>
      <c r="D42" s="546"/>
      <c r="E42" s="546"/>
      <c r="F42" s="546"/>
      <c r="H42" s="557"/>
    </row>
    <row r="43" spans="1:8">
      <c r="H43" s="557"/>
    </row>
    <row r="44" spans="1:8">
      <c r="H44" s="557"/>
    </row>
    <row r="45" spans="1:8">
      <c r="B45" s="219"/>
      <c r="C45" s="219"/>
      <c r="H45" s="557"/>
    </row>
    <row r="46" spans="1:8">
      <c r="G46" s="326"/>
      <c r="H46" s="557"/>
    </row>
    <row r="47" spans="1:8">
      <c r="G47" s="326"/>
      <c r="H47" s="557"/>
    </row>
    <row r="48" spans="1:8">
      <c r="B48" s="1036"/>
      <c r="C48" s="1036"/>
      <c r="D48" s="1036"/>
      <c r="E48" s="1036"/>
    </row>
    <row r="49" spans="2:5">
      <c r="B49" s="1036"/>
      <c r="C49" s="1036"/>
      <c r="D49" s="1036"/>
      <c r="E49" s="1036"/>
    </row>
    <row r="50" spans="2:5">
      <c r="B50" s="1036"/>
      <c r="C50" s="1036"/>
      <c r="D50" s="1036"/>
      <c r="E50" s="1036"/>
    </row>
    <row r="51" spans="2:5">
      <c r="B51" s="1036"/>
      <c r="C51" s="1036"/>
      <c r="D51" s="1036"/>
      <c r="E51" s="1036"/>
    </row>
    <row r="52" spans="2:5">
      <c r="B52" s="1036"/>
      <c r="C52" s="1036"/>
      <c r="D52" s="1036"/>
      <c r="E52" s="1036"/>
    </row>
    <row r="53" spans="2:5">
      <c r="B53" s="1036"/>
      <c r="C53" s="1036"/>
      <c r="D53" s="1036"/>
      <c r="E53" s="1036"/>
    </row>
    <row r="54" spans="2:5">
      <c r="B54" s="1036"/>
      <c r="C54" s="1036"/>
      <c r="D54" s="1036"/>
      <c r="E54" s="1036"/>
    </row>
    <row r="55" spans="2:5">
      <c r="B55" s="1036"/>
      <c r="C55" s="1036"/>
      <c r="D55" s="1036"/>
      <c r="E55" s="1036"/>
    </row>
    <row r="56" spans="2:5">
      <c r="B56" s="1036">
        <f>B45*B57</f>
        <v>0</v>
      </c>
      <c r="C56" s="1036"/>
      <c r="D56" s="1036"/>
      <c r="E56" s="1036">
        <f>C45*B57</f>
        <v>0</v>
      </c>
    </row>
    <row r="57" spans="2:5">
      <c r="B57" s="541">
        <f>B15</f>
        <v>66817</v>
      </c>
    </row>
    <row r="61" spans="2:5">
      <c r="B61" s="1036">
        <f>B56+E56</f>
        <v>0</v>
      </c>
    </row>
  </sheetData>
  <mergeCells count="10">
    <mergeCell ref="B4:F4"/>
    <mergeCell ref="G4:K4"/>
    <mergeCell ref="B17:F17"/>
    <mergeCell ref="H17:L17"/>
    <mergeCell ref="B18:C18"/>
    <mergeCell ref="D18:E18"/>
    <mergeCell ref="F18:G18"/>
    <mergeCell ref="H18:I18"/>
    <mergeCell ref="J18:K18"/>
    <mergeCell ref="L18:M18"/>
  </mergeCells>
  <printOptions horizontalCentered="1"/>
  <pageMargins left="0.39370078740157483" right="0.31496062992125984" top="0.62992125984251968" bottom="0.47244094488188981" header="0.51181102362204722" footer="0.51181102362204722"/>
  <pageSetup paperSize="9" scale="59" orientation="landscape" errors="blank" r:id="rId1"/>
  <headerFooter alignWithMargins="0">
    <oddFooter>&amp;R&amp;"Arial,Bold"&amp;12OERC FORM &amp;A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U272"/>
  <sheetViews>
    <sheetView view="pageBreakPreview" topLeftCell="A59" zoomScale="85" zoomScaleSheetLayoutView="85" workbookViewId="0">
      <selection activeCell="I69" sqref="I69"/>
    </sheetView>
  </sheetViews>
  <sheetFormatPr defaultColWidth="14.7109375" defaultRowHeight="25.5"/>
  <cols>
    <col min="1" max="1" width="6.42578125" style="38" customWidth="1"/>
    <col min="2" max="2" width="34" style="38" customWidth="1"/>
    <col min="3" max="3" width="9.85546875" style="38" customWidth="1"/>
    <col min="4" max="4" width="10.85546875" style="38" customWidth="1"/>
    <col min="5" max="5" width="11.28515625" style="38" customWidth="1"/>
    <col min="6" max="6" width="10.28515625" style="38" customWidth="1"/>
    <col min="7" max="7" width="9.85546875" style="38" customWidth="1"/>
    <col min="8" max="8" width="11.42578125" style="38" customWidth="1"/>
    <col min="9" max="9" width="12.7109375" style="38" customWidth="1"/>
    <col min="10" max="10" width="12.28515625" style="38" customWidth="1"/>
    <col min="11" max="11" width="14.7109375" style="218" customWidth="1"/>
    <col min="12" max="12" width="18.85546875" style="38" bestFit="1" customWidth="1"/>
    <col min="13" max="16384" width="14.7109375" style="38"/>
  </cols>
  <sheetData>
    <row r="1" spans="1:99">
      <c r="H1" s="40" t="s">
        <v>0</v>
      </c>
      <c r="I1" s="65" t="s">
        <v>210</v>
      </c>
    </row>
    <row r="2" spans="1:99">
      <c r="B2" s="61" t="s">
        <v>106</v>
      </c>
    </row>
    <row r="3" spans="1:99">
      <c r="B3" s="397" t="s">
        <v>211</v>
      </c>
      <c r="F3" s="267"/>
      <c r="G3" s="267"/>
    </row>
    <row r="4" spans="1:99">
      <c r="B4" s="65" t="s">
        <v>212</v>
      </c>
      <c r="H4" s="398"/>
    </row>
    <row r="5" spans="1:99">
      <c r="C5" s="1801" t="s">
        <v>213</v>
      </c>
      <c r="D5" s="1801"/>
      <c r="E5" s="1801"/>
      <c r="F5" s="1801"/>
      <c r="G5" s="1801"/>
      <c r="H5" s="1801"/>
    </row>
    <row r="6" spans="1:99" ht="15" customHeight="1"/>
    <row r="7" spans="1:99" ht="20.25" customHeight="1">
      <c r="A7" s="1798" t="s">
        <v>214</v>
      </c>
      <c r="B7" s="1798" t="s">
        <v>215</v>
      </c>
      <c r="C7" s="1798" t="s">
        <v>216</v>
      </c>
      <c r="D7" s="1798" t="s">
        <v>217</v>
      </c>
      <c r="E7" s="1798" t="s">
        <v>218</v>
      </c>
      <c r="F7" s="1798" t="s">
        <v>219</v>
      </c>
      <c r="G7" s="1798" t="s">
        <v>220</v>
      </c>
      <c r="H7" s="1798" t="s">
        <v>221</v>
      </c>
      <c r="I7" s="1798" t="s">
        <v>222</v>
      </c>
      <c r="J7" s="1798" t="s">
        <v>223</v>
      </c>
      <c r="L7" s="505"/>
      <c r="M7" s="505"/>
      <c r="N7" s="505"/>
      <c r="O7" s="505"/>
      <c r="P7" s="505"/>
      <c r="Q7" s="505"/>
      <c r="R7" s="505"/>
      <c r="S7" s="505"/>
      <c r="T7" s="505"/>
      <c r="U7" s="505"/>
      <c r="V7" s="505"/>
      <c r="W7" s="505"/>
      <c r="X7" s="505"/>
      <c r="Y7" s="505"/>
      <c r="Z7" s="505"/>
      <c r="AA7" s="505"/>
      <c r="AB7" s="505"/>
      <c r="AC7" s="505"/>
      <c r="AD7" s="505"/>
      <c r="AE7" s="505"/>
      <c r="AF7" s="505"/>
      <c r="AG7" s="505"/>
      <c r="AH7" s="505"/>
      <c r="AI7" s="505"/>
      <c r="AJ7" s="505"/>
      <c r="AK7" s="505"/>
      <c r="AL7" s="505"/>
      <c r="AM7" s="505"/>
      <c r="AN7" s="505"/>
      <c r="AO7" s="505"/>
      <c r="AP7" s="505"/>
      <c r="AQ7" s="505"/>
      <c r="AR7" s="505"/>
      <c r="AS7" s="505"/>
      <c r="AT7" s="505"/>
      <c r="AU7" s="505"/>
      <c r="AV7" s="505"/>
      <c r="AW7" s="505"/>
      <c r="AX7" s="505"/>
      <c r="AY7" s="505"/>
      <c r="AZ7" s="505"/>
      <c r="BA7" s="505"/>
      <c r="BB7" s="505"/>
      <c r="BC7" s="505"/>
      <c r="BD7" s="505"/>
      <c r="BE7" s="505"/>
      <c r="BF7" s="505"/>
      <c r="BG7" s="505"/>
      <c r="BH7" s="505"/>
      <c r="BI7" s="505"/>
      <c r="BJ7" s="505"/>
      <c r="BK7" s="505"/>
      <c r="BL7" s="505"/>
      <c r="BM7" s="505"/>
      <c r="BN7" s="505"/>
      <c r="BO7" s="505"/>
      <c r="BP7" s="505"/>
      <c r="BQ7" s="505"/>
      <c r="BR7" s="505"/>
      <c r="BS7" s="505"/>
      <c r="BT7" s="505"/>
      <c r="BU7" s="505"/>
      <c r="BV7" s="505"/>
      <c r="BW7" s="505"/>
      <c r="BX7" s="505"/>
      <c r="BY7" s="505"/>
      <c r="BZ7" s="505"/>
      <c r="CA7" s="505"/>
      <c r="CB7" s="505"/>
      <c r="CC7" s="505"/>
      <c r="CD7" s="505"/>
      <c r="CE7" s="505"/>
      <c r="CF7" s="505"/>
      <c r="CG7" s="505"/>
      <c r="CH7" s="505"/>
      <c r="CI7" s="505"/>
      <c r="CJ7" s="505"/>
      <c r="CK7" s="505"/>
      <c r="CL7" s="505"/>
      <c r="CM7" s="505"/>
      <c r="CN7" s="505"/>
      <c r="CO7" s="505"/>
      <c r="CP7" s="505"/>
      <c r="CQ7" s="505"/>
      <c r="CR7" s="505"/>
      <c r="CS7" s="505"/>
      <c r="CT7" s="505"/>
      <c r="CU7" s="505"/>
    </row>
    <row r="8" spans="1:99" ht="28.5" customHeight="1">
      <c r="A8" s="1799"/>
      <c r="B8" s="1799"/>
      <c r="C8" s="1799"/>
      <c r="D8" s="1799"/>
      <c r="E8" s="1799"/>
      <c r="F8" s="1799"/>
      <c r="G8" s="1799"/>
      <c r="H8" s="1799"/>
      <c r="I8" s="1799"/>
      <c r="J8" s="1799" t="s">
        <v>224</v>
      </c>
      <c r="L8" s="505"/>
      <c r="M8" s="505"/>
      <c r="N8" s="505"/>
      <c r="O8" s="505"/>
      <c r="P8" s="505"/>
      <c r="Q8" s="505"/>
      <c r="R8" s="505"/>
      <c r="S8" s="505"/>
      <c r="T8" s="505"/>
      <c r="U8" s="505"/>
      <c r="V8" s="505"/>
      <c r="W8" s="505"/>
      <c r="X8" s="505"/>
      <c r="Y8" s="505"/>
      <c r="Z8" s="505"/>
      <c r="AA8" s="505"/>
      <c r="AB8" s="505"/>
      <c r="AC8" s="505"/>
      <c r="AD8" s="505"/>
      <c r="AE8" s="505"/>
      <c r="AF8" s="505"/>
      <c r="AG8" s="505"/>
      <c r="AH8" s="505"/>
      <c r="AI8" s="505"/>
      <c r="AJ8" s="505"/>
      <c r="AK8" s="505"/>
      <c r="AL8" s="505"/>
      <c r="AM8" s="505"/>
      <c r="AN8" s="505"/>
      <c r="AO8" s="505"/>
      <c r="AP8" s="505"/>
      <c r="AQ8" s="505"/>
      <c r="AR8" s="505"/>
      <c r="AS8" s="505"/>
      <c r="AT8" s="505"/>
      <c r="AU8" s="505"/>
      <c r="AV8" s="505"/>
      <c r="AW8" s="505"/>
      <c r="AX8" s="505"/>
      <c r="AY8" s="505"/>
      <c r="AZ8" s="505"/>
      <c r="BA8" s="505"/>
      <c r="BB8" s="505"/>
      <c r="BC8" s="505"/>
      <c r="BD8" s="505"/>
      <c r="BE8" s="505"/>
      <c r="BF8" s="505"/>
      <c r="BG8" s="505"/>
      <c r="BH8" s="505"/>
      <c r="BI8" s="505"/>
      <c r="BJ8" s="505"/>
      <c r="BK8" s="505"/>
      <c r="BL8" s="505"/>
      <c r="BM8" s="505"/>
      <c r="BN8" s="505"/>
      <c r="BO8" s="505"/>
      <c r="BP8" s="505"/>
      <c r="BQ8" s="505"/>
      <c r="BR8" s="505"/>
      <c r="BS8" s="505"/>
      <c r="BT8" s="505"/>
      <c r="BU8" s="505"/>
      <c r="BV8" s="505"/>
      <c r="BW8" s="505"/>
      <c r="BX8" s="505"/>
      <c r="BY8" s="505"/>
      <c r="BZ8" s="505"/>
      <c r="CA8" s="505"/>
      <c r="CB8" s="505"/>
      <c r="CC8" s="505"/>
      <c r="CD8" s="505"/>
      <c r="CE8" s="505"/>
      <c r="CF8" s="505"/>
      <c r="CG8" s="505"/>
      <c r="CH8" s="505"/>
      <c r="CI8" s="505"/>
      <c r="CJ8" s="505"/>
      <c r="CK8" s="505"/>
      <c r="CL8" s="505"/>
      <c r="CM8" s="505"/>
      <c r="CN8" s="505"/>
      <c r="CO8" s="505"/>
      <c r="CP8" s="505"/>
      <c r="CQ8" s="505"/>
      <c r="CR8" s="505"/>
      <c r="CS8" s="505"/>
      <c r="CT8" s="505"/>
      <c r="CU8" s="505"/>
    </row>
    <row r="9" spans="1:99" ht="36" customHeight="1">
      <c r="A9" s="1800"/>
      <c r="B9" s="1800"/>
      <c r="C9" s="1800"/>
      <c r="D9" s="1800"/>
      <c r="E9" s="1800"/>
      <c r="F9" s="1800"/>
      <c r="G9" s="1800"/>
      <c r="H9" s="1800"/>
      <c r="I9" s="1800"/>
      <c r="J9" s="1800"/>
      <c r="L9" s="505"/>
      <c r="M9" s="505"/>
      <c r="N9" s="505"/>
      <c r="O9" s="505"/>
      <c r="P9" s="505"/>
      <c r="Q9" s="505"/>
      <c r="R9" s="505"/>
      <c r="S9" s="505"/>
      <c r="T9" s="505"/>
      <c r="U9" s="505"/>
      <c r="V9" s="505"/>
      <c r="W9" s="505"/>
      <c r="X9" s="505"/>
      <c r="Y9" s="505"/>
      <c r="Z9" s="505"/>
      <c r="AA9" s="505"/>
      <c r="AB9" s="505"/>
      <c r="AC9" s="505"/>
      <c r="AD9" s="505"/>
      <c r="AE9" s="505"/>
      <c r="AF9" s="505"/>
      <c r="AG9" s="505"/>
      <c r="AH9" s="505"/>
      <c r="AI9" s="505"/>
      <c r="AJ9" s="505"/>
      <c r="AK9" s="505"/>
      <c r="AL9" s="505"/>
      <c r="AM9" s="505"/>
      <c r="AN9" s="505"/>
      <c r="AO9" s="505"/>
      <c r="AP9" s="505"/>
      <c r="AQ9" s="505"/>
      <c r="AR9" s="505"/>
      <c r="AS9" s="505"/>
      <c r="AT9" s="505"/>
      <c r="AU9" s="505"/>
      <c r="AV9" s="505"/>
      <c r="AW9" s="505"/>
      <c r="AX9" s="505"/>
      <c r="AY9" s="505"/>
      <c r="AZ9" s="505"/>
      <c r="BA9" s="505"/>
      <c r="BB9" s="505"/>
      <c r="BC9" s="505"/>
      <c r="BD9" s="505"/>
      <c r="BE9" s="505"/>
      <c r="BF9" s="505"/>
      <c r="BG9" s="505"/>
      <c r="BH9" s="505"/>
      <c r="BI9" s="505"/>
      <c r="BJ9" s="505"/>
      <c r="BK9" s="505"/>
      <c r="BL9" s="505"/>
      <c r="BM9" s="505"/>
      <c r="BN9" s="505"/>
      <c r="BO9" s="505"/>
      <c r="BP9" s="505"/>
      <c r="BQ9" s="505"/>
      <c r="BR9" s="505"/>
      <c r="BS9" s="505"/>
      <c r="BT9" s="505"/>
      <c r="BU9" s="505"/>
      <c r="BV9" s="505"/>
      <c r="BW9" s="505"/>
      <c r="BX9" s="505"/>
      <c r="BY9" s="505"/>
      <c r="BZ9" s="505"/>
      <c r="CA9" s="505"/>
      <c r="CB9" s="505"/>
      <c r="CC9" s="505"/>
      <c r="CD9" s="505"/>
      <c r="CE9" s="505"/>
      <c r="CF9" s="505"/>
      <c r="CG9" s="505"/>
      <c r="CH9" s="505"/>
      <c r="CI9" s="505"/>
      <c r="CJ9" s="505"/>
      <c r="CK9" s="505"/>
      <c r="CL9" s="505"/>
      <c r="CM9" s="505"/>
      <c r="CN9" s="505"/>
      <c r="CO9" s="505"/>
      <c r="CP9" s="505"/>
      <c r="CQ9" s="505"/>
      <c r="CR9" s="505"/>
      <c r="CS9" s="505"/>
      <c r="CT9" s="505"/>
      <c r="CU9" s="505"/>
    </row>
    <row r="10" spans="1:99" ht="21.75" customHeight="1">
      <c r="A10" s="103"/>
      <c r="B10" s="399" t="s">
        <v>173</v>
      </c>
      <c r="C10" s="104"/>
      <c r="D10" s="104"/>
      <c r="E10" s="103"/>
      <c r="F10" s="103"/>
      <c r="G10" s="103"/>
      <c r="H10" s="399"/>
      <c r="I10" s="103"/>
      <c r="J10" s="103"/>
      <c r="L10" s="505"/>
      <c r="M10" s="505"/>
      <c r="N10" s="505"/>
      <c r="O10" s="505"/>
      <c r="P10" s="505"/>
      <c r="Q10" s="505"/>
      <c r="R10" s="505"/>
      <c r="S10" s="505"/>
      <c r="T10" s="505"/>
      <c r="U10" s="505"/>
      <c r="V10" s="505"/>
      <c r="W10" s="505"/>
      <c r="X10" s="505"/>
      <c r="Y10" s="505"/>
      <c r="Z10" s="505"/>
      <c r="AA10" s="505"/>
      <c r="AB10" s="505"/>
      <c r="AC10" s="505"/>
      <c r="AD10" s="505"/>
      <c r="AE10" s="505"/>
      <c r="AF10" s="505"/>
      <c r="AG10" s="505"/>
      <c r="AH10" s="505"/>
      <c r="AI10" s="505"/>
      <c r="AJ10" s="505"/>
      <c r="AK10" s="505"/>
      <c r="AL10" s="505"/>
      <c r="AM10" s="505"/>
      <c r="AN10" s="505"/>
      <c r="AO10" s="505"/>
      <c r="AP10" s="505"/>
      <c r="AQ10" s="505"/>
      <c r="AR10" s="505"/>
      <c r="AS10" s="505"/>
      <c r="AT10" s="505"/>
      <c r="AU10" s="505"/>
      <c r="AV10" s="505"/>
      <c r="AW10" s="505"/>
      <c r="AX10" s="505"/>
      <c r="AY10" s="505"/>
      <c r="AZ10" s="505"/>
      <c r="BA10" s="505"/>
      <c r="BB10" s="505"/>
      <c r="BC10" s="505"/>
      <c r="BD10" s="505"/>
      <c r="BE10" s="505"/>
      <c r="BF10" s="505"/>
      <c r="BG10" s="505"/>
      <c r="BH10" s="505"/>
      <c r="BI10" s="505"/>
      <c r="BJ10" s="505"/>
      <c r="BK10" s="505"/>
      <c r="BL10" s="505"/>
      <c r="BM10" s="505"/>
      <c r="BN10" s="505"/>
      <c r="BO10" s="505"/>
      <c r="BP10" s="505"/>
      <c r="BQ10" s="505"/>
      <c r="BR10" s="505"/>
      <c r="BS10" s="505"/>
      <c r="BT10" s="505"/>
      <c r="BU10" s="505"/>
      <c r="BV10" s="505"/>
      <c r="BW10" s="505"/>
      <c r="BX10" s="505"/>
      <c r="BY10" s="505"/>
      <c r="BZ10" s="505"/>
      <c r="CA10" s="505"/>
      <c r="CB10" s="505"/>
      <c r="CC10" s="505"/>
      <c r="CD10" s="505"/>
      <c r="CE10" s="505"/>
      <c r="CF10" s="505"/>
      <c r="CG10" s="505"/>
      <c r="CH10" s="505"/>
      <c r="CI10" s="505"/>
      <c r="CJ10" s="505"/>
      <c r="CK10" s="505"/>
      <c r="CL10" s="505"/>
      <c r="CM10" s="505"/>
      <c r="CN10" s="505"/>
      <c r="CO10" s="505"/>
      <c r="CP10" s="505"/>
      <c r="CQ10" s="505"/>
      <c r="CR10" s="505"/>
      <c r="CS10" s="505"/>
      <c r="CT10" s="505"/>
      <c r="CU10" s="505"/>
    </row>
    <row r="11" spans="1:99" ht="20.100000000000001" customHeight="1">
      <c r="A11" s="400">
        <v>1</v>
      </c>
      <c r="B11" s="380" t="s">
        <v>174</v>
      </c>
      <c r="C11" s="400"/>
      <c r="D11" s="400"/>
      <c r="E11" s="400"/>
      <c r="F11" s="400"/>
      <c r="G11" s="400"/>
      <c r="H11" s="400"/>
      <c r="I11" s="400"/>
      <c r="J11" s="400"/>
      <c r="L11" s="505"/>
      <c r="M11" s="505"/>
      <c r="N11" s="505"/>
      <c r="O11" s="505"/>
      <c r="P11" s="505"/>
      <c r="Q11" s="505"/>
      <c r="R11" s="505"/>
      <c r="S11" s="505"/>
      <c r="T11" s="505"/>
      <c r="U11" s="505"/>
      <c r="V11" s="505"/>
      <c r="W11" s="505"/>
      <c r="X11" s="505"/>
      <c r="Y11" s="505"/>
      <c r="Z11" s="505"/>
      <c r="AA11" s="505"/>
      <c r="AB11" s="505"/>
      <c r="AC11" s="505"/>
      <c r="AD11" s="505"/>
      <c r="AE11" s="505"/>
      <c r="AF11" s="505"/>
      <c r="AG11" s="505"/>
      <c r="AH11" s="505"/>
      <c r="AI11" s="505"/>
      <c r="AJ11" s="505"/>
      <c r="AK11" s="505"/>
      <c r="AL11" s="505"/>
      <c r="AM11" s="505"/>
      <c r="AN11" s="505"/>
      <c r="AO11" s="505"/>
      <c r="AP11" s="505"/>
      <c r="AQ11" s="505"/>
      <c r="AR11" s="505"/>
      <c r="AS11" s="505"/>
      <c r="AT11" s="505"/>
      <c r="AU11" s="505"/>
      <c r="AV11" s="505"/>
      <c r="AW11" s="505"/>
      <c r="AX11" s="505"/>
      <c r="AY11" s="505"/>
      <c r="AZ11" s="505"/>
      <c r="BA11" s="505"/>
      <c r="BB11" s="505"/>
      <c r="BC11" s="505"/>
      <c r="BD11" s="505"/>
      <c r="BE11" s="505"/>
      <c r="BF11" s="505"/>
      <c r="BG11" s="505"/>
      <c r="BH11" s="505"/>
      <c r="BI11" s="505"/>
      <c r="BJ11" s="505"/>
      <c r="BK11" s="505"/>
      <c r="BL11" s="505"/>
      <c r="BM11" s="505"/>
      <c r="BN11" s="505"/>
      <c r="BO11" s="505"/>
      <c r="BP11" s="505"/>
      <c r="BQ11" s="505"/>
      <c r="BR11" s="505"/>
      <c r="BS11" s="505"/>
      <c r="BT11" s="505"/>
      <c r="BU11" s="505"/>
      <c r="BV11" s="505"/>
      <c r="BW11" s="505"/>
      <c r="BX11" s="505"/>
      <c r="BY11" s="505"/>
      <c r="BZ11" s="505"/>
      <c r="CA11" s="505"/>
      <c r="CB11" s="505"/>
      <c r="CC11" s="505"/>
      <c r="CD11" s="505"/>
      <c r="CE11" s="505"/>
      <c r="CF11" s="505"/>
      <c r="CG11" s="505"/>
      <c r="CH11" s="505"/>
      <c r="CI11" s="505"/>
      <c r="CJ11" s="505"/>
      <c r="CK11" s="505"/>
      <c r="CL11" s="505"/>
      <c r="CM11" s="505"/>
      <c r="CN11" s="505"/>
      <c r="CO11" s="505"/>
      <c r="CP11" s="505"/>
      <c r="CQ11" s="505"/>
      <c r="CR11" s="505"/>
      <c r="CS11" s="505"/>
      <c r="CT11" s="505"/>
      <c r="CU11" s="505"/>
    </row>
    <row r="12" spans="1:99" ht="20.100000000000001" customHeight="1">
      <c r="A12" s="400" t="s">
        <v>175</v>
      </c>
      <c r="B12" s="380" t="s">
        <v>176</v>
      </c>
      <c r="C12" s="818">
        <v>6.3701879999999989</v>
      </c>
      <c r="D12" s="818">
        <v>8.3518799999999995</v>
      </c>
      <c r="E12" s="818">
        <v>5.4327210000000017</v>
      </c>
      <c r="F12" s="818">
        <v>10.273700999999999</v>
      </c>
      <c r="G12" s="818">
        <v>15.125270999999998</v>
      </c>
      <c r="H12" s="110">
        <f>'T-2(21-22)'!E43</f>
        <v>45.554000000000002</v>
      </c>
      <c r="I12" s="333">
        <f>'T-2(21-22)'!K39</f>
        <v>1219.0260000000001</v>
      </c>
      <c r="J12" s="401">
        <f>I12/H12*10</f>
        <v>267.60021073890329</v>
      </c>
      <c r="L12" s="505"/>
      <c r="M12" s="505"/>
      <c r="N12" s="505"/>
      <c r="O12" s="505"/>
      <c r="P12" s="505"/>
      <c r="Q12" s="505"/>
      <c r="R12" s="505"/>
      <c r="S12" s="505"/>
      <c r="T12" s="505"/>
      <c r="U12" s="505"/>
      <c r="V12" s="505"/>
      <c r="W12" s="505"/>
      <c r="X12" s="505"/>
      <c r="Y12" s="505"/>
      <c r="Z12" s="505"/>
      <c r="AA12" s="505"/>
      <c r="AB12" s="505"/>
      <c r="AC12" s="505"/>
      <c r="AD12" s="505"/>
      <c r="AE12" s="505"/>
      <c r="AF12" s="505"/>
      <c r="AG12" s="505"/>
      <c r="AH12" s="505"/>
      <c r="AI12" s="505"/>
      <c r="AJ12" s="505"/>
      <c r="AK12" s="505"/>
      <c r="AL12" s="505"/>
      <c r="AM12" s="505"/>
      <c r="AN12" s="505"/>
      <c r="AO12" s="505"/>
      <c r="AP12" s="505"/>
      <c r="AQ12" s="505"/>
      <c r="AR12" s="505"/>
      <c r="AS12" s="505"/>
      <c r="AT12" s="505"/>
      <c r="AU12" s="505"/>
      <c r="AV12" s="505"/>
      <c r="AW12" s="505"/>
      <c r="AX12" s="505"/>
      <c r="AY12" s="505"/>
      <c r="AZ12" s="505"/>
      <c r="BA12" s="505"/>
      <c r="BB12" s="505"/>
      <c r="BC12" s="505"/>
      <c r="BD12" s="505"/>
      <c r="BE12" s="505"/>
      <c r="BF12" s="505"/>
      <c r="BG12" s="505"/>
      <c r="BH12" s="505"/>
      <c r="BI12" s="505"/>
      <c r="BJ12" s="505"/>
      <c r="BK12" s="505"/>
      <c r="BL12" s="505"/>
      <c r="BM12" s="505"/>
      <c r="BN12" s="505"/>
      <c r="BO12" s="505"/>
      <c r="BP12" s="505"/>
      <c r="BQ12" s="505"/>
      <c r="BR12" s="505"/>
      <c r="BS12" s="505"/>
      <c r="BT12" s="505"/>
      <c r="BU12" s="505"/>
      <c r="BV12" s="505"/>
      <c r="BW12" s="505"/>
      <c r="BX12" s="505"/>
      <c r="BY12" s="505"/>
      <c r="BZ12" s="505"/>
      <c r="CA12" s="505"/>
      <c r="CB12" s="505"/>
      <c r="CC12" s="505"/>
      <c r="CD12" s="505"/>
      <c r="CE12" s="505"/>
      <c r="CF12" s="505"/>
      <c r="CG12" s="505"/>
      <c r="CH12" s="505"/>
      <c r="CI12" s="505"/>
      <c r="CJ12" s="505"/>
      <c r="CK12" s="505"/>
      <c r="CL12" s="505"/>
      <c r="CM12" s="505"/>
      <c r="CN12" s="505"/>
      <c r="CO12" s="505"/>
      <c r="CP12" s="505"/>
      <c r="CQ12" s="505"/>
      <c r="CR12" s="505"/>
      <c r="CS12" s="505"/>
      <c r="CT12" s="505"/>
      <c r="CU12" s="505"/>
    </row>
    <row r="13" spans="1:99" ht="20.100000000000001" customHeight="1">
      <c r="A13" s="400" t="s">
        <v>177</v>
      </c>
      <c r="B13" s="380" t="s">
        <v>50</v>
      </c>
      <c r="C13" s="818">
        <v>448.3615213010799</v>
      </c>
      <c r="D13" s="818">
        <v>316.90589407592995</v>
      </c>
      <c r="E13" s="818">
        <v>376.36782435542989</v>
      </c>
      <c r="F13" s="818">
        <v>386.64500421330007</v>
      </c>
      <c r="G13" s="818">
        <v>255.21588047942996</v>
      </c>
      <c r="H13" s="110"/>
      <c r="I13" s="333"/>
      <c r="J13" s="401" t="e">
        <f>I13/H13*10</f>
        <v>#DIV/0!</v>
      </c>
      <c r="L13" s="505"/>
      <c r="M13" s="505"/>
      <c r="N13" s="505"/>
      <c r="O13" s="505"/>
      <c r="P13" s="505"/>
      <c r="Q13" s="505"/>
      <c r="R13" s="505"/>
      <c r="S13" s="505"/>
      <c r="T13" s="505"/>
      <c r="U13" s="505"/>
      <c r="V13" s="505"/>
      <c r="W13" s="505"/>
      <c r="X13" s="505"/>
      <c r="Y13" s="505"/>
      <c r="Z13" s="505"/>
      <c r="AA13" s="505"/>
      <c r="AB13" s="505"/>
      <c r="AC13" s="505"/>
      <c r="AD13" s="505"/>
      <c r="AE13" s="505"/>
      <c r="AF13" s="505"/>
      <c r="AG13" s="505"/>
      <c r="AH13" s="505"/>
      <c r="AI13" s="505"/>
      <c r="AJ13" s="505"/>
      <c r="AK13" s="505"/>
      <c r="AL13" s="505"/>
      <c r="AM13" s="505"/>
      <c r="AN13" s="505"/>
      <c r="AO13" s="505"/>
      <c r="AP13" s="505"/>
      <c r="AQ13" s="505"/>
      <c r="AR13" s="505"/>
      <c r="AS13" s="505"/>
      <c r="AT13" s="505"/>
      <c r="AU13" s="505"/>
      <c r="AV13" s="505"/>
      <c r="AW13" s="505"/>
      <c r="AX13" s="505"/>
      <c r="AY13" s="505"/>
      <c r="AZ13" s="505"/>
      <c r="BA13" s="505"/>
      <c r="BB13" s="505"/>
      <c r="BC13" s="505"/>
      <c r="BD13" s="505"/>
      <c r="BE13" s="505"/>
      <c r="BF13" s="505"/>
      <c r="BG13" s="505"/>
      <c r="BH13" s="505"/>
      <c r="BI13" s="505"/>
      <c r="BJ13" s="505"/>
      <c r="BK13" s="505"/>
      <c r="BL13" s="505"/>
      <c r="BM13" s="505"/>
      <c r="BN13" s="505"/>
      <c r="BO13" s="505"/>
      <c r="BP13" s="505"/>
      <c r="BQ13" s="505"/>
      <c r="BR13" s="505"/>
      <c r="BS13" s="505"/>
      <c r="BT13" s="505"/>
      <c r="BU13" s="505"/>
      <c r="BV13" s="505"/>
      <c r="BW13" s="505"/>
      <c r="BX13" s="505"/>
      <c r="BY13" s="505"/>
      <c r="BZ13" s="505"/>
      <c r="CA13" s="505"/>
      <c r="CB13" s="505"/>
      <c r="CC13" s="505"/>
      <c r="CD13" s="505"/>
      <c r="CE13" s="505"/>
      <c r="CF13" s="505"/>
      <c r="CG13" s="505"/>
      <c r="CH13" s="505"/>
      <c r="CI13" s="505"/>
      <c r="CJ13" s="505"/>
      <c r="CK13" s="505"/>
      <c r="CL13" s="505"/>
      <c r="CM13" s="505"/>
      <c r="CN13" s="505"/>
      <c r="CO13" s="505"/>
      <c r="CP13" s="505"/>
      <c r="CQ13" s="505"/>
      <c r="CR13" s="505"/>
      <c r="CS13" s="505"/>
      <c r="CT13" s="505"/>
      <c r="CU13" s="505"/>
    </row>
    <row r="14" spans="1:99" ht="20.100000000000001" customHeight="1">
      <c r="A14" s="400"/>
      <c r="B14" s="380" t="s">
        <v>178</v>
      </c>
      <c r="C14" s="378"/>
      <c r="D14" s="378"/>
      <c r="E14" s="378"/>
      <c r="F14" s="378"/>
      <c r="G14" s="378"/>
      <c r="H14" s="378">
        <f>'T-2(21-22)'!F43</f>
        <v>202.21553669089846</v>
      </c>
      <c r="I14" s="333"/>
      <c r="J14" s="333"/>
      <c r="L14" s="505"/>
      <c r="M14" s="505"/>
      <c r="N14" s="505"/>
      <c r="O14" s="505"/>
      <c r="P14" s="505"/>
      <c r="Q14" s="505"/>
      <c r="R14" s="505"/>
      <c r="S14" s="505"/>
      <c r="T14" s="505"/>
      <c r="U14" s="505"/>
      <c r="V14" s="505"/>
      <c r="W14" s="505"/>
      <c r="X14" s="505"/>
      <c r="Y14" s="505"/>
      <c r="Z14" s="505"/>
      <c r="AA14" s="505"/>
      <c r="AB14" s="505"/>
      <c r="AC14" s="505"/>
      <c r="AD14" s="505"/>
      <c r="AE14" s="505"/>
      <c r="AF14" s="505"/>
      <c r="AG14" s="505"/>
      <c r="AH14" s="505"/>
      <c r="AI14" s="505"/>
      <c r="AJ14" s="505"/>
      <c r="AK14" s="505"/>
      <c r="AL14" s="505"/>
      <c r="AM14" s="505"/>
      <c r="AN14" s="505"/>
      <c r="AO14" s="505"/>
      <c r="AP14" s="505"/>
      <c r="AQ14" s="505"/>
      <c r="AR14" s="505"/>
      <c r="AS14" s="505"/>
      <c r="AT14" s="505"/>
      <c r="AU14" s="505"/>
      <c r="AV14" s="505"/>
      <c r="AW14" s="505"/>
      <c r="AX14" s="505"/>
      <c r="AY14" s="505"/>
      <c r="AZ14" s="505"/>
      <c r="BA14" s="505"/>
      <c r="BB14" s="505"/>
      <c r="BC14" s="505"/>
      <c r="BD14" s="505"/>
      <c r="BE14" s="505"/>
      <c r="BF14" s="505"/>
      <c r="BG14" s="505"/>
      <c r="BH14" s="505"/>
      <c r="BI14" s="505"/>
      <c r="BJ14" s="505"/>
      <c r="BK14" s="505"/>
      <c r="BL14" s="505"/>
      <c r="BM14" s="505"/>
      <c r="BN14" s="505"/>
      <c r="BO14" s="505"/>
      <c r="BP14" s="505"/>
      <c r="BQ14" s="505"/>
      <c r="BR14" s="505"/>
      <c r="BS14" s="505"/>
      <c r="BT14" s="505"/>
      <c r="BU14" s="505"/>
      <c r="BV14" s="505"/>
      <c r="BW14" s="505"/>
      <c r="BX14" s="505"/>
      <c r="BY14" s="505"/>
      <c r="BZ14" s="505"/>
      <c r="CA14" s="505"/>
      <c r="CB14" s="505"/>
      <c r="CC14" s="505"/>
      <c r="CD14" s="505"/>
      <c r="CE14" s="505"/>
      <c r="CF14" s="505"/>
      <c r="CG14" s="505"/>
      <c r="CH14" s="505"/>
      <c r="CI14" s="505"/>
      <c r="CJ14" s="505"/>
      <c r="CK14" s="505"/>
      <c r="CL14" s="505"/>
      <c r="CM14" s="505"/>
      <c r="CN14" s="505"/>
      <c r="CO14" s="505"/>
      <c r="CP14" s="505"/>
      <c r="CQ14" s="505"/>
      <c r="CR14" s="505"/>
      <c r="CS14" s="505"/>
      <c r="CT14" s="505"/>
      <c r="CU14" s="505"/>
    </row>
    <row r="15" spans="1:99" ht="20.100000000000001" customHeight="1">
      <c r="A15" s="400"/>
      <c r="B15" s="380" t="s">
        <v>53</v>
      </c>
      <c r="C15" s="378"/>
      <c r="D15" s="378"/>
      <c r="E15" s="378"/>
      <c r="F15" s="378"/>
      <c r="G15" s="378"/>
      <c r="H15" s="378">
        <f>'T-2(21-22)'!G43</f>
        <v>679.77886340303871</v>
      </c>
      <c r="I15" s="333"/>
      <c r="J15" s="333"/>
      <c r="K15" s="559"/>
      <c r="L15" s="505"/>
      <c r="M15" s="505"/>
      <c r="N15" s="505"/>
      <c r="O15" s="505"/>
      <c r="P15" s="505"/>
      <c r="Q15" s="505"/>
      <c r="R15" s="505"/>
      <c r="S15" s="505"/>
      <c r="T15" s="505"/>
      <c r="U15" s="505"/>
      <c r="V15" s="505"/>
      <c r="W15" s="505"/>
      <c r="X15" s="505"/>
      <c r="Y15" s="505"/>
      <c r="Z15" s="505"/>
      <c r="AA15" s="505"/>
      <c r="AB15" s="505"/>
      <c r="AC15" s="505"/>
      <c r="AD15" s="505"/>
      <c r="AE15" s="505"/>
      <c r="AF15" s="505"/>
      <c r="AG15" s="505"/>
      <c r="AH15" s="505"/>
      <c r="AI15" s="505"/>
      <c r="AJ15" s="505"/>
      <c r="AK15" s="505"/>
      <c r="AL15" s="505"/>
      <c r="AM15" s="505"/>
      <c r="AN15" s="505"/>
      <c r="AO15" s="505"/>
      <c r="AP15" s="505"/>
      <c r="AQ15" s="505"/>
      <c r="AR15" s="505"/>
      <c r="AS15" s="505"/>
      <c r="AT15" s="505"/>
      <c r="AU15" s="505"/>
      <c r="AV15" s="505"/>
      <c r="AW15" s="505"/>
      <c r="AX15" s="505"/>
      <c r="AY15" s="505"/>
      <c r="AZ15" s="505"/>
      <c r="BA15" s="505"/>
      <c r="BB15" s="505"/>
      <c r="BC15" s="505"/>
      <c r="BD15" s="505"/>
      <c r="BE15" s="505"/>
      <c r="BF15" s="505"/>
      <c r="BG15" s="505"/>
      <c r="BH15" s="505"/>
      <c r="BI15" s="505"/>
      <c r="BJ15" s="505"/>
      <c r="BK15" s="505"/>
      <c r="BL15" s="505"/>
      <c r="BM15" s="505"/>
      <c r="BN15" s="505"/>
      <c r="BO15" s="505"/>
      <c r="BP15" s="505"/>
      <c r="BQ15" s="505"/>
      <c r="BR15" s="505"/>
      <c r="BS15" s="505"/>
      <c r="BT15" s="505"/>
      <c r="BU15" s="505"/>
      <c r="BV15" s="505"/>
      <c r="BW15" s="505"/>
      <c r="BX15" s="505"/>
      <c r="BY15" s="505"/>
      <c r="BZ15" s="505"/>
      <c r="CA15" s="505"/>
      <c r="CB15" s="505"/>
      <c r="CC15" s="505"/>
      <c r="CD15" s="505"/>
      <c r="CE15" s="505"/>
      <c r="CF15" s="505"/>
      <c r="CG15" s="505"/>
      <c r="CH15" s="505"/>
      <c r="CI15" s="505"/>
      <c r="CJ15" s="505"/>
      <c r="CK15" s="505"/>
      <c r="CL15" s="505"/>
      <c r="CM15" s="505"/>
      <c r="CN15" s="505"/>
      <c r="CO15" s="505"/>
      <c r="CP15" s="505"/>
      <c r="CQ15" s="505"/>
      <c r="CR15" s="505"/>
      <c r="CS15" s="505"/>
      <c r="CT15" s="505"/>
      <c r="CU15" s="505"/>
    </row>
    <row r="16" spans="1:99" ht="20.100000000000001" customHeight="1">
      <c r="A16" s="400"/>
      <c r="B16" s="380" t="s">
        <v>54</v>
      </c>
      <c r="C16" s="378"/>
      <c r="D16" s="378"/>
      <c r="E16" s="378"/>
      <c r="F16" s="378"/>
      <c r="G16" s="378"/>
      <c r="H16" s="378">
        <f>'T-2(21-22)'!H43</f>
        <v>422.08107321732939</v>
      </c>
      <c r="I16" s="333"/>
      <c r="J16" s="333"/>
      <c r="L16" s="505"/>
      <c r="M16" s="505"/>
      <c r="N16" s="505"/>
      <c r="O16" s="505"/>
      <c r="P16" s="505"/>
      <c r="Q16" s="505"/>
      <c r="R16" s="505"/>
      <c r="S16" s="505"/>
      <c r="T16" s="505"/>
      <c r="U16" s="505"/>
      <c r="V16" s="505"/>
      <c r="W16" s="505"/>
      <c r="X16" s="505"/>
      <c r="Y16" s="505"/>
      <c r="Z16" s="505"/>
      <c r="AA16" s="505"/>
      <c r="AB16" s="505"/>
      <c r="AC16" s="505"/>
      <c r="AD16" s="505"/>
      <c r="AE16" s="505"/>
      <c r="AF16" s="505"/>
      <c r="AG16" s="505"/>
      <c r="AH16" s="505"/>
      <c r="AI16" s="505"/>
      <c r="AJ16" s="505"/>
      <c r="AK16" s="505"/>
      <c r="AL16" s="505"/>
      <c r="AM16" s="505"/>
      <c r="AN16" s="505"/>
      <c r="AO16" s="505"/>
      <c r="AP16" s="505"/>
      <c r="AQ16" s="505"/>
      <c r="AR16" s="505"/>
      <c r="AS16" s="505"/>
      <c r="AT16" s="505"/>
      <c r="AU16" s="505"/>
      <c r="AV16" s="505"/>
      <c r="AW16" s="505"/>
      <c r="AX16" s="505"/>
      <c r="AY16" s="505"/>
      <c r="AZ16" s="505"/>
      <c r="BA16" s="505"/>
      <c r="BB16" s="505"/>
      <c r="BC16" s="505"/>
      <c r="BD16" s="505"/>
      <c r="BE16" s="505"/>
      <c r="BF16" s="505"/>
      <c r="BG16" s="505"/>
      <c r="BH16" s="505"/>
      <c r="BI16" s="505"/>
      <c r="BJ16" s="505"/>
      <c r="BK16" s="505"/>
      <c r="BL16" s="505"/>
      <c r="BM16" s="505"/>
      <c r="BN16" s="505"/>
      <c r="BO16" s="505"/>
      <c r="BP16" s="505"/>
      <c r="BQ16" s="505"/>
      <c r="BR16" s="505"/>
      <c r="BS16" s="505"/>
      <c r="BT16" s="505"/>
      <c r="BU16" s="505"/>
      <c r="BV16" s="505"/>
      <c r="BW16" s="505"/>
      <c r="BX16" s="505"/>
      <c r="BY16" s="505"/>
      <c r="BZ16" s="505"/>
      <c r="CA16" s="505"/>
      <c r="CB16" s="505"/>
      <c r="CC16" s="505"/>
      <c r="CD16" s="505"/>
      <c r="CE16" s="505"/>
      <c r="CF16" s="505"/>
      <c r="CG16" s="505"/>
      <c r="CH16" s="505"/>
      <c r="CI16" s="505"/>
      <c r="CJ16" s="505"/>
      <c r="CK16" s="505"/>
      <c r="CL16" s="505"/>
      <c r="CM16" s="505"/>
      <c r="CN16" s="505"/>
      <c r="CO16" s="505"/>
      <c r="CP16" s="505"/>
      <c r="CQ16" s="505"/>
      <c r="CR16" s="505"/>
      <c r="CS16" s="505"/>
      <c r="CT16" s="505"/>
      <c r="CU16" s="505"/>
    </row>
    <row r="17" spans="1:99" ht="20.100000000000001" customHeight="1">
      <c r="A17" s="400"/>
      <c r="B17" s="380" t="s">
        <v>55</v>
      </c>
      <c r="C17" s="378"/>
      <c r="D17" s="378"/>
      <c r="E17" s="378"/>
      <c r="F17" s="378"/>
      <c r="G17" s="378"/>
      <c r="H17" s="378">
        <f>'T-2(21-22)'!I43</f>
        <v>479.42052668542442</v>
      </c>
      <c r="I17" s="333"/>
      <c r="J17" s="333"/>
      <c r="L17" s="505"/>
      <c r="M17" s="505"/>
      <c r="N17" s="505"/>
      <c r="O17" s="505"/>
      <c r="P17" s="505"/>
      <c r="Q17" s="505"/>
      <c r="R17" s="505"/>
      <c r="S17" s="505"/>
      <c r="T17" s="505"/>
      <c r="U17" s="505"/>
      <c r="V17" s="505"/>
      <c r="W17" s="505"/>
      <c r="X17" s="505"/>
      <c r="Y17" s="505"/>
      <c r="Z17" s="505"/>
      <c r="AA17" s="505"/>
      <c r="AB17" s="505"/>
      <c r="AC17" s="505"/>
      <c r="AD17" s="505"/>
      <c r="AE17" s="505"/>
      <c r="AF17" s="505"/>
      <c r="AG17" s="505"/>
      <c r="AH17" s="505"/>
      <c r="AI17" s="505"/>
      <c r="AJ17" s="505"/>
      <c r="AK17" s="505"/>
      <c r="AL17" s="505"/>
      <c r="AM17" s="505"/>
      <c r="AN17" s="505"/>
      <c r="AO17" s="505"/>
      <c r="AP17" s="505"/>
      <c r="AQ17" s="505"/>
      <c r="AR17" s="505"/>
      <c r="AS17" s="505"/>
      <c r="AT17" s="505"/>
      <c r="AU17" s="505"/>
      <c r="AV17" s="505"/>
      <c r="AW17" s="505"/>
      <c r="AX17" s="505"/>
      <c r="AY17" s="505"/>
      <c r="AZ17" s="505"/>
      <c r="BA17" s="505"/>
      <c r="BB17" s="505"/>
      <c r="BC17" s="505"/>
      <c r="BD17" s="505"/>
      <c r="BE17" s="505"/>
      <c r="BF17" s="505"/>
      <c r="BG17" s="505"/>
      <c r="BH17" s="505"/>
      <c r="BI17" s="505"/>
      <c r="BJ17" s="505"/>
      <c r="BK17" s="505"/>
      <c r="BL17" s="505"/>
      <c r="BM17" s="505"/>
      <c r="BN17" s="505"/>
      <c r="BO17" s="505"/>
      <c r="BP17" s="505"/>
      <c r="BQ17" s="505"/>
      <c r="BR17" s="505"/>
      <c r="BS17" s="505"/>
      <c r="BT17" s="505"/>
      <c r="BU17" s="505"/>
      <c r="BV17" s="505"/>
      <c r="BW17" s="505"/>
      <c r="BX17" s="505"/>
      <c r="BY17" s="505"/>
      <c r="BZ17" s="505"/>
      <c r="CA17" s="505"/>
      <c r="CB17" s="505"/>
      <c r="CC17" s="505"/>
      <c r="CD17" s="505"/>
      <c r="CE17" s="505"/>
      <c r="CF17" s="505"/>
      <c r="CG17" s="505"/>
      <c r="CH17" s="505"/>
      <c r="CI17" s="505"/>
      <c r="CJ17" s="505"/>
      <c r="CK17" s="505"/>
      <c r="CL17" s="505"/>
      <c r="CM17" s="505"/>
      <c r="CN17" s="505"/>
      <c r="CO17" s="505"/>
      <c r="CP17" s="505"/>
      <c r="CQ17" s="505"/>
      <c r="CR17" s="505"/>
      <c r="CS17" s="505"/>
      <c r="CT17" s="505"/>
      <c r="CU17" s="505"/>
    </row>
    <row r="18" spans="1:99" ht="20.100000000000001" customHeight="1">
      <c r="A18" s="400"/>
      <c r="B18" s="380"/>
      <c r="C18" s="378"/>
      <c r="D18" s="378"/>
      <c r="E18" s="378"/>
      <c r="F18" s="378"/>
      <c r="G18" s="378"/>
      <c r="H18" s="110">
        <f>SUM(H14:H17)</f>
        <v>1783.4959999966911</v>
      </c>
      <c r="I18" s="109">
        <f>'T-2(21-22)'!K43-'T-2(21-22)'!K39</f>
        <v>84088.66441980192</v>
      </c>
      <c r="J18" s="401">
        <f>I18/H18*10</f>
        <v>471.48221481830029</v>
      </c>
      <c r="K18" s="1366"/>
      <c r="L18" s="567"/>
      <c r="M18" s="505"/>
      <c r="N18" s="505"/>
      <c r="O18" s="505"/>
      <c r="P18" s="505"/>
      <c r="Q18" s="505"/>
      <c r="R18" s="505"/>
      <c r="S18" s="505"/>
      <c r="T18" s="505"/>
      <c r="U18" s="505"/>
      <c r="V18" s="505"/>
      <c r="W18" s="505"/>
      <c r="X18" s="505"/>
      <c r="Y18" s="505"/>
      <c r="Z18" s="505"/>
      <c r="AA18" s="505"/>
      <c r="AB18" s="505"/>
      <c r="AC18" s="505"/>
      <c r="AD18" s="505"/>
      <c r="AE18" s="505"/>
      <c r="AF18" s="505"/>
      <c r="AG18" s="505"/>
      <c r="AH18" s="505"/>
      <c r="AI18" s="505"/>
      <c r="AJ18" s="505"/>
      <c r="AK18" s="505"/>
      <c r="AL18" s="505"/>
      <c r="AM18" s="505"/>
      <c r="AN18" s="505"/>
      <c r="AO18" s="505"/>
      <c r="AP18" s="505"/>
      <c r="AQ18" s="505"/>
      <c r="AR18" s="505"/>
      <c r="AS18" s="505"/>
      <c r="AT18" s="505"/>
      <c r="AU18" s="505"/>
      <c r="AV18" s="505"/>
      <c r="AW18" s="505"/>
      <c r="AX18" s="505"/>
      <c r="AY18" s="505"/>
      <c r="AZ18" s="505"/>
      <c r="BA18" s="505"/>
      <c r="BB18" s="505"/>
      <c r="BC18" s="505"/>
      <c r="BD18" s="505"/>
      <c r="BE18" s="505"/>
      <c r="BF18" s="505"/>
      <c r="BG18" s="505"/>
      <c r="BH18" s="505"/>
      <c r="BI18" s="505"/>
      <c r="BJ18" s="505"/>
      <c r="BK18" s="505"/>
      <c r="BL18" s="505"/>
      <c r="BM18" s="505"/>
      <c r="BN18" s="505"/>
      <c r="BO18" s="505"/>
      <c r="BP18" s="505"/>
      <c r="BQ18" s="505"/>
      <c r="BR18" s="505"/>
      <c r="BS18" s="505"/>
      <c r="BT18" s="505"/>
      <c r="BU18" s="505"/>
      <c r="BV18" s="505"/>
      <c r="BW18" s="505"/>
      <c r="BX18" s="505"/>
      <c r="BY18" s="505"/>
      <c r="BZ18" s="505"/>
      <c r="CA18" s="505"/>
      <c r="CB18" s="505"/>
      <c r="CC18" s="505"/>
      <c r="CD18" s="505"/>
      <c r="CE18" s="505"/>
      <c r="CF18" s="505"/>
      <c r="CG18" s="505"/>
      <c r="CH18" s="505"/>
      <c r="CI18" s="505"/>
      <c r="CJ18" s="505"/>
      <c r="CK18" s="505"/>
      <c r="CL18" s="505"/>
      <c r="CM18" s="505"/>
      <c r="CN18" s="505"/>
      <c r="CO18" s="505"/>
      <c r="CP18" s="505"/>
      <c r="CQ18" s="505"/>
      <c r="CR18" s="505"/>
      <c r="CS18" s="505"/>
      <c r="CT18" s="505"/>
      <c r="CU18" s="505"/>
    </row>
    <row r="19" spans="1:99" ht="20.100000000000001" customHeight="1">
      <c r="A19" s="400"/>
      <c r="B19" s="62" t="s">
        <v>179</v>
      </c>
      <c r="C19" s="110">
        <f t="shared" ref="C19:G19" si="0">SUM(C12:C18)</f>
        <v>454.73170930107989</v>
      </c>
      <c r="D19" s="110">
        <f t="shared" si="0"/>
        <v>325.25777407592994</v>
      </c>
      <c r="E19" s="110">
        <f t="shared" si="0"/>
        <v>381.8005453554299</v>
      </c>
      <c r="F19" s="110">
        <f t="shared" si="0"/>
        <v>396.91870521330009</v>
      </c>
      <c r="G19" s="110">
        <f t="shared" si="0"/>
        <v>270.34115147942998</v>
      </c>
      <c r="H19" s="110">
        <f>H12+H18</f>
        <v>1829.0499999966912</v>
      </c>
      <c r="I19" s="109">
        <f>I12+I18</f>
        <v>85307.690419801918</v>
      </c>
      <c r="J19" s="268">
        <f>I19/H19*10</f>
        <v>466.40436521667664</v>
      </c>
      <c r="K19" s="306"/>
      <c r="L19" s="505"/>
      <c r="M19" s="505"/>
      <c r="N19" s="505"/>
      <c r="O19" s="505"/>
      <c r="P19" s="505"/>
      <c r="Q19" s="505"/>
      <c r="R19" s="505"/>
      <c r="S19" s="505"/>
      <c r="T19" s="505"/>
      <c r="U19" s="505"/>
      <c r="V19" s="505"/>
      <c r="W19" s="505"/>
      <c r="X19" s="505"/>
      <c r="Y19" s="505"/>
      <c r="Z19" s="505"/>
      <c r="AA19" s="505"/>
      <c r="AB19" s="505"/>
      <c r="AC19" s="505"/>
      <c r="AD19" s="505"/>
      <c r="AE19" s="505"/>
      <c r="AF19" s="505"/>
      <c r="AG19" s="505"/>
      <c r="AH19" s="505"/>
      <c r="AI19" s="505"/>
      <c r="AJ19" s="505"/>
      <c r="AK19" s="505"/>
      <c r="AL19" s="505"/>
      <c r="AM19" s="505"/>
      <c r="AN19" s="505"/>
      <c r="AO19" s="505"/>
      <c r="AP19" s="505"/>
      <c r="AQ19" s="505"/>
      <c r="AR19" s="505"/>
      <c r="AS19" s="505"/>
      <c r="AT19" s="505"/>
      <c r="AU19" s="505"/>
      <c r="AV19" s="505"/>
      <c r="AW19" s="505"/>
      <c r="AX19" s="505"/>
      <c r="AY19" s="505"/>
      <c r="AZ19" s="505"/>
      <c r="BA19" s="505"/>
      <c r="BB19" s="505"/>
      <c r="BC19" s="505"/>
      <c r="BD19" s="505"/>
      <c r="BE19" s="505"/>
      <c r="BF19" s="505"/>
      <c r="BG19" s="505"/>
      <c r="BH19" s="505"/>
      <c r="BI19" s="505"/>
      <c r="BJ19" s="505"/>
      <c r="BK19" s="505"/>
      <c r="BL19" s="505"/>
      <c r="BM19" s="505"/>
      <c r="BN19" s="505"/>
      <c r="BO19" s="505"/>
      <c r="BP19" s="505"/>
      <c r="BQ19" s="505"/>
      <c r="BR19" s="505"/>
      <c r="BS19" s="505"/>
      <c r="BT19" s="505"/>
      <c r="BU19" s="505"/>
      <c r="BV19" s="505"/>
      <c r="BW19" s="505"/>
      <c r="BX19" s="505"/>
      <c r="BY19" s="505"/>
      <c r="BZ19" s="505"/>
      <c r="CA19" s="505"/>
      <c r="CB19" s="505"/>
      <c r="CC19" s="505"/>
      <c r="CD19" s="505"/>
      <c r="CE19" s="505"/>
      <c r="CF19" s="505"/>
      <c r="CG19" s="505"/>
      <c r="CH19" s="505"/>
      <c r="CI19" s="505"/>
      <c r="CJ19" s="505"/>
      <c r="CK19" s="505"/>
      <c r="CL19" s="505"/>
      <c r="CM19" s="505"/>
      <c r="CN19" s="505"/>
      <c r="CO19" s="505"/>
      <c r="CP19" s="505"/>
      <c r="CQ19" s="505"/>
      <c r="CR19" s="505"/>
      <c r="CS19" s="505"/>
      <c r="CT19" s="505"/>
      <c r="CU19" s="505"/>
    </row>
    <row r="20" spans="1:99" ht="20.100000000000001" customHeight="1">
      <c r="A20" s="400">
        <v>2</v>
      </c>
      <c r="B20" s="380" t="s">
        <v>180</v>
      </c>
      <c r="C20" s="378">
        <v>114.06461453307</v>
      </c>
      <c r="D20" s="378">
        <v>46.903467195999987</v>
      </c>
      <c r="E20" s="378">
        <v>97.424132472099984</v>
      </c>
      <c r="F20" s="378">
        <v>63.769273323700013</v>
      </c>
      <c r="G20" s="378">
        <v>56.393692269999995</v>
      </c>
      <c r="H20" s="378">
        <f>'T-3(21-22)'!H33</f>
        <v>378.55499999999995</v>
      </c>
      <c r="I20" s="333">
        <f>'T-3(21-22)'!I33</f>
        <v>28212.200390301576</v>
      </c>
      <c r="J20" s="401">
        <f>I20/H20*10</f>
        <v>745.26027632184434</v>
      </c>
      <c r="K20" s="306"/>
      <c r="L20" s="505"/>
      <c r="M20" s="505"/>
      <c r="N20" s="505"/>
      <c r="O20" s="505"/>
      <c r="P20" s="505"/>
      <c r="Q20" s="505"/>
      <c r="R20" s="505"/>
      <c r="S20" s="505"/>
      <c r="T20" s="505"/>
      <c r="U20" s="505"/>
      <c r="V20" s="505"/>
      <c r="W20" s="505"/>
      <c r="X20" s="505"/>
      <c r="Y20" s="505"/>
      <c r="Z20" s="505"/>
      <c r="AA20" s="505"/>
      <c r="AB20" s="505"/>
      <c r="AC20" s="505"/>
      <c r="AD20" s="505"/>
      <c r="AE20" s="505"/>
      <c r="AF20" s="505"/>
      <c r="AG20" s="505"/>
      <c r="AH20" s="505"/>
      <c r="AI20" s="505"/>
      <c r="AJ20" s="505"/>
      <c r="AK20" s="505"/>
      <c r="AL20" s="505"/>
      <c r="AM20" s="505"/>
      <c r="AN20" s="505"/>
      <c r="AO20" s="505"/>
      <c r="AP20" s="505"/>
      <c r="AQ20" s="505"/>
      <c r="AR20" s="505"/>
      <c r="AS20" s="505"/>
      <c r="AT20" s="505"/>
      <c r="AU20" s="505"/>
      <c r="AV20" s="505"/>
      <c r="AW20" s="505"/>
      <c r="AX20" s="505"/>
      <c r="AY20" s="505"/>
      <c r="AZ20" s="505"/>
      <c r="BA20" s="505"/>
      <c r="BB20" s="505"/>
      <c r="BC20" s="505"/>
      <c r="BD20" s="505"/>
      <c r="BE20" s="505"/>
      <c r="BF20" s="505"/>
      <c r="BG20" s="505"/>
      <c r="BH20" s="505"/>
      <c r="BI20" s="505"/>
      <c r="BJ20" s="505"/>
      <c r="BK20" s="505"/>
      <c r="BL20" s="505"/>
      <c r="BM20" s="505"/>
      <c r="BN20" s="505"/>
      <c r="BO20" s="505"/>
      <c r="BP20" s="505"/>
      <c r="BQ20" s="505"/>
      <c r="BR20" s="505"/>
      <c r="BS20" s="505"/>
      <c r="BT20" s="505"/>
      <c r="BU20" s="505"/>
      <c r="BV20" s="505"/>
      <c r="BW20" s="505"/>
      <c r="BX20" s="505"/>
      <c r="BY20" s="505"/>
      <c r="BZ20" s="505"/>
      <c r="CA20" s="505"/>
      <c r="CB20" s="505"/>
      <c r="CC20" s="505"/>
      <c r="CD20" s="505"/>
      <c r="CE20" s="505"/>
      <c r="CF20" s="505"/>
      <c r="CG20" s="505"/>
      <c r="CH20" s="505"/>
      <c r="CI20" s="505"/>
      <c r="CJ20" s="505"/>
      <c r="CK20" s="505"/>
      <c r="CL20" s="505"/>
      <c r="CM20" s="505"/>
      <c r="CN20" s="505"/>
      <c r="CO20" s="505"/>
      <c r="CP20" s="505"/>
      <c r="CQ20" s="505"/>
      <c r="CR20" s="505"/>
      <c r="CS20" s="505"/>
      <c r="CT20" s="505"/>
      <c r="CU20" s="505"/>
    </row>
    <row r="21" spans="1:99" ht="20.100000000000001" customHeight="1">
      <c r="A21" s="400"/>
      <c r="B21" s="380" t="s">
        <v>58</v>
      </c>
      <c r="C21" s="378"/>
      <c r="D21" s="378"/>
      <c r="E21" s="378"/>
      <c r="F21" s="378"/>
      <c r="G21" s="378"/>
      <c r="H21" s="378"/>
      <c r="I21" s="333"/>
      <c r="J21" s="401"/>
      <c r="K21" s="306"/>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5"/>
      <c r="AY21" s="505"/>
      <c r="AZ21" s="505"/>
      <c r="BA21" s="505"/>
      <c r="BB21" s="505"/>
      <c r="BC21" s="505"/>
      <c r="BD21" s="505"/>
      <c r="BE21" s="505"/>
      <c r="BF21" s="505"/>
      <c r="BG21" s="505"/>
      <c r="BH21" s="505"/>
      <c r="BI21" s="505"/>
      <c r="BJ21" s="505"/>
      <c r="BK21" s="505"/>
      <c r="BL21" s="505"/>
      <c r="BM21" s="505"/>
      <c r="BN21" s="505"/>
      <c r="BO21" s="505"/>
      <c r="BP21" s="505"/>
      <c r="BQ21" s="505"/>
      <c r="BR21" s="505"/>
      <c r="BS21" s="505"/>
      <c r="BT21" s="505"/>
      <c r="BU21" s="505"/>
      <c r="BV21" s="505"/>
      <c r="BW21" s="505"/>
      <c r="BX21" s="505"/>
      <c r="BY21" s="505"/>
      <c r="BZ21" s="505"/>
      <c r="CA21" s="505"/>
      <c r="CB21" s="505"/>
      <c r="CC21" s="505"/>
      <c r="CD21" s="505"/>
      <c r="CE21" s="505"/>
      <c r="CF21" s="505"/>
      <c r="CG21" s="505"/>
      <c r="CH21" s="505"/>
      <c r="CI21" s="505"/>
      <c r="CJ21" s="505"/>
      <c r="CK21" s="505"/>
      <c r="CL21" s="505"/>
      <c r="CM21" s="505"/>
      <c r="CN21" s="505"/>
      <c r="CO21" s="505"/>
      <c r="CP21" s="505"/>
      <c r="CQ21" s="505"/>
      <c r="CR21" s="505"/>
      <c r="CS21" s="505"/>
      <c r="CT21" s="505"/>
      <c r="CU21" s="505"/>
    </row>
    <row r="22" spans="1:99" ht="20.100000000000001" customHeight="1">
      <c r="A22" s="400"/>
      <c r="B22" s="380" t="s">
        <v>59</v>
      </c>
      <c r="C22" s="378"/>
      <c r="D22" s="378"/>
      <c r="E22" s="378"/>
      <c r="F22" s="378"/>
      <c r="G22" s="378"/>
      <c r="H22" s="378">
        <f>'T-3(21-22)'!E33</f>
        <v>20.185625225724465</v>
      </c>
      <c r="I22" s="333"/>
      <c r="J22" s="401"/>
      <c r="K22" s="306"/>
      <c r="L22" s="505"/>
      <c r="M22" s="505"/>
      <c r="N22" s="505"/>
      <c r="O22" s="505"/>
      <c r="P22" s="505"/>
      <c r="Q22" s="505"/>
      <c r="R22" s="505"/>
      <c r="S22" s="505"/>
      <c r="T22" s="505"/>
      <c r="U22" s="505"/>
      <c r="V22" s="505"/>
      <c r="W22" s="505"/>
      <c r="X22" s="505"/>
      <c r="Y22" s="505"/>
      <c r="Z22" s="505"/>
      <c r="AA22" s="505"/>
      <c r="AB22" s="505"/>
      <c r="AC22" s="505"/>
      <c r="AD22" s="505"/>
      <c r="AE22" s="505"/>
      <c r="AF22" s="505"/>
      <c r="AG22" s="505"/>
      <c r="AH22" s="505"/>
      <c r="AI22" s="505"/>
      <c r="AJ22" s="505"/>
      <c r="AK22" s="505"/>
      <c r="AL22" s="505"/>
      <c r="AM22" s="505"/>
      <c r="AN22" s="505"/>
      <c r="AO22" s="505"/>
      <c r="AP22" s="505"/>
      <c r="AQ22" s="505"/>
      <c r="AR22" s="505"/>
      <c r="AS22" s="505"/>
      <c r="AT22" s="505"/>
      <c r="AU22" s="505"/>
      <c r="AV22" s="505"/>
      <c r="AW22" s="505"/>
      <c r="AX22" s="505"/>
      <c r="AY22" s="505"/>
      <c r="AZ22" s="505"/>
      <c r="BA22" s="505"/>
      <c r="BB22" s="505"/>
      <c r="BC22" s="505"/>
      <c r="BD22" s="505"/>
      <c r="BE22" s="505"/>
      <c r="BF22" s="505"/>
      <c r="BG22" s="505"/>
      <c r="BH22" s="505"/>
      <c r="BI22" s="505"/>
      <c r="BJ22" s="505"/>
      <c r="BK22" s="505"/>
      <c r="BL22" s="505"/>
      <c r="BM22" s="505"/>
      <c r="BN22" s="505"/>
      <c r="BO22" s="505"/>
      <c r="BP22" s="505"/>
      <c r="BQ22" s="505"/>
      <c r="BR22" s="505"/>
      <c r="BS22" s="505"/>
      <c r="BT22" s="505"/>
      <c r="BU22" s="505"/>
      <c r="BV22" s="505"/>
      <c r="BW22" s="505"/>
      <c r="BX22" s="505"/>
      <c r="BY22" s="505"/>
      <c r="BZ22" s="505"/>
      <c r="CA22" s="505"/>
      <c r="CB22" s="505"/>
      <c r="CC22" s="505"/>
      <c r="CD22" s="505"/>
      <c r="CE22" s="505"/>
      <c r="CF22" s="505"/>
      <c r="CG22" s="505"/>
      <c r="CH22" s="505"/>
      <c r="CI22" s="505"/>
      <c r="CJ22" s="505"/>
      <c r="CK22" s="505"/>
      <c r="CL22" s="505"/>
      <c r="CM22" s="505"/>
      <c r="CN22" s="505"/>
      <c r="CO22" s="505"/>
      <c r="CP22" s="505"/>
      <c r="CQ22" s="505"/>
      <c r="CR22" s="505"/>
      <c r="CS22" s="505"/>
      <c r="CT22" s="505"/>
      <c r="CU22" s="505"/>
    </row>
    <row r="23" spans="1:99" ht="20.100000000000001" customHeight="1">
      <c r="A23" s="400"/>
      <c r="B23" s="380" t="s">
        <v>60</v>
      </c>
      <c r="C23" s="378"/>
      <c r="D23" s="378"/>
      <c r="E23" s="378"/>
      <c r="F23" s="378"/>
      <c r="G23" s="378"/>
      <c r="H23" s="378">
        <f>'T-3(21-22)'!F33</f>
        <v>46.846185285166719</v>
      </c>
      <c r="I23" s="333"/>
      <c r="J23" s="401"/>
      <c r="K23" s="306"/>
      <c r="L23" s="505"/>
      <c r="M23" s="505"/>
      <c r="N23" s="505"/>
      <c r="O23" s="505"/>
      <c r="P23" s="505"/>
      <c r="Q23" s="505"/>
      <c r="R23" s="505"/>
      <c r="S23" s="505"/>
      <c r="T23" s="505"/>
      <c r="U23" s="505"/>
      <c r="V23" s="505"/>
      <c r="W23" s="505"/>
      <c r="X23" s="505"/>
      <c r="Y23" s="505"/>
      <c r="Z23" s="505"/>
      <c r="AA23" s="505"/>
      <c r="AB23" s="505"/>
      <c r="AC23" s="505"/>
      <c r="AD23" s="505"/>
      <c r="AE23" s="505"/>
      <c r="AF23" s="505"/>
      <c r="AG23" s="505"/>
      <c r="AH23" s="505"/>
      <c r="AI23" s="505"/>
      <c r="AJ23" s="505"/>
      <c r="AK23" s="505"/>
      <c r="AL23" s="505"/>
      <c r="AM23" s="505"/>
      <c r="AN23" s="505"/>
      <c r="AO23" s="505"/>
      <c r="AP23" s="505"/>
      <c r="AQ23" s="505"/>
      <c r="AR23" s="505"/>
      <c r="AS23" s="505"/>
      <c r="AT23" s="505"/>
      <c r="AU23" s="505"/>
      <c r="AV23" s="505"/>
      <c r="AW23" s="505"/>
      <c r="AX23" s="505"/>
      <c r="AY23" s="505"/>
      <c r="AZ23" s="505"/>
      <c r="BA23" s="505"/>
      <c r="BB23" s="505"/>
      <c r="BC23" s="505"/>
      <c r="BD23" s="505"/>
      <c r="BE23" s="505"/>
      <c r="BF23" s="505"/>
      <c r="BG23" s="505"/>
      <c r="BH23" s="505"/>
      <c r="BI23" s="505"/>
      <c r="BJ23" s="505"/>
      <c r="BK23" s="505"/>
      <c r="BL23" s="505"/>
      <c r="BM23" s="505"/>
      <c r="BN23" s="505"/>
      <c r="BO23" s="505"/>
      <c r="BP23" s="505"/>
      <c r="BQ23" s="505"/>
      <c r="BR23" s="505"/>
      <c r="BS23" s="505"/>
      <c r="BT23" s="505"/>
      <c r="BU23" s="505"/>
      <c r="BV23" s="505"/>
      <c r="BW23" s="505"/>
      <c r="BX23" s="505"/>
      <c r="BY23" s="505"/>
      <c r="BZ23" s="505"/>
      <c r="CA23" s="505"/>
      <c r="CB23" s="505"/>
      <c r="CC23" s="505"/>
      <c r="CD23" s="505"/>
      <c r="CE23" s="505"/>
      <c r="CF23" s="505"/>
      <c r="CG23" s="505"/>
      <c r="CH23" s="505"/>
      <c r="CI23" s="505"/>
      <c r="CJ23" s="505"/>
      <c r="CK23" s="505"/>
      <c r="CL23" s="505"/>
      <c r="CM23" s="505"/>
      <c r="CN23" s="505"/>
      <c r="CO23" s="505"/>
      <c r="CP23" s="505"/>
      <c r="CQ23" s="505"/>
      <c r="CR23" s="505"/>
      <c r="CS23" s="505"/>
      <c r="CT23" s="505"/>
      <c r="CU23" s="505"/>
    </row>
    <row r="24" spans="1:99" ht="20.100000000000001" customHeight="1">
      <c r="A24" s="400"/>
      <c r="B24" s="380" t="s">
        <v>61</v>
      </c>
      <c r="C24" s="378"/>
      <c r="D24" s="378"/>
      <c r="E24" s="378"/>
      <c r="F24" s="378"/>
      <c r="G24" s="378"/>
      <c r="H24" s="378">
        <f>'T-3(21-22)'!G33</f>
        <v>311.5231894891088</v>
      </c>
      <c r="I24" s="333"/>
      <c r="J24" s="401"/>
      <c r="K24" s="306"/>
      <c r="L24" s="505"/>
      <c r="M24" s="505"/>
      <c r="N24" s="505"/>
      <c r="O24" s="505"/>
      <c r="P24" s="505"/>
      <c r="Q24" s="505"/>
      <c r="R24" s="505"/>
      <c r="S24" s="505"/>
      <c r="T24" s="505"/>
      <c r="U24" s="505"/>
      <c r="V24" s="505"/>
      <c r="W24" s="505"/>
      <c r="X24" s="505"/>
      <c r="Y24" s="505"/>
      <c r="Z24" s="505"/>
      <c r="AA24" s="505"/>
      <c r="AB24" s="239"/>
      <c r="AC24" s="505"/>
      <c r="AD24" s="505"/>
      <c r="AE24" s="505"/>
      <c r="AF24" s="505"/>
      <c r="AG24" s="505"/>
      <c r="AH24" s="505"/>
      <c r="AI24" s="505"/>
      <c r="AJ24" s="505"/>
      <c r="AK24" s="505"/>
      <c r="AL24" s="505"/>
      <c r="AM24" s="505"/>
      <c r="AN24" s="505"/>
      <c r="AO24" s="505"/>
      <c r="AP24" s="505"/>
      <c r="AQ24" s="505"/>
      <c r="AR24" s="505"/>
      <c r="AS24" s="505"/>
      <c r="AT24" s="505"/>
      <c r="AU24" s="505"/>
      <c r="AV24" s="505"/>
      <c r="AW24" s="505"/>
      <c r="AX24" s="505"/>
      <c r="AY24" s="505"/>
      <c r="AZ24" s="505"/>
      <c r="BA24" s="505"/>
      <c r="BB24" s="505"/>
      <c r="BC24" s="505"/>
      <c r="BD24" s="505"/>
      <c r="BE24" s="505"/>
      <c r="BF24" s="505"/>
      <c r="BG24" s="505"/>
      <c r="BH24" s="505"/>
      <c r="BI24" s="505"/>
      <c r="BJ24" s="505"/>
      <c r="BK24" s="505"/>
      <c r="BL24" s="505"/>
      <c r="BM24" s="505"/>
      <c r="BN24" s="505"/>
      <c r="BO24" s="505"/>
      <c r="BP24" s="505"/>
      <c r="BQ24" s="505"/>
      <c r="BR24" s="505"/>
      <c r="BS24" s="505"/>
      <c r="BT24" s="505"/>
      <c r="BU24" s="505"/>
      <c r="BV24" s="505"/>
      <c r="BW24" s="505"/>
      <c r="BX24" s="505"/>
      <c r="BY24" s="505"/>
      <c r="BZ24" s="505"/>
      <c r="CA24" s="505"/>
      <c r="CB24" s="505"/>
      <c r="CC24" s="505"/>
      <c r="CD24" s="505"/>
      <c r="CE24" s="505"/>
      <c r="CF24" s="505"/>
      <c r="CG24" s="505"/>
      <c r="CH24" s="505"/>
      <c r="CI24" s="505"/>
      <c r="CJ24" s="505"/>
      <c r="CK24" s="505"/>
      <c r="CL24" s="505"/>
      <c r="CM24" s="505"/>
      <c r="CN24" s="505"/>
      <c r="CO24" s="505"/>
      <c r="CP24" s="505"/>
      <c r="CQ24" s="505"/>
      <c r="CR24" s="505"/>
      <c r="CS24" s="505"/>
      <c r="CT24" s="505"/>
      <c r="CU24" s="505"/>
    </row>
    <row r="25" spans="1:99" ht="20.100000000000001" customHeight="1">
      <c r="A25" s="400"/>
      <c r="B25" s="62" t="s">
        <v>181</v>
      </c>
      <c r="C25" s="110">
        <f>SUM(C20:C24)</f>
        <v>114.06461453307</v>
      </c>
      <c r="D25" s="110">
        <f t="shared" ref="D25:G25" si="1">SUM(D20:D24)</f>
        <v>46.903467195999987</v>
      </c>
      <c r="E25" s="110">
        <f t="shared" si="1"/>
        <v>97.424132472099984</v>
      </c>
      <c r="F25" s="110">
        <f t="shared" si="1"/>
        <v>63.769273323700013</v>
      </c>
      <c r="G25" s="110">
        <f t="shared" si="1"/>
        <v>56.393692269999995</v>
      </c>
      <c r="H25" s="110">
        <f>SUM(C25:G25)</f>
        <v>378.55517979486996</v>
      </c>
      <c r="I25" s="109">
        <f>SUM(I20:I24)</f>
        <v>28212.200390301576</v>
      </c>
      <c r="J25" s="268">
        <f>I25/H25*10</f>
        <v>745.25992236030424</v>
      </c>
      <c r="K25" s="306"/>
      <c r="L25" s="505"/>
      <c r="M25" s="505"/>
      <c r="N25" s="505"/>
      <c r="O25" s="505"/>
      <c r="P25" s="505"/>
      <c r="Q25" s="505"/>
      <c r="R25" s="505"/>
      <c r="S25" s="505"/>
      <c r="T25" s="505"/>
      <c r="U25" s="505"/>
      <c r="V25" s="505"/>
      <c r="W25" s="505"/>
      <c r="X25" s="505"/>
      <c r="Y25" s="505"/>
      <c r="Z25" s="505"/>
      <c r="AA25" s="505"/>
      <c r="AB25" s="505"/>
      <c r="AC25" s="505"/>
      <c r="AD25" s="505"/>
      <c r="AE25" s="505"/>
      <c r="AF25" s="505"/>
      <c r="AG25" s="505"/>
      <c r="AH25" s="505"/>
      <c r="AI25" s="505"/>
      <c r="AJ25" s="505"/>
      <c r="AK25" s="505"/>
      <c r="AL25" s="505"/>
      <c r="AM25" s="505"/>
      <c r="AN25" s="505"/>
      <c r="AO25" s="505"/>
      <c r="AP25" s="505"/>
      <c r="AQ25" s="505"/>
      <c r="AR25" s="505"/>
      <c r="AS25" s="505"/>
      <c r="AT25" s="505"/>
      <c r="AU25" s="505"/>
      <c r="AV25" s="505"/>
      <c r="AW25" s="505"/>
      <c r="AX25" s="505"/>
      <c r="AY25" s="505"/>
      <c r="AZ25" s="505"/>
      <c r="BA25" s="505"/>
      <c r="BB25" s="505"/>
      <c r="BC25" s="505"/>
      <c r="BD25" s="505"/>
      <c r="BE25" s="505"/>
      <c r="BF25" s="505"/>
      <c r="BG25" s="505"/>
      <c r="BH25" s="505"/>
      <c r="BI25" s="505"/>
      <c r="BJ25" s="505"/>
      <c r="BK25" s="505"/>
      <c r="BL25" s="505"/>
      <c r="BM25" s="505"/>
      <c r="BN25" s="505"/>
      <c r="BO25" s="505"/>
      <c r="BP25" s="505"/>
      <c r="BQ25" s="505"/>
      <c r="BR25" s="505"/>
      <c r="BS25" s="505"/>
      <c r="BT25" s="505"/>
      <c r="BU25" s="505"/>
      <c r="BV25" s="505"/>
      <c r="BW25" s="505"/>
      <c r="BX25" s="505"/>
      <c r="BY25" s="505"/>
      <c r="BZ25" s="505"/>
      <c r="CA25" s="505"/>
      <c r="CB25" s="505"/>
      <c r="CC25" s="505"/>
      <c r="CD25" s="505"/>
      <c r="CE25" s="505"/>
      <c r="CF25" s="505"/>
      <c r="CG25" s="505"/>
      <c r="CH25" s="505"/>
      <c r="CI25" s="505"/>
      <c r="CJ25" s="505"/>
      <c r="CK25" s="505"/>
      <c r="CL25" s="505"/>
      <c r="CM25" s="505"/>
      <c r="CN25" s="505"/>
      <c r="CO25" s="505"/>
      <c r="CP25" s="505"/>
      <c r="CQ25" s="505"/>
      <c r="CR25" s="505"/>
      <c r="CS25" s="505"/>
      <c r="CT25" s="505"/>
      <c r="CU25" s="505"/>
    </row>
    <row r="26" spans="1:99" ht="20.100000000000001" customHeight="1">
      <c r="A26" s="400">
        <v>3</v>
      </c>
      <c r="B26" s="380" t="s">
        <v>63</v>
      </c>
      <c r="C26" s="378">
        <v>40.503320912830105</v>
      </c>
      <c r="D26" s="378">
        <v>206.44978978591791</v>
      </c>
      <c r="E26" s="378">
        <v>26.487256810399998</v>
      </c>
      <c r="F26" s="378">
        <v>75.93725819842075</v>
      </c>
      <c r="G26" s="378">
        <v>70.867740880600024</v>
      </c>
      <c r="H26" s="378">
        <f>'T-5'!D15*0+420.245</f>
        <v>420.245</v>
      </c>
      <c r="I26" s="333">
        <f>'T-5'!E15*0+6591.821</f>
        <v>6591.8209999999999</v>
      </c>
      <c r="J26" s="401">
        <f>I26/H26*10</f>
        <v>156.85661935299646</v>
      </c>
      <c r="K26" s="306"/>
      <c r="L26" s="505"/>
      <c r="M26" s="505"/>
      <c r="N26" s="505"/>
      <c r="O26" s="505"/>
      <c r="P26" s="505"/>
      <c r="Q26" s="505"/>
      <c r="R26" s="505"/>
      <c r="S26" s="505"/>
      <c r="T26" s="505"/>
      <c r="U26" s="505"/>
      <c r="V26" s="505"/>
      <c r="W26" s="505"/>
      <c r="X26" s="505"/>
      <c r="Y26" s="505"/>
      <c r="Z26" s="505"/>
      <c r="AA26" s="505"/>
      <c r="AB26" s="505"/>
      <c r="AC26" s="505"/>
      <c r="AD26" s="505"/>
      <c r="AE26" s="505"/>
      <c r="AF26" s="505"/>
      <c r="AG26" s="505"/>
      <c r="AH26" s="505"/>
      <c r="AI26" s="505"/>
      <c r="AJ26" s="505"/>
      <c r="AK26" s="505"/>
      <c r="AL26" s="505"/>
      <c r="AM26" s="505"/>
      <c r="AN26" s="505"/>
      <c r="AO26" s="505"/>
      <c r="AP26" s="505"/>
      <c r="AQ26" s="505"/>
      <c r="AR26" s="505"/>
      <c r="AS26" s="505"/>
      <c r="AT26" s="505"/>
      <c r="AU26" s="505"/>
      <c r="AV26" s="505"/>
      <c r="AW26" s="505"/>
      <c r="AX26" s="505"/>
      <c r="AY26" s="505"/>
      <c r="AZ26" s="505"/>
      <c r="BA26" s="505"/>
      <c r="BB26" s="505"/>
      <c r="BC26" s="505"/>
      <c r="BD26" s="505"/>
      <c r="BE26" s="505"/>
      <c r="BF26" s="505"/>
      <c r="BG26" s="505"/>
      <c r="BH26" s="505"/>
      <c r="BI26" s="505"/>
      <c r="BJ26" s="505"/>
      <c r="BK26" s="505"/>
      <c r="BL26" s="505"/>
      <c r="BM26" s="505"/>
      <c r="BN26" s="505"/>
      <c r="BO26" s="505"/>
      <c r="BP26" s="505"/>
      <c r="BQ26" s="505"/>
      <c r="BR26" s="505"/>
      <c r="BS26" s="505"/>
      <c r="BT26" s="505"/>
      <c r="BU26" s="505"/>
      <c r="BV26" s="505"/>
      <c r="BW26" s="505"/>
      <c r="BX26" s="505"/>
      <c r="BY26" s="505"/>
      <c r="BZ26" s="505"/>
      <c r="CA26" s="505"/>
      <c r="CB26" s="505"/>
      <c r="CC26" s="505"/>
      <c r="CD26" s="505"/>
      <c r="CE26" s="505"/>
      <c r="CF26" s="505"/>
      <c r="CG26" s="505"/>
      <c r="CH26" s="505"/>
      <c r="CI26" s="505"/>
      <c r="CJ26" s="505"/>
      <c r="CK26" s="505"/>
      <c r="CL26" s="505"/>
      <c r="CM26" s="505"/>
      <c r="CN26" s="505"/>
      <c r="CO26" s="505"/>
      <c r="CP26" s="505"/>
      <c r="CQ26" s="505"/>
      <c r="CR26" s="505"/>
      <c r="CS26" s="505"/>
      <c r="CT26" s="505"/>
      <c r="CU26" s="505"/>
    </row>
    <row r="27" spans="1:99" ht="20.100000000000001" customHeight="1">
      <c r="A27" s="400">
        <v>4</v>
      </c>
      <c r="B27" s="380" t="s">
        <v>64</v>
      </c>
      <c r="C27" s="378">
        <v>1.2845802100400003</v>
      </c>
      <c r="D27" s="378">
        <v>0.96240816664000006</v>
      </c>
      <c r="E27" s="378">
        <v>1.2503674699899998</v>
      </c>
      <c r="F27" s="378">
        <v>2.3135532961399998</v>
      </c>
      <c r="G27" s="378">
        <v>0.97591990499999992</v>
      </c>
      <c r="H27" s="378">
        <f t="shared" ref="H27:H32" si="2">SUM(C27:G27)</f>
        <v>6.7868290478100004</v>
      </c>
      <c r="I27" s="333">
        <f>86.576+21</f>
        <v>107.57599999999999</v>
      </c>
      <c r="J27" s="401">
        <f>I27/H27*10</f>
        <v>158.50701298379252</v>
      </c>
      <c r="K27" s="306"/>
      <c r="L27" s="505"/>
      <c r="M27" s="505"/>
      <c r="N27" s="505"/>
      <c r="O27" s="505"/>
      <c r="P27" s="505"/>
      <c r="Q27" s="505"/>
      <c r="R27" s="505"/>
      <c r="S27" s="505"/>
      <c r="T27" s="505"/>
      <c r="U27" s="505"/>
      <c r="V27" s="505"/>
      <c r="W27" s="505"/>
      <c r="X27" s="505"/>
      <c r="Y27" s="505"/>
      <c r="Z27" s="505"/>
      <c r="AA27" s="505"/>
      <c r="AB27" s="505"/>
      <c r="AC27" s="505"/>
      <c r="AD27" s="505"/>
      <c r="AE27" s="505"/>
      <c r="AF27" s="505"/>
      <c r="AG27" s="505"/>
      <c r="AH27" s="505"/>
      <c r="AI27" s="505"/>
      <c r="AJ27" s="505"/>
      <c r="AK27" s="505"/>
      <c r="AL27" s="505"/>
      <c r="AM27" s="505"/>
      <c r="AN27" s="505"/>
      <c r="AO27" s="505"/>
      <c r="AP27" s="505"/>
      <c r="AQ27" s="505"/>
      <c r="AR27" s="505"/>
      <c r="AS27" s="505"/>
      <c r="AT27" s="505"/>
      <c r="AU27" s="505"/>
      <c r="AV27" s="505"/>
      <c r="AW27" s="505"/>
      <c r="AX27" s="505"/>
      <c r="AY27" s="505"/>
      <c r="AZ27" s="505"/>
      <c r="BA27" s="505"/>
      <c r="BB27" s="505"/>
      <c r="BC27" s="505"/>
      <c r="BD27" s="505"/>
      <c r="BE27" s="505"/>
      <c r="BF27" s="505"/>
      <c r="BG27" s="505"/>
      <c r="BH27" s="505"/>
      <c r="BI27" s="505"/>
      <c r="BJ27" s="505"/>
      <c r="BK27" s="505"/>
      <c r="BL27" s="505"/>
      <c r="BM27" s="505"/>
      <c r="BN27" s="505"/>
      <c r="BO27" s="505"/>
      <c r="BP27" s="505"/>
      <c r="BQ27" s="505"/>
      <c r="BR27" s="505"/>
      <c r="BS27" s="505"/>
      <c r="BT27" s="505"/>
      <c r="BU27" s="505"/>
      <c r="BV27" s="505"/>
      <c r="BW27" s="505"/>
      <c r="BX27" s="505"/>
      <c r="BY27" s="505"/>
      <c r="BZ27" s="505"/>
      <c r="CA27" s="505"/>
      <c r="CB27" s="505"/>
      <c r="CC27" s="505"/>
      <c r="CD27" s="505"/>
      <c r="CE27" s="505"/>
      <c r="CF27" s="505"/>
      <c r="CG27" s="505"/>
      <c r="CH27" s="505"/>
      <c r="CI27" s="505"/>
      <c r="CJ27" s="505"/>
      <c r="CK27" s="505"/>
      <c r="CL27" s="505"/>
      <c r="CM27" s="505"/>
      <c r="CN27" s="505"/>
      <c r="CO27" s="505"/>
      <c r="CP27" s="505"/>
      <c r="CQ27" s="505"/>
      <c r="CR27" s="505"/>
      <c r="CS27" s="505"/>
      <c r="CT27" s="505"/>
      <c r="CU27" s="505"/>
    </row>
    <row r="28" spans="1:99" ht="20.100000000000001" customHeight="1">
      <c r="A28" s="400">
        <v>5</v>
      </c>
      <c r="B28" s="380" t="s">
        <v>65</v>
      </c>
      <c r="C28" s="378">
        <v>0.63860329999999987</v>
      </c>
      <c r="D28" s="378">
        <v>0.62449473</v>
      </c>
      <c r="E28" s="378">
        <v>0.28939049999999999</v>
      </c>
      <c r="F28" s="378">
        <v>0.79998804840000015</v>
      </c>
      <c r="G28" s="378">
        <v>0.98846900680000027</v>
      </c>
      <c r="H28" s="378">
        <f t="shared" si="2"/>
        <v>3.3409455852000005</v>
      </c>
      <c r="I28" s="333">
        <v>183.59800000000001</v>
      </c>
      <c r="J28" s="401">
        <f t="shared" ref="J28:J35" si="3">I28/H28*10</f>
        <v>549.53903114530726</v>
      </c>
      <c r="K28" s="306"/>
      <c r="L28" s="505"/>
      <c r="M28" s="505"/>
      <c r="N28" s="505"/>
      <c r="O28" s="505"/>
      <c r="P28" s="505"/>
      <c r="Q28" s="505"/>
      <c r="R28" s="505"/>
      <c r="S28" s="505"/>
      <c r="T28" s="505"/>
      <c r="U28" s="505"/>
      <c r="V28" s="505"/>
      <c r="W28" s="505"/>
      <c r="X28" s="505"/>
      <c r="Y28" s="505"/>
      <c r="Z28" s="505"/>
      <c r="AA28" s="505"/>
      <c r="AB28" s="505"/>
      <c r="AC28" s="505"/>
      <c r="AD28" s="505"/>
      <c r="AE28" s="505"/>
      <c r="AF28" s="505"/>
      <c r="AG28" s="505"/>
      <c r="AH28" s="505"/>
      <c r="AI28" s="505"/>
      <c r="AJ28" s="505"/>
      <c r="AK28" s="505"/>
      <c r="AL28" s="505"/>
      <c r="AM28" s="505"/>
      <c r="AN28" s="505"/>
      <c r="AO28" s="505"/>
      <c r="AP28" s="505"/>
      <c r="AQ28" s="505"/>
      <c r="AR28" s="505"/>
      <c r="AS28" s="505"/>
      <c r="AT28" s="505"/>
      <c r="AU28" s="505"/>
      <c r="AV28" s="505"/>
      <c r="AW28" s="505"/>
      <c r="AX28" s="505"/>
      <c r="AY28" s="505"/>
      <c r="AZ28" s="505"/>
      <c r="BA28" s="505"/>
      <c r="BB28" s="505"/>
      <c r="BC28" s="505"/>
      <c r="BD28" s="505"/>
      <c r="BE28" s="505"/>
      <c r="BF28" s="505"/>
      <c r="BG28" s="505"/>
      <c r="BH28" s="505"/>
      <c r="BI28" s="505"/>
      <c r="BJ28" s="505"/>
      <c r="BK28" s="505"/>
      <c r="BL28" s="505"/>
      <c r="BM28" s="505"/>
      <c r="BN28" s="505"/>
      <c r="BO28" s="505"/>
      <c r="BP28" s="505"/>
      <c r="BQ28" s="505"/>
      <c r="BR28" s="505"/>
      <c r="BS28" s="505"/>
      <c r="BT28" s="505"/>
      <c r="BU28" s="505"/>
      <c r="BV28" s="505"/>
      <c r="BW28" s="505"/>
      <c r="BX28" s="505"/>
      <c r="BY28" s="505"/>
      <c r="BZ28" s="505"/>
      <c r="CA28" s="505"/>
      <c r="CB28" s="505"/>
      <c r="CC28" s="505"/>
      <c r="CD28" s="505"/>
      <c r="CE28" s="505"/>
      <c r="CF28" s="505"/>
      <c r="CG28" s="505"/>
      <c r="CH28" s="505"/>
      <c r="CI28" s="505"/>
      <c r="CJ28" s="505"/>
      <c r="CK28" s="505"/>
      <c r="CL28" s="505"/>
      <c r="CM28" s="505"/>
      <c r="CN28" s="505"/>
      <c r="CO28" s="505"/>
      <c r="CP28" s="505"/>
      <c r="CQ28" s="505"/>
      <c r="CR28" s="505"/>
      <c r="CS28" s="505"/>
      <c r="CT28" s="505"/>
      <c r="CU28" s="505"/>
    </row>
    <row r="29" spans="1:99" ht="20.100000000000001" customHeight="1">
      <c r="A29" s="400">
        <v>6</v>
      </c>
      <c r="B29" s="380" t="s">
        <v>66</v>
      </c>
      <c r="C29" s="378">
        <v>13.335308373999995</v>
      </c>
      <c r="D29" s="378">
        <v>2.1849159999999999</v>
      </c>
      <c r="E29" s="378">
        <v>9.8120683499999988</v>
      </c>
      <c r="F29" s="378">
        <v>10.023676</v>
      </c>
      <c r="G29" s="378">
        <v>3.9501261200000002</v>
      </c>
      <c r="H29" s="378">
        <f t="shared" si="2"/>
        <v>39.306094843999993</v>
      </c>
      <c r="I29" s="333">
        <v>2565.7009741999996</v>
      </c>
      <c r="J29" s="401">
        <f t="shared" si="3"/>
        <v>652.74888904198758</v>
      </c>
      <c r="K29" s="306"/>
      <c r="L29" s="505"/>
      <c r="M29" s="505"/>
      <c r="N29" s="505"/>
      <c r="O29" s="505"/>
      <c r="P29" s="505"/>
      <c r="Q29" s="505"/>
      <c r="R29" s="505"/>
      <c r="S29" s="505"/>
      <c r="T29" s="505"/>
      <c r="U29" s="505"/>
      <c r="V29" s="505"/>
      <c r="W29" s="505"/>
      <c r="X29" s="505"/>
      <c r="Y29" s="505"/>
      <c r="Z29" s="505"/>
      <c r="AA29" s="505"/>
      <c r="AB29" s="505"/>
      <c r="AC29" s="505"/>
      <c r="AD29" s="505"/>
      <c r="AE29" s="505"/>
      <c r="AF29" s="505"/>
      <c r="AG29" s="505"/>
      <c r="AH29" s="505"/>
      <c r="AI29" s="505"/>
      <c r="AJ29" s="505"/>
      <c r="AK29" s="505"/>
      <c r="AL29" s="505"/>
      <c r="AM29" s="505"/>
      <c r="AN29" s="505"/>
      <c r="AO29" s="505"/>
      <c r="AP29" s="505"/>
      <c r="AQ29" s="505"/>
      <c r="AR29" s="505"/>
      <c r="AS29" s="505"/>
      <c r="AT29" s="505"/>
      <c r="AU29" s="505"/>
      <c r="AV29" s="505"/>
      <c r="AW29" s="505"/>
      <c r="AX29" s="505"/>
      <c r="AY29" s="505"/>
      <c r="AZ29" s="505"/>
      <c r="BA29" s="505"/>
      <c r="BB29" s="505"/>
      <c r="BC29" s="505"/>
      <c r="BD29" s="505"/>
      <c r="BE29" s="505"/>
      <c r="BF29" s="505"/>
      <c r="BG29" s="505"/>
      <c r="BH29" s="505"/>
      <c r="BI29" s="505"/>
      <c r="BJ29" s="505"/>
      <c r="BK29" s="505"/>
      <c r="BL29" s="505"/>
      <c r="BM29" s="505"/>
      <c r="BN29" s="505"/>
      <c r="BO29" s="505"/>
      <c r="BP29" s="505"/>
      <c r="BQ29" s="505"/>
      <c r="BR29" s="505"/>
      <c r="BS29" s="505"/>
      <c r="BT29" s="505"/>
      <c r="BU29" s="505"/>
      <c r="BV29" s="505"/>
      <c r="BW29" s="505"/>
      <c r="BX29" s="505"/>
      <c r="BY29" s="505"/>
      <c r="BZ29" s="505"/>
      <c r="CA29" s="505"/>
      <c r="CB29" s="505"/>
      <c r="CC29" s="505"/>
      <c r="CD29" s="505"/>
      <c r="CE29" s="505"/>
      <c r="CF29" s="505"/>
      <c r="CG29" s="505"/>
      <c r="CH29" s="505"/>
      <c r="CI29" s="505"/>
      <c r="CJ29" s="505"/>
      <c r="CK29" s="505"/>
      <c r="CL29" s="505"/>
      <c r="CM29" s="505"/>
      <c r="CN29" s="505"/>
      <c r="CO29" s="505"/>
      <c r="CP29" s="505"/>
      <c r="CQ29" s="505"/>
      <c r="CR29" s="505"/>
      <c r="CS29" s="505"/>
      <c r="CT29" s="505"/>
      <c r="CU29" s="505"/>
    </row>
    <row r="30" spans="1:99" ht="20.100000000000001" customHeight="1">
      <c r="A30" s="400">
        <v>7</v>
      </c>
      <c r="B30" s="380" t="s">
        <v>182</v>
      </c>
      <c r="C30" s="378">
        <v>4.1228342890000009</v>
      </c>
      <c r="D30" s="378">
        <v>2.1052127249999999</v>
      </c>
      <c r="E30" s="378">
        <v>5.8542469438000007</v>
      </c>
      <c r="F30" s="378">
        <v>3.7028169350000004</v>
      </c>
      <c r="G30" s="378">
        <v>3.6930253065999992</v>
      </c>
      <c r="H30" s="378">
        <f t="shared" si="2"/>
        <v>19.478136199400002</v>
      </c>
      <c r="I30" s="333">
        <v>1373.2920985599997</v>
      </c>
      <c r="J30" s="401">
        <f t="shared" si="3"/>
        <v>705.04286678224491</v>
      </c>
      <c r="K30" s="306"/>
      <c r="L30" s="505"/>
      <c r="M30" s="505"/>
      <c r="N30" s="505"/>
      <c r="O30" s="505"/>
      <c r="P30" s="505"/>
      <c r="Q30" s="505"/>
      <c r="R30" s="505"/>
      <c r="S30" s="505"/>
      <c r="T30" s="505"/>
      <c r="U30" s="505"/>
      <c r="V30" s="505"/>
      <c r="W30" s="505"/>
      <c r="X30" s="505"/>
      <c r="Y30" s="505"/>
      <c r="Z30" s="505"/>
      <c r="AA30" s="505"/>
      <c r="AB30" s="505"/>
      <c r="AC30" s="505"/>
      <c r="AD30" s="505"/>
      <c r="AE30" s="505"/>
      <c r="AF30" s="505"/>
      <c r="AG30" s="505"/>
      <c r="AH30" s="505"/>
      <c r="AI30" s="505"/>
      <c r="AJ30" s="505"/>
      <c r="AK30" s="505"/>
      <c r="AL30" s="505"/>
      <c r="AM30" s="505"/>
      <c r="AN30" s="505"/>
      <c r="AO30" s="505"/>
      <c r="AP30" s="505"/>
      <c r="AQ30" s="505"/>
      <c r="AR30" s="505"/>
      <c r="AS30" s="505"/>
      <c r="AT30" s="505"/>
      <c r="AU30" s="505"/>
      <c r="AV30" s="505"/>
      <c r="AW30" s="505"/>
      <c r="AX30" s="505"/>
      <c r="AY30" s="505"/>
      <c r="AZ30" s="505"/>
      <c r="BA30" s="505"/>
      <c r="BB30" s="505"/>
      <c r="BC30" s="505"/>
      <c r="BD30" s="505"/>
      <c r="BE30" s="505"/>
      <c r="BF30" s="505"/>
      <c r="BG30" s="505"/>
      <c r="BH30" s="505"/>
      <c r="BI30" s="505"/>
      <c r="BJ30" s="505"/>
      <c r="BK30" s="505"/>
      <c r="BL30" s="505"/>
      <c r="BM30" s="505"/>
      <c r="BN30" s="505"/>
      <c r="BO30" s="505"/>
      <c r="BP30" s="505"/>
      <c r="BQ30" s="505"/>
      <c r="BR30" s="505"/>
      <c r="BS30" s="505"/>
      <c r="BT30" s="505"/>
      <c r="BU30" s="505"/>
      <c r="BV30" s="505"/>
      <c r="BW30" s="505"/>
      <c r="BX30" s="505"/>
      <c r="BY30" s="505"/>
      <c r="BZ30" s="505"/>
      <c r="CA30" s="505"/>
      <c r="CB30" s="505"/>
      <c r="CC30" s="505"/>
      <c r="CD30" s="505"/>
      <c r="CE30" s="505"/>
      <c r="CF30" s="505"/>
      <c r="CG30" s="505"/>
      <c r="CH30" s="505"/>
      <c r="CI30" s="505"/>
      <c r="CJ30" s="505"/>
      <c r="CK30" s="505"/>
      <c r="CL30" s="505"/>
      <c r="CM30" s="505"/>
      <c r="CN30" s="505"/>
      <c r="CO30" s="505"/>
      <c r="CP30" s="505"/>
      <c r="CQ30" s="505"/>
      <c r="CR30" s="505"/>
      <c r="CS30" s="505"/>
      <c r="CT30" s="505"/>
      <c r="CU30" s="505"/>
    </row>
    <row r="31" spans="1:99" ht="20.100000000000001" customHeight="1">
      <c r="A31" s="400">
        <v>8</v>
      </c>
      <c r="B31" s="380" t="s">
        <v>183</v>
      </c>
      <c r="C31" s="378">
        <v>18.771310980299997</v>
      </c>
      <c r="D31" s="378">
        <v>6.0994231199999991</v>
      </c>
      <c r="E31" s="378">
        <v>18.717491824000003</v>
      </c>
      <c r="F31" s="378">
        <v>9.5477788019999998</v>
      </c>
      <c r="G31" s="378">
        <v>13.219304281740001</v>
      </c>
      <c r="H31" s="378">
        <f t="shared" si="2"/>
        <v>66.355309008039995</v>
      </c>
      <c r="I31" s="333">
        <f>5586.16873788-21</f>
        <v>5565.1687378799998</v>
      </c>
      <c r="J31" s="401">
        <f t="shared" si="3"/>
        <v>838.69230979026736</v>
      </c>
      <c r="K31" s="306"/>
      <c r="L31" s="505"/>
      <c r="M31" s="505"/>
      <c r="N31" s="505"/>
      <c r="O31" s="505"/>
      <c r="P31" s="505"/>
      <c r="Q31" s="505"/>
      <c r="R31" s="505"/>
      <c r="S31" s="505"/>
      <c r="T31" s="505"/>
      <c r="U31" s="505"/>
      <c r="V31" s="505"/>
      <c r="W31" s="505"/>
      <c r="X31" s="505"/>
      <c r="Y31" s="505"/>
      <c r="Z31" s="505"/>
      <c r="AA31" s="505"/>
      <c r="AB31" s="505"/>
      <c r="AC31" s="505"/>
      <c r="AD31" s="505"/>
      <c r="AE31" s="505"/>
      <c r="AF31" s="505"/>
      <c r="AG31" s="505"/>
      <c r="AH31" s="505"/>
      <c r="AI31" s="505"/>
      <c r="AJ31" s="505"/>
      <c r="AK31" s="505"/>
      <c r="AL31" s="505"/>
      <c r="AM31" s="505"/>
      <c r="AN31" s="505"/>
      <c r="AO31" s="505"/>
      <c r="AP31" s="505"/>
      <c r="AQ31" s="505"/>
      <c r="AR31" s="505"/>
      <c r="AS31" s="505"/>
      <c r="AT31" s="505"/>
      <c r="AU31" s="505"/>
      <c r="AV31" s="505"/>
      <c r="AW31" s="505"/>
      <c r="AX31" s="505"/>
      <c r="AY31" s="505"/>
      <c r="AZ31" s="505"/>
      <c r="BA31" s="505"/>
      <c r="BB31" s="505"/>
      <c r="BC31" s="505"/>
      <c r="BD31" s="505"/>
      <c r="BE31" s="505"/>
      <c r="BF31" s="505"/>
      <c r="BG31" s="505"/>
      <c r="BH31" s="505"/>
      <c r="BI31" s="505"/>
      <c r="BJ31" s="505"/>
      <c r="BK31" s="505"/>
      <c r="BL31" s="505"/>
      <c r="BM31" s="505"/>
      <c r="BN31" s="505"/>
      <c r="BO31" s="505"/>
      <c r="BP31" s="505"/>
      <c r="BQ31" s="505"/>
      <c r="BR31" s="505"/>
      <c r="BS31" s="505"/>
      <c r="BT31" s="505"/>
      <c r="BU31" s="505"/>
      <c r="BV31" s="505"/>
      <c r="BW31" s="505"/>
      <c r="BX31" s="505"/>
      <c r="BY31" s="505"/>
      <c r="BZ31" s="505"/>
      <c r="CA31" s="505"/>
      <c r="CB31" s="505"/>
      <c r="CC31" s="505"/>
      <c r="CD31" s="505"/>
      <c r="CE31" s="505"/>
      <c r="CF31" s="505"/>
      <c r="CG31" s="505"/>
      <c r="CH31" s="505"/>
      <c r="CI31" s="505"/>
      <c r="CJ31" s="505"/>
      <c r="CK31" s="505"/>
      <c r="CL31" s="505"/>
      <c r="CM31" s="505"/>
      <c r="CN31" s="505"/>
      <c r="CO31" s="505"/>
      <c r="CP31" s="505"/>
      <c r="CQ31" s="505"/>
      <c r="CR31" s="505"/>
      <c r="CS31" s="505"/>
      <c r="CT31" s="505"/>
      <c r="CU31" s="505"/>
    </row>
    <row r="32" spans="1:99" ht="20.100000000000001" customHeight="1">
      <c r="A32" s="400">
        <v>9</v>
      </c>
      <c r="B32" s="380" t="s">
        <v>184</v>
      </c>
      <c r="C32" s="378">
        <v>15.852096890599999</v>
      </c>
      <c r="D32" s="378">
        <v>3.0172216300000008</v>
      </c>
      <c r="E32" s="378">
        <v>11.255264297</v>
      </c>
      <c r="F32" s="378">
        <v>5.7545122964000006</v>
      </c>
      <c r="G32" s="378">
        <v>7.4238124983700011</v>
      </c>
      <c r="H32" s="378">
        <f t="shared" si="2"/>
        <v>43.302907612370007</v>
      </c>
      <c r="I32" s="333">
        <v>2981.1460414600001</v>
      </c>
      <c r="J32" s="401">
        <f t="shared" si="3"/>
        <v>688.44015467644931</v>
      </c>
      <c r="K32" s="306"/>
      <c r="L32" s="505"/>
      <c r="M32" s="505"/>
      <c r="N32" s="505"/>
      <c r="O32" s="505"/>
      <c r="P32" s="505"/>
      <c r="Q32" s="505"/>
      <c r="R32" s="505"/>
      <c r="S32" s="505"/>
      <c r="T32" s="505"/>
      <c r="U32" s="505"/>
      <c r="V32" s="505"/>
      <c r="W32" s="505"/>
      <c r="X32" s="505"/>
      <c r="Y32" s="505"/>
      <c r="Z32" s="505"/>
      <c r="AA32" s="505"/>
      <c r="AB32" s="505"/>
      <c r="AC32" s="505"/>
      <c r="AD32" s="505"/>
      <c r="AE32" s="505"/>
      <c r="AF32" s="505"/>
      <c r="AG32" s="505"/>
      <c r="AH32" s="505"/>
      <c r="AI32" s="505"/>
      <c r="AJ32" s="505"/>
      <c r="AK32" s="505"/>
      <c r="AL32" s="505"/>
      <c r="AM32" s="505"/>
      <c r="AN32" s="505"/>
      <c r="AO32" s="505"/>
      <c r="AP32" s="505"/>
      <c r="AQ32" s="505"/>
      <c r="AR32" s="505"/>
      <c r="AS32" s="505"/>
      <c r="AT32" s="505"/>
      <c r="AU32" s="505"/>
      <c r="AV32" s="505"/>
      <c r="AW32" s="505"/>
      <c r="AX32" s="505"/>
      <c r="AY32" s="505"/>
      <c r="AZ32" s="505"/>
      <c r="BA32" s="505"/>
      <c r="BB32" s="505"/>
      <c r="BC32" s="505"/>
      <c r="BD32" s="505"/>
      <c r="BE32" s="505"/>
      <c r="BF32" s="505"/>
      <c r="BG32" s="505"/>
      <c r="BH32" s="505"/>
      <c r="BI32" s="505"/>
      <c r="BJ32" s="505"/>
      <c r="BK32" s="505"/>
      <c r="BL32" s="505"/>
      <c r="BM32" s="505"/>
      <c r="BN32" s="505"/>
      <c r="BO32" s="505"/>
      <c r="BP32" s="505"/>
      <c r="BQ32" s="505"/>
      <c r="BR32" s="505"/>
      <c r="BS32" s="505"/>
      <c r="BT32" s="505"/>
      <c r="BU32" s="505"/>
      <c r="BV32" s="505"/>
      <c r="BW32" s="505"/>
      <c r="BX32" s="505"/>
      <c r="BY32" s="505"/>
      <c r="BZ32" s="505"/>
      <c r="CA32" s="505"/>
      <c r="CB32" s="505"/>
      <c r="CC32" s="505"/>
      <c r="CD32" s="505"/>
      <c r="CE32" s="505"/>
      <c r="CF32" s="505"/>
      <c r="CG32" s="505"/>
      <c r="CH32" s="505"/>
      <c r="CI32" s="505"/>
      <c r="CJ32" s="505"/>
      <c r="CK32" s="505"/>
      <c r="CL32" s="505"/>
      <c r="CM32" s="505"/>
      <c r="CN32" s="505"/>
      <c r="CO32" s="505"/>
      <c r="CP32" s="505"/>
      <c r="CQ32" s="505"/>
      <c r="CR32" s="505"/>
      <c r="CS32" s="505"/>
      <c r="CT32" s="505"/>
      <c r="CU32" s="505"/>
    </row>
    <row r="33" spans="1:99" ht="20.100000000000001" customHeight="1">
      <c r="A33" s="400">
        <v>10</v>
      </c>
      <c r="B33" s="380" t="s">
        <v>70</v>
      </c>
      <c r="C33" s="378">
        <v>15.681022777710002</v>
      </c>
      <c r="D33" s="378">
        <v>9.4221688279100011</v>
      </c>
      <c r="E33" s="378">
        <v>7.7570793649999992</v>
      </c>
      <c r="F33" s="378">
        <v>14.940010771050002</v>
      </c>
      <c r="G33" s="378">
        <v>14.460391871549998</v>
      </c>
      <c r="H33" s="378">
        <f>SUM(C33:G33)</f>
        <v>62.260673613220007</v>
      </c>
      <c r="I33" s="333">
        <v>4730.3585530399996</v>
      </c>
      <c r="J33" s="401">
        <f t="shared" si="3"/>
        <v>759.76668393057469</v>
      </c>
      <c r="K33" s="306"/>
      <c r="L33" s="505"/>
      <c r="M33" s="505"/>
      <c r="N33" s="505"/>
      <c r="O33" s="505"/>
      <c r="P33" s="505"/>
      <c r="Q33" s="505"/>
      <c r="R33" s="505"/>
      <c r="S33" s="505"/>
      <c r="T33" s="505"/>
      <c r="U33" s="505"/>
      <c r="V33" s="505"/>
      <c r="W33" s="505"/>
      <c r="X33" s="505"/>
      <c r="Y33" s="505"/>
      <c r="Z33" s="505"/>
      <c r="AA33" s="505"/>
      <c r="AB33" s="505"/>
      <c r="AC33" s="505"/>
      <c r="AD33" s="505"/>
      <c r="AE33" s="505"/>
      <c r="AF33" s="505"/>
      <c r="AG33" s="505"/>
      <c r="AH33" s="505"/>
      <c r="AI33" s="505"/>
      <c r="AJ33" s="505"/>
      <c r="AK33" s="505"/>
      <c r="AL33" s="505"/>
      <c r="AM33" s="505"/>
      <c r="AN33" s="505"/>
      <c r="AO33" s="505"/>
      <c r="AP33" s="505"/>
      <c r="AQ33" s="505"/>
      <c r="AR33" s="505"/>
      <c r="AS33" s="505"/>
      <c r="AT33" s="505"/>
      <c r="AU33" s="505"/>
      <c r="AV33" s="505"/>
      <c r="AW33" s="505"/>
      <c r="AX33" s="505"/>
      <c r="AY33" s="505"/>
      <c r="AZ33" s="505"/>
      <c r="BA33" s="505"/>
      <c r="BB33" s="505"/>
      <c r="BC33" s="505"/>
      <c r="BD33" s="505"/>
      <c r="BE33" s="505"/>
      <c r="BF33" s="505"/>
      <c r="BG33" s="505"/>
      <c r="BH33" s="505"/>
      <c r="BI33" s="505"/>
      <c r="BJ33" s="505"/>
      <c r="BK33" s="505"/>
      <c r="BL33" s="505"/>
      <c r="BM33" s="505"/>
      <c r="BN33" s="505"/>
      <c r="BO33" s="505"/>
      <c r="BP33" s="505"/>
      <c r="BQ33" s="505"/>
      <c r="BR33" s="505"/>
      <c r="BS33" s="505"/>
      <c r="BT33" s="505"/>
      <c r="BU33" s="505"/>
      <c r="BV33" s="505"/>
      <c r="BW33" s="505"/>
      <c r="BX33" s="505"/>
      <c r="BY33" s="505"/>
      <c r="BZ33" s="505"/>
      <c r="CA33" s="505"/>
      <c r="CB33" s="505"/>
      <c r="CC33" s="505"/>
      <c r="CD33" s="505"/>
      <c r="CE33" s="505"/>
      <c r="CF33" s="505"/>
      <c r="CG33" s="505"/>
      <c r="CH33" s="505"/>
      <c r="CI33" s="505"/>
      <c r="CJ33" s="505"/>
      <c r="CK33" s="505"/>
      <c r="CL33" s="505"/>
      <c r="CM33" s="505"/>
      <c r="CN33" s="505"/>
      <c r="CO33" s="505"/>
      <c r="CP33" s="505"/>
      <c r="CQ33" s="505"/>
      <c r="CR33" s="505"/>
      <c r="CS33" s="505"/>
      <c r="CT33" s="505"/>
      <c r="CU33" s="505"/>
    </row>
    <row r="34" spans="1:99" ht="20.100000000000001" customHeight="1">
      <c r="A34" s="400">
        <v>11</v>
      </c>
      <c r="B34" s="380" t="s">
        <v>71</v>
      </c>
      <c r="C34" s="378">
        <v>2.4934957999999994</v>
      </c>
      <c r="D34" s="378">
        <v>6.1260000000000004E-3</v>
      </c>
      <c r="E34" s="378">
        <v>2.3757239999999999</v>
      </c>
      <c r="F34" s="378">
        <v>8.8403900000000001E-3</v>
      </c>
      <c r="G34" s="401">
        <v>0</v>
      </c>
      <c r="H34" s="378">
        <f>SUM(C34:G34)</f>
        <v>4.8841861899999994</v>
      </c>
      <c r="I34" s="333">
        <v>287.84181197999999</v>
      </c>
      <c r="J34" s="401">
        <f t="shared" si="3"/>
        <v>589.3342325264631</v>
      </c>
      <c r="K34" s="306"/>
      <c r="L34" s="505"/>
      <c r="M34" s="505"/>
      <c r="N34" s="505"/>
      <c r="O34" s="505"/>
      <c r="P34" s="505"/>
      <c r="Q34" s="505"/>
      <c r="R34" s="505"/>
      <c r="S34" s="505"/>
      <c r="T34" s="505"/>
      <c r="U34" s="505"/>
      <c r="V34" s="505"/>
      <c r="W34" s="505"/>
      <c r="X34" s="505"/>
      <c r="Y34" s="505"/>
      <c r="Z34" s="505"/>
      <c r="AA34" s="505"/>
      <c r="AB34" s="505"/>
      <c r="AC34" s="505"/>
      <c r="AD34" s="505"/>
      <c r="AE34" s="505"/>
      <c r="AF34" s="505"/>
      <c r="AG34" s="505"/>
      <c r="AH34" s="505"/>
      <c r="AI34" s="505"/>
      <c r="AJ34" s="505"/>
      <c r="AK34" s="505"/>
      <c r="AL34" s="505"/>
      <c r="AM34" s="505"/>
      <c r="AN34" s="505"/>
      <c r="AO34" s="505"/>
      <c r="AP34" s="505"/>
      <c r="AQ34" s="505"/>
      <c r="AR34" s="505"/>
      <c r="AS34" s="505"/>
      <c r="AT34" s="505"/>
      <c r="AU34" s="505"/>
      <c r="AV34" s="505"/>
      <c r="AW34" s="505"/>
      <c r="AX34" s="505"/>
      <c r="AY34" s="505"/>
      <c r="AZ34" s="505"/>
      <c r="BA34" s="505"/>
      <c r="BB34" s="505"/>
      <c r="BC34" s="505"/>
      <c r="BD34" s="505"/>
      <c r="BE34" s="505"/>
      <c r="BF34" s="505"/>
      <c r="BG34" s="505"/>
      <c r="BH34" s="505"/>
      <c r="BI34" s="505"/>
      <c r="BJ34" s="505"/>
      <c r="BK34" s="505"/>
      <c r="BL34" s="505"/>
      <c r="BM34" s="505"/>
      <c r="BN34" s="505"/>
      <c r="BO34" s="505"/>
      <c r="BP34" s="505"/>
      <c r="BQ34" s="505"/>
      <c r="BR34" s="505"/>
      <c r="BS34" s="505"/>
      <c r="BT34" s="505"/>
      <c r="BU34" s="505"/>
      <c r="BV34" s="505"/>
      <c r="BW34" s="505"/>
      <c r="BX34" s="505"/>
      <c r="BY34" s="505"/>
      <c r="BZ34" s="505"/>
      <c r="CA34" s="505"/>
      <c r="CB34" s="505"/>
      <c r="CC34" s="505"/>
      <c r="CD34" s="505"/>
      <c r="CE34" s="505"/>
      <c r="CF34" s="505"/>
      <c r="CG34" s="505"/>
      <c r="CH34" s="505"/>
      <c r="CI34" s="505"/>
      <c r="CJ34" s="505"/>
      <c r="CK34" s="505"/>
      <c r="CL34" s="505"/>
      <c r="CM34" s="505"/>
      <c r="CN34" s="505"/>
      <c r="CO34" s="505"/>
      <c r="CP34" s="505"/>
      <c r="CQ34" s="505"/>
      <c r="CR34" s="505"/>
      <c r="CS34" s="505"/>
      <c r="CT34" s="505"/>
      <c r="CU34" s="505"/>
    </row>
    <row r="35" spans="1:99" ht="20.100000000000001" customHeight="1">
      <c r="A35" s="400">
        <v>12</v>
      </c>
      <c r="B35" s="62" t="s">
        <v>187</v>
      </c>
      <c r="C35" s="378"/>
      <c r="D35" s="378"/>
      <c r="E35" s="378"/>
      <c r="F35" s="378"/>
      <c r="G35" s="378"/>
      <c r="H35" s="378">
        <f>SUM(C35:G35)</f>
        <v>0</v>
      </c>
      <c r="I35" s="333"/>
      <c r="J35" s="401" t="e">
        <f t="shared" si="3"/>
        <v>#DIV/0!</v>
      </c>
      <c r="K35" s="306"/>
      <c r="L35" s="505"/>
      <c r="M35" s="505"/>
      <c r="N35" s="505"/>
      <c r="O35" s="505"/>
      <c r="P35" s="505"/>
      <c r="Q35" s="505"/>
      <c r="R35" s="505"/>
      <c r="S35" s="505"/>
      <c r="T35" s="505"/>
      <c r="U35" s="505"/>
      <c r="V35" s="505"/>
      <c r="W35" s="505"/>
      <c r="X35" s="505"/>
      <c r="Y35" s="505"/>
      <c r="Z35" s="505"/>
      <c r="AA35" s="505"/>
      <c r="AB35" s="505"/>
      <c r="AC35" s="505"/>
      <c r="AD35" s="505"/>
      <c r="AE35" s="505"/>
      <c r="AF35" s="505"/>
      <c r="AG35" s="505"/>
      <c r="AH35" s="505"/>
      <c r="AI35" s="505"/>
      <c r="AJ35" s="505"/>
      <c r="AK35" s="505"/>
      <c r="AL35" s="505"/>
      <c r="AM35" s="505"/>
      <c r="AN35" s="505"/>
      <c r="AO35" s="505"/>
      <c r="AP35" s="505"/>
      <c r="AQ35" s="505"/>
      <c r="AR35" s="505"/>
      <c r="AS35" s="505"/>
      <c r="AT35" s="505"/>
      <c r="AU35" s="505"/>
      <c r="AV35" s="505"/>
      <c r="AW35" s="505"/>
      <c r="AX35" s="505"/>
      <c r="AY35" s="505"/>
      <c r="AZ35" s="505"/>
      <c r="BA35" s="505"/>
      <c r="BB35" s="505"/>
      <c r="BC35" s="505"/>
      <c r="BD35" s="505"/>
      <c r="BE35" s="505"/>
      <c r="BF35" s="505"/>
      <c r="BG35" s="505"/>
      <c r="BH35" s="505"/>
      <c r="BI35" s="505"/>
      <c r="BJ35" s="505"/>
      <c r="BK35" s="505"/>
      <c r="BL35" s="505"/>
      <c r="BM35" s="505"/>
      <c r="BN35" s="505"/>
      <c r="BO35" s="505"/>
      <c r="BP35" s="505"/>
      <c r="BQ35" s="505"/>
      <c r="BR35" s="505"/>
      <c r="BS35" s="505"/>
      <c r="BT35" s="505"/>
      <c r="BU35" s="505"/>
      <c r="BV35" s="505"/>
      <c r="BW35" s="505"/>
      <c r="BX35" s="505"/>
      <c r="BY35" s="505"/>
      <c r="BZ35" s="505"/>
      <c r="CA35" s="505"/>
      <c r="CB35" s="505"/>
      <c r="CC35" s="505"/>
      <c r="CD35" s="505"/>
      <c r="CE35" s="505"/>
      <c r="CF35" s="505"/>
      <c r="CG35" s="505"/>
      <c r="CH35" s="505"/>
      <c r="CI35" s="505"/>
      <c r="CJ35" s="505"/>
      <c r="CK35" s="505"/>
      <c r="CL35" s="505"/>
      <c r="CM35" s="505"/>
      <c r="CN35" s="505"/>
      <c r="CO35" s="505"/>
      <c r="CP35" s="505"/>
      <c r="CQ35" s="505"/>
      <c r="CR35" s="505"/>
      <c r="CS35" s="505"/>
      <c r="CT35" s="505"/>
      <c r="CU35" s="505"/>
    </row>
    <row r="36" spans="1:99" ht="20.100000000000001" customHeight="1">
      <c r="A36" s="400">
        <v>13</v>
      </c>
      <c r="B36" s="62" t="s">
        <v>73</v>
      </c>
      <c r="C36" s="378"/>
      <c r="D36" s="378"/>
      <c r="E36" s="378"/>
      <c r="F36" s="378"/>
      <c r="G36" s="378"/>
      <c r="H36" s="378"/>
      <c r="I36" s="333"/>
      <c r="J36" s="401"/>
      <c r="K36" s="306"/>
      <c r="L36" s="505"/>
      <c r="M36" s="505"/>
      <c r="N36" s="505"/>
      <c r="O36" s="505"/>
      <c r="P36" s="505"/>
      <c r="Q36" s="505"/>
      <c r="R36" s="505"/>
      <c r="S36" s="505"/>
      <c r="T36" s="505"/>
      <c r="U36" s="505"/>
      <c r="V36" s="505"/>
      <c r="W36" s="505"/>
      <c r="X36" s="505"/>
      <c r="Y36" s="505"/>
      <c r="Z36" s="505"/>
      <c r="AA36" s="505"/>
      <c r="AB36" s="505"/>
      <c r="AC36" s="505"/>
      <c r="AD36" s="505"/>
      <c r="AE36" s="505"/>
      <c r="AF36" s="505"/>
      <c r="AG36" s="505"/>
      <c r="AH36" s="505"/>
      <c r="AI36" s="505"/>
      <c r="AJ36" s="505"/>
      <c r="AK36" s="505"/>
      <c r="AL36" s="505"/>
      <c r="AM36" s="505"/>
      <c r="AN36" s="505"/>
      <c r="AO36" s="505"/>
      <c r="AP36" s="505"/>
      <c r="AQ36" s="505"/>
      <c r="AR36" s="505"/>
      <c r="AS36" s="505"/>
      <c r="AT36" s="505"/>
      <c r="AU36" s="505"/>
      <c r="AV36" s="505"/>
      <c r="AW36" s="505"/>
      <c r="AX36" s="505"/>
      <c r="AY36" s="505"/>
      <c r="AZ36" s="505"/>
      <c r="BA36" s="505"/>
      <c r="BB36" s="505"/>
      <c r="BC36" s="505"/>
      <c r="BD36" s="505"/>
      <c r="BE36" s="505"/>
      <c r="BF36" s="505"/>
      <c r="BG36" s="505"/>
      <c r="BH36" s="505"/>
      <c r="BI36" s="505"/>
      <c r="BJ36" s="505"/>
      <c r="BK36" s="505"/>
      <c r="BL36" s="505"/>
      <c r="BM36" s="505"/>
      <c r="BN36" s="505"/>
      <c r="BO36" s="505"/>
      <c r="BP36" s="505"/>
      <c r="BQ36" s="505"/>
      <c r="BR36" s="505"/>
      <c r="BS36" s="505"/>
      <c r="BT36" s="505"/>
      <c r="BU36" s="505"/>
      <c r="BV36" s="505"/>
      <c r="BW36" s="505"/>
      <c r="BX36" s="505"/>
      <c r="BY36" s="505"/>
      <c r="BZ36" s="505"/>
      <c r="CA36" s="505"/>
      <c r="CB36" s="505"/>
      <c r="CC36" s="505"/>
      <c r="CD36" s="505"/>
      <c r="CE36" s="505"/>
      <c r="CF36" s="505"/>
      <c r="CG36" s="505"/>
      <c r="CH36" s="505"/>
      <c r="CI36" s="505"/>
      <c r="CJ36" s="505"/>
      <c r="CK36" s="505"/>
      <c r="CL36" s="505"/>
      <c r="CM36" s="505"/>
      <c r="CN36" s="505"/>
      <c r="CO36" s="505"/>
      <c r="CP36" s="505"/>
      <c r="CQ36" s="505"/>
      <c r="CR36" s="505"/>
      <c r="CS36" s="505"/>
      <c r="CT36" s="505"/>
      <c r="CU36" s="505"/>
    </row>
    <row r="37" spans="1:99" ht="20.100000000000001" customHeight="1">
      <c r="A37" s="400"/>
      <c r="B37" s="403" t="s">
        <v>188</v>
      </c>
      <c r="C37" s="110">
        <f>SUM(C26:C36)+C25+C19</f>
        <v>681.47889736862999</v>
      </c>
      <c r="D37" s="110">
        <f t="shared" ref="D37:G37" si="4">SUM(D26:D36)+D25+D19</f>
        <v>603.03300225739781</v>
      </c>
      <c r="E37" s="110">
        <f t="shared" si="4"/>
        <v>563.02356738771982</v>
      </c>
      <c r="F37" s="110">
        <f t="shared" si="4"/>
        <v>583.7164132744108</v>
      </c>
      <c r="G37" s="110">
        <f t="shared" si="4"/>
        <v>442.31363362008994</v>
      </c>
      <c r="H37" s="110">
        <f>SUM(H26:H36)+H25+H19</f>
        <v>2873.565261891601</v>
      </c>
      <c r="I37" s="109">
        <f>SUM(I26:I36)+I25+I19</f>
        <v>137906.39402722349</v>
      </c>
      <c r="J37" s="268">
        <f>I37/H37*10</f>
        <v>479.91390992958662</v>
      </c>
      <c r="K37" s="306"/>
      <c r="L37" s="505"/>
      <c r="M37" s="505"/>
      <c r="N37" s="505"/>
      <c r="O37" s="505"/>
      <c r="P37" s="505"/>
      <c r="Q37" s="505"/>
      <c r="R37" s="505"/>
      <c r="S37" s="505"/>
      <c r="T37" s="505"/>
      <c r="U37" s="505"/>
      <c r="V37" s="505"/>
      <c r="W37" s="505"/>
      <c r="X37" s="505"/>
      <c r="Y37" s="505"/>
      <c r="Z37" s="505"/>
      <c r="AA37" s="505"/>
      <c r="AB37" s="505"/>
      <c r="AC37" s="505"/>
      <c r="AD37" s="505"/>
      <c r="AE37" s="505"/>
      <c r="AF37" s="505"/>
      <c r="AG37" s="505"/>
      <c r="AH37" s="505"/>
      <c r="AI37" s="505"/>
      <c r="AJ37" s="505"/>
      <c r="AK37" s="505"/>
      <c r="AL37" s="505"/>
      <c r="AM37" s="505"/>
      <c r="AN37" s="505"/>
      <c r="AO37" s="505"/>
      <c r="AP37" s="505"/>
      <c r="AQ37" s="505"/>
      <c r="AR37" s="505"/>
      <c r="AS37" s="505"/>
      <c r="AT37" s="505"/>
      <c r="AU37" s="505"/>
      <c r="AV37" s="505"/>
      <c r="AW37" s="505"/>
      <c r="AX37" s="505"/>
      <c r="AY37" s="505"/>
      <c r="AZ37" s="505"/>
      <c r="BA37" s="505"/>
      <c r="BB37" s="505"/>
      <c r="BC37" s="505"/>
      <c r="BD37" s="505"/>
      <c r="BE37" s="505"/>
      <c r="BF37" s="505"/>
      <c r="BG37" s="505"/>
      <c r="BH37" s="505"/>
      <c r="BI37" s="505"/>
      <c r="BJ37" s="505"/>
      <c r="BK37" s="505"/>
      <c r="BL37" s="505"/>
      <c r="BM37" s="505"/>
      <c r="BN37" s="505"/>
      <c r="BO37" s="505"/>
      <c r="BP37" s="505"/>
      <c r="BQ37" s="505"/>
      <c r="BR37" s="505"/>
      <c r="BS37" s="505"/>
      <c r="BT37" s="505"/>
      <c r="BU37" s="505"/>
      <c r="BV37" s="505"/>
      <c r="BW37" s="505"/>
      <c r="BX37" s="505"/>
      <c r="BY37" s="505"/>
      <c r="BZ37" s="505"/>
      <c r="CA37" s="505"/>
      <c r="CB37" s="505"/>
      <c r="CC37" s="505"/>
      <c r="CD37" s="505"/>
      <c r="CE37" s="505"/>
      <c r="CF37" s="505"/>
      <c r="CG37" s="505"/>
      <c r="CH37" s="505"/>
      <c r="CI37" s="505"/>
      <c r="CJ37" s="505"/>
      <c r="CK37" s="505"/>
      <c r="CL37" s="505"/>
      <c r="CM37" s="505"/>
      <c r="CN37" s="505"/>
      <c r="CO37" s="505"/>
      <c r="CP37" s="505"/>
      <c r="CQ37" s="505"/>
      <c r="CR37" s="505"/>
      <c r="CS37" s="505"/>
      <c r="CT37" s="505"/>
      <c r="CU37" s="505"/>
    </row>
    <row r="38" spans="1:99" ht="20.100000000000001" customHeight="1">
      <c r="A38" s="62"/>
      <c r="B38" s="404" t="s">
        <v>75</v>
      </c>
      <c r="C38" s="378"/>
      <c r="D38" s="378"/>
      <c r="E38" s="378"/>
      <c r="F38" s="378"/>
      <c r="G38" s="378"/>
      <c r="H38" s="378"/>
      <c r="I38" s="333"/>
      <c r="J38" s="401"/>
      <c r="K38" s="306"/>
      <c r="L38" s="505"/>
      <c r="M38" s="505"/>
      <c r="N38" s="505"/>
      <c r="O38" s="505"/>
      <c r="P38" s="505"/>
      <c r="Q38" s="505"/>
      <c r="R38" s="505"/>
      <c r="S38" s="505"/>
      <c r="T38" s="505"/>
      <c r="U38" s="505"/>
      <c r="V38" s="505"/>
      <c r="W38" s="505"/>
      <c r="X38" s="505"/>
      <c r="Y38" s="505"/>
      <c r="Z38" s="505"/>
      <c r="AA38" s="505"/>
      <c r="AB38" s="505"/>
      <c r="AC38" s="505"/>
      <c r="AD38" s="505"/>
      <c r="AE38" s="505"/>
      <c r="AF38" s="505"/>
      <c r="AG38" s="505"/>
      <c r="AH38" s="505"/>
      <c r="AI38" s="505"/>
      <c r="AJ38" s="505"/>
      <c r="AK38" s="505"/>
      <c r="AL38" s="505"/>
      <c r="AM38" s="505"/>
      <c r="AN38" s="505"/>
      <c r="AO38" s="505"/>
      <c r="AP38" s="505"/>
      <c r="AQ38" s="505"/>
      <c r="AR38" s="505"/>
      <c r="AS38" s="505"/>
      <c r="AT38" s="505"/>
      <c r="AU38" s="505"/>
      <c r="AV38" s="505"/>
      <c r="AW38" s="505"/>
      <c r="AX38" s="505"/>
      <c r="AY38" s="505"/>
      <c r="AZ38" s="505"/>
      <c r="BA38" s="505"/>
      <c r="BB38" s="505"/>
      <c r="BC38" s="505"/>
      <c r="BD38" s="505"/>
      <c r="BE38" s="505"/>
      <c r="BF38" s="505"/>
      <c r="BG38" s="505"/>
      <c r="BH38" s="505"/>
      <c r="BI38" s="505"/>
      <c r="BJ38" s="505"/>
      <c r="BK38" s="505"/>
      <c r="BL38" s="505"/>
      <c r="BM38" s="505"/>
      <c r="BN38" s="505"/>
      <c r="BO38" s="505"/>
      <c r="BP38" s="505"/>
      <c r="BQ38" s="505"/>
      <c r="BR38" s="505"/>
      <c r="BS38" s="505"/>
      <c r="BT38" s="505"/>
      <c r="BU38" s="505"/>
      <c r="BV38" s="505"/>
      <c r="BW38" s="505"/>
      <c r="BX38" s="505"/>
      <c r="BY38" s="505"/>
      <c r="BZ38" s="505"/>
      <c r="CA38" s="505"/>
      <c r="CB38" s="505"/>
      <c r="CC38" s="505"/>
      <c r="CD38" s="505"/>
      <c r="CE38" s="505"/>
      <c r="CF38" s="505"/>
      <c r="CG38" s="505"/>
      <c r="CH38" s="505"/>
      <c r="CI38" s="505"/>
      <c r="CJ38" s="505"/>
      <c r="CK38" s="505"/>
      <c r="CL38" s="505"/>
      <c r="CM38" s="505"/>
      <c r="CN38" s="505"/>
      <c r="CO38" s="505"/>
      <c r="CP38" s="505"/>
      <c r="CQ38" s="505"/>
      <c r="CR38" s="505"/>
      <c r="CS38" s="505"/>
      <c r="CT38" s="505"/>
      <c r="CU38" s="505"/>
    </row>
    <row r="39" spans="1:99" ht="20.100000000000001" customHeight="1">
      <c r="A39" s="400">
        <v>14</v>
      </c>
      <c r="B39" s="62" t="s">
        <v>76</v>
      </c>
      <c r="C39" s="818">
        <v>5.2040869999999995</v>
      </c>
      <c r="D39" s="818">
        <v>4.1440000000000005E-2</v>
      </c>
      <c r="E39" s="818">
        <v>8.16410737</v>
      </c>
      <c r="F39" s="820">
        <v>0</v>
      </c>
      <c r="G39" s="820">
        <v>0</v>
      </c>
      <c r="H39" s="378">
        <f>SUM(C39:G39)</f>
        <v>13.409634369999999</v>
      </c>
      <c r="I39" s="333">
        <v>682.35015979000025</v>
      </c>
      <c r="J39" s="401">
        <f>I39/H39*10</f>
        <v>508.85068225018301</v>
      </c>
      <c r="K39" s="306"/>
      <c r="L39" s="505"/>
      <c r="M39" s="505"/>
      <c r="N39" s="505"/>
      <c r="O39" s="505"/>
      <c r="P39" s="505"/>
      <c r="Q39" s="505"/>
      <c r="R39" s="505"/>
      <c r="S39" s="505"/>
      <c r="T39" s="505"/>
      <c r="U39" s="505"/>
      <c r="V39" s="505"/>
      <c r="W39" s="505"/>
      <c r="X39" s="505"/>
      <c r="Y39" s="505"/>
      <c r="Z39" s="505"/>
      <c r="AA39" s="505"/>
      <c r="AB39" s="505"/>
      <c r="AC39" s="505"/>
      <c r="AD39" s="505"/>
      <c r="AE39" s="505"/>
      <c r="AF39" s="505"/>
      <c r="AG39" s="505"/>
      <c r="AH39" s="505"/>
      <c r="AI39" s="505"/>
      <c r="AJ39" s="505"/>
      <c r="AK39" s="505"/>
      <c r="AL39" s="505"/>
      <c r="AM39" s="505"/>
      <c r="AN39" s="505"/>
      <c r="AO39" s="505"/>
      <c r="AP39" s="505"/>
      <c r="AQ39" s="505"/>
      <c r="AR39" s="505"/>
      <c r="AS39" s="505"/>
      <c r="AT39" s="505"/>
      <c r="AU39" s="505"/>
      <c r="AV39" s="505"/>
      <c r="AW39" s="505"/>
      <c r="AX39" s="505"/>
      <c r="AY39" s="505"/>
      <c r="AZ39" s="505"/>
      <c r="BA39" s="505"/>
      <c r="BB39" s="505"/>
      <c r="BC39" s="505"/>
      <c r="BD39" s="505"/>
      <c r="BE39" s="505"/>
      <c r="BF39" s="505"/>
      <c r="BG39" s="505"/>
      <c r="BH39" s="505"/>
      <c r="BI39" s="505"/>
      <c r="BJ39" s="505"/>
      <c r="BK39" s="505"/>
      <c r="BL39" s="505"/>
      <c r="BM39" s="505"/>
      <c r="BN39" s="505"/>
      <c r="BO39" s="505"/>
      <c r="BP39" s="505"/>
      <c r="BQ39" s="505"/>
      <c r="BR39" s="505"/>
      <c r="BS39" s="505"/>
      <c r="BT39" s="505"/>
      <c r="BU39" s="505"/>
      <c r="BV39" s="505"/>
      <c r="BW39" s="505"/>
      <c r="BX39" s="505"/>
      <c r="BY39" s="505"/>
      <c r="BZ39" s="505"/>
      <c r="CA39" s="505"/>
      <c r="CB39" s="505"/>
      <c r="CC39" s="505"/>
      <c r="CD39" s="505"/>
      <c r="CE39" s="505"/>
      <c r="CF39" s="505"/>
      <c r="CG39" s="505"/>
      <c r="CH39" s="505"/>
      <c r="CI39" s="505"/>
      <c r="CJ39" s="505"/>
      <c r="CK39" s="505"/>
      <c r="CL39" s="505"/>
      <c r="CM39" s="505"/>
      <c r="CN39" s="505"/>
      <c r="CO39" s="505"/>
      <c r="CP39" s="505"/>
      <c r="CQ39" s="505"/>
      <c r="CR39" s="505"/>
      <c r="CS39" s="505"/>
      <c r="CT39" s="505"/>
      <c r="CU39" s="505"/>
    </row>
    <row r="40" spans="1:99" ht="20.100000000000001" customHeight="1">
      <c r="A40" s="400">
        <v>15</v>
      </c>
      <c r="B40" s="380" t="s">
        <v>63</v>
      </c>
      <c r="C40" s="818">
        <v>11.202553999999999</v>
      </c>
      <c r="D40" s="818">
        <v>0.78295499999999996</v>
      </c>
      <c r="E40" s="818">
        <v>2.7432539999999999</v>
      </c>
      <c r="F40" s="818">
        <v>13.07619</v>
      </c>
      <c r="G40" s="818">
        <v>6.8354885999999997</v>
      </c>
      <c r="H40" s="378">
        <f>SUM(C40:G40)</f>
        <v>34.640441599999996</v>
      </c>
      <c r="I40" s="333">
        <v>744.80537984</v>
      </c>
      <c r="J40" s="401">
        <f>I40/H40*10</f>
        <v>215.0103594060418</v>
      </c>
      <c r="K40" s="306"/>
      <c r="L40" s="505"/>
      <c r="M40" s="505"/>
      <c r="N40" s="505"/>
      <c r="O40" s="505"/>
      <c r="P40" s="505"/>
      <c r="Q40" s="505"/>
      <c r="R40" s="505"/>
      <c r="S40" s="505"/>
      <c r="T40" s="505"/>
      <c r="U40" s="505"/>
      <c r="V40" s="505"/>
      <c r="W40" s="505"/>
      <c r="X40" s="505"/>
      <c r="Y40" s="505"/>
      <c r="Z40" s="505"/>
      <c r="AA40" s="505"/>
      <c r="AB40" s="505"/>
      <c r="AC40" s="505"/>
      <c r="AD40" s="505"/>
      <c r="AE40" s="505"/>
      <c r="AF40" s="505"/>
      <c r="AG40" s="505"/>
      <c r="AH40" s="505"/>
      <c r="AI40" s="505"/>
      <c r="AJ40" s="505"/>
      <c r="AK40" s="505"/>
      <c r="AL40" s="505"/>
      <c r="AM40" s="505"/>
      <c r="AN40" s="505"/>
      <c r="AO40" s="505"/>
      <c r="AP40" s="505"/>
      <c r="AQ40" s="505"/>
      <c r="AR40" s="505"/>
      <c r="AS40" s="505"/>
      <c r="AT40" s="505"/>
      <c r="AU40" s="505"/>
      <c r="AV40" s="505"/>
      <c r="AW40" s="505"/>
      <c r="AX40" s="505"/>
      <c r="AY40" s="505"/>
      <c r="AZ40" s="505"/>
      <c r="BA40" s="505"/>
      <c r="BB40" s="505"/>
      <c r="BC40" s="505"/>
      <c r="BD40" s="505"/>
      <c r="BE40" s="505"/>
      <c r="BF40" s="505"/>
      <c r="BG40" s="505"/>
      <c r="BH40" s="505"/>
      <c r="BI40" s="505"/>
      <c r="BJ40" s="505"/>
      <c r="BK40" s="505"/>
      <c r="BL40" s="505"/>
      <c r="BM40" s="505"/>
      <c r="BN40" s="505"/>
      <c r="BO40" s="505"/>
      <c r="BP40" s="505"/>
      <c r="BQ40" s="505"/>
      <c r="BR40" s="505"/>
      <c r="BS40" s="505"/>
      <c r="BT40" s="505"/>
      <c r="BU40" s="505"/>
      <c r="BV40" s="505"/>
      <c r="BW40" s="505"/>
      <c r="BX40" s="505"/>
      <c r="BY40" s="505"/>
      <c r="BZ40" s="505"/>
      <c r="CA40" s="505"/>
      <c r="CB40" s="505"/>
      <c r="CC40" s="505"/>
      <c r="CD40" s="505"/>
      <c r="CE40" s="505"/>
      <c r="CF40" s="505"/>
      <c r="CG40" s="505"/>
      <c r="CH40" s="505"/>
      <c r="CI40" s="505"/>
      <c r="CJ40" s="505"/>
      <c r="CK40" s="505"/>
      <c r="CL40" s="505"/>
      <c r="CM40" s="505"/>
      <c r="CN40" s="505"/>
      <c r="CO40" s="505"/>
      <c r="CP40" s="505"/>
      <c r="CQ40" s="505"/>
      <c r="CR40" s="505"/>
      <c r="CS40" s="505"/>
      <c r="CT40" s="505"/>
      <c r="CU40" s="505"/>
    </row>
    <row r="41" spans="1:99" ht="20.100000000000001" customHeight="1">
      <c r="A41" s="400">
        <v>16</v>
      </c>
      <c r="B41" s="380" t="s">
        <v>64</v>
      </c>
      <c r="C41" s="818"/>
      <c r="D41" s="818">
        <v>0.46724299999999991</v>
      </c>
      <c r="E41" s="818"/>
      <c r="F41" s="818">
        <v>3.1622549999999996</v>
      </c>
      <c r="G41" s="820">
        <v>0</v>
      </c>
      <c r="H41" s="378">
        <f>SUM(C41:G41)</f>
        <v>3.6294979999999994</v>
      </c>
      <c r="I41" s="333">
        <v>63.283999999999999</v>
      </c>
      <c r="J41" s="401">
        <f t="shared" ref="J41" si="5">I41/H41*10</f>
        <v>174.36020077707718</v>
      </c>
      <c r="K41" s="306"/>
      <c r="L41" s="505"/>
      <c r="M41" s="505"/>
      <c r="N41" s="505"/>
      <c r="O41" s="505"/>
      <c r="P41" s="505"/>
      <c r="Q41" s="505"/>
      <c r="R41" s="505"/>
      <c r="S41" s="505"/>
      <c r="T41" s="505"/>
      <c r="U41" s="505"/>
      <c r="V41" s="505"/>
      <c r="W41" s="505"/>
      <c r="X41" s="505"/>
      <c r="Y41" s="505"/>
      <c r="Z41" s="505"/>
      <c r="AA41" s="505"/>
      <c r="AB41" s="505"/>
      <c r="AC41" s="505"/>
      <c r="AD41" s="505"/>
      <c r="AE41" s="505"/>
      <c r="AF41" s="505"/>
      <c r="AG41" s="505"/>
      <c r="AH41" s="505"/>
      <c r="AI41" s="505"/>
      <c r="AJ41" s="505"/>
      <c r="AK41" s="505"/>
      <c r="AL41" s="505"/>
      <c r="AM41" s="505"/>
      <c r="AN41" s="505"/>
      <c r="AO41" s="505"/>
      <c r="AP41" s="505"/>
      <c r="AQ41" s="505"/>
      <c r="AR41" s="505"/>
      <c r="AS41" s="505"/>
      <c r="AT41" s="505"/>
      <c r="AU41" s="505"/>
      <c r="AV41" s="505"/>
      <c r="AW41" s="505"/>
      <c r="AX41" s="505"/>
      <c r="AY41" s="505"/>
      <c r="AZ41" s="505"/>
      <c r="BA41" s="505"/>
      <c r="BB41" s="505"/>
      <c r="BC41" s="505"/>
      <c r="BD41" s="505"/>
      <c r="BE41" s="505"/>
      <c r="BF41" s="505"/>
      <c r="BG41" s="505"/>
      <c r="BH41" s="505"/>
      <c r="BI41" s="505"/>
      <c r="BJ41" s="505"/>
      <c r="BK41" s="505"/>
      <c r="BL41" s="505"/>
      <c r="BM41" s="505"/>
      <c r="BN41" s="505"/>
      <c r="BO41" s="505"/>
      <c r="BP41" s="505"/>
      <c r="BQ41" s="505"/>
      <c r="BR41" s="505"/>
      <c r="BS41" s="505"/>
      <c r="BT41" s="505"/>
      <c r="BU41" s="505"/>
      <c r="BV41" s="505"/>
      <c r="BW41" s="505"/>
      <c r="BX41" s="505"/>
      <c r="BY41" s="505"/>
      <c r="BZ41" s="505"/>
      <c r="CA41" s="505"/>
      <c r="CB41" s="505"/>
      <c r="CC41" s="505"/>
      <c r="CD41" s="505"/>
      <c r="CE41" s="505"/>
      <c r="CF41" s="505"/>
      <c r="CG41" s="505"/>
      <c r="CH41" s="505"/>
      <c r="CI41" s="505"/>
      <c r="CJ41" s="505"/>
      <c r="CK41" s="505"/>
      <c r="CL41" s="505"/>
      <c r="CM41" s="505"/>
      <c r="CN41" s="505"/>
      <c r="CO41" s="505"/>
      <c r="CP41" s="505"/>
      <c r="CQ41" s="505"/>
      <c r="CR41" s="505"/>
      <c r="CS41" s="505"/>
      <c r="CT41" s="505"/>
      <c r="CU41" s="505"/>
    </row>
    <row r="42" spans="1:99" ht="20.100000000000001" customHeight="1">
      <c r="A42" s="400">
        <v>17</v>
      </c>
      <c r="B42" s="380" t="s">
        <v>65</v>
      </c>
      <c r="C42" s="818">
        <v>3.6517469999999999</v>
      </c>
      <c r="D42" s="818">
        <v>6.1046999999999997E-2</v>
      </c>
      <c r="E42" s="818">
        <v>0.81119849999999993</v>
      </c>
      <c r="F42" s="818">
        <v>0.19542599999999999</v>
      </c>
      <c r="G42" s="820">
        <v>0</v>
      </c>
      <c r="H42" s="378">
        <f>SUM(C42:G42)</f>
        <v>4.7194184999999997</v>
      </c>
      <c r="I42" s="333">
        <v>196.84</v>
      </c>
      <c r="J42" s="401">
        <f>I42/H42*10</f>
        <v>417.0852828584708</v>
      </c>
      <c r="K42" s="306"/>
      <c r="L42" s="505"/>
      <c r="M42" s="505"/>
      <c r="N42" s="505"/>
      <c r="O42" s="505"/>
      <c r="P42" s="505"/>
      <c r="Q42" s="505"/>
      <c r="R42" s="505"/>
      <c r="S42" s="505"/>
      <c r="T42" s="505"/>
      <c r="U42" s="505"/>
      <c r="V42" s="505"/>
      <c r="W42" s="505"/>
      <c r="X42" s="505"/>
      <c r="Y42" s="505"/>
      <c r="Z42" s="505"/>
      <c r="AA42" s="505"/>
      <c r="AB42" s="505"/>
      <c r="AC42" s="505"/>
      <c r="AD42" s="505"/>
      <c r="AE42" s="505"/>
      <c r="AF42" s="505"/>
      <c r="AG42" s="505"/>
      <c r="AH42" s="505"/>
      <c r="AI42" s="505"/>
      <c r="AJ42" s="505"/>
      <c r="AK42" s="505"/>
      <c r="AL42" s="505"/>
      <c r="AM42" s="505"/>
      <c r="AN42" s="505"/>
      <c r="AO42" s="505"/>
      <c r="AP42" s="505"/>
      <c r="AQ42" s="505"/>
      <c r="AR42" s="505"/>
      <c r="AS42" s="505"/>
      <c r="AT42" s="505"/>
      <c r="AU42" s="505"/>
      <c r="AV42" s="505"/>
      <c r="AW42" s="505"/>
      <c r="AX42" s="505"/>
      <c r="AY42" s="505"/>
      <c r="AZ42" s="505"/>
      <c r="BA42" s="505"/>
      <c r="BB42" s="505"/>
      <c r="BC42" s="505"/>
      <c r="BD42" s="505"/>
      <c r="BE42" s="505"/>
      <c r="BF42" s="505"/>
      <c r="BG42" s="505"/>
      <c r="BH42" s="505"/>
      <c r="BI42" s="505"/>
      <c r="BJ42" s="505"/>
      <c r="BK42" s="505"/>
      <c r="BL42" s="505"/>
      <c r="BM42" s="505"/>
      <c r="BN42" s="505"/>
      <c r="BO42" s="505"/>
      <c r="BP42" s="505"/>
      <c r="BQ42" s="505"/>
      <c r="BR42" s="505"/>
      <c r="BS42" s="505"/>
      <c r="BT42" s="505"/>
      <c r="BU42" s="505"/>
      <c r="BV42" s="505"/>
      <c r="BW42" s="505"/>
      <c r="BX42" s="505"/>
      <c r="BY42" s="505"/>
      <c r="BZ42" s="505"/>
      <c r="CA42" s="505"/>
      <c r="CB42" s="505"/>
      <c r="CC42" s="505"/>
      <c r="CD42" s="505"/>
      <c r="CE42" s="505"/>
      <c r="CF42" s="505"/>
      <c r="CG42" s="505"/>
      <c r="CH42" s="505"/>
      <c r="CI42" s="505"/>
      <c r="CJ42" s="505"/>
      <c r="CK42" s="505"/>
      <c r="CL42" s="505"/>
      <c r="CM42" s="505"/>
      <c r="CN42" s="505"/>
      <c r="CO42" s="505"/>
      <c r="CP42" s="505"/>
      <c r="CQ42" s="505"/>
      <c r="CR42" s="505"/>
      <c r="CS42" s="505"/>
      <c r="CT42" s="505"/>
      <c r="CU42" s="505"/>
    </row>
    <row r="43" spans="1:99" ht="20.100000000000001" customHeight="1">
      <c r="A43" s="400">
        <v>18</v>
      </c>
      <c r="B43" s="62" t="s">
        <v>78</v>
      </c>
      <c r="C43" s="818">
        <v>4.7551878000000007</v>
      </c>
      <c r="D43" s="818">
        <v>1.1583760000000001</v>
      </c>
      <c r="E43" s="818">
        <f>12.6941006-0.761</f>
        <v>11.933100600000001</v>
      </c>
      <c r="F43" s="818">
        <v>2.1914360500000001</v>
      </c>
      <c r="G43" s="818">
        <v>1.4918429999999998</v>
      </c>
      <c r="H43" s="378">
        <f>SUM(C43:G43)</f>
        <v>21.529943450000001</v>
      </c>
      <c r="I43" s="333">
        <f>1870.57716184-350-(0.761*4.9*10)</f>
        <v>1483.2881618399999</v>
      </c>
      <c r="J43" s="401">
        <f>I43/H43*10</f>
        <v>688.94196832644252</v>
      </c>
      <c r="K43" s="306"/>
      <c r="L43" s="505"/>
      <c r="M43" s="505"/>
      <c r="N43" s="505"/>
      <c r="O43" s="505"/>
      <c r="P43" s="505"/>
      <c r="Q43" s="505"/>
      <c r="R43" s="505"/>
      <c r="S43" s="505"/>
      <c r="T43" s="505"/>
      <c r="U43" s="505"/>
      <c r="V43" s="505"/>
      <c r="W43" s="505"/>
      <c r="X43" s="505"/>
      <c r="Y43" s="505"/>
      <c r="Z43" s="505"/>
      <c r="AA43" s="505"/>
      <c r="AB43" s="505"/>
      <c r="AC43" s="505"/>
      <c r="AD43" s="505"/>
      <c r="AE43" s="505"/>
      <c r="AF43" s="505"/>
      <c r="AG43" s="505"/>
      <c r="AH43" s="505"/>
      <c r="AI43" s="505"/>
      <c r="AJ43" s="505"/>
      <c r="AK43" s="505"/>
      <c r="AL43" s="505"/>
      <c r="AM43" s="505"/>
      <c r="AN43" s="505"/>
      <c r="AO43" s="505"/>
      <c r="AP43" s="505"/>
      <c r="AQ43" s="505"/>
      <c r="AR43" s="505"/>
      <c r="AS43" s="505"/>
      <c r="AT43" s="505"/>
      <c r="AU43" s="505"/>
      <c r="AV43" s="505"/>
      <c r="AW43" s="505"/>
      <c r="AX43" s="505"/>
      <c r="AY43" s="505"/>
      <c r="AZ43" s="505"/>
      <c r="BA43" s="505"/>
      <c r="BB43" s="505"/>
      <c r="BC43" s="505"/>
      <c r="BD43" s="505"/>
      <c r="BE43" s="505"/>
      <c r="BF43" s="505"/>
      <c r="BG43" s="505"/>
      <c r="BH43" s="505"/>
      <c r="BI43" s="505"/>
      <c r="BJ43" s="505"/>
      <c r="BK43" s="505"/>
      <c r="BL43" s="505"/>
      <c r="BM43" s="505"/>
      <c r="BN43" s="505"/>
      <c r="BO43" s="505"/>
      <c r="BP43" s="505"/>
      <c r="BQ43" s="505"/>
      <c r="BR43" s="505"/>
      <c r="BS43" s="505"/>
      <c r="BT43" s="505"/>
      <c r="BU43" s="505"/>
      <c r="BV43" s="505"/>
      <c r="BW43" s="505"/>
      <c r="BX43" s="505"/>
      <c r="BY43" s="505"/>
      <c r="BZ43" s="505"/>
      <c r="CA43" s="505"/>
      <c r="CB43" s="505"/>
      <c r="CC43" s="505"/>
      <c r="CD43" s="505"/>
      <c r="CE43" s="505"/>
      <c r="CF43" s="505"/>
      <c r="CG43" s="505"/>
      <c r="CH43" s="505"/>
      <c r="CI43" s="505"/>
      <c r="CJ43" s="505"/>
      <c r="CK43" s="505"/>
      <c r="CL43" s="505"/>
      <c r="CM43" s="505"/>
      <c r="CN43" s="505"/>
      <c r="CO43" s="505"/>
      <c r="CP43" s="505"/>
      <c r="CQ43" s="505"/>
      <c r="CR43" s="505"/>
      <c r="CS43" s="505"/>
      <c r="CT43" s="505"/>
      <c r="CU43" s="505"/>
    </row>
    <row r="44" spans="1:99" ht="20.100000000000001" customHeight="1">
      <c r="A44" s="400">
        <v>19</v>
      </c>
      <c r="B44" s="62" t="s">
        <v>225</v>
      </c>
      <c r="C44" s="820">
        <v>0</v>
      </c>
      <c r="D44" s="820">
        <v>0</v>
      </c>
      <c r="E44" s="820">
        <v>0</v>
      </c>
      <c r="F44" s="820">
        <v>0</v>
      </c>
      <c r="G44" s="820">
        <v>0</v>
      </c>
      <c r="H44" s="378"/>
      <c r="I44" s="333">
        <v>0</v>
      </c>
      <c r="J44" s="401"/>
      <c r="K44" s="306"/>
      <c r="L44" s="505"/>
      <c r="M44" s="505"/>
      <c r="N44" s="505"/>
      <c r="O44" s="505"/>
      <c r="P44" s="505"/>
      <c r="Q44" s="505"/>
      <c r="R44" s="505"/>
      <c r="S44" s="505"/>
      <c r="T44" s="505"/>
      <c r="U44" s="505"/>
      <c r="V44" s="505"/>
      <c r="W44" s="505"/>
      <c r="X44" s="505"/>
      <c r="Y44" s="505"/>
      <c r="Z44" s="505"/>
      <c r="AA44" s="505"/>
      <c r="AB44" s="505"/>
      <c r="AC44" s="505"/>
      <c r="AD44" s="505"/>
      <c r="AE44" s="505"/>
      <c r="AF44" s="505"/>
      <c r="AG44" s="505"/>
      <c r="AH44" s="505"/>
      <c r="AI44" s="505"/>
      <c r="AJ44" s="505"/>
      <c r="AK44" s="505"/>
      <c r="AL44" s="505"/>
      <c r="AM44" s="505"/>
      <c r="AN44" s="505"/>
      <c r="AO44" s="505"/>
      <c r="AP44" s="505"/>
      <c r="AQ44" s="505"/>
      <c r="AR44" s="505"/>
      <c r="AS44" s="505"/>
      <c r="AT44" s="505"/>
      <c r="AU44" s="505"/>
      <c r="AV44" s="505"/>
      <c r="AW44" s="505"/>
      <c r="AX44" s="505"/>
      <c r="AY44" s="505"/>
      <c r="AZ44" s="505"/>
      <c r="BA44" s="505"/>
      <c r="BB44" s="505"/>
      <c r="BC44" s="505"/>
      <c r="BD44" s="505"/>
      <c r="BE44" s="505"/>
      <c r="BF44" s="505"/>
      <c r="BG44" s="505"/>
      <c r="BH44" s="505"/>
      <c r="BI44" s="505"/>
      <c r="BJ44" s="505"/>
      <c r="BK44" s="505"/>
      <c r="BL44" s="505"/>
      <c r="BM44" s="505"/>
      <c r="BN44" s="505"/>
      <c r="BO44" s="505"/>
      <c r="BP44" s="505"/>
      <c r="BQ44" s="505"/>
      <c r="BR44" s="505"/>
      <c r="BS44" s="505"/>
      <c r="BT44" s="505"/>
      <c r="BU44" s="505"/>
      <c r="BV44" s="505"/>
      <c r="BW44" s="505"/>
      <c r="BX44" s="505"/>
      <c r="BY44" s="505"/>
      <c r="BZ44" s="505"/>
      <c r="CA44" s="505"/>
      <c r="CB44" s="505"/>
      <c r="CC44" s="505"/>
      <c r="CD44" s="505"/>
      <c r="CE44" s="505"/>
      <c r="CF44" s="505"/>
      <c r="CG44" s="505"/>
      <c r="CH44" s="505"/>
      <c r="CI44" s="505"/>
      <c r="CJ44" s="505"/>
      <c r="CK44" s="505"/>
      <c r="CL44" s="505"/>
      <c r="CM44" s="505"/>
      <c r="CN44" s="505"/>
      <c r="CO44" s="505"/>
      <c r="CP44" s="505"/>
      <c r="CQ44" s="505"/>
      <c r="CR44" s="505"/>
      <c r="CS44" s="505"/>
      <c r="CT44" s="505"/>
      <c r="CU44" s="505"/>
    </row>
    <row r="45" spans="1:99" ht="20.100000000000001" customHeight="1">
      <c r="A45" s="400">
        <v>20</v>
      </c>
      <c r="B45" s="62" t="s">
        <v>190</v>
      </c>
      <c r="C45" s="818">
        <v>82.036726096800024</v>
      </c>
      <c r="D45" s="818">
        <v>4.2166399999999999</v>
      </c>
      <c r="E45" s="818">
        <v>33.961863190000003</v>
      </c>
      <c r="F45" s="818">
        <v>5.5927907290000007</v>
      </c>
      <c r="G45" s="818">
        <v>2.3396319500000002</v>
      </c>
      <c r="H45" s="378">
        <f>SUM(C45:G45)</f>
        <v>128.14765196580004</v>
      </c>
      <c r="I45" s="333">
        <v>9824.6158284249977</v>
      </c>
      <c r="J45" s="401">
        <f>I45/H45*10</f>
        <v>766.66374121681019</v>
      </c>
      <c r="K45" s="306"/>
      <c r="L45" s="505"/>
      <c r="M45" s="505"/>
      <c r="N45" s="505"/>
      <c r="O45" s="505"/>
      <c r="P45" s="505"/>
      <c r="Q45" s="505"/>
      <c r="R45" s="505"/>
      <c r="S45" s="505"/>
      <c r="T45" s="505"/>
      <c r="U45" s="505"/>
      <c r="V45" s="505"/>
      <c r="W45" s="505"/>
      <c r="X45" s="505"/>
      <c r="Y45" s="505"/>
      <c r="Z45" s="505"/>
      <c r="AA45" s="505"/>
      <c r="AB45" s="505"/>
      <c r="AC45" s="505"/>
      <c r="AD45" s="505"/>
      <c r="AE45" s="505"/>
      <c r="AF45" s="505"/>
      <c r="AG45" s="505"/>
      <c r="AH45" s="505"/>
      <c r="AI45" s="505"/>
      <c r="AJ45" s="505"/>
      <c r="AK45" s="505"/>
      <c r="AL45" s="505"/>
      <c r="AM45" s="505"/>
      <c r="AN45" s="505"/>
      <c r="AO45" s="505"/>
      <c r="AP45" s="505"/>
      <c r="AQ45" s="505"/>
      <c r="AR45" s="505"/>
      <c r="AS45" s="505"/>
      <c r="AT45" s="505"/>
      <c r="AU45" s="505"/>
      <c r="AV45" s="505"/>
      <c r="AW45" s="505"/>
      <c r="AX45" s="505"/>
      <c r="AY45" s="505"/>
      <c r="AZ45" s="505"/>
      <c r="BA45" s="505"/>
      <c r="BB45" s="505"/>
      <c r="BC45" s="505"/>
      <c r="BD45" s="505"/>
      <c r="BE45" s="505"/>
      <c r="BF45" s="505"/>
      <c r="BG45" s="505"/>
      <c r="BH45" s="505"/>
      <c r="BI45" s="505"/>
      <c r="BJ45" s="505"/>
      <c r="BK45" s="505"/>
      <c r="BL45" s="505"/>
      <c r="BM45" s="505"/>
      <c r="BN45" s="505"/>
      <c r="BO45" s="505"/>
      <c r="BP45" s="505"/>
      <c r="BQ45" s="505"/>
      <c r="BR45" s="505"/>
      <c r="BS45" s="505"/>
      <c r="BT45" s="505"/>
      <c r="BU45" s="505"/>
      <c r="BV45" s="505"/>
      <c r="BW45" s="505"/>
      <c r="BX45" s="505"/>
      <c r="BY45" s="505"/>
      <c r="BZ45" s="505"/>
      <c r="CA45" s="505"/>
      <c r="CB45" s="505"/>
      <c r="CC45" s="505"/>
      <c r="CD45" s="505"/>
      <c r="CE45" s="505"/>
      <c r="CF45" s="505"/>
      <c r="CG45" s="505"/>
      <c r="CH45" s="505"/>
      <c r="CI45" s="505"/>
      <c r="CJ45" s="505"/>
      <c r="CK45" s="505"/>
      <c r="CL45" s="505"/>
      <c r="CM45" s="505"/>
      <c r="CN45" s="505"/>
      <c r="CO45" s="505"/>
      <c r="CP45" s="505"/>
      <c r="CQ45" s="505"/>
      <c r="CR45" s="505"/>
      <c r="CS45" s="505"/>
      <c r="CT45" s="505"/>
      <c r="CU45" s="505"/>
    </row>
    <row r="46" spans="1:99" ht="20.100000000000001" customHeight="1">
      <c r="A46" s="400">
        <v>21</v>
      </c>
      <c r="B46" s="62" t="s">
        <v>191</v>
      </c>
      <c r="C46" s="818"/>
      <c r="D46" s="818"/>
      <c r="E46" s="818"/>
      <c r="F46" s="818"/>
      <c r="G46" s="818"/>
      <c r="H46" s="401">
        <f>SUM(C46:F46)</f>
        <v>0</v>
      </c>
      <c r="I46" s="333"/>
      <c r="J46" s="401"/>
      <c r="K46" s="306"/>
      <c r="L46" s="505"/>
      <c r="M46" s="505"/>
      <c r="N46" s="505"/>
      <c r="O46" s="505"/>
      <c r="P46" s="505"/>
      <c r="Q46" s="505"/>
      <c r="R46" s="505"/>
      <c r="S46" s="505"/>
      <c r="T46" s="505"/>
      <c r="U46" s="505"/>
      <c r="V46" s="505"/>
      <c r="W46" s="505"/>
      <c r="X46" s="505"/>
      <c r="Y46" s="505"/>
      <c r="Z46" s="505"/>
      <c r="AA46" s="505"/>
      <c r="AB46" s="505"/>
      <c r="AC46" s="505"/>
      <c r="AD46" s="505"/>
      <c r="AE46" s="505"/>
      <c r="AF46" s="505"/>
      <c r="AG46" s="505"/>
      <c r="AH46" s="505"/>
      <c r="AI46" s="505"/>
      <c r="AJ46" s="505"/>
      <c r="AK46" s="505"/>
      <c r="AL46" s="505"/>
      <c r="AM46" s="505"/>
      <c r="AN46" s="505"/>
      <c r="AO46" s="505"/>
      <c r="AP46" s="505"/>
      <c r="AQ46" s="505"/>
      <c r="AR46" s="505"/>
      <c r="AS46" s="505"/>
      <c r="AT46" s="505"/>
      <c r="AU46" s="505"/>
      <c r="AV46" s="505"/>
      <c r="AW46" s="505"/>
      <c r="AX46" s="505"/>
      <c r="AY46" s="505"/>
      <c r="AZ46" s="505"/>
      <c r="BA46" s="505"/>
      <c r="BB46" s="505"/>
      <c r="BC46" s="505"/>
      <c r="BD46" s="505"/>
      <c r="BE46" s="505"/>
      <c r="BF46" s="505"/>
      <c r="BG46" s="505"/>
      <c r="BH46" s="505"/>
      <c r="BI46" s="505"/>
      <c r="BJ46" s="505"/>
      <c r="BK46" s="505"/>
      <c r="BL46" s="505"/>
      <c r="BM46" s="505"/>
      <c r="BN46" s="505"/>
      <c r="BO46" s="505"/>
      <c r="BP46" s="505"/>
      <c r="BQ46" s="505"/>
      <c r="BR46" s="505"/>
      <c r="BS46" s="505"/>
      <c r="BT46" s="505"/>
      <c r="BU46" s="505"/>
      <c r="BV46" s="505"/>
      <c r="BW46" s="505"/>
      <c r="BX46" s="505"/>
      <c r="BY46" s="505"/>
      <c r="BZ46" s="505"/>
      <c r="CA46" s="505"/>
      <c r="CB46" s="505"/>
      <c r="CC46" s="505"/>
      <c r="CD46" s="505"/>
      <c r="CE46" s="505"/>
      <c r="CF46" s="505"/>
      <c r="CG46" s="505"/>
      <c r="CH46" s="505"/>
      <c r="CI46" s="505"/>
      <c r="CJ46" s="505"/>
      <c r="CK46" s="505"/>
      <c r="CL46" s="505"/>
      <c r="CM46" s="505"/>
      <c r="CN46" s="505"/>
      <c r="CO46" s="505"/>
      <c r="CP46" s="505"/>
      <c r="CQ46" s="505"/>
      <c r="CR46" s="505"/>
      <c r="CS46" s="505"/>
      <c r="CT46" s="505"/>
      <c r="CU46" s="505"/>
    </row>
    <row r="47" spans="1:99" ht="20.100000000000001" customHeight="1">
      <c r="A47" s="400">
        <v>22</v>
      </c>
      <c r="B47" s="62" t="s">
        <v>192</v>
      </c>
      <c r="C47" s="818">
        <v>6.6382285999999997</v>
      </c>
      <c r="D47" s="818">
        <v>0.49369400000000002</v>
      </c>
      <c r="E47" s="818">
        <v>14.83534128</v>
      </c>
      <c r="F47" s="818">
        <v>7.2534688399999991</v>
      </c>
      <c r="G47" s="818">
        <v>4.1817761999999998</v>
      </c>
      <c r="H47" s="378">
        <f t="shared" ref="H47:H53" si="6">SUM(C47:G47)</f>
        <v>33.402508919999995</v>
      </c>
      <c r="I47" s="333">
        <v>2418.3663431800001</v>
      </c>
      <c r="J47" s="401">
        <f t="shared" ref="J47:J54" si="7">I47/H47*10</f>
        <v>724.00739386734676</v>
      </c>
      <c r="K47" s="306"/>
      <c r="L47" s="505"/>
      <c r="M47" s="505"/>
      <c r="N47" s="505"/>
      <c r="O47" s="505"/>
      <c r="P47" s="505"/>
      <c r="Q47" s="505"/>
      <c r="R47" s="505"/>
      <c r="S47" s="505"/>
      <c r="T47" s="505"/>
      <c r="U47" s="505"/>
      <c r="V47" s="505"/>
      <c r="W47" s="505"/>
      <c r="X47" s="505"/>
      <c r="Y47" s="505"/>
      <c r="Z47" s="505"/>
      <c r="AA47" s="505"/>
      <c r="AB47" s="505"/>
      <c r="AC47" s="505"/>
      <c r="AD47" s="505"/>
      <c r="AE47" s="505"/>
      <c r="AF47" s="505"/>
      <c r="AG47" s="505"/>
      <c r="AH47" s="505"/>
      <c r="AI47" s="505"/>
      <c r="AJ47" s="505"/>
      <c r="AK47" s="505"/>
      <c r="AL47" s="505"/>
      <c r="AM47" s="505"/>
      <c r="AN47" s="505"/>
      <c r="AO47" s="505"/>
      <c r="AP47" s="505"/>
      <c r="AQ47" s="505"/>
      <c r="AR47" s="505"/>
      <c r="AS47" s="505"/>
      <c r="AT47" s="505"/>
      <c r="AU47" s="505"/>
      <c r="AV47" s="505"/>
      <c r="AW47" s="505"/>
      <c r="AX47" s="505"/>
      <c r="AY47" s="505"/>
      <c r="AZ47" s="505"/>
      <c r="BA47" s="505"/>
      <c r="BB47" s="505"/>
      <c r="BC47" s="505"/>
      <c r="BD47" s="505"/>
      <c r="BE47" s="505"/>
      <c r="BF47" s="505"/>
      <c r="BG47" s="505"/>
      <c r="BH47" s="505"/>
      <c r="BI47" s="505"/>
      <c r="BJ47" s="505"/>
      <c r="BK47" s="505"/>
      <c r="BL47" s="505"/>
      <c r="BM47" s="505"/>
      <c r="BN47" s="505"/>
      <c r="BO47" s="505"/>
      <c r="BP47" s="505"/>
      <c r="BQ47" s="505"/>
      <c r="BR47" s="505"/>
      <c r="BS47" s="505"/>
      <c r="BT47" s="505"/>
      <c r="BU47" s="505"/>
      <c r="BV47" s="505"/>
      <c r="BW47" s="505"/>
      <c r="BX47" s="505"/>
      <c r="BY47" s="505"/>
      <c r="BZ47" s="505"/>
      <c r="CA47" s="505"/>
      <c r="CB47" s="505"/>
      <c r="CC47" s="505"/>
      <c r="CD47" s="505"/>
      <c r="CE47" s="505"/>
      <c r="CF47" s="505"/>
      <c r="CG47" s="505"/>
      <c r="CH47" s="505"/>
      <c r="CI47" s="505"/>
      <c r="CJ47" s="505"/>
      <c r="CK47" s="505"/>
      <c r="CL47" s="505"/>
      <c r="CM47" s="505"/>
      <c r="CN47" s="505"/>
      <c r="CO47" s="505"/>
      <c r="CP47" s="505"/>
      <c r="CQ47" s="505"/>
      <c r="CR47" s="505"/>
      <c r="CS47" s="505"/>
      <c r="CT47" s="505"/>
      <c r="CU47" s="505"/>
    </row>
    <row r="48" spans="1:99" ht="20.100000000000001" customHeight="1">
      <c r="A48" s="400">
        <v>23</v>
      </c>
      <c r="B48" s="62" t="s">
        <v>73</v>
      </c>
      <c r="C48" s="818">
        <f>171.766758926-2.387</f>
        <v>169.37975892599999</v>
      </c>
      <c r="D48" s="818">
        <f>84.91475995-0.063</f>
        <v>84.851759950000002</v>
      </c>
      <c r="E48" s="818">
        <f>613.335092933-1.033</f>
        <v>612.30209293300004</v>
      </c>
      <c r="F48" s="818">
        <f>53.73033102-0.047</f>
        <v>53.683331020000004</v>
      </c>
      <c r="G48" s="818">
        <v>31.768269709999998</v>
      </c>
      <c r="H48" s="378">
        <f t="shared" si="6"/>
        <v>951.98521253900003</v>
      </c>
      <c r="I48" s="333">
        <f>62201.244681114+350-(3.53*4.9*10)</f>
        <v>62378.274681114002</v>
      </c>
      <c r="J48" s="401">
        <f t="shared" si="7"/>
        <v>655.24415568123698</v>
      </c>
      <c r="K48" s="306"/>
      <c r="L48" s="505"/>
      <c r="M48" s="505"/>
      <c r="N48" s="505"/>
      <c r="O48" s="505"/>
      <c r="P48" s="505"/>
      <c r="Q48" s="505"/>
      <c r="R48" s="505"/>
      <c r="S48" s="505"/>
      <c r="T48" s="505"/>
      <c r="U48" s="505"/>
      <c r="V48" s="505"/>
      <c r="W48" s="505"/>
      <c r="X48" s="505"/>
      <c r="Y48" s="505"/>
      <c r="Z48" s="505"/>
      <c r="AA48" s="505"/>
      <c r="AB48" s="505"/>
      <c r="AC48" s="505"/>
      <c r="AD48" s="505"/>
      <c r="AE48" s="505"/>
      <c r="AF48" s="505"/>
      <c r="AG48" s="505"/>
      <c r="AH48" s="505"/>
      <c r="AI48" s="505"/>
      <c r="AJ48" s="505"/>
      <c r="AK48" s="505"/>
      <c r="AL48" s="505"/>
      <c r="AM48" s="505"/>
      <c r="AN48" s="505"/>
      <c r="AO48" s="505"/>
      <c r="AP48" s="505"/>
      <c r="AQ48" s="505"/>
      <c r="AR48" s="505"/>
      <c r="AS48" s="505"/>
      <c r="AT48" s="505"/>
      <c r="AU48" s="505"/>
      <c r="AV48" s="505"/>
      <c r="AW48" s="505"/>
      <c r="AX48" s="505"/>
      <c r="AY48" s="505"/>
      <c r="AZ48" s="505"/>
      <c r="BA48" s="505"/>
      <c r="BB48" s="505"/>
      <c r="BC48" s="505"/>
      <c r="BD48" s="505"/>
      <c r="BE48" s="505"/>
      <c r="BF48" s="505"/>
      <c r="BG48" s="505"/>
      <c r="BH48" s="505"/>
      <c r="BI48" s="505"/>
      <c r="BJ48" s="505"/>
      <c r="BK48" s="505"/>
      <c r="BL48" s="505"/>
      <c r="BM48" s="505"/>
      <c r="BN48" s="505"/>
      <c r="BO48" s="505"/>
      <c r="BP48" s="505"/>
      <c r="BQ48" s="505"/>
      <c r="BR48" s="505"/>
      <c r="BS48" s="505"/>
      <c r="BT48" s="505"/>
      <c r="BU48" s="505"/>
      <c r="BV48" s="505"/>
      <c r="BW48" s="505"/>
      <c r="BX48" s="505"/>
      <c r="BY48" s="505"/>
      <c r="BZ48" s="505"/>
      <c r="CA48" s="505"/>
      <c r="CB48" s="505"/>
      <c r="CC48" s="505"/>
      <c r="CD48" s="505"/>
      <c r="CE48" s="505"/>
      <c r="CF48" s="505"/>
      <c r="CG48" s="505"/>
      <c r="CH48" s="505"/>
      <c r="CI48" s="505"/>
      <c r="CJ48" s="505"/>
      <c r="CK48" s="505"/>
      <c r="CL48" s="505"/>
      <c r="CM48" s="505"/>
      <c r="CN48" s="505"/>
      <c r="CO48" s="505"/>
      <c r="CP48" s="505"/>
      <c r="CQ48" s="505"/>
      <c r="CR48" s="505"/>
      <c r="CS48" s="505"/>
      <c r="CT48" s="505"/>
      <c r="CU48" s="505"/>
    </row>
    <row r="49" spans="1:99" ht="20.100000000000001" customHeight="1">
      <c r="A49" s="400">
        <v>24</v>
      </c>
      <c r="B49" s="62" t="s">
        <v>83</v>
      </c>
      <c r="C49" s="820">
        <v>0</v>
      </c>
      <c r="D49" s="820">
        <v>0</v>
      </c>
      <c r="E49" s="818">
        <v>502.79085599999985</v>
      </c>
      <c r="F49" s="820">
        <v>0</v>
      </c>
      <c r="G49" s="820">
        <v>0</v>
      </c>
      <c r="H49" s="378">
        <f t="shared" si="6"/>
        <v>502.79085599999985</v>
      </c>
      <c r="I49" s="333">
        <f>29460.97460845+80</f>
        <v>29540.97460845</v>
      </c>
      <c r="J49" s="401">
        <f t="shared" si="7"/>
        <v>587.54001302780273</v>
      </c>
      <c r="K49" s="306"/>
      <c r="L49" s="505"/>
      <c r="M49" s="505"/>
      <c r="N49" s="505"/>
      <c r="O49" s="505"/>
      <c r="P49" s="505"/>
      <c r="Q49" s="505"/>
      <c r="R49" s="505"/>
      <c r="S49" s="505"/>
      <c r="T49" s="505"/>
      <c r="U49" s="505"/>
      <c r="V49" s="505"/>
      <c r="W49" s="505"/>
      <c r="X49" s="505"/>
      <c r="Y49" s="505"/>
      <c r="Z49" s="505"/>
      <c r="AA49" s="505"/>
      <c r="AB49" s="505"/>
      <c r="AC49" s="505"/>
      <c r="AD49" s="505"/>
      <c r="AE49" s="505"/>
      <c r="AF49" s="505"/>
      <c r="AG49" s="505"/>
      <c r="AH49" s="505"/>
      <c r="AI49" s="505"/>
      <c r="AJ49" s="505"/>
      <c r="AK49" s="505"/>
      <c r="AL49" s="505"/>
      <c r="AM49" s="505"/>
      <c r="AN49" s="505"/>
      <c r="AO49" s="505"/>
      <c r="AP49" s="505"/>
      <c r="AQ49" s="505"/>
      <c r="AR49" s="505"/>
      <c r="AS49" s="505"/>
      <c r="AT49" s="505"/>
      <c r="AU49" s="505"/>
      <c r="AV49" s="505"/>
      <c r="AW49" s="505"/>
      <c r="AX49" s="505"/>
      <c r="AY49" s="505"/>
      <c r="AZ49" s="505"/>
      <c r="BA49" s="505"/>
      <c r="BB49" s="505"/>
      <c r="BC49" s="505"/>
      <c r="BD49" s="505"/>
      <c r="BE49" s="505"/>
      <c r="BF49" s="505"/>
      <c r="BG49" s="505"/>
      <c r="BH49" s="505"/>
      <c r="BI49" s="505"/>
      <c r="BJ49" s="505"/>
      <c r="BK49" s="505"/>
      <c r="BL49" s="505"/>
      <c r="BM49" s="505"/>
      <c r="BN49" s="505"/>
      <c r="BO49" s="505"/>
      <c r="BP49" s="505"/>
      <c r="BQ49" s="505"/>
      <c r="BR49" s="505"/>
      <c r="BS49" s="505"/>
      <c r="BT49" s="505"/>
      <c r="BU49" s="505"/>
      <c r="BV49" s="505"/>
      <c r="BW49" s="505"/>
      <c r="BX49" s="505"/>
      <c r="BY49" s="505"/>
      <c r="BZ49" s="505"/>
      <c r="CA49" s="505"/>
      <c r="CB49" s="505"/>
      <c r="CC49" s="505"/>
      <c r="CD49" s="505"/>
      <c r="CE49" s="505"/>
      <c r="CF49" s="505"/>
      <c r="CG49" s="505"/>
      <c r="CH49" s="505"/>
      <c r="CI49" s="505"/>
      <c r="CJ49" s="505"/>
      <c r="CK49" s="505"/>
      <c r="CL49" s="505"/>
      <c r="CM49" s="505"/>
      <c r="CN49" s="505"/>
      <c r="CO49" s="505"/>
      <c r="CP49" s="505"/>
      <c r="CQ49" s="505"/>
      <c r="CR49" s="505"/>
      <c r="CS49" s="505"/>
      <c r="CT49" s="505"/>
      <c r="CU49" s="505"/>
    </row>
    <row r="50" spans="1:99" ht="20.100000000000001" customHeight="1">
      <c r="A50" s="400">
        <v>25</v>
      </c>
      <c r="B50" s="62" t="s">
        <v>93</v>
      </c>
      <c r="C50" s="818">
        <v>4.2690000000000001</v>
      </c>
      <c r="D50" s="820">
        <v>0</v>
      </c>
      <c r="E50" s="818">
        <f>132.35428-0.185</f>
        <v>132.16927999999999</v>
      </c>
      <c r="F50" s="820">
        <v>0</v>
      </c>
      <c r="G50" s="820">
        <v>0</v>
      </c>
      <c r="H50" s="378">
        <f t="shared" si="6"/>
        <v>136.43827999999999</v>
      </c>
      <c r="I50" s="333">
        <f>8099.7755831-(0.185*4.9*10)</f>
        <v>8090.7105831000008</v>
      </c>
      <c r="J50" s="401">
        <f t="shared" si="7"/>
        <v>592.99417898701165</v>
      </c>
      <c r="K50" s="306"/>
      <c r="L50" s="505"/>
      <c r="M50" s="505"/>
      <c r="N50" s="505"/>
      <c r="O50" s="505"/>
      <c r="P50" s="505"/>
      <c r="Q50" s="505"/>
      <c r="R50" s="505"/>
      <c r="S50" s="505"/>
      <c r="T50" s="505"/>
      <c r="U50" s="505"/>
      <c r="V50" s="505"/>
      <c r="W50" s="505"/>
      <c r="X50" s="505"/>
      <c r="Y50" s="505"/>
      <c r="Z50" s="505"/>
      <c r="AA50" s="505"/>
      <c r="AB50" s="505"/>
      <c r="AC50" s="505"/>
      <c r="AD50" s="505"/>
      <c r="AE50" s="505"/>
      <c r="AF50" s="505"/>
      <c r="AG50" s="505"/>
      <c r="AH50" s="505"/>
      <c r="AI50" s="505"/>
      <c r="AJ50" s="505"/>
      <c r="AK50" s="505"/>
      <c r="AL50" s="505"/>
      <c r="AM50" s="505"/>
      <c r="AN50" s="505"/>
      <c r="AO50" s="505"/>
      <c r="AP50" s="505"/>
      <c r="AQ50" s="505"/>
      <c r="AR50" s="505"/>
      <c r="AS50" s="505"/>
      <c r="AT50" s="505"/>
      <c r="AU50" s="505"/>
      <c r="AV50" s="505"/>
      <c r="AW50" s="505"/>
      <c r="AX50" s="505"/>
      <c r="AY50" s="505"/>
      <c r="AZ50" s="505"/>
      <c r="BA50" s="505"/>
      <c r="BB50" s="505"/>
      <c r="BC50" s="505"/>
      <c r="BD50" s="505"/>
      <c r="BE50" s="505"/>
      <c r="BF50" s="505"/>
      <c r="BG50" s="505"/>
      <c r="BH50" s="505"/>
      <c r="BI50" s="505"/>
      <c r="BJ50" s="505"/>
      <c r="BK50" s="505"/>
      <c r="BL50" s="505"/>
      <c r="BM50" s="505"/>
      <c r="BN50" s="505"/>
      <c r="BO50" s="505"/>
      <c r="BP50" s="505"/>
      <c r="BQ50" s="505"/>
      <c r="BR50" s="505"/>
      <c r="BS50" s="505"/>
      <c r="BT50" s="505"/>
      <c r="BU50" s="505"/>
      <c r="BV50" s="505"/>
      <c r="BW50" s="505"/>
      <c r="BX50" s="505"/>
      <c r="BY50" s="505"/>
      <c r="BZ50" s="505"/>
      <c r="CA50" s="505"/>
      <c r="CB50" s="505"/>
      <c r="CC50" s="505"/>
      <c r="CD50" s="505"/>
      <c r="CE50" s="505"/>
      <c r="CF50" s="505"/>
      <c r="CG50" s="505"/>
      <c r="CH50" s="505"/>
      <c r="CI50" s="505"/>
      <c r="CJ50" s="505"/>
      <c r="CK50" s="505"/>
      <c r="CL50" s="505"/>
      <c r="CM50" s="505"/>
      <c r="CN50" s="505"/>
      <c r="CO50" s="505"/>
      <c r="CP50" s="505"/>
      <c r="CQ50" s="505"/>
      <c r="CR50" s="505"/>
      <c r="CS50" s="505"/>
      <c r="CT50" s="505"/>
      <c r="CU50" s="505"/>
    </row>
    <row r="51" spans="1:99" ht="20.100000000000001" customHeight="1">
      <c r="A51" s="400">
        <v>26</v>
      </c>
      <c r="B51" s="62" t="s">
        <v>85</v>
      </c>
      <c r="C51" s="818">
        <v>0</v>
      </c>
      <c r="D51" s="820">
        <v>0</v>
      </c>
      <c r="E51" s="818">
        <v>1.5167999999999999</v>
      </c>
      <c r="F51" s="820">
        <v>0</v>
      </c>
      <c r="G51" s="820">
        <v>0</v>
      </c>
      <c r="H51" s="378">
        <f t="shared" si="6"/>
        <v>1.5167999999999999</v>
      </c>
      <c r="I51" s="333">
        <f>175.7779647-80</f>
        <v>95.777964700000012</v>
      </c>
      <c r="J51" s="401">
        <f t="shared" si="7"/>
        <v>631.44755208333345</v>
      </c>
      <c r="K51" s="306"/>
      <c r="L51" s="505"/>
      <c r="M51" s="505"/>
      <c r="N51" s="505"/>
      <c r="O51" s="505"/>
      <c r="P51" s="505"/>
      <c r="Q51" s="505"/>
      <c r="R51" s="505"/>
      <c r="S51" s="505"/>
      <c r="T51" s="505"/>
      <c r="U51" s="505"/>
      <c r="V51" s="505"/>
      <c r="W51" s="505"/>
      <c r="X51" s="505"/>
      <c r="Y51" s="505"/>
      <c r="Z51" s="505"/>
      <c r="AA51" s="505"/>
      <c r="AB51" s="505"/>
      <c r="AC51" s="505"/>
      <c r="AD51" s="505"/>
      <c r="AE51" s="505"/>
      <c r="AF51" s="505"/>
      <c r="AG51" s="505"/>
      <c r="AH51" s="505"/>
      <c r="AI51" s="505"/>
      <c r="AJ51" s="505"/>
      <c r="AK51" s="505"/>
      <c r="AL51" s="505"/>
      <c r="AM51" s="505"/>
      <c r="AN51" s="505"/>
      <c r="AO51" s="505"/>
      <c r="AP51" s="505"/>
      <c r="AQ51" s="505"/>
      <c r="AR51" s="505"/>
      <c r="AS51" s="505"/>
      <c r="AT51" s="505"/>
      <c r="AU51" s="505"/>
      <c r="AV51" s="505"/>
      <c r="AW51" s="505"/>
      <c r="AX51" s="505"/>
      <c r="AY51" s="505"/>
      <c r="AZ51" s="505"/>
      <c r="BA51" s="505"/>
      <c r="BB51" s="505"/>
      <c r="BC51" s="505"/>
      <c r="BD51" s="505"/>
      <c r="BE51" s="505"/>
      <c r="BF51" s="505"/>
      <c r="BG51" s="505"/>
      <c r="BH51" s="505"/>
      <c r="BI51" s="505"/>
      <c r="BJ51" s="505"/>
      <c r="BK51" s="505"/>
      <c r="BL51" s="505"/>
      <c r="BM51" s="505"/>
      <c r="BN51" s="505"/>
      <c r="BO51" s="505"/>
      <c r="BP51" s="505"/>
      <c r="BQ51" s="505"/>
      <c r="BR51" s="505"/>
      <c r="BS51" s="505"/>
      <c r="BT51" s="505"/>
      <c r="BU51" s="505"/>
      <c r="BV51" s="505"/>
      <c r="BW51" s="505"/>
      <c r="BX51" s="505"/>
      <c r="BY51" s="505"/>
      <c r="BZ51" s="505"/>
      <c r="CA51" s="505"/>
      <c r="CB51" s="505"/>
      <c r="CC51" s="505"/>
      <c r="CD51" s="505"/>
      <c r="CE51" s="505"/>
      <c r="CF51" s="505"/>
      <c r="CG51" s="505"/>
      <c r="CH51" s="505"/>
      <c r="CI51" s="505"/>
      <c r="CJ51" s="505"/>
      <c r="CK51" s="505"/>
      <c r="CL51" s="505"/>
      <c r="CM51" s="505"/>
      <c r="CN51" s="505"/>
      <c r="CO51" s="505"/>
      <c r="CP51" s="505"/>
      <c r="CQ51" s="505"/>
      <c r="CR51" s="505"/>
      <c r="CS51" s="505"/>
      <c r="CT51" s="505"/>
      <c r="CU51" s="505"/>
    </row>
    <row r="52" spans="1:99" ht="20.100000000000001" customHeight="1">
      <c r="A52" s="400">
        <v>27</v>
      </c>
      <c r="B52" s="62" t="s">
        <v>86</v>
      </c>
      <c r="C52" s="378"/>
      <c r="D52" s="378"/>
      <c r="E52" s="378"/>
      <c r="F52" s="378"/>
      <c r="G52" s="378"/>
      <c r="H52" s="378"/>
      <c r="I52" s="333"/>
      <c r="J52" s="401"/>
      <c r="K52" s="306"/>
      <c r="L52" s="505"/>
      <c r="M52" s="505"/>
      <c r="N52" s="560"/>
      <c r="O52" s="505"/>
      <c r="P52" s="505"/>
      <c r="Q52" s="505"/>
      <c r="R52" s="505"/>
      <c r="S52" s="505"/>
      <c r="T52" s="505"/>
      <c r="U52" s="505"/>
      <c r="V52" s="505"/>
      <c r="W52" s="505"/>
      <c r="X52" s="505"/>
      <c r="Y52" s="505"/>
      <c r="Z52" s="505"/>
      <c r="AA52" s="505"/>
      <c r="AB52" s="505"/>
      <c r="AC52" s="505"/>
      <c r="AD52" s="505"/>
      <c r="AE52" s="505"/>
      <c r="AF52" s="505"/>
      <c r="AG52" s="505"/>
      <c r="AH52" s="505"/>
      <c r="AI52" s="505"/>
      <c r="AJ52" s="505"/>
      <c r="AK52" s="505"/>
      <c r="AL52" s="505"/>
      <c r="AM52" s="505"/>
      <c r="AN52" s="505"/>
      <c r="AO52" s="505"/>
      <c r="AP52" s="505"/>
      <c r="AQ52" s="505"/>
      <c r="AR52" s="505"/>
      <c r="AS52" s="505"/>
      <c r="AT52" s="505"/>
      <c r="AU52" s="505"/>
      <c r="AV52" s="505"/>
      <c r="AW52" s="505"/>
      <c r="AX52" s="505"/>
      <c r="AY52" s="505"/>
      <c r="AZ52" s="505"/>
      <c r="BA52" s="505"/>
      <c r="BB52" s="505"/>
      <c r="BC52" s="505"/>
      <c r="BD52" s="505"/>
      <c r="BE52" s="505"/>
      <c r="BF52" s="505"/>
      <c r="BG52" s="505"/>
      <c r="BH52" s="505"/>
      <c r="BI52" s="505"/>
      <c r="BJ52" s="505"/>
      <c r="BK52" s="505"/>
      <c r="BL52" s="505"/>
      <c r="BM52" s="505"/>
      <c r="BN52" s="505"/>
      <c r="BO52" s="505"/>
      <c r="BP52" s="505"/>
      <c r="BQ52" s="505"/>
      <c r="BR52" s="505"/>
      <c r="BS52" s="505"/>
      <c r="BT52" s="505"/>
      <c r="BU52" s="505"/>
      <c r="BV52" s="505"/>
      <c r="BW52" s="505"/>
      <c r="BX52" s="505"/>
      <c r="BY52" s="505"/>
      <c r="BZ52" s="505"/>
      <c r="CA52" s="505"/>
      <c r="CB52" s="505"/>
      <c r="CC52" s="505"/>
      <c r="CD52" s="505"/>
      <c r="CE52" s="505"/>
      <c r="CF52" s="505"/>
      <c r="CG52" s="505"/>
      <c r="CH52" s="505"/>
      <c r="CI52" s="505"/>
      <c r="CJ52" s="505"/>
      <c r="CK52" s="505"/>
      <c r="CL52" s="505"/>
      <c r="CM52" s="505"/>
      <c r="CN52" s="505"/>
      <c r="CO52" s="505"/>
      <c r="CP52" s="505"/>
      <c r="CQ52" s="505"/>
      <c r="CR52" s="505"/>
      <c r="CS52" s="505"/>
      <c r="CT52" s="505"/>
      <c r="CU52" s="505"/>
    </row>
    <row r="53" spans="1:99" ht="20.100000000000001" customHeight="1">
      <c r="A53" s="400">
        <v>28</v>
      </c>
      <c r="B53" s="62" t="s">
        <v>87</v>
      </c>
      <c r="C53" s="378">
        <v>2.387</v>
      </c>
      <c r="D53" s="378">
        <v>6.3E-2</v>
      </c>
      <c r="E53" s="378">
        <v>1.978</v>
      </c>
      <c r="F53" s="378">
        <v>4.7E-2</v>
      </c>
      <c r="G53" s="378"/>
      <c r="H53" s="378">
        <f t="shared" si="6"/>
        <v>4.4749999999999996</v>
      </c>
      <c r="I53" s="333">
        <f>4.475*4.9*10</f>
        <v>219.27499999999998</v>
      </c>
      <c r="J53" s="401">
        <f t="shared" si="7"/>
        <v>490</v>
      </c>
      <c r="K53" s="306"/>
      <c r="L53" s="505"/>
      <c r="M53" s="505"/>
      <c r="N53" s="505"/>
      <c r="O53" s="505"/>
      <c r="P53" s="505"/>
      <c r="Q53" s="505"/>
      <c r="R53" s="505"/>
      <c r="S53" s="505"/>
      <c r="T53" s="505"/>
      <c r="U53" s="505"/>
      <c r="V53" s="505"/>
      <c r="W53" s="505"/>
      <c r="X53" s="505"/>
      <c r="Y53" s="505"/>
      <c r="Z53" s="505"/>
      <c r="AA53" s="505"/>
      <c r="AB53" s="505"/>
      <c r="AC53" s="505"/>
      <c r="AD53" s="505"/>
      <c r="AE53" s="505"/>
      <c r="AF53" s="505"/>
      <c r="AG53" s="505"/>
      <c r="AH53" s="505"/>
      <c r="AI53" s="505"/>
      <c r="AJ53" s="505"/>
      <c r="AK53" s="505"/>
      <c r="AL53" s="505"/>
      <c r="AM53" s="505"/>
      <c r="AN53" s="505"/>
      <c r="AO53" s="505"/>
      <c r="AP53" s="505"/>
      <c r="AQ53" s="505"/>
      <c r="AR53" s="505"/>
      <c r="AS53" s="505"/>
      <c r="AT53" s="505"/>
      <c r="AU53" s="505"/>
      <c r="AV53" s="505"/>
      <c r="AW53" s="505"/>
      <c r="AX53" s="505"/>
      <c r="AY53" s="505"/>
      <c r="AZ53" s="505"/>
      <c r="BA53" s="505"/>
      <c r="BB53" s="505"/>
      <c r="BC53" s="505"/>
      <c r="BD53" s="505"/>
      <c r="BE53" s="505"/>
      <c r="BF53" s="505"/>
      <c r="BG53" s="505"/>
      <c r="BH53" s="505"/>
      <c r="BI53" s="505"/>
      <c r="BJ53" s="505"/>
      <c r="BK53" s="505"/>
      <c r="BL53" s="505"/>
      <c r="BM53" s="505"/>
      <c r="BN53" s="505"/>
      <c r="BO53" s="505"/>
      <c r="BP53" s="505"/>
      <c r="BQ53" s="505"/>
      <c r="BR53" s="505"/>
      <c r="BS53" s="505"/>
      <c r="BT53" s="505"/>
      <c r="BU53" s="505"/>
      <c r="BV53" s="505"/>
      <c r="BW53" s="505"/>
      <c r="BX53" s="505"/>
      <c r="BY53" s="505"/>
      <c r="BZ53" s="505"/>
      <c r="CA53" s="505"/>
      <c r="CB53" s="505"/>
      <c r="CC53" s="505"/>
      <c r="CD53" s="505"/>
      <c r="CE53" s="505"/>
      <c r="CF53" s="505"/>
      <c r="CG53" s="505"/>
      <c r="CH53" s="505"/>
      <c r="CI53" s="505"/>
      <c r="CJ53" s="505"/>
      <c r="CK53" s="505"/>
      <c r="CL53" s="505"/>
      <c r="CM53" s="505"/>
      <c r="CN53" s="505"/>
      <c r="CO53" s="505"/>
      <c r="CP53" s="505"/>
      <c r="CQ53" s="505"/>
      <c r="CR53" s="505"/>
      <c r="CS53" s="505"/>
      <c r="CT53" s="505"/>
      <c r="CU53" s="505"/>
    </row>
    <row r="54" spans="1:99" ht="20.100000000000001" customHeight="1">
      <c r="A54" s="400"/>
      <c r="B54" s="403" t="s">
        <v>88</v>
      </c>
      <c r="C54" s="110">
        <f t="shared" ref="C54:I54" si="8">SUM(C39:C53)</f>
        <v>289.52428942280005</v>
      </c>
      <c r="D54" s="110">
        <f t="shared" si="8"/>
        <v>92.136154950000005</v>
      </c>
      <c r="E54" s="110">
        <f t="shared" si="8"/>
        <v>1323.2058938730002</v>
      </c>
      <c r="F54" s="110">
        <f t="shared" si="8"/>
        <v>85.201897639000009</v>
      </c>
      <c r="G54" s="110">
        <f t="shared" si="8"/>
        <v>46.617009459999998</v>
      </c>
      <c r="H54" s="110">
        <f t="shared" si="8"/>
        <v>1836.6852453448</v>
      </c>
      <c r="I54" s="109">
        <f t="shared" si="8"/>
        <v>115738.56271043902</v>
      </c>
      <c r="J54" s="268">
        <f t="shared" si="7"/>
        <v>630.14913961870195</v>
      </c>
      <c r="K54" s="306"/>
      <c r="L54" s="505"/>
      <c r="M54" s="505"/>
      <c r="N54" s="505"/>
      <c r="O54" s="505"/>
      <c r="P54" s="505"/>
      <c r="Q54" s="505"/>
      <c r="R54" s="505"/>
      <c r="S54" s="505"/>
      <c r="T54" s="505"/>
      <c r="U54" s="505"/>
      <c r="V54" s="505"/>
      <c r="W54" s="505"/>
      <c r="X54" s="505"/>
      <c r="Y54" s="505"/>
      <c r="Z54" s="505"/>
      <c r="AA54" s="505"/>
      <c r="AB54" s="505"/>
      <c r="AC54" s="505"/>
      <c r="AD54" s="505"/>
      <c r="AE54" s="505"/>
      <c r="AF54" s="505"/>
      <c r="AG54" s="505"/>
      <c r="AH54" s="505"/>
      <c r="AI54" s="505"/>
      <c r="AJ54" s="505"/>
      <c r="AK54" s="505"/>
      <c r="AL54" s="505"/>
      <c r="AM54" s="505"/>
      <c r="AN54" s="505"/>
      <c r="AO54" s="505"/>
      <c r="AP54" s="505"/>
      <c r="AQ54" s="505"/>
      <c r="AR54" s="505"/>
      <c r="AS54" s="505"/>
      <c r="AT54" s="505"/>
      <c r="AU54" s="505"/>
      <c r="AV54" s="505"/>
      <c r="AW54" s="505"/>
      <c r="AX54" s="505"/>
      <c r="AY54" s="505"/>
      <c r="AZ54" s="505"/>
      <c r="BA54" s="505"/>
      <c r="BB54" s="505"/>
      <c r="BC54" s="505"/>
      <c r="BD54" s="505"/>
      <c r="BE54" s="505"/>
      <c r="BF54" s="505"/>
      <c r="BG54" s="505"/>
      <c r="BH54" s="505"/>
      <c r="BI54" s="505"/>
      <c r="BJ54" s="505"/>
      <c r="BK54" s="505"/>
      <c r="BL54" s="505"/>
      <c r="BM54" s="505"/>
      <c r="BN54" s="505"/>
      <c r="BO54" s="505"/>
      <c r="BP54" s="505"/>
      <c r="BQ54" s="505"/>
      <c r="BR54" s="505"/>
      <c r="BS54" s="505"/>
      <c r="BT54" s="505"/>
      <c r="BU54" s="505"/>
      <c r="BV54" s="505"/>
      <c r="BW54" s="505"/>
      <c r="BX54" s="505"/>
      <c r="BY54" s="505"/>
      <c r="BZ54" s="505"/>
      <c r="CA54" s="505"/>
      <c r="CB54" s="505"/>
      <c r="CC54" s="505"/>
      <c r="CD54" s="505"/>
      <c r="CE54" s="505"/>
      <c r="CF54" s="505"/>
      <c r="CG54" s="505"/>
      <c r="CH54" s="505"/>
      <c r="CI54" s="505"/>
      <c r="CJ54" s="505"/>
      <c r="CK54" s="505"/>
      <c r="CL54" s="505"/>
      <c r="CM54" s="505"/>
      <c r="CN54" s="505"/>
      <c r="CO54" s="505"/>
      <c r="CP54" s="505"/>
      <c r="CQ54" s="505"/>
      <c r="CR54" s="505"/>
      <c r="CS54" s="505"/>
      <c r="CT54" s="505"/>
      <c r="CU54" s="505"/>
    </row>
    <row r="55" spans="1:99" ht="20.100000000000001" customHeight="1">
      <c r="A55" s="62"/>
      <c r="B55" s="404" t="s">
        <v>89</v>
      </c>
      <c r="C55" s="110"/>
      <c r="D55" s="110"/>
      <c r="E55" s="110"/>
      <c r="F55" s="110"/>
      <c r="G55" s="110"/>
      <c r="H55" s="378"/>
      <c r="I55" s="333"/>
      <c r="J55" s="401"/>
      <c r="K55" s="306"/>
      <c r="L55" s="505"/>
      <c r="M55" s="505"/>
      <c r="N55" s="505"/>
      <c r="O55" s="505"/>
      <c r="P55" s="505"/>
      <c r="Q55" s="505"/>
      <c r="R55" s="505"/>
      <c r="S55" s="505"/>
      <c r="T55" s="505"/>
      <c r="U55" s="505"/>
      <c r="V55" s="505"/>
      <c r="W55" s="505"/>
      <c r="X55" s="505"/>
      <c r="Y55" s="505"/>
      <c r="Z55" s="505"/>
      <c r="AA55" s="505"/>
      <c r="AB55" s="505"/>
      <c r="AC55" s="505"/>
      <c r="AD55" s="505"/>
      <c r="AE55" s="505"/>
      <c r="AF55" s="505"/>
      <c r="AG55" s="505"/>
      <c r="AH55" s="505"/>
      <c r="AI55" s="505"/>
      <c r="AJ55" s="505"/>
      <c r="AK55" s="505"/>
      <c r="AL55" s="505"/>
      <c r="AM55" s="505"/>
      <c r="AN55" s="505"/>
      <c r="AO55" s="505"/>
      <c r="AP55" s="505"/>
      <c r="AQ55" s="505"/>
      <c r="AR55" s="505"/>
      <c r="AS55" s="505"/>
      <c r="AT55" s="505"/>
      <c r="AU55" s="505"/>
      <c r="AV55" s="505"/>
      <c r="AW55" s="505"/>
      <c r="AX55" s="505"/>
      <c r="AY55" s="505"/>
      <c r="AZ55" s="505"/>
      <c r="BA55" s="505"/>
      <c r="BB55" s="505"/>
      <c r="BC55" s="505"/>
      <c r="BD55" s="505"/>
      <c r="BE55" s="505"/>
      <c r="BF55" s="505"/>
      <c r="BG55" s="505"/>
      <c r="BH55" s="505"/>
      <c r="BI55" s="505"/>
      <c r="BJ55" s="505"/>
      <c r="BK55" s="505"/>
      <c r="BL55" s="505"/>
      <c r="BM55" s="505"/>
      <c r="BN55" s="505"/>
      <c r="BO55" s="505"/>
      <c r="BP55" s="505"/>
      <c r="BQ55" s="505"/>
      <c r="BR55" s="505"/>
      <c r="BS55" s="505"/>
      <c r="BT55" s="505"/>
      <c r="BU55" s="505"/>
      <c r="BV55" s="505"/>
      <c r="BW55" s="505"/>
      <c r="BX55" s="505"/>
      <c r="BY55" s="505"/>
      <c r="BZ55" s="505"/>
      <c r="CA55" s="505"/>
      <c r="CB55" s="505"/>
      <c r="CC55" s="505"/>
      <c r="CD55" s="505"/>
      <c r="CE55" s="505"/>
      <c r="CF55" s="505"/>
      <c r="CG55" s="505"/>
      <c r="CH55" s="505"/>
      <c r="CI55" s="505"/>
      <c r="CJ55" s="505"/>
      <c r="CK55" s="505"/>
      <c r="CL55" s="505"/>
      <c r="CM55" s="505"/>
      <c r="CN55" s="505"/>
      <c r="CO55" s="505"/>
      <c r="CP55" s="505"/>
      <c r="CQ55" s="505"/>
      <c r="CR55" s="505"/>
      <c r="CS55" s="505"/>
      <c r="CT55" s="505"/>
      <c r="CU55" s="505"/>
    </row>
    <row r="56" spans="1:99" ht="20.100000000000001" customHeight="1">
      <c r="A56" s="400">
        <v>29</v>
      </c>
      <c r="B56" s="62" t="s">
        <v>90</v>
      </c>
      <c r="C56" s="820">
        <v>0</v>
      </c>
      <c r="D56" s="820">
        <v>0</v>
      </c>
      <c r="E56" s="820">
        <v>0</v>
      </c>
      <c r="F56" s="818">
        <v>0.16317999999999999</v>
      </c>
      <c r="G56" s="820">
        <v>0</v>
      </c>
      <c r="H56" s="378">
        <f t="shared" ref="H56:H63" si="9">SUM(C56:G56)</f>
        <v>0.16317999999999999</v>
      </c>
      <c r="I56" s="333">
        <v>12.534753900000002</v>
      </c>
      <c r="J56" s="401">
        <f t="shared" ref="J56:J66" si="10">I56/H56*10</f>
        <v>768.15503738203233</v>
      </c>
      <c r="K56" s="306"/>
      <c r="L56" s="505"/>
      <c r="M56" s="505"/>
      <c r="N56" s="505"/>
      <c r="O56" s="505"/>
      <c r="P56" s="505"/>
      <c r="Q56" s="505"/>
      <c r="R56" s="505"/>
      <c r="S56" s="505"/>
      <c r="T56" s="505"/>
      <c r="U56" s="505"/>
      <c r="V56" s="505"/>
      <c r="W56" s="505"/>
      <c r="X56" s="505"/>
      <c r="Y56" s="505"/>
      <c r="Z56" s="505"/>
      <c r="AA56" s="505"/>
      <c r="AB56" s="505"/>
      <c r="AC56" s="505"/>
      <c r="AD56" s="505"/>
      <c r="AE56" s="505"/>
      <c r="AF56" s="505"/>
      <c r="AG56" s="505"/>
      <c r="AH56" s="505"/>
      <c r="AI56" s="505"/>
      <c r="AJ56" s="505"/>
      <c r="AK56" s="505"/>
      <c r="AL56" s="505"/>
      <c r="AM56" s="505"/>
      <c r="AN56" s="505"/>
      <c r="AO56" s="505"/>
      <c r="AP56" s="505"/>
      <c r="AQ56" s="505"/>
      <c r="AR56" s="505"/>
      <c r="AS56" s="505"/>
      <c r="AT56" s="505"/>
      <c r="AU56" s="505"/>
      <c r="AV56" s="505"/>
      <c r="AW56" s="505"/>
      <c r="AX56" s="505"/>
      <c r="AY56" s="505"/>
      <c r="AZ56" s="505"/>
      <c r="BA56" s="505"/>
      <c r="BB56" s="505"/>
      <c r="BC56" s="505"/>
      <c r="BD56" s="505"/>
      <c r="BE56" s="505"/>
      <c r="BF56" s="505"/>
      <c r="BG56" s="505"/>
      <c r="BH56" s="505"/>
      <c r="BI56" s="505"/>
      <c r="BJ56" s="505"/>
      <c r="BK56" s="505"/>
      <c r="BL56" s="505"/>
      <c r="BM56" s="505"/>
      <c r="BN56" s="505"/>
      <c r="BO56" s="505"/>
      <c r="BP56" s="505"/>
      <c r="BQ56" s="505"/>
      <c r="BR56" s="505"/>
      <c r="BS56" s="505"/>
      <c r="BT56" s="505"/>
      <c r="BU56" s="505"/>
      <c r="BV56" s="505"/>
      <c r="BW56" s="505"/>
      <c r="BX56" s="505"/>
      <c r="BY56" s="505"/>
      <c r="BZ56" s="505"/>
      <c r="CA56" s="505"/>
      <c r="CB56" s="505"/>
      <c r="CC56" s="505"/>
      <c r="CD56" s="505"/>
      <c r="CE56" s="505"/>
      <c r="CF56" s="505"/>
      <c r="CG56" s="505"/>
      <c r="CH56" s="505"/>
      <c r="CI56" s="505"/>
      <c r="CJ56" s="505"/>
      <c r="CK56" s="505"/>
      <c r="CL56" s="505"/>
      <c r="CM56" s="505"/>
      <c r="CN56" s="505"/>
      <c r="CO56" s="505"/>
      <c r="CP56" s="505"/>
      <c r="CQ56" s="505"/>
      <c r="CR56" s="505"/>
      <c r="CS56" s="505"/>
      <c r="CT56" s="505"/>
      <c r="CU56" s="505"/>
    </row>
    <row r="57" spans="1:99" ht="20.100000000000001" customHeight="1">
      <c r="A57" s="400">
        <v>30</v>
      </c>
      <c r="B57" s="62" t="s">
        <v>73</v>
      </c>
      <c r="C57" s="818">
        <v>244.62110679</v>
      </c>
      <c r="D57" s="818">
        <v>11.070833050000001</v>
      </c>
      <c r="E57" s="818">
        <f>37.0249541925-1.379</f>
        <v>35.6459541925</v>
      </c>
      <c r="F57" s="818">
        <f>6.961432854-0.679</f>
        <v>6.2824328539999996</v>
      </c>
      <c r="G57" s="818">
        <v>6.9942396700000007</v>
      </c>
      <c r="H57" s="378">
        <f t="shared" si="9"/>
        <v>304.61456655649999</v>
      </c>
      <c r="I57" s="333">
        <f>21550.423355-100-66.8815-32.9315</f>
        <v>21350.610355000001</v>
      </c>
      <c r="J57" s="401">
        <f t="shared" si="10"/>
        <v>700.905757605649</v>
      </c>
      <c r="K57" s="306"/>
      <c r="L57" s="505"/>
      <c r="M57" s="505"/>
      <c r="N57" s="505"/>
      <c r="O57" s="505"/>
      <c r="P57" s="505"/>
      <c r="Q57" s="505"/>
      <c r="R57" s="505"/>
      <c r="S57" s="505"/>
      <c r="T57" s="505"/>
      <c r="U57" s="505"/>
      <c r="V57" s="505"/>
      <c r="W57" s="505"/>
      <c r="X57" s="505"/>
      <c r="Y57" s="505"/>
      <c r="Z57" s="505"/>
      <c r="AA57" s="505"/>
      <c r="AB57" s="505"/>
      <c r="AC57" s="505"/>
      <c r="AD57" s="505"/>
      <c r="AE57" s="505"/>
      <c r="AF57" s="505"/>
      <c r="AG57" s="505"/>
      <c r="AH57" s="505"/>
      <c r="AI57" s="505"/>
      <c r="AJ57" s="505"/>
      <c r="AK57" s="505"/>
      <c r="AL57" s="505"/>
      <c r="AM57" s="505"/>
      <c r="AN57" s="505"/>
      <c r="AO57" s="505"/>
      <c r="AP57" s="505"/>
      <c r="AQ57" s="505"/>
      <c r="AR57" s="505"/>
      <c r="AS57" s="505"/>
      <c r="AT57" s="505"/>
      <c r="AU57" s="505"/>
      <c r="AV57" s="505"/>
      <c r="AW57" s="505"/>
      <c r="AX57" s="505"/>
      <c r="AY57" s="505"/>
      <c r="AZ57" s="505"/>
      <c r="BA57" s="505"/>
      <c r="BB57" s="505"/>
      <c r="BC57" s="505"/>
      <c r="BD57" s="505"/>
      <c r="BE57" s="505"/>
      <c r="BF57" s="505"/>
      <c r="BG57" s="505"/>
      <c r="BH57" s="505"/>
      <c r="BI57" s="505"/>
      <c r="BJ57" s="505"/>
      <c r="BK57" s="505"/>
      <c r="BL57" s="505"/>
      <c r="BM57" s="505"/>
      <c r="BN57" s="505"/>
      <c r="BO57" s="505"/>
      <c r="BP57" s="505"/>
      <c r="BQ57" s="505"/>
      <c r="BR57" s="505"/>
      <c r="BS57" s="505"/>
      <c r="BT57" s="505"/>
      <c r="BU57" s="505"/>
      <c r="BV57" s="505"/>
      <c r="BW57" s="505"/>
      <c r="BX57" s="505"/>
      <c r="BY57" s="505"/>
      <c r="BZ57" s="505"/>
      <c r="CA57" s="505"/>
      <c r="CB57" s="505"/>
      <c r="CC57" s="505"/>
      <c r="CD57" s="505"/>
      <c r="CE57" s="505"/>
      <c r="CF57" s="505"/>
      <c r="CG57" s="505"/>
      <c r="CH57" s="505"/>
      <c r="CI57" s="505"/>
      <c r="CJ57" s="505"/>
      <c r="CK57" s="505"/>
      <c r="CL57" s="505"/>
      <c r="CM57" s="505"/>
      <c r="CN57" s="505"/>
      <c r="CO57" s="505"/>
      <c r="CP57" s="505"/>
      <c r="CQ57" s="505"/>
      <c r="CR57" s="505"/>
      <c r="CS57" s="505"/>
      <c r="CT57" s="505"/>
      <c r="CU57" s="505"/>
    </row>
    <row r="58" spans="1:99" ht="20.100000000000001" customHeight="1">
      <c r="A58" s="400">
        <v>31</v>
      </c>
      <c r="B58" s="62" t="s">
        <v>85</v>
      </c>
      <c r="C58" s="818">
        <v>280.40284999999994</v>
      </c>
      <c r="D58" s="818">
        <v>12.8146</v>
      </c>
      <c r="E58" s="818">
        <v>214.62073000000004</v>
      </c>
      <c r="F58" s="818">
        <v>80.131100000000004</v>
      </c>
      <c r="G58" s="818">
        <v>51.033399999999993</v>
      </c>
      <c r="H58" s="378">
        <f t="shared" si="9"/>
        <v>639.00268000000005</v>
      </c>
      <c r="I58" s="333">
        <v>44184.417641900014</v>
      </c>
      <c r="J58" s="401">
        <f t="shared" si="10"/>
        <v>691.45903491202898</v>
      </c>
      <c r="K58" s="306"/>
      <c r="L58" s="505"/>
      <c r="M58" s="505"/>
      <c r="N58" s="505"/>
      <c r="O58" s="505"/>
      <c r="P58" s="505"/>
      <c r="Q58" s="505"/>
      <c r="R58" s="505"/>
      <c r="S58" s="505"/>
      <c r="T58" s="505"/>
      <c r="U58" s="505"/>
      <c r="V58" s="505"/>
      <c r="W58" s="505"/>
      <c r="X58" s="505"/>
      <c r="Y58" s="505"/>
      <c r="Z58" s="505"/>
      <c r="AA58" s="505"/>
      <c r="AB58" s="505"/>
      <c r="AC58" s="505"/>
      <c r="AD58" s="505"/>
      <c r="AE58" s="505"/>
      <c r="AF58" s="505"/>
      <c r="AG58" s="505"/>
      <c r="AH58" s="505"/>
      <c r="AI58" s="505"/>
      <c r="AJ58" s="505"/>
      <c r="AK58" s="505"/>
      <c r="AL58" s="505"/>
      <c r="AM58" s="505"/>
      <c r="AN58" s="505"/>
      <c r="AO58" s="505"/>
      <c r="AP58" s="505"/>
      <c r="AQ58" s="505"/>
      <c r="AR58" s="505"/>
      <c r="AS58" s="505"/>
      <c r="AT58" s="505"/>
      <c r="AU58" s="505"/>
      <c r="AV58" s="505"/>
      <c r="AW58" s="505"/>
      <c r="AX58" s="505"/>
      <c r="AY58" s="505"/>
      <c r="AZ58" s="505"/>
      <c r="BA58" s="505"/>
      <c r="BB58" s="505"/>
      <c r="BC58" s="505"/>
      <c r="BD58" s="505"/>
      <c r="BE58" s="505"/>
      <c r="BF58" s="505"/>
      <c r="BG58" s="505"/>
      <c r="BH58" s="505"/>
      <c r="BI58" s="505"/>
      <c r="BJ58" s="505"/>
      <c r="BK58" s="505"/>
      <c r="BL58" s="505"/>
      <c r="BM58" s="505"/>
      <c r="BN58" s="505"/>
      <c r="BO58" s="505"/>
      <c r="BP58" s="505"/>
      <c r="BQ58" s="505"/>
      <c r="BR58" s="505"/>
      <c r="BS58" s="505"/>
      <c r="BT58" s="505"/>
      <c r="BU58" s="505"/>
      <c r="BV58" s="505"/>
      <c r="BW58" s="505"/>
      <c r="BX58" s="505"/>
      <c r="BY58" s="505"/>
      <c r="BZ58" s="505"/>
      <c r="CA58" s="505"/>
      <c r="CB58" s="505"/>
      <c r="CC58" s="505"/>
      <c r="CD58" s="505"/>
      <c r="CE58" s="505"/>
      <c r="CF58" s="505"/>
      <c r="CG58" s="505"/>
      <c r="CH58" s="505"/>
      <c r="CI58" s="505"/>
      <c r="CJ58" s="505"/>
      <c r="CK58" s="505"/>
      <c r="CL58" s="505"/>
      <c r="CM58" s="505"/>
      <c r="CN58" s="505"/>
      <c r="CO58" s="505"/>
      <c r="CP58" s="505"/>
      <c r="CQ58" s="505"/>
      <c r="CR58" s="505"/>
      <c r="CS58" s="505"/>
      <c r="CT58" s="505"/>
      <c r="CU58" s="505"/>
    </row>
    <row r="59" spans="1:99" ht="20.100000000000001" customHeight="1">
      <c r="A59" s="400">
        <v>32</v>
      </c>
      <c r="B59" s="62" t="s">
        <v>92</v>
      </c>
      <c r="C59" s="818">
        <v>6.1055964889999998</v>
      </c>
      <c r="D59" s="820">
        <v>0</v>
      </c>
      <c r="E59" s="818">
        <f>499.61793-59.481</f>
        <v>440.13693000000001</v>
      </c>
      <c r="F59" s="820">
        <v>0</v>
      </c>
      <c r="G59" s="820">
        <v>0</v>
      </c>
      <c r="H59" s="378">
        <f t="shared" si="9"/>
        <v>446.242526489</v>
      </c>
      <c r="I59" s="333">
        <f>41936.6896457-5000-2884.8285</f>
        <v>34051.861145699993</v>
      </c>
      <c r="J59" s="401">
        <f t="shared" si="10"/>
        <v>763.0796960033656</v>
      </c>
      <c r="K59" s="306"/>
      <c r="L59" s="505"/>
      <c r="M59" s="505"/>
      <c r="N59" s="505"/>
      <c r="O59" s="505"/>
      <c r="P59" s="505"/>
      <c r="Q59" s="505"/>
      <c r="R59" s="505"/>
      <c r="S59" s="505"/>
      <c r="T59" s="505"/>
      <c r="U59" s="505"/>
      <c r="V59" s="505"/>
      <c r="W59" s="505"/>
      <c r="X59" s="505"/>
      <c r="Y59" s="505"/>
      <c r="Z59" s="505"/>
      <c r="AA59" s="505"/>
      <c r="AB59" s="505"/>
      <c r="AC59" s="505"/>
      <c r="AD59" s="505"/>
      <c r="AE59" s="505"/>
      <c r="AF59" s="505"/>
      <c r="AG59" s="505"/>
      <c r="AH59" s="505"/>
      <c r="AI59" s="505"/>
      <c r="AJ59" s="505"/>
      <c r="AK59" s="505"/>
      <c r="AL59" s="505"/>
      <c r="AM59" s="505"/>
      <c r="AN59" s="505"/>
      <c r="AO59" s="505"/>
      <c r="AP59" s="505"/>
      <c r="AQ59" s="505"/>
      <c r="AR59" s="505"/>
      <c r="AS59" s="505"/>
      <c r="AT59" s="505"/>
      <c r="AU59" s="505"/>
      <c r="AV59" s="505"/>
      <c r="AW59" s="505"/>
      <c r="AX59" s="505"/>
      <c r="AY59" s="505"/>
      <c r="AZ59" s="505"/>
      <c r="BA59" s="505"/>
      <c r="BB59" s="505"/>
      <c r="BC59" s="505"/>
      <c r="BD59" s="505"/>
      <c r="BE59" s="505"/>
      <c r="BF59" s="505"/>
      <c r="BG59" s="505"/>
      <c r="BH59" s="505"/>
      <c r="BI59" s="505"/>
      <c r="BJ59" s="505"/>
      <c r="BK59" s="505"/>
      <c r="BL59" s="505"/>
      <c r="BM59" s="505"/>
      <c r="BN59" s="505"/>
      <c r="BO59" s="505"/>
      <c r="BP59" s="505"/>
      <c r="BQ59" s="505"/>
      <c r="BR59" s="505"/>
      <c r="BS59" s="505"/>
      <c r="BT59" s="505"/>
      <c r="BU59" s="505"/>
      <c r="BV59" s="505"/>
      <c r="BW59" s="505"/>
      <c r="BX59" s="505"/>
      <c r="BY59" s="505"/>
      <c r="BZ59" s="505"/>
      <c r="CA59" s="505"/>
      <c r="CB59" s="505"/>
      <c r="CC59" s="505"/>
      <c r="CD59" s="505"/>
      <c r="CE59" s="505"/>
      <c r="CF59" s="505"/>
      <c r="CG59" s="505"/>
      <c r="CH59" s="505"/>
      <c r="CI59" s="505"/>
      <c r="CJ59" s="505"/>
      <c r="CK59" s="505"/>
      <c r="CL59" s="505"/>
      <c r="CM59" s="505"/>
      <c r="CN59" s="505"/>
      <c r="CO59" s="505"/>
      <c r="CP59" s="505"/>
      <c r="CQ59" s="505"/>
      <c r="CR59" s="505"/>
      <c r="CS59" s="505"/>
      <c r="CT59" s="505"/>
      <c r="CU59" s="505"/>
    </row>
    <row r="60" spans="1:99" ht="20.100000000000001" customHeight="1">
      <c r="A60" s="400">
        <v>33</v>
      </c>
      <c r="B60" s="62" t="s">
        <v>83</v>
      </c>
      <c r="C60" s="818">
        <f>1172.447299705-C61</f>
        <v>620.44729970499998</v>
      </c>
      <c r="D60" s="820">
        <v>0</v>
      </c>
      <c r="E60" s="820">
        <v>0</v>
      </c>
      <c r="F60" s="820">
        <v>0</v>
      </c>
      <c r="G60" s="820">
        <v>0</v>
      </c>
      <c r="H60" s="378">
        <f t="shared" si="9"/>
        <v>620.44729970499998</v>
      </c>
      <c r="I60" s="333">
        <f>72710.3631183+5000+600+40+100-I61</f>
        <v>48366.363118299996</v>
      </c>
      <c r="J60" s="401">
        <f t="shared" si="10"/>
        <v>779.54023075443206</v>
      </c>
      <c r="K60" s="306"/>
      <c r="L60" s="505"/>
      <c r="M60" s="505"/>
      <c r="N60" s="505"/>
      <c r="O60" s="505"/>
      <c r="P60" s="505"/>
      <c r="Q60" s="505"/>
      <c r="R60" s="505"/>
      <c r="S60" s="505"/>
      <c r="T60" s="505"/>
      <c r="U60" s="505"/>
      <c r="V60" s="505"/>
      <c r="W60" s="505"/>
      <c r="X60" s="505"/>
      <c r="Y60" s="505"/>
      <c r="Z60" s="505"/>
      <c r="AA60" s="505"/>
      <c r="AB60" s="505"/>
      <c r="AC60" s="505"/>
      <c r="AD60" s="505"/>
      <c r="AE60" s="505"/>
      <c r="AF60" s="505"/>
      <c r="AG60" s="505"/>
      <c r="AH60" s="505"/>
      <c r="AI60" s="505"/>
      <c r="AJ60" s="505"/>
      <c r="AK60" s="505"/>
      <c r="AL60" s="505"/>
      <c r="AM60" s="505"/>
      <c r="AN60" s="505"/>
      <c r="AO60" s="505"/>
      <c r="AP60" s="505"/>
      <c r="AQ60" s="505"/>
      <c r="AR60" s="505"/>
      <c r="AS60" s="505"/>
      <c r="AT60" s="505"/>
      <c r="AU60" s="505"/>
      <c r="AV60" s="505"/>
      <c r="AW60" s="505"/>
      <c r="AX60" s="505"/>
      <c r="AY60" s="505"/>
      <c r="AZ60" s="505"/>
      <c r="BA60" s="505"/>
      <c r="BB60" s="505"/>
      <c r="BC60" s="505"/>
      <c r="BD60" s="505"/>
      <c r="BE60" s="505"/>
      <c r="BF60" s="505"/>
      <c r="BG60" s="505"/>
      <c r="BH60" s="505"/>
      <c r="BI60" s="505"/>
      <c r="BJ60" s="505"/>
      <c r="BK60" s="505"/>
      <c r="BL60" s="505"/>
      <c r="BM60" s="505"/>
      <c r="BN60" s="505"/>
      <c r="BO60" s="505"/>
      <c r="BP60" s="505"/>
      <c r="BQ60" s="505"/>
      <c r="BR60" s="505"/>
      <c r="BS60" s="505"/>
      <c r="BT60" s="505"/>
      <c r="BU60" s="505"/>
      <c r="BV60" s="505"/>
      <c r="BW60" s="505"/>
      <c r="BX60" s="505"/>
      <c r="BY60" s="505"/>
      <c r="BZ60" s="505"/>
      <c r="CA60" s="505"/>
      <c r="CB60" s="505"/>
      <c r="CC60" s="505"/>
      <c r="CD60" s="505"/>
      <c r="CE60" s="505"/>
      <c r="CF60" s="505"/>
      <c r="CG60" s="505"/>
      <c r="CH60" s="505"/>
      <c r="CI60" s="505"/>
      <c r="CJ60" s="505"/>
      <c r="CK60" s="505"/>
      <c r="CL60" s="505"/>
      <c r="CM60" s="505"/>
      <c r="CN60" s="505"/>
      <c r="CO60" s="505"/>
      <c r="CP60" s="505"/>
      <c r="CQ60" s="505"/>
      <c r="CR60" s="505"/>
      <c r="CS60" s="505"/>
      <c r="CT60" s="505"/>
      <c r="CU60" s="505"/>
    </row>
    <row r="61" spans="1:99" ht="20.100000000000001" customHeight="1">
      <c r="A61" s="400"/>
      <c r="B61" s="62" t="s">
        <v>2129</v>
      </c>
      <c r="C61" s="818">
        <v>552</v>
      </c>
      <c r="D61" s="820"/>
      <c r="E61" s="820"/>
      <c r="F61" s="820"/>
      <c r="G61" s="820"/>
      <c r="H61" s="378">
        <f t="shared" si="9"/>
        <v>552</v>
      </c>
      <c r="I61" s="333">
        <f>H61*5.45*10</f>
        <v>30084</v>
      </c>
      <c r="J61" s="401">
        <f t="shared" si="10"/>
        <v>545</v>
      </c>
      <c r="K61" s="306"/>
      <c r="L61" s="505"/>
      <c r="M61" s="505"/>
      <c r="N61" s="505"/>
      <c r="O61" s="505"/>
      <c r="P61" s="505"/>
      <c r="Q61" s="505"/>
      <c r="R61" s="505"/>
      <c r="S61" s="505"/>
      <c r="T61" s="505"/>
      <c r="U61" s="505"/>
      <c r="V61" s="505"/>
      <c r="W61" s="505"/>
      <c r="X61" s="505"/>
      <c r="Y61" s="505"/>
      <c r="Z61" s="505"/>
      <c r="AA61" s="505"/>
      <c r="AB61" s="505"/>
      <c r="AC61" s="505"/>
      <c r="AD61" s="505"/>
      <c r="AE61" s="505"/>
      <c r="AF61" s="505"/>
      <c r="AG61" s="505"/>
      <c r="AH61" s="505"/>
      <c r="AI61" s="505"/>
      <c r="AJ61" s="505"/>
      <c r="AK61" s="505"/>
      <c r="AL61" s="505"/>
      <c r="AM61" s="505"/>
      <c r="AN61" s="505"/>
      <c r="AO61" s="505"/>
      <c r="AP61" s="505"/>
      <c r="AQ61" s="505"/>
      <c r="AR61" s="505"/>
      <c r="AS61" s="505"/>
      <c r="AT61" s="505"/>
      <c r="AU61" s="505"/>
      <c r="AV61" s="505"/>
      <c r="AW61" s="505"/>
      <c r="AX61" s="505"/>
      <c r="AY61" s="505"/>
      <c r="AZ61" s="505"/>
      <c r="BA61" s="505"/>
      <c r="BB61" s="505"/>
      <c r="BC61" s="505"/>
      <c r="BD61" s="505"/>
      <c r="BE61" s="505"/>
      <c r="BF61" s="505"/>
      <c r="BG61" s="505"/>
      <c r="BH61" s="505"/>
      <c r="BI61" s="505"/>
      <c r="BJ61" s="505"/>
      <c r="BK61" s="505"/>
      <c r="BL61" s="505"/>
      <c r="BM61" s="505"/>
      <c r="BN61" s="505"/>
      <c r="BO61" s="505"/>
      <c r="BP61" s="505"/>
      <c r="BQ61" s="505"/>
      <c r="BR61" s="505"/>
      <c r="BS61" s="505"/>
      <c r="BT61" s="505"/>
      <c r="BU61" s="505"/>
      <c r="BV61" s="505"/>
      <c r="BW61" s="505"/>
      <c r="BX61" s="505"/>
      <c r="BY61" s="505"/>
      <c r="BZ61" s="505"/>
      <c r="CA61" s="505"/>
      <c r="CB61" s="505"/>
      <c r="CC61" s="505"/>
      <c r="CD61" s="505"/>
      <c r="CE61" s="505"/>
      <c r="CF61" s="505"/>
      <c r="CG61" s="505"/>
      <c r="CH61" s="505"/>
      <c r="CI61" s="505"/>
      <c r="CJ61" s="505"/>
      <c r="CK61" s="505"/>
      <c r="CL61" s="505"/>
      <c r="CM61" s="505"/>
      <c r="CN61" s="505"/>
      <c r="CO61" s="505"/>
      <c r="CP61" s="505"/>
      <c r="CQ61" s="505"/>
      <c r="CR61" s="505"/>
      <c r="CS61" s="505"/>
      <c r="CT61" s="505"/>
      <c r="CU61" s="505"/>
    </row>
    <row r="62" spans="1:99" ht="20.100000000000001" customHeight="1">
      <c r="A62" s="400">
        <v>34</v>
      </c>
      <c r="B62" s="62" t="s">
        <v>93</v>
      </c>
      <c r="C62" s="820">
        <v>0</v>
      </c>
      <c r="D62" s="820">
        <v>0</v>
      </c>
      <c r="E62" s="820">
        <v>0</v>
      </c>
      <c r="F62" s="818">
        <f>7.16112-0.391</f>
        <v>6.7701200000000004</v>
      </c>
      <c r="G62" s="820">
        <v>0</v>
      </c>
      <c r="H62" s="378">
        <f t="shared" si="9"/>
        <v>6.7701200000000004</v>
      </c>
      <c r="I62" s="333">
        <f>536.56859288-40-18.9635</f>
        <v>477.60509287999997</v>
      </c>
      <c r="J62" s="401">
        <f t="shared" si="10"/>
        <v>705.46030628703761</v>
      </c>
      <c r="K62" s="306"/>
      <c r="L62" s="505"/>
      <c r="M62" s="505"/>
      <c r="N62" s="505"/>
      <c r="O62" s="505"/>
      <c r="P62" s="505"/>
      <c r="Q62" s="505"/>
      <c r="R62" s="505"/>
      <c r="S62" s="505"/>
      <c r="T62" s="505"/>
      <c r="U62" s="505"/>
      <c r="V62" s="505"/>
      <c r="W62" s="505"/>
      <c r="X62" s="505"/>
      <c r="Y62" s="505"/>
      <c r="Z62" s="505"/>
      <c r="AA62" s="505"/>
      <c r="AB62" s="505"/>
      <c r="AC62" s="505"/>
      <c r="AD62" s="505"/>
      <c r="AE62" s="505"/>
      <c r="AF62" s="505"/>
      <c r="AG62" s="505"/>
      <c r="AH62" s="505"/>
      <c r="AI62" s="505"/>
      <c r="AJ62" s="505"/>
      <c r="AK62" s="505"/>
      <c r="AL62" s="505"/>
      <c r="AM62" s="505"/>
      <c r="AN62" s="505"/>
      <c r="AO62" s="505"/>
      <c r="AP62" s="505"/>
      <c r="AQ62" s="505"/>
      <c r="AR62" s="505"/>
      <c r="AS62" s="505"/>
      <c r="AT62" s="505"/>
      <c r="AU62" s="505"/>
      <c r="AV62" s="505"/>
      <c r="AW62" s="505"/>
      <c r="AX62" s="505"/>
      <c r="AY62" s="505"/>
      <c r="AZ62" s="505"/>
      <c r="BA62" s="505"/>
      <c r="BB62" s="505"/>
      <c r="BC62" s="505"/>
      <c r="BD62" s="505"/>
      <c r="BE62" s="505"/>
      <c r="BF62" s="505"/>
      <c r="BG62" s="505"/>
      <c r="BH62" s="505"/>
      <c r="BI62" s="505"/>
      <c r="BJ62" s="505"/>
      <c r="BK62" s="505"/>
      <c r="BL62" s="505"/>
      <c r="BM62" s="505"/>
      <c r="BN62" s="505"/>
      <c r="BO62" s="505"/>
      <c r="BP62" s="505"/>
      <c r="BQ62" s="505"/>
      <c r="BR62" s="505"/>
      <c r="BS62" s="505"/>
      <c r="BT62" s="505"/>
      <c r="BU62" s="505"/>
      <c r="BV62" s="505"/>
      <c r="BW62" s="505"/>
      <c r="BX62" s="505"/>
      <c r="BY62" s="505"/>
      <c r="BZ62" s="505"/>
      <c r="CA62" s="505"/>
      <c r="CB62" s="505"/>
      <c r="CC62" s="505"/>
      <c r="CD62" s="505"/>
      <c r="CE62" s="505"/>
      <c r="CF62" s="505"/>
      <c r="CG62" s="505"/>
      <c r="CH62" s="505"/>
      <c r="CI62" s="505"/>
      <c r="CJ62" s="505"/>
      <c r="CK62" s="505"/>
      <c r="CL62" s="505"/>
      <c r="CM62" s="505"/>
      <c r="CN62" s="505"/>
      <c r="CO62" s="505"/>
      <c r="CP62" s="505"/>
      <c r="CQ62" s="505"/>
      <c r="CR62" s="505"/>
      <c r="CS62" s="505"/>
      <c r="CT62" s="505"/>
      <c r="CU62" s="505"/>
    </row>
    <row r="63" spans="1:99" ht="20.100000000000001" customHeight="1">
      <c r="A63" s="400">
        <v>35</v>
      </c>
      <c r="B63" s="62" t="s">
        <v>86</v>
      </c>
      <c r="C63" s="818">
        <v>3.4121000000000006</v>
      </c>
      <c r="D63" s="820">
        <v>0</v>
      </c>
      <c r="E63" s="820">
        <v>0</v>
      </c>
      <c r="F63" s="820">
        <v>0</v>
      </c>
      <c r="G63" s="820">
        <v>0</v>
      </c>
      <c r="H63" s="378">
        <f t="shared" si="9"/>
        <v>3.4121000000000006</v>
      </c>
      <c r="I63" s="333">
        <f>895.0437864-600</f>
        <v>295.04378640000004</v>
      </c>
      <c r="J63" s="401">
        <f t="shared" si="10"/>
        <v>864.69853286832154</v>
      </c>
      <c r="K63" s="306"/>
      <c r="L63" s="505"/>
      <c r="M63" s="505"/>
      <c r="N63" s="505"/>
      <c r="O63" s="505"/>
      <c r="P63" s="505"/>
      <c r="Q63" s="505"/>
      <c r="R63" s="505"/>
      <c r="S63" s="505"/>
      <c r="T63" s="505"/>
      <c r="U63" s="505"/>
      <c r="V63" s="505"/>
      <c r="W63" s="505"/>
      <c r="X63" s="505"/>
      <c r="Y63" s="505"/>
      <c r="Z63" s="505"/>
      <c r="AA63" s="505"/>
      <c r="AB63" s="505"/>
      <c r="AC63" s="505"/>
      <c r="AD63" s="505"/>
      <c r="AE63" s="505"/>
      <c r="AF63" s="505"/>
      <c r="AG63" s="505"/>
      <c r="AH63" s="505"/>
      <c r="AI63" s="505"/>
      <c r="AJ63" s="505"/>
      <c r="AK63" s="505"/>
      <c r="AL63" s="505"/>
      <c r="AM63" s="505"/>
      <c r="AN63" s="505"/>
      <c r="AO63" s="505"/>
      <c r="AP63" s="505"/>
      <c r="AQ63" s="505"/>
      <c r="AR63" s="505"/>
      <c r="AS63" s="505"/>
      <c r="AT63" s="505"/>
      <c r="AU63" s="505"/>
      <c r="AV63" s="505"/>
      <c r="AW63" s="505"/>
      <c r="AX63" s="505"/>
      <c r="AY63" s="505"/>
      <c r="AZ63" s="505"/>
      <c r="BA63" s="505"/>
      <c r="BB63" s="505"/>
      <c r="BC63" s="505"/>
      <c r="BD63" s="505"/>
      <c r="BE63" s="505"/>
      <c r="BF63" s="505"/>
      <c r="BG63" s="505"/>
      <c r="BH63" s="505"/>
      <c r="BI63" s="505"/>
      <c r="BJ63" s="505"/>
      <c r="BK63" s="505"/>
      <c r="BL63" s="505"/>
      <c r="BM63" s="505"/>
      <c r="BN63" s="505"/>
      <c r="BO63" s="505"/>
      <c r="BP63" s="505"/>
      <c r="BQ63" s="505"/>
      <c r="BR63" s="505"/>
      <c r="BS63" s="505"/>
      <c r="BT63" s="505"/>
      <c r="BU63" s="505"/>
      <c r="BV63" s="505"/>
      <c r="BW63" s="505"/>
      <c r="BX63" s="505"/>
      <c r="BY63" s="505"/>
      <c r="BZ63" s="505"/>
      <c r="CA63" s="505"/>
      <c r="CB63" s="505"/>
      <c r="CC63" s="505"/>
      <c r="CD63" s="505"/>
      <c r="CE63" s="505"/>
      <c r="CF63" s="505"/>
      <c r="CG63" s="505"/>
      <c r="CH63" s="505"/>
      <c r="CI63" s="505"/>
      <c r="CJ63" s="505"/>
      <c r="CK63" s="505"/>
      <c r="CL63" s="505"/>
      <c r="CM63" s="505"/>
      <c r="CN63" s="505"/>
      <c r="CO63" s="505"/>
      <c r="CP63" s="505"/>
      <c r="CQ63" s="505"/>
      <c r="CR63" s="505"/>
      <c r="CS63" s="505"/>
      <c r="CT63" s="505"/>
      <c r="CU63" s="505"/>
    </row>
    <row r="64" spans="1:99" ht="20.100000000000001" customHeight="1">
      <c r="A64" s="400">
        <v>36</v>
      </c>
      <c r="B64" s="62" t="s">
        <v>63</v>
      </c>
      <c r="C64" s="820">
        <v>0</v>
      </c>
      <c r="D64" s="820">
        <v>0</v>
      </c>
      <c r="E64" s="820">
        <v>0</v>
      </c>
      <c r="F64" s="820">
        <v>0</v>
      </c>
      <c r="G64" s="818">
        <v>10.968</v>
      </c>
      <c r="H64" s="378">
        <f>SUM(C64:G64)</f>
        <v>10.968</v>
      </c>
      <c r="I64" s="333">
        <v>182.4101872</v>
      </c>
      <c r="J64" s="401">
        <f t="shared" si="10"/>
        <v>166.31125747629468</v>
      </c>
      <c r="K64" s="306"/>
      <c r="L64" s="505"/>
      <c r="M64" s="505"/>
      <c r="N64" s="505"/>
      <c r="O64" s="505"/>
      <c r="P64" s="505"/>
      <c r="Q64" s="505"/>
      <c r="R64" s="505"/>
      <c r="S64" s="505"/>
      <c r="T64" s="505"/>
      <c r="U64" s="505"/>
      <c r="V64" s="505"/>
      <c r="W64" s="505"/>
      <c r="X64" s="505"/>
      <c r="Y64" s="505"/>
      <c r="Z64" s="505"/>
      <c r="AA64" s="505"/>
      <c r="AB64" s="505"/>
      <c r="AC64" s="505"/>
      <c r="AD64" s="505"/>
      <c r="AE64" s="505"/>
      <c r="AF64" s="505"/>
      <c r="AG64" s="505"/>
      <c r="AH64" s="505"/>
      <c r="AI64" s="505"/>
      <c r="AJ64" s="505"/>
      <c r="AK64" s="505"/>
      <c r="AL64" s="505"/>
      <c r="AM64" s="505"/>
      <c r="AN64" s="505"/>
      <c r="AO64" s="505"/>
      <c r="AP64" s="505"/>
      <c r="AQ64" s="505"/>
      <c r="AR64" s="505"/>
      <c r="AS64" s="505"/>
      <c r="AT64" s="505"/>
      <c r="AU64" s="505"/>
      <c r="AV64" s="505"/>
      <c r="AW64" s="505"/>
      <c r="AX64" s="505"/>
      <c r="AY64" s="505"/>
      <c r="AZ64" s="505"/>
      <c r="BA64" s="505"/>
      <c r="BB64" s="505"/>
      <c r="BC64" s="505"/>
      <c r="BD64" s="505"/>
      <c r="BE64" s="505"/>
      <c r="BF64" s="505"/>
      <c r="BG64" s="505"/>
      <c r="BH64" s="505"/>
      <c r="BI64" s="505"/>
      <c r="BJ64" s="505"/>
      <c r="BK64" s="505"/>
      <c r="BL64" s="505"/>
      <c r="BM64" s="505"/>
      <c r="BN64" s="505"/>
      <c r="BO64" s="505"/>
      <c r="BP64" s="505"/>
      <c r="BQ64" s="505"/>
      <c r="BR64" s="505"/>
      <c r="BS64" s="505"/>
      <c r="BT64" s="505"/>
      <c r="BU64" s="505"/>
      <c r="BV64" s="505"/>
      <c r="BW64" s="505"/>
      <c r="BX64" s="505"/>
      <c r="BY64" s="505"/>
      <c r="BZ64" s="505"/>
      <c r="CA64" s="505"/>
      <c r="CB64" s="505"/>
      <c r="CC64" s="505"/>
      <c r="CD64" s="505"/>
      <c r="CE64" s="505"/>
      <c r="CF64" s="505"/>
      <c r="CG64" s="505"/>
      <c r="CH64" s="505"/>
      <c r="CI64" s="505"/>
      <c r="CJ64" s="505"/>
      <c r="CK64" s="505"/>
      <c r="CL64" s="505"/>
      <c r="CM64" s="505"/>
      <c r="CN64" s="505"/>
      <c r="CO64" s="505"/>
      <c r="CP64" s="505"/>
      <c r="CQ64" s="505"/>
      <c r="CR64" s="505"/>
      <c r="CS64" s="505"/>
      <c r="CT64" s="505"/>
      <c r="CU64" s="505"/>
    </row>
    <row r="65" spans="1:99" ht="20.100000000000001" customHeight="1">
      <c r="A65" s="400">
        <v>37</v>
      </c>
      <c r="B65" s="62" t="s">
        <v>87</v>
      </c>
      <c r="C65" s="818"/>
      <c r="D65" s="818"/>
      <c r="E65" s="818">
        <v>60.859000000000002</v>
      </c>
      <c r="F65" s="818">
        <v>1.07</v>
      </c>
      <c r="G65" s="818"/>
      <c r="H65" s="378">
        <f>SUM(C65:G65)</f>
        <v>61.929000000000002</v>
      </c>
      <c r="I65" s="333">
        <f>H65*4.85*10</f>
        <v>3003.5564999999997</v>
      </c>
      <c r="J65" s="401">
        <f t="shared" si="10"/>
        <v>484.99999999999994</v>
      </c>
      <c r="K65" s="306"/>
      <c r="L65" s="505"/>
      <c r="M65" s="505"/>
      <c r="N65" s="505"/>
      <c r="O65" s="505"/>
      <c r="P65" s="505"/>
      <c r="Q65" s="505"/>
      <c r="R65" s="505"/>
      <c r="S65" s="505"/>
      <c r="T65" s="505"/>
      <c r="U65" s="505"/>
      <c r="V65" s="505"/>
      <c r="W65" s="505"/>
      <c r="X65" s="505"/>
      <c r="Y65" s="505"/>
      <c r="Z65" s="505"/>
      <c r="AA65" s="505"/>
      <c r="AB65" s="505"/>
      <c r="AC65" s="505"/>
      <c r="AD65" s="505"/>
      <c r="AE65" s="505"/>
      <c r="AF65" s="505"/>
      <c r="AG65" s="505"/>
      <c r="AH65" s="505"/>
      <c r="AI65" s="505"/>
      <c r="AJ65" s="505"/>
      <c r="AK65" s="505"/>
      <c r="AL65" s="505"/>
      <c r="AM65" s="505"/>
      <c r="AN65" s="505"/>
      <c r="AO65" s="505"/>
      <c r="AP65" s="505"/>
      <c r="AQ65" s="505"/>
      <c r="AR65" s="505"/>
      <c r="AS65" s="505"/>
      <c r="AT65" s="505"/>
      <c r="AU65" s="505"/>
      <c r="AV65" s="505"/>
      <c r="AW65" s="505"/>
      <c r="AX65" s="505"/>
      <c r="AY65" s="505"/>
      <c r="AZ65" s="505"/>
      <c r="BA65" s="505"/>
      <c r="BB65" s="505"/>
      <c r="BC65" s="505"/>
      <c r="BD65" s="505"/>
      <c r="BE65" s="505"/>
      <c r="BF65" s="505"/>
      <c r="BG65" s="505"/>
      <c r="BH65" s="505"/>
      <c r="BI65" s="505"/>
      <c r="BJ65" s="505"/>
      <c r="BK65" s="505"/>
      <c r="BL65" s="505"/>
      <c r="BM65" s="505"/>
      <c r="BN65" s="505"/>
      <c r="BO65" s="505"/>
      <c r="BP65" s="505"/>
      <c r="BQ65" s="505"/>
      <c r="BR65" s="505"/>
      <c r="BS65" s="505"/>
      <c r="BT65" s="505"/>
      <c r="BU65" s="505"/>
      <c r="BV65" s="505"/>
      <c r="BW65" s="505"/>
      <c r="BX65" s="505"/>
      <c r="BY65" s="505"/>
      <c r="BZ65" s="505"/>
      <c r="CA65" s="505"/>
      <c r="CB65" s="505"/>
      <c r="CC65" s="505"/>
      <c r="CD65" s="505"/>
      <c r="CE65" s="505"/>
      <c r="CF65" s="505"/>
      <c r="CG65" s="505"/>
      <c r="CH65" s="505"/>
      <c r="CI65" s="505"/>
      <c r="CJ65" s="505"/>
      <c r="CK65" s="505"/>
      <c r="CL65" s="505"/>
      <c r="CM65" s="505"/>
      <c r="CN65" s="505"/>
      <c r="CO65" s="505"/>
      <c r="CP65" s="505"/>
      <c r="CQ65" s="505"/>
      <c r="CR65" s="505"/>
      <c r="CS65" s="505"/>
      <c r="CT65" s="505"/>
      <c r="CU65" s="505"/>
    </row>
    <row r="66" spans="1:99" ht="20.100000000000001" customHeight="1">
      <c r="A66" s="400"/>
      <c r="B66" s="403" t="s">
        <v>193</v>
      </c>
      <c r="C66" s="110">
        <f>SUM(C56:C65)</f>
        <v>1706.988952984</v>
      </c>
      <c r="D66" s="110">
        <f t="shared" ref="D66:G66" si="11">SUM(D56:D65)</f>
        <v>23.885433050000003</v>
      </c>
      <c r="E66" s="110">
        <f t="shared" si="11"/>
        <v>751.26261419250011</v>
      </c>
      <c r="F66" s="110">
        <f t="shared" si="11"/>
        <v>94.416832854000006</v>
      </c>
      <c r="G66" s="110">
        <f t="shared" si="11"/>
        <v>68.995639669999989</v>
      </c>
      <c r="H66" s="110">
        <f>SUM(H56:H65)</f>
        <v>2645.5494727505002</v>
      </c>
      <c r="I66" s="109">
        <f>SUM(I56:I65)</f>
        <v>182008.40258128001</v>
      </c>
      <c r="J66" s="268">
        <f t="shared" si="10"/>
        <v>687.97958403722919</v>
      </c>
      <c r="K66" s="306"/>
      <c r="L66" s="505"/>
      <c r="M66" s="505"/>
      <c r="N66" s="505"/>
      <c r="O66" s="505"/>
      <c r="P66" s="505"/>
      <c r="Q66" s="505"/>
      <c r="R66" s="505"/>
      <c r="S66" s="505"/>
      <c r="T66" s="505"/>
      <c r="U66" s="505"/>
      <c r="V66" s="505"/>
      <c r="W66" s="505"/>
      <c r="X66" s="505"/>
      <c r="Y66" s="505"/>
      <c r="Z66" s="505"/>
      <c r="AA66" s="505"/>
      <c r="AB66" s="505"/>
      <c r="AC66" s="505"/>
      <c r="AD66" s="505"/>
      <c r="AE66" s="505"/>
      <c r="AF66" s="505"/>
      <c r="AG66" s="505"/>
      <c r="AH66" s="505"/>
      <c r="AI66" s="505"/>
      <c r="AJ66" s="505"/>
      <c r="AK66" s="505"/>
      <c r="AL66" s="505"/>
      <c r="AM66" s="505"/>
      <c r="AN66" s="505"/>
      <c r="AO66" s="505"/>
      <c r="AP66" s="505"/>
      <c r="AQ66" s="505"/>
      <c r="AR66" s="505"/>
      <c r="AS66" s="505"/>
      <c r="AT66" s="505"/>
      <c r="AU66" s="505"/>
      <c r="AV66" s="505"/>
      <c r="AW66" s="505"/>
      <c r="AX66" s="505"/>
      <c r="AY66" s="505"/>
      <c r="AZ66" s="505"/>
      <c r="BA66" s="505"/>
      <c r="BB66" s="505"/>
      <c r="BC66" s="505"/>
      <c r="BD66" s="505"/>
      <c r="BE66" s="505"/>
      <c r="BF66" s="505"/>
      <c r="BG66" s="505"/>
      <c r="BH66" s="505"/>
      <c r="BI66" s="505"/>
      <c r="BJ66" s="505"/>
      <c r="BK66" s="505"/>
      <c r="BL66" s="505"/>
      <c r="BM66" s="505"/>
      <c r="BN66" s="505"/>
      <c r="BO66" s="505"/>
      <c r="BP66" s="505"/>
      <c r="BQ66" s="505"/>
      <c r="BR66" s="505"/>
      <c r="BS66" s="505"/>
      <c r="BT66" s="505"/>
      <c r="BU66" s="505"/>
      <c r="BV66" s="505"/>
      <c r="BW66" s="505"/>
      <c r="BX66" s="505"/>
      <c r="BY66" s="505"/>
      <c r="BZ66" s="505"/>
      <c r="CA66" s="505"/>
      <c r="CB66" s="505"/>
      <c r="CC66" s="505"/>
      <c r="CD66" s="505"/>
      <c r="CE66" s="505"/>
      <c r="CF66" s="505"/>
      <c r="CG66" s="505"/>
      <c r="CH66" s="505"/>
      <c r="CI66" s="505"/>
      <c r="CJ66" s="505"/>
      <c r="CK66" s="505"/>
      <c r="CL66" s="505"/>
      <c r="CM66" s="505"/>
      <c r="CN66" s="505"/>
      <c r="CO66" s="505"/>
      <c r="CP66" s="505"/>
      <c r="CQ66" s="505"/>
      <c r="CR66" s="505"/>
      <c r="CS66" s="505"/>
      <c r="CT66" s="505"/>
      <c r="CU66" s="505"/>
    </row>
    <row r="67" spans="1:99" ht="20.100000000000001" customHeight="1">
      <c r="A67" s="400"/>
      <c r="B67" s="403" t="s">
        <v>95</v>
      </c>
      <c r="C67" s="110">
        <f t="shared" ref="C67:I67" si="12">C66+C54+C37</f>
        <v>2677.9921397754301</v>
      </c>
      <c r="D67" s="110">
        <f t="shared" si="12"/>
        <v>719.05459025739788</v>
      </c>
      <c r="E67" s="110">
        <f t="shared" si="12"/>
        <v>2637.4920754532204</v>
      </c>
      <c r="F67" s="110">
        <f t="shared" si="12"/>
        <v>763.33514376741084</v>
      </c>
      <c r="G67" s="110">
        <f t="shared" si="12"/>
        <v>557.92628275008997</v>
      </c>
      <c r="H67" s="110">
        <f t="shared" si="12"/>
        <v>7355.7999799869012</v>
      </c>
      <c r="I67" s="109">
        <f t="shared" si="12"/>
        <v>435653.35931894253</v>
      </c>
      <c r="J67" s="268">
        <f>I67/H67*10</f>
        <v>592.25830025861899</v>
      </c>
      <c r="K67" s="306"/>
      <c r="L67" s="505"/>
      <c r="M67" s="505"/>
      <c r="N67" s="505"/>
      <c r="O67" s="505"/>
      <c r="P67" s="505"/>
      <c r="Q67" s="505"/>
      <c r="R67" s="505"/>
      <c r="S67" s="505"/>
      <c r="T67" s="505"/>
      <c r="U67" s="505"/>
      <c r="V67" s="505"/>
      <c r="W67" s="505"/>
      <c r="X67" s="505"/>
      <c r="Y67" s="505"/>
      <c r="Z67" s="505"/>
      <c r="AA67" s="505"/>
      <c r="AB67" s="505"/>
      <c r="AC67" s="505"/>
      <c r="AD67" s="505"/>
      <c r="AE67" s="505"/>
      <c r="AF67" s="505"/>
      <c r="AG67" s="505"/>
      <c r="AH67" s="505"/>
      <c r="AI67" s="505"/>
      <c r="AJ67" s="505"/>
      <c r="AK67" s="505"/>
      <c r="AL67" s="505"/>
      <c r="AM67" s="505"/>
      <c r="AN67" s="505"/>
      <c r="AO67" s="505"/>
      <c r="AP67" s="505"/>
      <c r="AQ67" s="505"/>
      <c r="AR67" s="505"/>
      <c r="AS67" s="505"/>
      <c r="AT67" s="505"/>
      <c r="AU67" s="505"/>
      <c r="AV67" s="505"/>
      <c r="AW67" s="505"/>
      <c r="AX67" s="505"/>
      <c r="AY67" s="505"/>
      <c r="AZ67" s="505"/>
      <c r="BA67" s="505"/>
      <c r="BB67" s="505"/>
      <c r="BC67" s="505"/>
      <c r="BD67" s="505"/>
      <c r="BE67" s="505"/>
      <c r="BF67" s="505"/>
      <c r="BG67" s="505"/>
      <c r="BH67" s="505"/>
      <c r="BI67" s="505"/>
      <c r="BJ67" s="505"/>
      <c r="BK67" s="505"/>
      <c r="BL67" s="505"/>
      <c r="BM67" s="505"/>
      <c r="BN67" s="505"/>
      <c r="BO67" s="505"/>
      <c r="BP67" s="505"/>
      <c r="BQ67" s="505"/>
      <c r="BR67" s="505"/>
      <c r="BS67" s="505"/>
      <c r="BT67" s="505"/>
      <c r="BU67" s="505"/>
      <c r="BV67" s="505"/>
      <c r="BW67" s="505"/>
      <c r="BX67" s="505"/>
      <c r="BY67" s="505"/>
      <c r="BZ67" s="505"/>
      <c r="CA67" s="505"/>
      <c r="CB67" s="505"/>
      <c r="CC67" s="505"/>
      <c r="CD67" s="505"/>
      <c r="CE67" s="505"/>
      <c r="CF67" s="505"/>
      <c r="CG67" s="505"/>
      <c r="CH67" s="505"/>
      <c r="CI67" s="505"/>
      <c r="CJ67" s="505"/>
      <c r="CK67" s="505"/>
      <c r="CL67" s="505"/>
      <c r="CM67" s="505"/>
      <c r="CN67" s="505"/>
      <c r="CO67" s="505"/>
      <c r="CP67" s="505"/>
      <c r="CQ67" s="505"/>
      <c r="CR67" s="505"/>
      <c r="CS67" s="505"/>
      <c r="CT67" s="505"/>
      <c r="CU67" s="505"/>
    </row>
    <row r="68" spans="1:99" ht="20.100000000000001" customHeight="1">
      <c r="A68" s="892">
        <v>38</v>
      </c>
      <c r="B68" s="380" t="s">
        <v>96</v>
      </c>
      <c r="C68" s="400"/>
      <c r="D68" s="400"/>
      <c r="E68" s="400"/>
      <c r="F68" s="400"/>
      <c r="G68" s="400"/>
      <c r="H68" s="110">
        <v>9313.2066041351354</v>
      </c>
      <c r="I68" s="333"/>
      <c r="J68" s="401"/>
      <c r="L68" s="505"/>
      <c r="M68" s="505"/>
      <c r="N68" s="505"/>
      <c r="O68" s="505"/>
      <c r="P68" s="505"/>
      <c r="Q68" s="505"/>
      <c r="R68" s="505"/>
      <c r="S68" s="505"/>
      <c r="T68" s="505"/>
      <c r="U68" s="505"/>
      <c r="V68" s="505"/>
      <c r="W68" s="505"/>
      <c r="X68" s="505"/>
      <c r="Y68" s="505"/>
      <c r="Z68" s="505"/>
      <c r="AA68" s="505"/>
      <c r="AB68" s="505"/>
      <c r="AC68" s="505"/>
      <c r="AD68" s="505"/>
      <c r="AE68" s="505"/>
      <c r="AF68" s="505"/>
      <c r="AG68" s="505"/>
      <c r="AH68" s="505"/>
      <c r="AI68" s="505"/>
      <c r="AJ68" s="505"/>
      <c r="AK68" s="505"/>
      <c r="AL68" s="505"/>
      <c r="AM68" s="505"/>
      <c r="AN68" s="505"/>
      <c r="AO68" s="505"/>
      <c r="AP68" s="505"/>
      <c r="AQ68" s="505"/>
      <c r="AR68" s="505"/>
      <c r="AS68" s="505"/>
      <c r="AT68" s="505"/>
      <c r="AU68" s="505"/>
      <c r="AV68" s="505"/>
      <c r="AW68" s="505"/>
      <c r="AX68" s="505"/>
      <c r="AY68" s="505"/>
      <c r="AZ68" s="505"/>
      <c r="BA68" s="505"/>
      <c r="BB68" s="505"/>
      <c r="BC68" s="505"/>
      <c r="BD68" s="505"/>
      <c r="BE68" s="505"/>
      <c r="BF68" s="505"/>
      <c r="BG68" s="505"/>
      <c r="BH68" s="505"/>
      <c r="BI68" s="505"/>
      <c r="BJ68" s="505"/>
      <c r="BK68" s="505"/>
      <c r="BL68" s="505"/>
      <c r="BM68" s="505"/>
      <c r="BN68" s="505"/>
      <c r="BO68" s="505"/>
      <c r="BP68" s="505"/>
      <c r="BQ68" s="505"/>
      <c r="BR68" s="505"/>
      <c r="BS68" s="505"/>
      <c r="BT68" s="505"/>
      <c r="BU68" s="505"/>
      <c r="BV68" s="505"/>
      <c r="BW68" s="505"/>
      <c r="BX68" s="505"/>
      <c r="BY68" s="505"/>
      <c r="BZ68" s="505"/>
      <c r="CA68" s="505"/>
      <c r="CB68" s="505"/>
      <c r="CC68" s="505"/>
      <c r="CD68" s="505"/>
      <c r="CE68" s="505"/>
      <c r="CF68" s="505"/>
      <c r="CG68" s="505"/>
      <c r="CH68" s="505"/>
      <c r="CI68" s="505"/>
      <c r="CJ68" s="505"/>
      <c r="CK68" s="505"/>
      <c r="CL68" s="505"/>
      <c r="CM68" s="505"/>
      <c r="CN68" s="505"/>
      <c r="CO68" s="505"/>
      <c r="CP68" s="505"/>
      <c r="CQ68" s="505"/>
      <c r="CR68" s="505"/>
      <c r="CS68" s="505"/>
      <c r="CT68" s="505"/>
      <c r="CU68" s="505"/>
    </row>
    <row r="69" spans="1:99" ht="20.100000000000001" customHeight="1">
      <c r="A69" s="892">
        <v>39</v>
      </c>
      <c r="B69" s="380" t="s">
        <v>226</v>
      </c>
      <c r="C69" s="400"/>
      <c r="D69" s="400"/>
      <c r="E69" s="400"/>
      <c r="F69" s="400"/>
      <c r="G69" s="400"/>
      <c r="H69" s="110">
        <f>H68-H67</f>
        <v>1957.4066241482342</v>
      </c>
      <c r="I69" s="333"/>
      <c r="J69" s="401"/>
      <c r="L69" s="505">
        <f>I67/100</f>
        <v>4356.5335931894251</v>
      </c>
      <c r="M69" s="505"/>
      <c r="N69" s="505"/>
      <c r="O69" s="505"/>
      <c r="P69" s="505"/>
      <c r="Q69" s="505"/>
      <c r="R69" s="505"/>
      <c r="S69" s="505"/>
      <c r="T69" s="505"/>
      <c r="U69" s="505"/>
      <c r="V69" s="505"/>
      <c r="W69" s="505"/>
      <c r="X69" s="505"/>
      <c r="Y69" s="505"/>
      <c r="Z69" s="505"/>
      <c r="AA69" s="505"/>
      <c r="AB69" s="505"/>
      <c r="AC69" s="505"/>
      <c r="AD69" s="505"/>
      <c r="AE69" s="505"/>
      <c r="AF69" s="505"/>
      <c r="AG69" s="505"/>
      <c r="AH69" s="505"/>
      <c r="AI69" s="505"/>
      <c r="AJ69" s="505"/>
      <c r="AK69" s="505"/>
      <c r="AL69" s="505"/>
      <c r="AM69" s="505"/>
      <c r="AN69" s="505"/>
      <c r="AO69" s="505"/>
      <c r="AP69" s="505"/>
      <c r="AQ69" s="505"/>
      <c r="AR69" s="505"/>
      <c r="AS69" s="505"/>
      <c r="AT69" s="505"/>
      <c r="AU69" s="505"/>
      <c r="AV69" s="505"/>
      <c r="AW69" s="505"/>
      <c r="AX69" s="505"/>
      <c r="AY69" s="505"/>
      <c r="AZ69" s="505"/>
      <c r="BA69" s="505"/>
      <c r="BB69" s="505"/>
      <c r="BC69" s="505"/>
      <c r="BD69" s="505"/>
      <c r="BE69" s="505"/>
      <c r="BF69" s="505"/>
      <c r="BG69" s="505"/>
      <c r="BH69" s="505"/>
      <c r="BI69" s="505"/>
      <c r="BJ69" s="505"/>
      <c r="BK69" s="505"/>
      <c r="BL69" s="505"/>
      <c r="BM69" s="505"/>
      <c r="BN69" s="505"/>
      <c r="BO69" s="505"/>
      <c r="BP69" s="505"/>
      <c r="BQ69" s="505"/>
      <c r="BR69" s="505"/>
      <c r="BS69" s="505"/>
      <c r="BT69" s="505"/>
      <c r="BU69" s="505"/>
      <c r="BV69" s="505"/>
      <c r="BW69" s="505"/>
      <c r="BX69" s="505"/>
      <c r="BY69" s="505"/>
      <c r="BZ69" s="505"/>
      <c r="CA69" s="505"/>
      <c r="CB69" s="505"/>
      <c r="CC69" s="505"/>
      <c r="CD69" s="505"/>
      <c r="CE69" s="505"/>
      <c r="CF69" s="505"/>
      <c r="CG69" s="505"/>
      <c r="CH69" s="505"/>
      <c r="CI69" s="505"/>
      <c r="CJ69" s="505"/>
      <c r="CK69" s="505"/>
      <c r="CL69" s="505"/>
      <c r="CM69" s="505"/>
      <c r="CN69" s="505"/>
      <c r="CO69" s="505"/>
      <c r="CP69" s="505"/>
      <c r="CQ69" s="505"/>
      <c r="CR69" s="505"/>
      <c r="CS69" s="505"/>
      <c r="CT69" s="505"/>
      <c r="CU69" s="505"/>
    </row>
    <row r="70" spans="1:99" ht="20.100000000000001" customHeight="1">
      <c r="A70" s="892">
        <v>40</v>
      </c>
      <c r="B70" s="380" t="s">
        <v>227</v>
      </c>
      <c r="C70" s="400"/>
      <c r="D70" s="400"/>
      <c r="E70" s="400"/>
      <c r="F70" s="400"/>
      <c r="G70" s="400"/>
      <c r="H70" s="343">
        <f>H69/H68</f>
        <v>0.21017536787803362</v>
      </c>
      <c r="I70" s="333"/>
      <c r="J70" s="401"/>
      <c r="L70" s="505">
        <v>4691.8500000000004</v>
      </c>
      <c r="M70" s="505"/>
      <c r="N70" s="505"/>
      <c r="O70" s="505"/>
      <c r="P70" s="505"/>
      <c r="Q70" s="505"/>
      <c r="R70" s="505"/>
      <c r="S70" s="505"/>
      <c r="T70" s="505"/>
      <c r="U70" s="505"/>
      <c r="V70" s="505"/>
      <c r="W70" s="505"/>
      <c r="X70" s="505"/>
      <c r="Y70" s="505"/>
      <c r="Z70" s="505"/>
      <c r="AA70" s="505"/>
      <c r="AB70" s="505"/>
      <c r="AC70" s="505"/>
      <c r="AD70" s="505"/>
      <c r="AE70" s="505"/>
      <c r="AF70" s="505"/>
      <c r="AG70" s="505"/>
      <c r="AH70" s="505"/>
      <c r="AI70" s="505"/>
      <c r="AJ70" s="505"/>
      <c r="AK70" s="505"/>
      <c r="AL70" s="505"/>
      <c r="AM70" s="505"/>
      <c r="AN70" s="505"/>
      <c r="AO70" s="505"/>
      <c r="AP70" s="505"/>
      <c r="AQ70" s="505"/>
      <c r="AR70" s="505"/>
      <c r="AS70" s="505"/>
      <c r="AT70" s="505"/>
      <c r="AU70" s="505"/>
      <c r="AV70" s="505"/>
      <c r="AW70" s="505"/>
      <c r="AX70" s="505"/>
      <c r="AY70" s="505"/>
      <c r="AZ70" s="505"/>
      <c r="BA70" s="505"/>
      <c r="BB70" s="505"/>
      <c r="BC70" s="505"/>
      <c r="BD70" s="505"/>
      <c r="BE70" s="505"/>
      <c r="BF70" s="505"/>
      <c r="BG70" s="505"/>
      <c r="BH70" s="505"/>
      <c r="BI70" s="505"/>
      <c r="BJ70" s="505"/>
      <c r="BK70" s="505"/>
      <c r="BL70" s="505"/>
      <c r="BM70" s="505"/>
      <c r="BN70" s="505"/>
      <c r="BO70" s="505"/>
      <c r="BP70" s="505"/>
      <c r="BQ70" s="505"/>
      <c r="BR70" s="505"/>
      <c r="BS70" s="505"/>
      <c r="BT70" s="505"/>
      <c r="BU70" s="505"/>
      <c r="BV70" s="505"/>
      <c r="BW70" s="505"/>
      <c r="BX70" s="505"/>
      <c r="BY70" s="505"/>
      <c r="BZ70" s="505"/>
      <c r="CA70" s="505"/>
      <c r="CB70" s="505"/>
      <c r="CC70" s="505"/>
      <c r="CD70" s="505"/>
      <c r="CE70" s="505"/>
      <c r="CF70" s="505"/>
      <c r="CG70" s="505"/>
      <c r="CH70" s="505"/>
      <c r="CI70" s="505"/>
      <c r="CJ70" s="505"/>
      <c r="CK70" s="505"/>
      <c r="CL70" s="505"/>
      <c r="CM70" s="505"/>
      <c r="CN70" s="505"/>
      <c r="CO70" s="505"/>
      <c r="CP70" s="505"/>
      <c r="CQ70" s="505"/>
      <c r="CR70" s="505"/>
      <c r="CS70" s="505"/>
      <c r="CT70" s="505"/>
      <c r="CU70" s="505"/>
    </row>
    <row r="71" spans="1:99" ht="20.100000000000001" customHeight="1">
      <c r="A71" s="892">
        <v>41</v>
      </c>
      <c r="B71" s="380" t="s">
        <v>228</v>
      </c>
      <c r="C71" s="400"/>
      <c r="D71" s="400"/>
      <c r="E71" s="400"/>
      <c r="F71" s="400"/>
      <c r="G71" s="400"/>
      <c r="H71" s="343">
        <f>'T-1'!G76</f>
        <v>0.92932847030704879</v>
      </c>
      <c r="I71" s="885"/>
      <c r="J71" s="401"/>
      <c r="L71" s="505">
        <f>L70-L69</f>
        <v>335.31640681057524</v>
      </c>
      <c r="M71" s="505"/>
      <c r="N71" s="505"/>
      <c r="O71" s="505"/>
      <c r="P71" s="505"/>
      <c r="Q71" s="505"/>
      <c r="R71" s="505"/>
      <c r="S71" s="505"/>
      <c r="T71" s="505"/>
      <c r="U71" s="505"/>
      <c r="V71" s="505"/>
      <c r="W71" s="505"/>
      <c r="X71" s="505"/>
      <c r="Y71" s="505"/>
      <c r="Z71" s="505"/>
      <c r="AA71" s="505"/>
      <c r="AB71" s="505"/>
      <c r="AC71" s="505"/>
      <c r="AD71" s="505"/>
      <c r="AE71" s="505"/>
      <c r="AF71" s="505"/>
      <c r="AG71" s="505"/>
      <c r="AH71" s="505"/>
      <c r="AI71" s="505"/>
      <c r="AJ71" s="505"/>
      <c r="AK71" s="505"/>
      <c r="AL71" s="505"/>
      <c r="AM71" s="505"/>
      <c r="AN71" s="505"/>
      <c r="AO71" s="505"/>
      <c r="AP71" s="505"/>
      <c r="AQ71" s="505"/>
      <c r="AR71" s="505"/>
      <c r="AS71" s="505"/>
      <c r="AT71" s="505"/>
      <c r="AU71" s="505"/>
      <c r="AV71" s="505"/>
      <c r="AW71" s="505"/>
      <c r="AX71" s="505"/>
      <c r="AY71" s="505"/>
      <c r="AZ71" s="505"/>
      <c r="BA71" s="505"/>
      <c r="BB71" s="505"/>
      <c r="BC71" s="505"/>
      <c r="BD71" s="505"/>
      <c r="BE71" s="505"/>
      <c r="BF71" s="505"/>
      <c r="BG71" s="505"/>
      <c r="BH71" s="505"/>
      <c r="BI71" s="505"/>
      <c r="BJ71" s="505"/>
      <c r="BK71" s="505"/>
      <c r="BL71" s="505"/>
      <c r="BM71" s="505"/>
      <c r="BN71" s="505"/>
      <c r="BO71" s="505"/>
      <c r="BP71" s="505"/>
      <c r="BQ71" s="505"/>
      <c r="BR71" s="505"/>
      <c r="BS71" s="505"/>
      <c r="BT71" s="505"/>
      <c r="BU71" s="505"/>
      <c r="BV71" s="505"/>
      <c r="BW71" s="505"/>
      <c r="BX71" s="505"/>
      <c r="BY71" s="505"/>
      <c r="BZ71" s="505"/>
      <c r="CA71" s="505"/>
      <c r="CB71" s="505"/>
      <c r="CC71" s="505"/>
      <c r="CD71" s="505"/>
      <c r="CE71" s="505"/>
      <c r="CF71" s="505"/>
      <c r="CG71" s="505"/>
      <c r="CH71" s="505"/>
      <c r="CI71" s="505"/>
      <c r="CJ71" s="505"/>
      <c r="CK71" s="505"/>
      <c r="CL71" s="505"/>
      <c r="CM71" s="505"/>
      <c r="CN71" s="505"/>
      <c r="CO71" s="505"/>
      <c r="CP71" s="505"/>
      <c r="CQ71" s="505"/>
      <c r="CR71" s="505"/>
      <c r="CS71" s="505"/>
      <c r="CT71" s="505"/>
      <c r="CU71" s="505"/>
    </row>
    <row r="72" spans="1:99" ht="20.100000000000001" customHeight="1">
      <c r="A72" s="892">
        <v>42</v>
      </c>
      <c r="B72" s="380" t="s">
        <v>229</v>
      </c>
      <c r="C72" s="400"/>
      <c r="D72" s="400"/>
      <c r="E72" s="400"/>
      <c r="F72" s="400"/>
      <c r="G72" s="400"/>
      <c r="H72" s="343">
        <f>'T-1'!G77</f>
        <v>0.26599350076029249</v>
      </c>
      <c r="I72" s="885"/>
      <c r="J72" s="401"/>
      <c r="L72" s="505"/>
      <c r="M72" s="505"/>
      <c r="N72" s="505"/>
      <c r="O72" s="505"/>
      <c r="P72" s="505"/>
      <c r="Q72" s="505"/>
      <c r="R72" s="505"/>
      <c r="S72" s="505"/>
      <c r="T72" s="505"/>
      <c r="U72" s="505"/>
      <c r="V72" s="505"/>
      <c r="W72" s="505"/>
      <c r="X72" s="505"/>
      <c r="Y72" s="505"/>
      <c r="Z72" s="505"/>
      <c r="AA72" s="505"/>
      <c r="AB72" s="505"/>
      <c r="AC72" s="505"/>
      <c r="AD72" s="505"/>
      <c r="AE72" s="505"/>
      <c r="AF72" s="505"/>
      <c r="AG72" s="505"/>
      <c r="AH72" s="505"/>
      <c r="AI72" s="505"/>
      <c r="AJ72" s="505"/>
      <c r="AK72" s="505"/>
      <c r="AL72" s="505"/>
      <c r="AM72" s="505"/>
      <c r="AN72" s="505"/>
      <c r="AO72" s="505"/>
      <c r="AP72" s="505"/>
      <c r="AQ72" s="505"/>
      <c r="AR72" s="505"/>
      <c r="AS72" s="505"/>
      <c r="AT72" s="505"/>
      <c r="AU72" s="505"/>
      <c r="AV72" s="505"/>
      <c r="AW72" s="505"/>
      <c r="AX72" s="505"/>
      <c r="AY72" s="505"/>
      <c r="AZ72" s="505"/>
      <c r="BA72" s="505"/>
      <c r="BB72" s="505"/>
      <c r="BC72" s="505"/>
      <c r="BD72" s="505"/>
      <c r="BE72" s="505"/>
      <c r="BF72" s="505"/>
      <c r="BG72" s="505"/>
      <c r="BH72" s="505"/>
      <c r="BI72" s="505"/>
      <c r="BJ72" s="505"/>
      <c r="BK72" s="505"/>
      <c r="BL72" s="505"/>
      <c r="BM72" s="505"/>
      <c r="BN72" s="505"/>
      <c r="BO72" s="505"/>
      <c r="BP72" s="505"/>
      <c r="BQ72" s="505"/>
      <c r="BR72" s="505"/>
      <c r="BS72" s="505"/>
      <c r="BT72" s="505"/>
      <c r="BU72" s="505"/>
      <c r="BV72" s="505"/>
      <c r="BW72" s="505"/>
      <c r="BX72" s="505"/>
      <c r="BY72" s="505"/>
      <c r="BZ72" s="505"/>
      <c r="CA72" s="505"/>
      <c r="CB72" s="505"/>
      <c r="CC72" s="505"/>
      <c r="CD72" s="505"/>
      <c r="CE72" s="505"/>
      <c r="CF72" s="505"/>
      <c r="CG72" s="505"/>
      <c r="CH72" s="505"/>
      <c r="CI72" s="505"/>
      <c r="CJ72" s="505"/>
      <c r="CK72" s="505"/>
      <c r="CL72" s="505"/>
      <c r="CM72" s="505"/>
      <c r="CN72" s="505"/>
      <c r="CO72" s="505"/>
      <c r="CP72" s="505"/>
      <c r="CQ72" s="505"/>
      <c r="CR72" s="505"/>
      <c r="CS72" s="505"/>
      <c r="CT72" s="505"/>
      <c r="CU72" s="505"/>
    </row>
    <row r="73" spans="1:99" ht="20.100000000000001" customHeight="1">
      <c r="A73" s="65" t="s">
        <v>230</v>
      </c>
      <c r="C73" s="64"/>
      <c r="D73" s="64"/>
      <c r="E73" s="64"/>
      <c r="F73" s="64"/>
      <c r="G73" s="64"/>
      <c r="H73" s="64"/>
      <c r="I73" s="177"/>
      <c r="J73" s="405"/>
      <c r="L73" s="505"/>
      <c r="M73" s="505"/>
      <c r="N73" s="505"/>
      <c r="O73" s="505"/>
      <c r="P73" s="505"/>
      <c r="Q73" s="505"/>
      <c r="R73" s="505"/>
      <c r="S73" s="505"/>
      <c r="T73" s="505"/>
      <c r="U73" s="505"/>
      <c r="V73" s="505"/>
      <c r="W73" s="505"/>
      <c r="X73" s="505"/>
      <c r="Y73" s="505"/>
      <c r="Z73" s="505"/>
      <c r="AA73" s="505"/>
      <c r="AB73" s="505"/>
      <c r="AC73" s="505"/>
      <c r="AD73" s="505"/>
      <c r="AE73" s="505"/>
      <c r="AF73" s="505"/>
      <c r="AG73" s="505"/>
      <c r="AH73" s="505"/>
      <c r="AI73" s="505"/>
      <c r="AJ73" s="505"/>
      <c r="AK73" s="505"/>
      <c r="AL73" s="505"/>
      <c r="AM73" s="505"/>
      <c r="AN73" s="505"/>
      <c r="AO73" s="505"/>
      <c r="AP73" s="505"/>
      <c r="AQ73" s="505"/>
      <c r="AR73" s="505"/>
      <c r="AS73" s="505"/>
      <c r="AT73" s="505"/>
      <c r="AU73" s="505"/>
      <c r="AV73" s="505"/>
      <c r="AW73" s="505"/>
      <c r="AX73" s="505"/>
      <c r="AY73" s="505"/>
      <c r="AZ73" s="505"/>
      <c r="BA73" s="505"/>
      <c r="BB73" s="505"/>
      <c r="BC73" s="505"/>
      <c r="BD73" s="505"/>
      <c r="BE73" s="505"/>
      <c r="BF73" s="505"/>
      <c r="BG73" s="505"/>
      <c r="BH73" s="505"/>
      <c r="BI73" s="505"/>
      <c r="BJ73" s="505"/>
      <c r="BK73" s="505"/>
      <c r="BL73" s="505"/>
      <c r="BM73" s="505"/>
      <c r="BN73" s="505"/>
      <c r="BO73" s="505"/>
      <c r="BP73" s="505"/>
      <c r="BQ73" s="505"/>
      <c r="BR73" s="505"/>
      <c r="BS73" s="505"/>
      <c r="BT73" s="505"/>
      <c r="BU73" s="505"/>
      <c r="BV73" s="505"/>
      <c r="BW73" s="505"/>
      <c r="BX73" s="505"/>
      <c r="BY73" s="505"/>
      <c r="BZ73" s="505"/>
      <c r="CA73" s="505"/>
      <c r="CB73" s="505"/>
      <c r="CC73" s="505"/>
      <c r="CD73" s="505"/>
      <c r="CE73" s="505"/>
      <c r="CF73" s="505"/>
      <c r="CG73" s="505"/>
      <c r="CH73" s="505"/>
      <c r="CI73" s="505"/>
      <c r="CJ73" s="505"/>
      <c r="CK73" s="505"/>
      <c r="CL73" s="505"/>
      <c r="CM73" s="505"/>
      <c r="CN73" s="505"/>
      <c r="CO73" s="505"/>
      <c r="CP73" s="505"/>
      <c r="CQ73" s="505"/>
      <c r="CR73" s="505"/>
      <c r="CS73" s="505"/>
      <c r="CT73" s="505"/>
      <c r="CU73" s="505"/>
    </row>
    <row r="74" spans="1:99" ht="20.100000000000001" customHeight="1">
      <c r="C74" s="64"/>
      <c r="D74" s="64"/>
      <c r="E74" s="64"/>
      <c r="F74" s="64"/>
      <c r="G74" s="64"/>
      <c r="H74" s="64"/>
      <c r="I74" s="177"/>
      <c r="J74" s="405"/>
      <c r="L74" s="505"/>
      <c r="M74" s="505"/>
      <c r="N74" s="505"/>
      <c r="O74" s="505"/>
      <c r="P74" s="505"/>
      <c r="Q74" s="505"/>
      <c r="R74" s="505"/>
      <c r="S74" s="505"/>
      <c r="T74" s="505"/>
      <c r="U74" s="505"/>
      <c r="V74" s="505"/>
      <c r="W74" s="505"/>
      <c r="X74" s="505"/>
      <c r="Y74" s="505"/>
      <c r="Z74" s="505"/>
      <c r="AA74" s="505"/>
      <c r="AB74" s="505"/>
      <c r="AC74" s="505"/>
      <c r="AD74" s="505"/>
      <c r="AE74" s="505"/>
      <c r="AF74" s="505"/>
      <c r="AG74" s="505"/>
      <c r="AH74" s="505"/>
      <c r="AI74" s="505"/>
      <c r="AJ74" s="505"/>
      <c r="AK74" s="505"/>
      <c r="AL74" s="505"/>
      <c r="AM74" s="505"/>
      <c r="AN74" s="505"/>
      <c r="AO74" s="505"/>
      <c r="AP74" s="505"/>
      <c r="AQ74" s="505"/>
      <c r="AR74" s="505"/>
      <c r="AS74" s="505"/>
      <c r="AT74" s="505"/>
      <c r="AU74" s="505"/>
      <c r="AV74" s="505"/>
      <c r="AW74" s="505"/>
      <c r="AX74" s="505"/>
      <c r="AY74" s="505"/>
      <c r="AZ74" s="505"/>
      <c r="BA74" s="505"/>
      <c r="BB74" s="505"/>
      <c r="BC74" s="505"/>
      <c r="BD74" s="505"/>
      <c r="BE74" s="505"/>
      <c r="BF74" s="505"/>
      <c r="BG74" s="505"/>
      <c r="BH74" s="505"/>
      <c r="BI74" s="505"/>
      <c r="BJ74" s="505"/>
      <c r="BK74" s="505"/>
      <c r="BL74" s="505"/>
      <c r="BM74" s="505"/>
      <c r="BN74" s="505"/>
      <c r="BO74" s="505"/>
      <c r="BP74" s="505"/>
      <c r="BQ74" s="505"/>
      <c r="BR74" s="505"/>
      <c r="BS74" s="505"/>
      <c r="BT74" s="505"/>
      <c r="BU74" s="505"/>
      <c r="BV74" s="505"/>
      <c r="BW74" s="505"/>
      <c r="BX74" s="505"/>
      <c r="BY74" s="505"/>
      <c r="BZ74" s="505"/>
      <c r="CA74" s="505"/>
      <c r="CB74" s="505"/>
      <c r="CC74" s="505"/>
      <c r="CD74" s="505"/>
      <c r="CE74" s="505"/>
      <c r="CF74" s="505"/>
      <c r="CG74" s="505"/>
      <c r="CH74" s="505"/>
      <c r="CI74" s="505"/>
      <c r="CJ74" s="505"/>
      <c r="CK74" s="505"/>
      <c r="CL74" s="505"/>
      <c r="CM74" s="505"/>
      <c r="CN74" s="505"/>
      <c r="CO74" s="505"/>
      <c r="CP74" s="505"/>
      <c r="CQ74" s="505"/>
      <c r="CR74" s="505"/>
      <c r="CS74" s="505"/>
      <c r="CT74" s="505"/>
      <c r="CU74" s="505"/>
    </row>
    <row r="75" spans="1:99" ht="20.100000000000001" customHeight="1">
      <c r="H75" s="402"/>
      <c r="I75" s="177"/>
      <c r="J75" s="405"/>
      <c r="L75" s="505"/>
      <c r="M75" s="505"/>
      <c r="N75" s="505"/>
      <c r="O75" s="505"/>
      <c r="P75" s="505"/>
      <c r="Q75" s="505"/>
      <c r="R75" s="505"/>
      <c r="S75" s="505"/>
      <c r="T75" s="505"/>
      <c r="U75" s="505"/>
      <c r="V75" s="505"/>
      <c r="W75" s="505"/>
      <c r="X75" s="505"/>
      <c r="Y75" s="505"/>
      <c r="Z75" s="505"/>
      <c r="AA75" s="505"/>
      <c r="AB75" s="505"/>
      <c r="AC75" s="505"/>
      <c r="AD75" s="505"/>
      <c r="AE75" s="505"/>
      <c r="AF75" s="505"/>
      <c r="AG75" s="505"/>
      <c r="AH75" s="505"/>
      <c r="AI75" s="505"/>
      <c r="AJ75" s="505"/>
      <c r="AK75" s="505"/>
      <c r="AL75" s="505"/>
      <c r="AM75" s="505"/>
      <c r="AN75" s="505"/>
      <c r="AO75" s="505"/>
      <c r="AP75" s="505"/>
      <c r="AQ75" s="505"/>
      <c r="AR75" s="505"/>
      <c r="AS75" s="505"/>
      <c r="AT75" s="505"/>
      <c r="AU75" s="505"/>
      <c r="AV75" s="505"/>
      <c r="AW75" s="505"/>
      <c r="AX75" s="505"/>
      <c r="AY75" s="505"/>
      <c r="AZ75" s="505"/>
      <c r="BA75" s="505"/>
      <c r="BB75" s="505"/>
      <c r="BC75" s="505"/>
      <c r="BD75" s="505"/>
      <c r="BE75" s="505"/>
      <c r="BF75" s="505"/>
      <c r="BG75" s="505"/>
      <c r="BH75" s="505"/>
      <c r="BI75" s="505"/>
      <c r="BJ75" s="505"/>
      <c r="BK75" s="505"/>
      <c r="BL75" s="505"/>
      <c r="BM75" s="505"/>
      <c r="BN75" s="505"/>
      <c r="BO75" s="505"/>
      <c r="BP75" s="505"/>
      <c r="BQ75" s="505"/>
      <c r="BR75" s="505"/>
      <c r="BS75" s="505"/>
      <c r="BT75" s="505"/>
      <c r="BU75" s="505"/>
      <c r="BV75" s="505"/>
      <c r="BW75" s="505"/>
      <c r="BX75" s="505"/>
      <c r="BY75" s="505"/>
      <c r="BZ75" s="505"/>
      <c r="CA75" s="505"/>
      <c r="CB75" s="505"/>
      <c r="CC75" s="505"/>
      <c r="CD75" s="505"/>
      <c r="CE75" s="505"/>
      <c r="CF75" s="505"/>
      <c r="CG75" s="505"/>
      <c r="CH75" s="505"/>
      <c r="CI75" s="505"/>
      <c r="CJ75" s="505"/>
      <c r="CK75" s="505"/>
      <c r="CL75" s="505"/>
      <c r="CM75" s="505"/>
      <c r="CN75" s="505"/>
      <c r="CO75" s="505"/>
      <c r="CP75" s="505"/>
      <c r="CQ75" s="505"/>
      <c r="CR75" s="505"/>
      <c r="CS75" s="505"/>
      <c r="CT75" s="505"/>
      <c r="CU75" s="505"/>
    </row>
    <row r="76" spans="1:99" ht="20.100000000000001" customHeight="1">
      <c r="H76" s="125"/>
      <c r="I76" s="177"/>
      <c r="J76" s="405"/>
      <c r="L76" s="505"/>
      <c r="M76" s="505"/>
      <c r="N76" s="505"/>
    </row>
    <row r="77" spans="1:99" ht="20.100000000000001" customHeight="1">
      <c r="I77" s="106"/>
      <c r="J77" s="249"/>
      <c r="L77" s="505"/>
      <c r="M77" s="505"/>
      <c r="N77" s="505"/>
    </row>
    <row r="78" spans="1:99" ht="20.100000000000001" customHeight="1">
      <c r="L78" s="505"/>
      <c r="M78" s="505"/>
      <c r="N78" s="505"/>
    </row>
    <row r="79" spans="1:99" ht="20.100000000000001" customHeight="1"/>
    <row r="80" spans="1:99"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row r="175" ht="20.100000000000001" customHeight="1"/>
    <row r="176" ht="20.100000000000001" customHeight="1"/>
    <row r="177" ht="20.100000000000001" customHeight="1"/>
    <row r="178" ht="20.100000000000001" customHeight="1"/>
    <row r="179" ht="20.100000000000001" customHeight="1"/>
    <row r="180" ht="20.100000000000001" customHeight="1"/>
    <row r="181" ht="20.100000000000001" customHeight="1"/>
    <row r="182" ht="20.100000000000001" customHeight="1"/>
    <row r="183" ht="20.100000000000001" customHeight="1"/>
    <row r="184" ht="20.100000000000001" customHeight="1"/>
    <row r="185" ht="20.100000000000001" customHeight="1"/>
    <row r="186" ht="20.100000000000001" customHeight="1"/>
    <row r="187" ht="20.100000000000001" customHeight="1"/>
    <row r="188" ht="20.100000000000001" customHeight="1"/>
    <row r="189" ht="20.100000000000001" customHeight="1"/>
    <row r="190" ht="20.100000000000001" customHeight="1"/>
    <row r="191" ht="20.100000000000001" customHeight="1"/>
    <row r="192" ht="20.100000000000001" customHeight="1"/>
    <row r="193" ht="20.100000000000001" customHeight="1"/>
    <row r="194" ht="20.100000000000001" customHeight="1"/>
    <row r="195" ht="20.100000000000001" customHeight="1"/>
    <row r="196" ht="20.100000000000001" customHeight="1"/>
    <row r="197" ht="20.100000000000001" customHeight="1"/>
    <row r="198" ht="20.100000000000001" customHeight="1"/>
    <row r="199" ht="20.100000000000001" customHeight="1"/>
    <row r="200" ht="20.100000000000001" customHeight="1"/>
    <row r="201" ht="20.100000000000001" customHeight="1"/>
    <row r="202" ht="20.100000000000001" customHeight="1"/>
    <row r="203" ht="20.100000000000001" customHeight="1"/>
    <row r="204" ht="20.100000000000001" customHeight="1"/>
    <row r="205" ht="20.100000000000001" customHeight="1"/>
    <row r="206" ht="20.100000000000001" customHeight="1"/>
    <row r="207" ht="20.100000000000001" customHeight="1"/>
    <row r="208" ht="20.100000000000001" customHeight="1"/>
    <row r="209" ht="20.100000000000001" customHeight="1"/>
    <row r="210" ht="20.100000000000001" customHeight="1"/>
    <row r="211" ht="20.100000000000001" customHeight="1"/>
    <row r="212" ht="20.100000000000001" customHeight="1"/>
    <row r="213" ht="20.100000000000001" customHeight="1"/>
    <row r="214" ht="20.100000000000001" customHeight="1"/>
    <row r="215" ht="20.100000000000001" customHeight="1"/>
    <row r="216" ht="20.100000000000001" customHeight="1"/>
    <row r="217" ht="20.100000000000001" customHeight="1"/>
    <row r="218" ht="20.100000000000001" customHeight="1"/>
    <row r="219" ht="20.100000000000001" customHeight="1"/>
    <row r="220" ht="20.100000000000001" customHeight="1"/>
    <row r="221" ht="20.100000000000001" customHeight="1"/>
    <row r="222" ht="20.100000000000001" customHeight="1"/>
    <row r="223" ht="20.100000000000001" customHeight="1"/>
    <row r="224" ht="20.100000000000001" customHeight="1"/>
    <row r="225" ht="20.100000000000001" customHeight="1"/>
    <row r="226" ht="20.100000000000001" customHeight="1"/>
    <row r="227" ht="20.100000000000001" customHeight="1"/>
    <row r="228" ht="20.100000000000001" customHeight="1"/>
    <row r="229" ht="20.100000000000001" customHeight="1"/>
    <row r="230" ht="20.100000000000001" customHeight="1"/>
    <row r="231" ht="20.100000000000001" customHeight="1"/>
    <row r="232" ht="20.100000000000001" customHeight="1"/>
    <row r="233" ht="20.100000000000001" customHeight="1"/>
    <row r="234" ht="20.100000000000001" customHeight="1"/>
    <row r="235" ht="20.100000000000001" customHeight="1"/>
    <row r="236" ht="20.100000000000001" customHeight="1"/>
    <row r="237" ht="20.100000000000001" customHeight="1"/>
    <row r="238" ht="20.100000000000001" customHeight="1"/>
    <row r="239" ht="20.100000000000001" customHeight="1"/>
    <row r="240" ht="20.100000000000001" customHeight="1"/>
    <row r="241" ht="20.100000000000001" customHeight="1"/>
    <row r="242" ht="20.100000000000001" customHeight="1"/>
    <row r="243" ht="20.100000000000001" customHeight="1"/>
    <row r="244" ht="20.100000000000001" customHeight="1"/>
    <row r="245" ht="20.100000000000001" customHeight="1"/>
    <row r="246" ht="20.100000000000001" customHeight="1"/>
    <row r="247" ht="20.100000000000001" customHeight="1"/>
    <row r="248" ht="20.100000000000001" customHeight="1"/>
    <row r="249" ht="20.100000000000001" customHeight="1"/>
    <row r="250" ht="20.100000000000001" customHeight="1"/>
    <row r="251" ht="20.100000000000001" customHeight="1"/>
    <row r="252" ht="20.100000000000001" customHeight="1"/>
    <row r="253" ht="20.100000000000001" customHeight="1"/>
    <row r="254" ht="20.100000000000001" customHeight="1"/>
    <row r="255" ht="20.100000000000001" customHeight="1"/>
    <row r="256" ht="20.100000000000001" customHeight="1"/>
    <row r="257" ht="20.100000000000001" customHeight="1"/>
    <row r="258" ht="20.100000000000001" customHeight="1"/>
    <row r="259" ht="20.100000000000001" customHeight="1"/>
    <row r="260" ht="20.100000000000001" customHeight="1"/>
    <row r="261" ht="20.100000000000001" customHeight="1"/>
    <row r="262" ht="20.100000000000001" customHeight="1"/>
    <row r="263" ht="20.100000000000001" customHeight="1"/>
    <row r="264" ht="20.100000000000001" customHeight="1"/>
    <row r="265" ht="20.100000000000001" customHeight="1"/>
    <row r="266" ht="20.100000000000001" customHeight="1"/>
    <row r="267" ht="20.100000000000001" customHeight="1"/>
    <row r="268" ht="20.100000000000001" customHeight="1"/>
    <row r="269" ht="20.100000000000001" customHeight="1"/>
    <row r="270" ht="20.100000000000001" customHeight="1"/>
    <row r="271" ht="20.100000000000001" customHeight="1"/>
    <row r="272" ht="20.100000000000001" customHeight="1"/>
  </sheetData>
  <mergeCells count="11">
    <mergeCell ref="I7:I9"/>
    <mergeCell ref="J7:J9"/>
    <mergeCell ref="C5:H5"/>
    <mergeCell ref="A7:A9"/>
    <mergeCell ref="B7:B9"/>
    <mergeCell ref="C7:C9"/>
    <mergeCell ref="D7:D9"/>
    <mergeCell ref="E7:E9"/>
    <mergeCell ref="F7:F9"/>
    <mergeCell ref="G7:G9"/>
    <mergeCell ref="H7:H9"/>
  </mergeCells>
  <printOptions horizontalCentered="1" verticalCentered="1"/>
  <pageMargins left="0.11811023622047245" right="0" top="0.35433070866141736" bottom="0" header="0" footer="0.39370078740157483"/>
  <pageSetup paperSize="9" scale="75" fitToWidth="3" fitToHeight="3" orientation="portrait" r:id="rId1"/>
  <headerFooter alignWithMargins="0">
    <oddFooter>&amp;R&amp;"Arial,Bold"&amp;12  OERC FORM &amp;A</oddFooter>
  </headerFooter>
  <rowBreaks count="2" manualBreakCount="2">
    <brk id="37" max="9" man="1"/>
    <brk id="54"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U275"/>
  <sheetViews>
    <sheetView view="pageBreakPreview" topLeftCell="A61" zoomScale="85" zoomScaleNormal="75" zoomScaleSheetLayoutView="85" workbookViewId="0">
      <selection activeCell="B78" sqref="B78"/>
    </sheetView>
  </sheetViews>
  <sheetFormatPr defaultColWidth="14.7109375" defaultRowHeight="25.5"/>
  <cols>
    <col min="1" max="1" width="6.42578125" style="38" customWidth="1"/>
    <col min="2" max="2" width="34.7109375" style="38" customWidth="1"/>
    <col min="3" max="3" width="10.5703125" style="38" customWidth="1"/>
    <col min="4" max="4" width="9.7109375" style="38" customWidth="1"/>
    <col min="5" max="5" width="10.85546875" style="38" customWidth="1"/>
    <col min="6" max="6" width="10.28515625" style="38" customWidth="1"/>
    <col min="7" max="7" width="10.85546875" style="38" customWidth="1"/>
    <col min="8" max="8" width="11.28515625" style="38" customWidth="1"/>
    <col min="9" max="9" width="12.140625" style="38" customWidth="1"/>
    <col min="10" max="10" width="11.85546875" style="38" customWidth="1"/>
    <col min="11" max="11" width="14.7109375" style="218" customWidth="1"/>
    <col min="12" max="12" width="26.42578125" style="38" bestFit="1" customWidth="1"/>
    <col min="13" max="16384" width="14.7109375" style="38"/>
  </cols>
  <sheetData>
    <row r="1" spans="1:99">
      <c r="H1" s="40" t="s">
        <v>0</v>
      </c>
      <c r="I1" s="65" t="s">
        <v>210</v>
      </c>
    </row>
    <row r="2" spans="1:99">
      <c r="B2" s="61" t="s">
        <v>106</v>
      </c>
    </row>
    <row r="3" spans="1:99">
      <c r="B3" s="397" t="s">
        <v>211</v>
      </c>
      <c r="F3" s="267"/>
      <c r="G3" s="267"/>
    </row>
    <row r="4" spans="1:99">
      <c r="B4" s="65" t="s">
        <v>212</v>
      </c>
      <c r="H4" s="398"/>
    </row>
    <row r="5" spans="1:99">
      <c r="C5" s="1801" t="s">
        <v>1953</v>
      </c>
      <c r="D5" s="1801"/>
      <c r="E5" s="1801"/>
      <c r="F5" s="1801"/>
      <c r="G5" s="1801"/>
      <c r="H5" s="1801"/>
    </row>
    <row r="6" spans="1:99" ht="15" customHeight="1"/>
    <row r="7" spans="1:99" ht="20.25" customHeight="1">
      <c r="A7" s="1798" t="s">
        <v>214</v>
      </c>
      <c r="B7" s="1798" t="s">
        <v>215</v>
      </c>
      <c r="C7" s="1798" t="s">
        <v>216</v>
      </c>
      <c r="D7" s="1798" t="s">
        <v>217</v>
      </c>
      <c r="E7" s="1798" t="s">
        <v>218</v>
      </c>
      <c r="F7" s="1798" t="s">
        <v>219</v>
      </c>
      <c r="G7" s="1798" t="s">
        <v>220</v>
      </c>
      <c r="H7" s="1798" t="s">
        <v>221</v>
      </c>
      <c r="I7" s="1798" t="s">
        <v>222</v>
      </c>
      <c r="J7" s="1798" t="s">
        <v>223</v>
      </c>
      <c r="L7" s="505"/>
      <c r="M7" s="505"/>
      <c r="N7" s="505"/>
      <c r="O7" s="505"/>
      <c r="P7" s="505"/>
      <c r="Q7" s="505"/>
      <c r="R7" s="505"/>
      <c r="S7" s="505"/>
      <c r="T7" s="505"/>
      <c r="U7" s="505"/>
      <c r="V7" s="505"/>
      <c r="W7" s="505"/>
      <c r="X7" s="505"/>
      <c r="Y7" s="505"/>
      <c r="Z7" s="505"/>
      <c r="AA7" s="505"/>
      <c r="AB7" s="505"/>
      <c r="AC7" s="505"/>
      <c r="AD7" s="505"/>
      <c r="AE7" s="505"/>
      <c r="AF7" s="505"/>
      <c r="AG7" s="505"/>
      <c r="AH7" s="505"/>
      <c r="AI7" s="505"/>
      <c r="AJ7" s="505"/>
      <c r="AK7" s="505"/>
      <c r="AL7" s="505"/>
      <c r="AM7" s="505"/>
      <c r="AN7" s="505"/>
      <c r="AO7" s="505"/>
      <c r="AP7" s="505"/>
      <c r="AQ7" s="505"/>
      <c r="AR7" s="505"/>
      <c r="AS7" s="505"/>
      <c r="AT7" s="505"/>
      <c r="AU7" s="505"/>
      <c r="AV7" s="505"/>
      <c r="AW7" s="505"/>
      <c r="AX7" s="505"/>
      <c r="AY7" s="505"/>
      <c r="AZ7" s="505"/>
      <c r="BA7" s="505"/>
      <c r="BB7" s="505"/>
      <c r="BC7" s="505"/>
      <c r="BD7" s="505"/>
      <c r="BE7" s="505"/>
      <c r="BF7" s="505"/>
      <c r="BG7" s="505"/>
      <c r="BH7" s="505"/>
      <c r="BI7" s="505"/>
      <c r="BJ7" s="505"/>
      <c r="BK7" s="505"/>
      <c r="BL7" s="505"/>
      <c r="BM7" s="505"/>
      <c r="BN7" s="505"/>
      <c r="BO7" s="505"/>
      <c r="BP7" s="505"/>
      <c r="BQ7" s="505"/>
      <c r="BR7" s="505"/>
      <c r="BS7" s="505"/>
      <c r="BT7" s="505"/>
      <c r="BU7" s="505"/>
      <c r="BV7" s="505"/>
      <c r="BW7" s="505"/>
      <c r="BX7" s="505"/>
      <c r="BY7" s="505"/>
      <c r="BZ7" s="505"/>
      <c r="CA7" s="505"/>
      <c r="CB7" s="505"/>
      <c r="CC7" s="505"/>
      <c r="CD7" s="505"/>
      <c r="CE7" s="505"/>
      <c r="CF7" s="505"/>
      <c r="CG7" s="505"/>
      <c r="CH7" s="505"/>
      <c r="CI7" s="505"/>
      <c r="CJ7" s="505"/>
      <c r="CK7" s="505"/>
      <c r="CL7" s="505"/>
      <c r="CM7" s="505"/>
      <c r="CN7" s="505"/>
      <c r="CO7" s="505"/>
      <c r="CP7" s="505"/>
      <c r="CQ7" s="505"/>
      <c r="CR7" s="505"/>
      <c r="CS7" s="505"/>
      <c r="CT7" s="505"/>
      <c r="CU7" s="505"/>
    </row>
    <row r="8" spans="1:99" ht="28.5" customHeight="1">
      <c r="A8" s="1799"/>
      <c r="B8" s="1799"/>
      <c r="C8" s="1799"/>
      <c r="D8" s="1799"/>
      <c r="E8" s="1799"/>
      <c r="F8" s="1799"/>
      <c r="G8" s="1799"/>
      <c r="H8" s="1799"/>
      <c r="I8" s="1799"/>
      <c r="J8" s="1799" t="s">
        <v>224</v>
      </c>
      <c r="L8" s="505"/>
      <c r="M8" s="505"/>
      <c r="N8" s="505"/>
      <c r="O8" s="505"/>
      <c r="P8" s="505"/>
      <c r="Q8" s="505"/>
      <c r="R8" s="505"/>
      <c r="S8" s="505"/>
      <c r="T8" s="505"/>
      <c r="U8" s="505"/>
      <c r="V8" s="505"/>
      <c r="W8" s="505"/>
      <c r="X8" s="505"/>
      <c r="Y8" s="505"/>
      <c r="Z8" s="505"/>
      <c r="AA8" s="505"/>
      <c r="AB8" s="505"/>
      <c r="AC8" s="505"/>
      <c r="AD8" s="505"/>
      <c r="AE8" s="505"/>
      <c r="AF8" s="505"/>
      <c r="AG8" s="505"/>
      <c r="AH8" s="505"/>
      <c r="AI8" s="505"/>
      <c r="AJ8" s="505"/>
      <c r="AK8" s="505"/>
      <c r="AL8" s="505"/>
      <c r="AM8" s="505"/>
      <c r="AN8" s="505"/>
      <c r="AO8" s="505"/>
      <c r="AP8" s="505"/>
      <c r="AQ8" s="505"/>
      <c r="AR8" s="505"/>
      <c r="AS8" s="505"/>
      <c r="AT8" s="505"/>
      <c r="AU8" s="505"/>
      <c r="AV8" s="505"/>
      <c r="AW8" s="505"/>
      <c r="AX8" s="505"/>
      <c r="AY8" s="505"/>
      <c r="AZ8" s="505"/>
      <c r="BA8" s="505"/>
      <c r="BB8" s="505"/>
      <c r="BC8" s="505"/>
      <c r="BD8" s="505"/>
      <c r="BE8" s="505"/>
      <c r="BF8" s="505"/>
      <c r="BG8" s="505"/>
      <c r="BH8" s="505"/>
      <c r="BI8" s="505"/>
      <c r="BJ8" s="505"/>
      <c r="BK8" s="505"/>
      <c r="BL8" s="505"/>
      <c r="BM8" s="505"/>
      <c r="BN8" s="505"/>
      <c r="BO8" s="505"/>
      <c r="BP8" s="505"/>
      <c r="BQ8" s="505"/>
      <c r="BR8" s="505"/>
      <c r="BS8" s="505"/>
      <c r="BT8" s="505"/>
      <c r="BU8" s="505"/>
      <c r="BV8" s="505"/>
      <c r="BW8" s="505"/>
      <c r="BX8" s="505"/>
      <c r="BY8" s="505"/>
      <c r="BZ8" s="505"/>
      <c r="CA8" s="505"/>
      <c r="CB8" s="505"/>
      <c r="CC8" s="505"/>
      <c r="CD8" s="505"/>
      <c r="CE8" s="505"/>
      <c r="CF8" s="505"/>
      <c r="CG8" s="505"/>
      <c r="CH8" s="505"/>
      <c r="CI8" s="505"/>
      <c r="CJ8" s="505"/>
      <c r="CK8" s="505"/>
      <c r="CL8" s="505"/>
      <c r="CM8" s="505"/>
      <c r="CN8" s="505"/>
      <c r="CO8" s="505"/>
      <c r="CP8" s="505"/>
      <c r="CQ8" s="505"/>
      <c r="CR8" s="505"/>
      <c r="CS8" s="505"/>
      <c r="CT8" s="505"/>
      <c r="CU8" s="505"/>
    </row>
    <row r="9" spans="1:99" ht="36" customHeight="1">
      <c r="A9" s="1800"/>
      <c r="B9" s="1800"/>
      <c r="C9" s="1800"/>
      <c r="D9" s="1800"/>
      <c r="E9" s="1800"/>
      <c r="F9" s="1800"/>
      <c r="G9" s="1800"/>
      <c r="H9" s="1800"/>
      <c r="I9" s="1800"/>
      <c r="J9" s="1800"/>
      <c r="L9" s="505"/>
      <c r="M9" s="505"/>
      <c r="N9" s="505"/>
      <c r="O9" s="505"/>
      <c r="P9" s="505"/>
      <c r="Q9" s="505"/>
      <c r="R9" s="505"/>
      <c r="S9" s="505"/>
      <c r="T9" s="505"/>
      <c r="U9" s="505"/>
      <c r="V9" s="505"/>
      <c r="W9" s="505"/>
      <c r="X9" s="505"/>
      <c r="Y9" s="505"/>
      <c r="Z9" s="505"/>
      <c r="AA9" s="505"/>
      <c r="AB9" s="505"/>
      <c r="AC9" s="505"/>
      <c r="AD9" s="505"/>
      <c r="AE9" s="505"/>
      <c r="AF9" s="505"/>
      <c r="AG9" s="505"/>
      <c r="AH9" s="505"/>
      <c r="AI9" s="505"/>
      <c r="AJ9" s="505"/>
      <c r="AK9" s="505"/>
      <c r="AL9" s="505"/>
      <c r="AM9" s="505"/>
      <c r="AN9" s="505"/>
      <c r="AO9" s="505"/>
      <c r="AP9" s="505"/>
      <c r="AQ9" s="505"/>
      <c r="AR9" s="505"/>
      <c r="AS9" s="505"/>
      <c r="AT9" s="505"/>
      <c r="AU9" s="505"/>
      <c r="AV9" s="505"/>
      <c r="AW9" s="505"/>
      <c r="AX9" s="505"/>
      <c r="AY9" s="505"/>
      <c r="AZ9" s="505"/>
      <c r="BA9" s="505"/>
      <c r="BB9" s="505"/>
      <c r="BC9" s="505"/>
      <c r="BD9" s="505"/>
      <c r="BE9" s="505"/>
      <c r="BF9" s="505"/>
      <c r="BG9" s="505"/>
      <c r="BH9" s="505"/>
      <c r="BI9" s="505"/>
      <c r="BJ9" s="505"/>
      <c r="BK9" s="505"/>
      <c r="BL9" s="505"/>
      <c r="BM9" s="505"/>
      <c r="BN9" s="505"/>
      <c r="BO9" s="505"/>
      <c r="BP9" s="505"/>
      <c r="BQ9" s="505"/>
      <c r="BR9" s="505"/>
      <c r="BS9" s="505"/>
      <c r="BT9" s="505"/>
      <c r="BU9" s="505"/>
      <c r="BV9" s="505"/>
      <c r="BW9" s="505"/>
      <c r="BX9" s="505"/>
      <c r="BY9" s="505"/>
      <c r="BZ9" s="505"/>
      <c r="CA9" s="505"/>
      <c r="CB9" s="505"/>
      <c r="CC9" s="505"/>
      <c r="CD9" s="505"/>
      <c r="CE9" s="505"/>
      <c r="CF9" s="505"/>
      <c r="CG9" s="505"/>
      <c r="CH9" s="505"/>
      <c r="CI9" s="505"/>
      <c r="CJ9" s="505"/>
      <c r="CK9" s="505"/>
      <c r="CL9" s="505"/>
      <c r="CM9" s="505"/>
      <c r="CN9" s="505"/>
      <c r="CO9" s="505"/>
      <c r="CP9" s="505"/>
      <c r="CQ9" s="505"/>
      <c r="CR9" s="505"/>
      <c r="CS9" s="505"/>
      <c r="CT9" s="505"/>
      <c r="CU9" s="505"/>
    </row>
    <row r="10" spans="1:99" ht="21.75" customHeight="1">
      <c r="A10" s="103"/>
      <c r="B10" s="399" t="s">
        <v>173</v>
      </c>
      <c r="C10" s="104"/>
      <c r="D10" s="104"/>
      <c r="E10" s="103"/>
      <c r="F10" s="103"/>
      <c r="G10" s="103"/>
      <c r="H10" s="399"/>
      <c r="I10" s="103"/>
      <c r="J10" s="103"/>
      <c r="L10" s="505"/>
      <c r="M10" s="505"/>
      <c r="N10" s="505"/>
      <c r="O10" s="505"/>
      <c r="P10" s="505"/>
      <c r="Q10" s="505"/>
      <c r="R10" s="505"/>
      <c r="S10" s="505"/>
      <c r="T10" s="505"/>
      <c r="U10" s="505"/>
      <c r="V10" s="505"/>
      <c r="W10" s="505"/>
      <c r="X10" s="505"/>
      <c r="Y10" s="505"/>
      <c r="Z10" s="505"/>
      <c r="AA10" s="505"/>
      <c r="AB10" s="505"/>
      <c r="AC10" s="505"/>
      <c r="AD10" s="505"/>
      <c r="AE10" s="505"/>
      <c r="AF10" s="505"/>
      <c r="AG10" s="505"/>
      <c r="AH10" s="505"/>
      <c r="AI10" s="505"/>
      <c r="AJ10" s="505"/>
      <c r="AK10" s="505"/>
      <c r="AL10" s="505"/>
      <c r="AM10" s="505"/>
      <c r="AN10" s="505"/>
      <c r="AO10" s="505"/>
      <c r="AP10" s="505"/>
      <c r="AQ10" s="505"/>
      <c r="AR10" s="505"/>
      <c r="AS10" s="505"/>
      <c r="AT10" s="505"/>
      <c r="AU10" s="505"/>
      <c r="AV10" s="505"/>
      <c r="AW10" s="505"/>
      <c r="AX10" s="505"/>
      <c r="AY10" s="505"/>
      <c r="AZ10" s="505"/>
      <c r="BA10" s="505"/>
      <c r="BB10" s="505"/>
      <c r="BC10" s="505"/>
      <c r="BD10" s="505"/>
      <c r="BE10" s="505"/>
      <c r="BF10" s="505"/>
      <c r="BG10" s="505"/>
      <c r="BH10" s="505"/>
      <c r="BI10" s="505"/>
      <c r="BJ10" s="505"/>
      <c r="BK10" s="505"/>
      <c r="BL10" s="505"/>
      <c r="BM10" s="505"/>
      <c r="BN10" s="505"/>
      <c r="BO10" s="505"/>
      <c r="BP10" s="505"/>
      <c r="BQ10" s="505"/>
      <c r="BR10" s="505"/>
      <c r="BS10" s="505"/>
      <c r="BT10" s="505"/>
      <c r="BU10" s="505"/>
      <c r="BV10" s="505"/>
      <c r="BW10" s="505"/>
      <c r="BX10" s="505"/>
      <c r="BY10" s="505"/>
      <c r="BZ10" s="505"/>
      <c r="CA10" s="505"/>
      <c r="CB10" s="505"/>
      <c r="CC10" s="505"/>
      <c r="CD10" s="505"/>
      <c r="CE10" s="505"/>
      <c r="CF10" s="505"/>
      <c r="CG10" s="505"/>
      <c r="CH10" s="505"/>
      <c r="CI10" s="505"/>
      <c r="CJ10" s="505"/>
      <c r="CK10" s="505"/>
      <c r="CL10" s="505"/>
      <c r="CM10" s="505"/>
      <c r="CN10" s="505"/>
      <c r="CO10" s="505"/>
      <c r="CP10" s="505"/>
      <c r="CQ10" s="505"/>
      <c r="CR10" s="505"/>
      <c r="CS10" s="505"/>
      <c r="CT10" s="505"/>
      <c r="CU10" s="505"/>
    </row>
    <row r="11" spans="1:99" ht="20.100000000000001" customHeight="1">
      <c r="A11" s="400">
        <v>1</v>
      </c>
      <c r="B11" s="380" t="s">
        <v>174</v>
      </c>
      <c r="C11" s="400"/>
      <c r="D11" s="400"/>
      <c r="E11" s="400"/>
      <c r="F11" s="400"/>
      <c r="G11" s="400"/>
      <c r="H11" s="400"/>
      <c r="I11" s="400"/>
      <c r="J11" s="400"/>
      <c r="L11" s="505"/>
      <c r="M11" s="505"/>
      <c r="N11" s="505"/>
      <c r="O11" s="505"/>
      <c r="P11" s="505"/>
      <c r="Q11" s="505"/>
      <c r="R11" s="505"/>
      <c r="S11" s="505"/>
      <c r="T11" s="505"/>
      <c r="U11" s="505"/>
      <c r="V11" s="505"/>
      <c r="W11" s="505"/>
      <c r="X11" s="505"/>
      <c r="Y11" s="505"/>
      <c r="Z11" s="505"/>
      <c r="AA11" s="505"/>
      <c r="AB11" s="505"/>
      <c r="AC11" s="505"/>
      <c r="AD11" s="505"/>
      <c r="AE11" s="505"/>
      <c r="AF11" s="505"/>
      <c r="AG11" s="505"/>
      <c r="AH11" s="505"/>
      <c r="AI11" s="505"/>
      <c r="AJ11" s="505"/>
      <c r="AK11" s="505"/>
      <c r="AL11" s="505"/>
      <c r="AM11" s="505"/>
      <c r="AN11" s="505"/>
      <c r="AO11" s="505"/>
      <c r="AP11" s="505"/>
      <c r="AQ11" s="505"/>
      <c r="AR11" s="505"/>
      <c r="AS11" s="505"/>
      <c r="AT11" s="505"/>
      <c r="AU11" s="505"/>
      <c r="AV11" s="505"/>
      <c r="AW11" s="505"/>
      <c r="AX11" s="505"/>
      <c r="AY11" s="505"/>
      <c r="AZ11" s="505"/>
      <c r="BA11" s="505"/>
      <c r="BB11" s="505"/>
      <c r="BC11" s="505"/>
      <c r="BD11" s="505"/>
      <c r="BE11" s="505"/>
      <c r="BF11" s="505"/>
      <c r="BG11" s="505"/>
      <c r="BH11" s="505"/>
      <c r="BI11" s="505"/>
      <c r="BJ11" s="505"/>
      <c r="BK11" s="505"/>
      <c r="BL11" s="505"/>
      <c r="BM11" s="505"/>
      <c r="BN11" s="505"/>
      <c r="BO11" s="505"/>
      <c r="BP11" s="505"/>
      <c r="BQ11" s="505"/>
      <c r="BR11" s="505"/>
      <c r="BS11" s="505"/>
      <c r="BT11" s="505"/>
      <c r="BU11" s="505"/>
      <c r="BV11" s="505"/>
      <c r="BW11" s="505"/>
      <c r="BX11" s="505"/>
      <c r="BY11" s="505"/>
      <c r="BZ11" s="505"/>
      <c r="CA11" s="505"/>
      <c r="CB11" s="505"/>
      <c r="CC11" s="505"/>
      <c r="CD11" s="505"/>
      <c r="CE11" s="505"/>
      <c r="CF11" s="505"/>
      <c r="CG11" s="505"/>
      <c r="CH11" s="505"/>
      <c r="CI11" s="505"/>
      <c r="CJ11" s="505"/>
      <c r="CK11" s="505"/>
      <c r="CL11" s="505"/>
      <c r="CM11" s="505"/>
      <c r="CN11" s="505"/>
      <c r="CO11" s="505"/>
      <c r="CP11" s="505"/>
      <c r="CQ11" s="505"/>
      <c r="CR11" s="505"/>
      <c r="CS11" s="505"/>
      <c r="CT11" s="505"/>
      <c r="CU11" s="505"/>
    </row>
    <row r="12" spans="1:99" ht="20.100000000000001" customHeight="1">
      <c r="A12" s="400" t="s">
        <v>175</v>
      </c>
      <c r="B12" s="380" t="s">
        <v>176</v>
      </c>
      <c r="C12" s="378">
        <v>2.1097099999999998</v>
      </c>
      <c r="D12" s="378">
        <v>2.5235049999999997</v>
      </c>
      <c r="E12" s="378">
        <v>1.5176839999999991</v>
      </c>
      <c r="F12" s="378">
        <v>4.2492799999999979</v>
      </c>
      <c r="G12" s="378">
        <v>3.2371940000000019</v>
      </c>
      <c r="H12" s="988">
        <f>'T-2(1st six mth)'!E42</f>
        <v>13.637372999999998</v>
      </c>
      <c r="I12" s="989">
        <f>'T-2(1st six mth)'!K38</f>
        <v>369.93</v>
      </c>
      <c r="J12" s="401">
        <f>I12/H12*10</f>
        <v>271.26192119259338</v>
      </c>
      <c r="K12" s="1365"/>
      <c r="L12" s="505"/>
      <c r="M12" s="505"/>
      <c r="N12" s="505"/>
      <c r="O12" s="505"/>
      <c r="P12" s="505"/>
      <c r="Q12" s="505"/>
      <c r="R12" s="505"/>
      <c r="S12" s="505"/>
      <c r="T12" s="505"/>
      <c r="U12" s="505"/>
      <c r="V12" s="505"/>
      <c r="W12" s="505"/>
      <c r="X12" s="505"/>
      <c r="Y12" s="505"/>
      <c r="Z12" s="505"/>
      <c r="AA12" s="505"/>
      <c r="AB12" s="505"/>
      <c r="AC12" s="505"/>
      <c r="AD12" s="505"/>
      <c r="AE12" s="505"/>
      <c r="AF12" s="505"/>
      <c r="AG12" s="505"/>
      <c r="AH12" s="505"/>
      <c r="AI12" s="505"/>
      <c r="AJ12" s="505"/>
      <c r="AK12" s="505"/>
      <c r="AL12" s="505"/>
      <c r="AM12" s="505"/>
      <c r="AN12" s="505"/>
      <c r="AO12" s="505"/>
      <c r="AP12" s="505"/>
      <c r="AQ12" s="505"/>
      <c r="AR12" s="505"/>
      <c r="AS12" s="505"/>
      <c r="AT12" s="505"/>
      <c r="AU12" s="505"/>
      <c r="AV12" s="505"/>
      <c r="AW12" s="505"/>
      <c r="AX12" s="505"/>
      <c r="AY12" s="505"/>
      <c r="AZ12" s="505"/>
      <c r="BA12" s="505"/>
      <c r="BB12" s="505"/>
      <c r="BC12" s="505"/>
      <c r="BD12" s="505"/>
      <c r="BE12" s="505"/>
      <c r="BF12" s="505"/>
      <c r="BG12" s="505"/>
      <c r="BH12" s="505"/>
      <c r="BI12" s="505"/>
      <c r="BJ12" s="505"/>
      <c r="BK12" s="505"/>
      <c r="BL12" s="505"/>
      <c r="BM12" s="505"/>
      <c r="BN12" s="505"/>
      <c r="BO12" s="505"/>
      <c r="BP12" s="505"/>
      <c r="BQ12" s="505"/>
      <c r="BR12" s="505"/>
      <c r="BS12" s="505"/>
      <c r="BT12" s="505"/>
      <c r="BU12" s="505"/>
      <c r="BV12" s="505"/>
      <c r="BW12" s="505"/>
      <c r="BX12" s="505"/>
      <c r="BY12" s="505"/>
      <c r="BZ12" s="505"/>
      <c r="CA12" s="505"/>
      <c r="CB12" s="505"/>
      <c r="CC12" s="505"/>
      <c r="CD12" s="505"/>
      <c r="CE12" s="505"/>
      <c r="CF12" s="505"/>
      <c r="CG12" s="505"/>
      <c r="CH12" s="505"/>
      <c r="CI12" s="505"/>
      <c r="CJ12" s="505"/>
      <c r="CK12" s="505"/>
      <c r="CL12" s="505"/>
      <c r="CM12" s="505"/>
      <c r="CN12" s="505"/>
      <c r="CO12" s="505"/>
      <c r="CP12" s="505"/>
      <c r="CQ12" s="505"/>
      <c r="CR12" s="505"/>
      <c r="CS12" s="505"/>
      <c r="CT12" s="505"/>
      <c r="CU12" s="505"/>
    </row>
    <row r="13" spans="1:99" ht="20.100000000000001" customHeight="1">
      <c r="A13" s="400" t="s">
        <v>177</v>
      </c>
      <c r="B13" s="380" t="s">
        <v>50</v>
      </c>
      <c r="C13" s="378">
        <v>274.15839857579988</v>
      </c>
      <c r="D13" s="378">
        <v>174.935840998</v>
      </c>
      <c r="E13" s="378">
        <v>234.27876251830034</v>
      </c>
      <c r="F13" s="378">
        <v>226.56896802380035</v>
      </c>
      <c r="G13" s="378">
        <v>144.89630148379979</v>
      </c>
      <c r="H13" s="988"/>
      <c r="I13" s="430"/>
      <c r="J13" s="401"/>
      <c r="L13" s="505"/>
      <c r="M13" s="505"/>
      <c r="N13" s="505"/>
      <c r="O13" s="505"/>
      <c r="P13" s="505"/>
      <c r="Q13" s="505"/>
      <c r="R13" s="505"/>
      <c r="S13" s="505"/>
      <c r="T13" s="505"/>
      <c r="U13" s="505"/>
      <c r="V13" s="505"/>
      <c r="W13" s="505"/>
      <c r="X13" s="505"/>
      <c r="Y13" s="505"/>
      <c r="Z13" s="505"/>
      <c r="AA13" s="505"/>
      <c r="AB13" s="505"/>
      <c r="AC13" s="505"/>
      <c r="AD13" s="505"/>
      <c r="AE13" s="505"/>
      <c r="AF13" s="505"/>
      <c r="AG13" s="505"/>
      <c r="AH13" s="505"/>
      <c r="AI13" s="505"/>
      <c r="AJ13" s="505"/>
      <c r="AK13" s="505"/>
      <c r="AL13" s="505"/>
      <c r="AM13" s="505"/>
      <c r="AN13" s="505"/>
      <c r="AO13" s="505"/>
      <c r="AP13" s="505"/>
      <c r="AQ13" s="505"/>
      <c r="AR13" s="505"/>
      <c r="AS13" s="505"/>
      <c r="AT13" s="505"/>
      <c r="AU13" s="505"/>
      <c r="AV13" s="505"/>
      <c r="AW13" s="505"/>
      <c r="AX13" s="505"/>
      <c r="AY13" s="505"/>
      <c r="AZ13" s="505"/>
      <c r="BA13" s="505"/>
      <c r="BB13" s="505"/>
      <c r="BC13" s="505"/>
      <c r="BD13" s="505"/>
      <c r="BE13" s="505"/>
      <c r="BF13" s="505"/>
      <c r="BG13" s="505"/>
      <c r="BH13" s="505"/>
      <c r="BI13" s="505"/>
      <c r="BJ13" s="505"/>
      <c r="BK13" s="505"/>
      <c r="BL13" s="505"/>
      <c r="BM13" s="505"/>
      <c r="BN13" s="505"/>
      <c r="BO13" s="505"/>
      <c r="BP13" s="505"/>
      <c r="BQ13" s="505"/>
      <c r="BR13" s="505"/>
      <c r="BS13" s="505"/>
      <c r="BT13" s="505"/>
      <c r="BU13" s="505"/>
      <c r="BV13" s="505"/>
      <c r="BW13" s="505"/>
      <c r="BX13" s="505"/>
      <c r="BY13" s="505"/>
      <c r="BZ13" s="505"/>
      <c r="CA13" s="505"/>
      <c r="CB13" s="505"/>
      <c r="CC13" s="505"/>
      <c r="CD13" s="505"/>
      <c r="CE13" s="505"/>
      <c r="CF13" s="505"/>
      <c r="CG13" s="505"/>
      <c r="CH13" s="505"/>
      <c r="CI13" s="505"/>
      <c r="CJ13" s="505"/>
      <c r="CK13" s="505"/>
      <c r="CL13" s="505"/>
      <c r="CM13" s="505"/>
      <c r="CN13" s="505"/>
      <c r="CO13" s="505"/>
      <c r="CP13" s="505"/>
      <c r="CQ13" s="505"/>
      <c r="CR13" s="505"/>
      <c r="CS13" s="505"/>
      <c r="CT13" s="505"/>
      <c r="CU13" s="505"/>
    </row>
    <row r="14" spans="1:99" ht="20.100000000000001" customHeight="1">
      <c r="A14" s="400"/>
      <c r="B14" s="380" t="s">
        <v>178</v>
      </c>
      <c r="C14" s="378"/>
      <c r="D14" s="378"/>
      <c r="E14" s="378"/>
      <c r="F14" s="378"/>
      <c r="G14" s="378"/>
      <c r="H14" s="428">
        <f>'T-2(1st six mth)'!F42</f>
        <v>98.769559344578553</v>
      </c>
      <c r="I14" s="430"/>
      <c r="J14" s="333"/>
      <c r="K14" s="559"/>
      <c r="L14" s="505"/>
      <c r="M14" s="505"/>
      <c r="N14" s="505"/>
      <c r="O14" s="505"/>
      <c r="P14" s="505"/>
      <c r="Q14" s="505"/>
      <c r="R14" s="505"/>
      <c r="S14" s="505"/>
      <c r="T14" s="505"/>
      <c r="U14" s="505"/>
      <c r="V14" s="505"/>
      <c r="W14" s="505"/>
      <c r="X14" s="505"/>
      <c r="Y14" s="505"/>
      <c r="Z14" s="505"/>
      <c r="AA14" s="505"/>
      <c r="AB14" s="505"/>
      <c r="AC14" s="505"/>
      <c r="AD14" s="505"/>
      <c r="AE14" s="505"/>
      <c r="AF14" s="505"/>
      <c r="AG14" s="505"/>
      <c r="AH14" s="505"/>
      <c r="AI14" s="505"/>
      <c r="AJ14" s="505"/>
      <c r="AK14" s="505"/>
      <c r="AL14" s="505"/>
      <c r="AM14" s="505"/>
      <c r="AN14" s="505"/>
      <c r="AO14" s="505"/>
      <c r="AP14" s="505"/>
      <c r="AQ14" s="505"/>
      <c r="AR14" s="505"/>
      <c r="AS14" s="505"/>
      <c r="AT14" s="505"/>
      <c r="AU14" s="505"/>
      <c r="AV14" s="505"/>
      <c r="AW14" s="505"/>
      <c r="AX14" s="505"/>
      <c r="AY14" s="505"/>
      <c r="AZ14" s="505"/>
      <c r="BA14" s="505"/>
      <c r="BB14" s="505"/>
      <c r="BC14" s="505"/>
      <c r="BD14" s="505"/>
      <c r="BE14" s="505"/>
      <c r="BF14" s="505"/>
      <c r="BG14" s="505"/>
      <c r="BH14" s="505"/>
      <c r="BI14" s="505"/>
      <c r="BJ14" s="505"/>
      <c r="BK14" s="505"/>
      <c r="BL14" s="505"/>
      <c r="BM14" s="505"/>
      <c r="BN14" s="505"/>
      <c r="BO14" s="505"/>
      <c r="BP14" s="505"/>
      <c r="BQ14" s="505"/>
      <c r="BR14" s="505"/>
      <c r="BS14" s="505"/>
      <c r="BT14" s="505"/>
      <c r="BU14" s="505"/>
      <c r="BV14" s="505"/>
      <c r="BW14" s="505"/>
      <c r="BX14" s="505"/>
      <c r="BY14" s="505"/>
      <c r="BZ14" s="505"/>
      <c r="CA14" s="505"/>
      <c r="CB14" s="505"/>
      <c r="CC14" s="505"/>
      <c r="CD14" s="505"/>
      <c r="CE14" s="505"/>
      <c r="CF14" s="505"/>
      <c r="CG14" s="505"/>
      <c r="CH14" s="505"/>
      <c r="CI14" s="505"/>
      <c r="CJ14" s="505"/>
      <c r="CK14" s="505"/>
      <c r="CL14" s="505"/>
      <c r="CM14" s="505"/>
      <c r="CN14" s="505"/>
      <c r="CO14" s="505"/>
      <c r="CP14" s="505"/>
      <c r="CQ14" s="505"/>
      <c r="CR14" s="505"/>
      <c r="CS14" s="505"/>
      <c r="CT14" s="505"/>
      <c r="CU14" s="505"/>
    </row>
    <row r="15" spans="1:99" ht="20.100000000000001" customHeight="1">
      <c r="A15" s="400"/>
      <c r="B15" s="380" t="s">
        <v>53</v>
      </c>
      <c r="C15" s="378"/>
      <c r="D15" s="378"/>
      <c r="E15" s="378"/>
      <c r="F15" s="378"/>
      <c r="G15" s="378"/>
      <c r="H15" s="428">
        <f>'T-2(1st six mth)'!G42</f>
        <v>392.55492581902934</v>
      </c>
      <c r="I15" s="430"/>
      <c r="J15" s="333"/>
      <c r="L15" s="505"/>
      <c r="M15" s="505"/>
      <c r="N15" s="505"/>
      <c r="O15" s="505"/>
      <c r="P15" s="505"/>
      <c r="Q15" s="505"/>
      <c r="R15" s="505"/>
      <c r="S15" s="505"/>
      <c r="T15" s="505"/>
      <c r="U15" s="505"/>
      <c r="V15" s="505"/>
      <c r="W15" s="505"/>
      <c r="X15" s="505"/>
      <c r="Y15" s="505"/>
      <c r="Z15" s="505"/>
      <c r="AA15" s="505"/>
      <c r="AB15" s="505"/>
      <c r="AC15" s="505"/>
      <c r="AD15" s="505"/>
      <c r="AE15" s="505"/>
      <c r="AF15" s="505"/>
      <c r="AG15" s="505"/>
      <c r="AH15" s="505"/>
      <c r="AI15" s="505"/>
      <c r="AJ15" s="505"/>
      <c r="AK15" s="505"/>
      <c r="AL15" s="505"/>
      <c r="AM15" s="505"/>
      <c r="AN15" s="505"/>
      <c r="AO15" s="505"/>
      <c r="AP15" s="505"/>
      <c r="AQ15" s="505"/>
      <c r="AR15" s="505"/>
      <c r="AS15" s="505"/>
      <c r="AT15" s="505"/>
      <c r="AU15" s="505"/>
      <c r="AV15" s="505"/>
      <c r="AW15" s="505"/>
      <c r="AX15" s="505"/>
      <c r="AY15" s="505"/>
      <c r="AZ15" s="505"/>
      <c r="BA15" s="505"/>
      <c r="BB15" s="505"/>
      <c r="BC15" s="505"/>
      <c r="BD15" s="505"/>
      <c r="BE15" s="505"/>
      <c r="BF15" s="505"/>
      <c r="BG15" s="505"/>
      <c r="BH15" s="505"/>
      <c r="BI15" s="505"/>
      <c r="BJ15" s="505"/>
      <c r="BK15" s="505"/>
      <c r="BL15" s="505"/>
      <c r="BM15" s="505"/>
      <c r="BN15" s="505"/>
      <c r="BO15" s="505"/>
      <c r="BP15" s="505"/>
      <c r="BQ15" s="505"/>
      <c r="BR15" s="505"/>
      <c r="BS15" s="505"/>
      <c r="BT15" s="505"/>
      <c r="BU15" s="505"/>
      <c r="BV15" s="505"/>
      <c r="BW15" s="505"/>
      <c r="BX15" s="505"/>
      <c r="BY15" s="505"/>
      <c r="BZ15" s="505"/>
      <c r="CA15" s="505"/>
      <c r="CB15" s="505"/>
      <c r="CC15" s="505"/>
      <c r="CD15" s="505"/>
      <c r="CE15" s="505"/>
      <c r="CF15" s="505"/>
      <c r="CG15" s="505"/>
      <c r="CH15" s="505"/>
      <c r="CI15" s="505"/>
      <c r="CJ15" s="505"/>
      <c r="CK15" s="505"/>
      <c r="CL15" s="505"/>
      <c r="CM15" s="505"/>
      <c r="CN15" s="505"/>
      <c r="CO15" s="505"/>
      <c r="CP15" s="505"/>
      <c r="CQ15" s="505"/>
      <c r="CR15" s="505"/>
      <c r="CS15" s="505"/>
      <c r="CT15" s="505"/>
      <c r="CU15" s="505"/>
    </row>
    <row r="16" spans="1:99" ht="20.100000000000001" customHeight="1">
      <c r="A16" s="400"/>
      <c r="B16" s="380" t="s">
        <v>54</v>
      </c>
      <c r="C16" s="378"/>
      <c r="D16" s="378"/>
      <c r="E16" s="378"/>
      <c r="F16" s="378"/>
      <c r="G16" s="378"/>
      <c r="H16" s="428">
        <f>'T-2(1st six mth)'!H42</f>
        <v>263.33051871335692</v>
      </c>
      <c r="I16" s="430"/>
      <c r="J16" s="333"/>
      <c r="L16" s="505"/>
      <c r="M16" s="505"/>
      <c r="N16" s="505"/>
      <c r="O16" s="505"/>
      <c r="P16" s="505"/>
      <c r="Q16" s="505"/>
      <c r="R16" s="505"/>
      <c r="S16" s="505"/>
      <c r="T16" s="505"/>
      <c r="U16" s="505"/>
      <c r="V16" s="505"/>
      <c r="W16" s="505"/>
      <c r="X16" s="505"/>
      <c r="Y16" s="505"/>
      <c r="Z16" s="505"/>
      <c r="AA16" s="505"/>
      <c r="AB16" s="505"/>
      <c r="AC16" s="505"/>
      <c r="AD16" s="505"/>
      <c r="AE16" s="505"/>
      <c r="AF16" s="505"/>
      <c r="AG16" s="505"/>
      <c r="AH16" s="505"/>
      <c r="AI16" s="505"/>
      <c r="AJ16" s="505"/>
      <c r="AK16" s="505"/>
      <c r="AL16" s="505"/>
      <c r="AM16" s="505"/>
      <c r="AN16" s="505"/>
      <c r="AO16" s="505"/>
      <c r="AP16" s="505"/>
      <c r="AQ16" s="505"/>
      <c r="AR16" s="505"/>
      <c r="AS16" s="505"/>
      <c r="AT16" s="505"/>
      <c r="AU16" s="505"/>
      <c r="AV16" s="505"/>
      <c r="AW16" s="505"/>
      <c r="AX16" s="505"/>
      <c r="AY16" s="505"/>
      <c r="AZ16" s="505"/>
      <c r="BA16" s="505"/>
      <c r="BB16" s="505"/>
      <c r="BC16" s="505"/>
      <c r="BD16" s="505"/>
      <c r="BE16" s="505"/>
      <c r="BF16" s="505"/>
      <c r="BG16" s="505"/>
      <c r="BH16" s="505"/>
      <c r="BI16" s="505"/>
      <c r="BJ16" s="505"/>
      <c r="BK16" s="505"/>
      <c r="BL16" s="505"/>
      <c r="BM16" s="505"/>
      <c r="BN16" s="505"/>
      <c r="BO16" s="505"/>
      <c r="BP16" s="505"/>
      <c r="BQ16" s="505"/>
      <c r="BR16" s="505"/>
      <c r="BS16" s="505"/>
      <c r="BT16" s="505"/>
      <c r="BU16" s="505"/>
      <c r="BV16" s="505"/>
      <c r="BW16" s="505"/>
      <c r="BX16" s="505"/>
      <c r="BY16" s="505"/>
      <c r="BZ16" s="505"/>
      <c r="CA16" s="505"/>
      <c r="CB16" s="505"/>
      <c r="CC16" s="505"/>
      <c r="CD16" s="505"/>
      <c r="CE16" s="505"/>
      <c r="CF16" s="505"/>
      <c r="CG16" s="505"/>
      <c r="CH16" s="505"/>
      <c r="CI16" s="505"/>
      <c r="CJ16" s="505"/>
      <c r="CK16" s="505"/>
      <c r="CL16" s="505"/>
      <c r="CM16" s="505"/>
      <c r="CN16" s="505"/>
      <c r="CO16" s="505"/>
      <c r="CP16" s="505"/>
      <c r="CQ16" s="505"/>
      <c r="CR16" s="505"/>
      <c r="CS16" s="505"/>
      <c r="CT16" s="505"/>
      <c r="CU16" s="505"/>
    </row>
    <row r="17" spans="1:99" ht="20.100000000000001" customHeight="1">
      <c r="A17" s="400"/>
      <c r="B17" s="380" t="s">
        <v>55</v>
      </c>
      <c r="C17" s="378"/>
      <c r="D17" s="378"/>
      <c r="E17" s="378"/>
      <c r="F17" s="378"/>
      <c r="G17" s="378"/>
      <c r="H17" s="428">
        <f>'T-2(1st six mth)'!I42</f>
        <v>300.18326752273612</v>
      </c>
      <c r="I17" s="263"/>
      <c r="J17" s="333"/>
      <c r="L17" s="505"/>
      <c r="M17" s="505"/>
      <c r="N17" s="505"/>
      <c r="O17" s="505"/>
      <c r="P17" s="505"/>
      <c r="Q17" s="505"/>
      <c r="R17" s="505"/>
      <c r="S17" s="505"/>
      <c r="T17" s="505"/>
      <c r="U17" s="505"/>
      <c r="V17" s="505"/>
      <c r="W17" s="505"/>
      <c r="X17" s="505"/>
      <c r="Y17" s="505"/>
      <c r="Z17" s="505"/>
      <c r="AA17" s="505"/>
      <c r="AB17" s="505"/>
      <c r="AC17" s="505"/>
      <c r="AD17" s="505"/>
      <c r="AE17" s="505"/>
      <c r="AF17" s="505"/>
      <c r="AG17" s="505"/>
      <c r="AH17" s="505"/>
      <c r="AI17" s="505"/>
      <c r="AJ17" s="505"/>
      <c r="AK17" s="505"/>
      <c r="AL17" s="505"/>
      <c r="AM17" s="505"/>
      <c r="AN17" s="505"/>
      <c r="AO17" s="505"/>
      <c r="AP17" s="505"/>
      <c r="AQ17" s="505"/>
      <c r="AR17" s="505"/>
      <c r="AS17" s="505"/>
      <c r="AT17" s="505"/>
      <c r="AU17" s="505"/>
      <c r="AV17" s="505"/>
      <c r="AW17" s="505"/>
      <c r="AX17" s="505"/>
      <c r="AY17" s="505"/>
      <c r="AZ17" s="505"/>
      <c r="BA17" s="505"/>
      <c r="BB17" s="505"/>
      <c r="BC17" s="505"/>
      <c r="BD17" s="505"/>
      <c r="BE17" s="505"/>
      <c r="BF17" s="505"/>
      <c r="BG17" s="505"/>
      <c r="BH17" s="505"/>
      <c r="BI17" s="505"/>
      <c r="BJ17" s="505"/>
      <c r="BK17" s="505"/>
      <c r="BL17" s="505"/>
      <c r="BM17" s="505"/>
      <c r="BN17" s="505"/>
      <c r="BO17" s="505"/>
      <c r="BP17" s="505"/>
      <c r="BQ17" s="505"/>
      <c r="BR17" s="505"/>
      <c r="BS17" s="505"/>
      <c r="BT17" s="505"/>
      <c r="BU17" s="505"/>
      <c r="BV17" s="505"/>
      <c r="BW17" s="505"/>
      <c r="BX17" s="505"/>
      <c r="BY17" s="505"/>
      <c r="BZ17" s="505"/>
      <c r="CA17" s="505"/>
      <c r="CB17" s="505"/>
      <c r="CC17" s="505"/>
      <c r="CD17" s="505"/>
      <c r="CE17" s="505"/>
      <c r="CF17" s="505"/>
      <c r="CG17" s="505"/>
      <c r="CH17" s="505"/>
      <c r="CI17" s="505"/>
      <c r="CJ17" s="505"/>
      <c r="CK17" s="505"/>
      <c r="CL17" s="505"/>
      <c r="CM17" s="505"/>
      <c r="CN17" s="505"/>
      <c r="CO17" s="505"/>
      <c r="CP17" s="505"/>
      <c r="CQ17" s="505"/>
      <c r="CR17" s="505"/>
      <c r="CS17" s="505"/>
      <c r="CT17" s="505"/>
      <c r="CU17" s="505"/>
    </row>
    <row r="18" spans="1:99" ht="20.100000000000001" customHeight="1">
      <c r="A18" s="400"/>
      <c r="B18" s="380"/>
      <c r="C18" s="378"/>
      <c r="D18" s="378"/>
      <c r="E18" s="378"/>
      <c r="F18" s="378"/>
      <c r="G18" s="378"/>
      <c r="H18" s="344">
        <f>SUM(H14:H17)</f>
        <v>1054.8382713997009</v>
      </c>
      <c r="I18" s="430">
        <f>('T-2(1st six mth)'!K42-'T-2(1st six mth)'!K38)</f>
        <v>49934.661572200006</v>
      </c>
      <c r="J18" s="401">
        <f>I18/H18*10</f>
        <v>473.38689660870949</v>
      </c>
      <c r="K18" s="1374"/>
      <c r="L18" s="567"/>
      <c r="M18" s="505"/>
      <c r="N18" s="505"/>
      <c r="O18" s="505"/>
      <c r="P18" s="505"/>
      <c r="Q18" s="505"/>
      <c r="R18" s="505"/>
      <c r="S18" s="505"/>
      <c r="T18" s="505"/>
      <c r="U18" s="505"/>
      <c r="V18" s="505"/>
      <c r="W18" s="505"/>
      <c r="X18" s="505"/>
      <c r="Y18" s="505"/>
      <c r="Z18" s="505"/>
      <c r="AA18" s="505"/>
      <c r="AB18" s="505"/>
      <c r="AC18" s="505"/>
      <c r="AD18" s="505"/>
      <c r="AE18" s="505"/>
      <c r="AF18" s="505"/>
      <c r="AG18" s="505"/>
      <c r="AH18" s="505"/>
      <c r="AI18" s="505"/>
      <c r="AJ18" s="505"/>
      <c r="AK18" s="505"/>
      <c r="AL18" s="505"/>
      <c r="AM18" s="505"/>
      <c r="AN18" s="505"/>
      <c r="AO18" s="505"/>
      <c r="AP18" s="505"/>
      <c r="AQ18" s="505"/>
      <c r="AR18" s="505"/>
      <c r="AS18" s="505"/>
      <c r="AT18" s="505"/>
      <c r="AU18" s="505"/>
      <c r="AV18" s="505"/>
      <c r="AW18" s="505"/>
      <c r="AX18" s="505"/>
      <c r="AY18" s="505"/>
      <c r="AZ18" s="505"/>
      <c r="BA18" s="505"/>
      <c r="BB18" s="505"/>
      <c r="BC18" s="505"/>
      <c r="BD18" s="505"/>
      <c r="BE18" s="505"/>
      <c r="BF18" s="505"/>
      <c r="BG18" s="505"/>
      <c r="BH18" s="505"/>
      <c r="BI18" s="505"/>
      <c r="BJ18" s="505"/>
      <c r="BK18" s="505"/>
      <c r="BL18" s="505"/>
      <c r="BM18" s="505"/>
      <c r="BN18" s="505"/>
      <c r="BO18" s="505"/>
      <c r="BP18" s="505"/>
      <c r="BQ18" s="505"/>
      <c r="BR18" s="505"/>
      <c r="BS18" s="505"/>
      <c r="BT18" s="505"/>
      <c r="BU18" s="505"/>
      <c r="BV18" s="505"/>
      <c r="BW18" s="505"/>
      <c r="BX18" s="505"/>
      <c r="BY18" s="505"/>
      <c r="BZ18" s="505"/>
      <c r="CA18" s="505"/>
      <c r="CB18" s="505"/>
      <c r="CC18" s="505"/>
      <c r="CD18" s="505"/>
      <c r="CE18" s="505"/>
      <c r="CF18" s="505"/>
      <c r="CG18" s="505"/>
      <c r="CH18" s="505"/>
      <c r="CI18" s="505"/>
      <c r="CJ18" s="505"/>
      <c r="CK18" s="505"/>
      <c r="CL18" s="505"/>
      <c r="CM18" s="505"/>
      <c r="CN18" s="505"/>
      <c r="CO18" s="505"/>
      <c r="CP18" s="505"/>
      <c r="CQ18" s="505"/>
      <c r="CR18" s="505"/>
      <c r="CS18" s="505"/>
      <c r="CT18" s="505"/>
      <c r="CU18" s="505"/>
    </row>
    <row r="19" spans="1:99" ht="20.100000000000001" customHeight="1">
      <c r="A19" s="400"/>
      <c r="B19" s="62" t="s">
        <v>179</v>
      </c>
      <c r="C19" s="110">
        <f>SUM(C12:C18)</f>
        <v>276.26810857579989</v>
      </c>
      <c r="D19" s="110">
        <f t="shared" ref="D19:F19" si="0">SUM(D12:D18)</f>
        <v>177.459345998</v>
      </c>
      <c r="E19" s="110">
        <f t="shared" si="0"/>
        <v>235.79644651830034</v>
      </c>
      <c r="F19" s="110">
        <f t="shared" si="0"/>
        <v>230.81824802380035</v>
      </c>
      <c r="G19" s="110">
        <f>SUM(G12:G18)</f>
        <v>148.13349548379978</v>
      </c>
      <c r="H19" s="110">
        <f>H12+H18</f>
        <v>1068.475644399701</v>
      </c>
      <c r="I19" s="109">
        <f>I12+I18</f>
        <v>50304.591572200006</v>
      </c>
      <c r="J19" s="268">
        <f>I19/H19*10</f>
        <v>470.80709640754151</v>
      </c>
      <c r="K19" s="306"/>
      <c r="L19" s="505"/>
      <c r="M19" s="505"/>
      <c r="N19" s="505"/>
      <c r="O19" s="505"/>
      <c r="P19" s="505"/>
      <c r="Q19" s="505"/>
      <c r="R19" s="505"/>
      <c r="S19" s="505"/>
      <c r="T19" s="505"/>
      <c r="U19" s="505"/>
      <c r="V19" s="505"/>
      <c r="W19" s="505"/>
      <c r="X19" s="505"/>
      <c r="Y19" s="505"/>
      <c r="Z19" s="505"/>
      <c r="AA19" s="505"/>
      <c r="AB19" s="505"/>
      <c r="AC19" s="505"/>
      <c r="AD19" s="505"/>
      <c r="AE19" s="505"/>
      <c r="AF19" s="505"/>
      <c r="AG19" s="505"/>
      <c r="AH19" s="505"/>
      <c r="AI19" s="505"/>
      <c r="AJ19" s="505"/>
      <c r="AK19" s="505"/>
      <c r="AL19" s="505"/>
      <c r="AM19" s="505"/>
      <c r="AN19" s="505"/>
      <c r="AO19" s="505"/>
      <c r="AP19" s="505"/>
      <c r="AQ19" s="505"/>
      <c r="AR19" s="505"/>
      <c r="AS19" s="505"/>
      <c r="AT19" s="505"/>
      <c r="AU19" s="505"/>
      <c r="AV19" s="505"/>
      <c r="AW19" s="505"/>
      <c r="AX19" s="505"/>
      <c r="AY19" s="505"/>
      <c r="AZ19" s="505"/>
      <c r="BA19" s="505"/>
      <c r="BB19" s="505"/>
      <c r="BC19" s="505"/>
      <c r="BD19" s="505"/>
      <c r="BE19" s="505"/>
      <c r="BF19" s="505"/>
      <c r="BG19" s="505"/>
      <c r="BH19" s="505"/>
      <c r="BI19" s="505"/>
      <c r="BJ19" s="505"/>
      <c r="BK19" s="505"/>
      <c r="BL19" s="505"/>
      <c r="BM19" s="505"/>
      <c r="BN19" s="505"/>
      <c r="BO19" s="505"/>
      <c r="BP19" s="505"/>
      <c r="BQ19" s="505"/>
      <c r="BR19" s="505"/>
      <c r="BS19" s="505"/>
      <c r="BT19" s="505"/>
      <c r="BU19" s="505"/>
      <c r="BV19" s="505"/>
      <c r="BW19" s="505"/>
      <c r="BX19" s="505"/>
      <c r="BY19" s="505"/>
      <c r="BZ19" s="505"/>
      <c r="CA19" s="505"/>
      <c r="CB19" s="505"/>
      <c r="CC19" s="505"/>
      <c r="CD19" s="505"/>
      <c r="CE19" s="505"/>
      <c r="CF19" s="505"/>
      <c r="CG19" s="505"/>
      <c r="CH19" s="505"/>
      <c r="CI19" s="505"/>
      <c r="CJ19" s="505"/>
      <c r="CK19" s="505"/>
      <c r="CL19" s="505"/>
      <c r="CM19" s="505"/>
      <c r="CN19" s="505"/>
      <c r="CO19" s="505"/>
      <c r="CP19" s="505"/>
      <c r="CQ19" s="505"/>
      <c r="CR19" s="505"/>
      <c r="CS19" s="505"/>
      <c r="CT19" s="505"/>
      <c r="CU19" s="505"/>
    </row>
    <row r="20" spans="1:99" ht="20.100000000000001" customHeight="1">
      <c r="A20" s="400"/>
      <c r="B20" s="380"/>
      <c r="C20" s="378"/>
      <c r="D20" s="378"/>
      <c r="E20" s="378"/>
      <c r="F20" s="378"/>
      <c r="G20" s="378"/>
      <c r="H20" s="428"/>
      <c r="I20" s="430"/>
      <c r="J20" s="401"/>
      <c r="K20" s="306"/>
      <c r="L20" s="505"/>
      <c r="M20" s="505"/>
      <c r="N20" s="505"/>
      <c r="O20" s="505"/>
      <c r="P20" s="505"/>
      <c r="Q20" s="505"/>
      <c r="R20" s="505"/>
      <c r="S20" s="505"/>
      <c r="T20" s="505"/>
      <c r="U20" s="505"/>
      <c r="V20" s="505"/>
      <c r="W20" s="505"/>
      <c r="X20" s="505"/>
      <c r="Y20" s="505"/>
      <c r="Z20" s="505"/>
      <c r="AA20" s="505"/>
      <c r="AB20" s="505"/>
      <c r="AC20" s="505"/>
      <c r="AD20" s="505"/>
      <c r="AE20" s="505"/>
      <c r="AF20" s="505"/>
      <c r="AG20" s="505"/>
      <c r="AH20" s="505"/>
      <c r="AI20" s="505"/>
      <c r="AJ20" s="505"/>
      <c r="AK20" s="505"/>
      <c r="AL20" s="505"/>
      <c r="AM20" s="505"/>
      <c r="AN20" s="505"/>
      <c r="AO20" s="505"/>
      <c r="AP20" s="505"/>
      <c r="AQ20" s="505"/>
      <c r="AR20" s="505"/>
      <c r="AS20" s="505"/>
      <c r="AT20" s="505"/>
      <c r="AU20" s="505"/>
      <c r="AV20" s="505"/>
      <c r="AW20" s="505"/>
      <c r="AX20" s="505"/>
      <c r="AY20" s="505"/>
      <c r="AZ20" s="505"/>
      <c r="BA20" s="505"/>
      <c r="BB20" s="505"/>
      <c r="BC20" s="505"/>
      <c r="BD20" s="505"/>
      <c r="BE20" s="505"/>
      <c r="BF20" s="505"/>
      <c r="BG20" s="505"/>
      <c r="BH20" s="505"/>
      <c r="BI20" s="505"/>
      <c r="BJ20" s="505"/>
      <c r="BK20" s="505"/>
      <c r="BL20" s="505"/>
      <c r="BM20" s="505"/>
      <c r="BN20" s="505"/>
      <c r="BO20" s="505"/>
      <c r="BP20" s="505"/>
      <c r="BQ20" s="505"/>
      <c r="BR20" s="505"/>
      <c r="BS20" s="505"/>
      <c r="BT20" s="505"/>
      <c r="BU20" s="505"/>
      <c r="BV20" s="505"/>
      <c r="BW20" s="505"/>
      <c r="BX20" s="505"/>
      <c r="BY20" s="505"/>
      <c r="BZ20" s="505"/>
      <c r="CA20" s="505"/>
      <c r="CB20" s="505"/>
      <c r="CC20" s="505"/>
      <c r="CD20" s="505"/>
      <c r="CE20" s="505"/>
      <c r="CF20" s="505"/>
      <c r="CG20" s="505"/>
      <c r="CH20" s="505"/>
      <c r="CI20" s="505"/>
      <c r="CJ20" s="505"/>
      <c r="CK20" s="505"/>
      <c r="CL20" s="505"/>
      <c r="CM20" s="505"/>
      <c r="CN20" s="505"/>
      <c r="CO20" s="505"/>
      <c r="CP20" s="505"/>
      <c r="CQ20" s="505"/>
      <c r="CR20" s="505"/>
      <c r="CS20" s="505"/>
      <c r="CT20" s="505"/>
      <c r="CU20" s="505"/>
    </row>
    <row r="21" spans="1:99" ht="20.100000000000001" customHeight="1">
      <c r="A21" s="400">
        <v>2</v>
      </c>
      <c r="B21" s="380" t="s">
        <v>180</v>
      </c>
      <c r="C21" s="378">
        <v>72.494465204879901</v>
      </c>
      <c r="D21" s="378">
        <v>29.47752352945998</v>
      </c>
      <c r="E21" s="378">
        <v>60.273571077200053</v>
      </c>
      <c r="F21" s="378">
        <v>40.845852805100023</v>
      </c>
      <c r="G21" s="378">
        <v>33.988817850699952</v>
      </c>
      <c r="H21" s="428">
        <f>'T-3(1st six mth)'!H35</f>
        <v>237.08023046734021</v>
      </c>
      <c r="I21" s="430">
        <f>'T-3(1st six mth)'!I35</f>
        <v>17573.479999999996</v>
      </c>
      <c r="J21" s="401">
        <f>I21/H21*10</f>
        <v>741.24611593967927</v>
      </c>
      <c r="K21" s="306"/>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5"/>
      <c r="AY21" s="505"/>
      <c r="AZ21" s="505"/>
      <c r="BA21" s="505"/>
      <c r="BB21" s="505"/>
      <c r="BC21" s="505"/>
      <c r="BD21" s="505"/>
      <c r="BE21" s="505"/>
      <c r="BF21" s="505"/>
      <c r="BG21" s="505"/>
      <c r="BH21" s="505"/>
      <c r="BI21" s="505"/>
      <c r="BJ21" s="505"/>
      <c r="BK21" s="505"/>
      <c r="BL21" s="505"/>
      <c r="BM21" s="505"/>
      <c r="BN21" s="505"/>
      <c r="BO21" s="505"/>
      <c r="BP21" s="505"/>
      <c r="BQ21" s="505"/>
      <c r="BR21" s="505"/>
      <c r="BS21" s="505"/>
      <c r="BT21" s="505"/>
      <c r="BU21" s="505"/>
      <c r="BV21" s="505"/>
      <c r="BW21" s="505"/>
      <c r="BX21" s="505"/>
      <c r="BY21" s="505"/>
      <c r="BZ21" s="505"/>
      <c r="CA21" s="505"/>
      <c r="CB21" s="505"/>
      <c r="CC21" s="505"/>
      <c r="CD21" s="505"/>
      <c r="CE21" s="505"/>
      <c r="CF21" s="505"/>
      <c r="CG21" s="505"/>
      <c r="CH21" s="505"/>
      <c r="CI21" s="505"/>
      <c r="CJ21" s="505"/>
      <c r="CK21" s="505"/>
      <c r="CL21" s="505"/>
      <c r="CM21" s="505"/>
      <c r="CN21" s="505"/>
      <c r="CO21" s="505"/>
      <c r="CP21" s="505"/>
      <c r="CQ21" s="505"/>
      <c r="CR21" s="505"/>
      <c r="CS21" s="505"/>
      <c r="CT21" s="505"/>
      <c r="CU21" s="505"/>
    </row>
    <row r="22" spans="1:99" ht="20.100000000000001" customHeight="1">
      <c r="A22" s="400"/>
      <c r="B22" s="380" t="s">
        <v>58</v>
      </c>
      <c r="C22" s="378"/>
      <c r="D22" s="378"/>
      <c r="E22" s="378"/>
      <c r="F22" s="378"/>
      <c r="G22" s="378"/>
      <c r="H22" s="428"/>
      <c r="I22" s="430"/>
      <c r="J22" s="401"/>
      <c r="K22" s="306"/>
      <c r="L22" s="505"/>
      <c r="M22" s="505"/>
      <c r="N22" s="505"/>
      <c r="O22" s="505"/>
      <c r="P22" s="505"/>
      <c r="Q22" s="505"/>
      <c r="R22" s="505"/>
      <c r="S22" s="505"/>
      <c r="T22" s="505"/>
      <c r="U22" s="505"/>
      <c r="V22" s="505"/>
      <c r="W22" s="505"/>
      <c r="X22" s="505"/>
      <c r="Y22" s="505"/>
      <c r="Z22" s="505"/>
      <c r="AA22" s="505"/>
      <c r="AB22" s="505"/>
      <c r="AC22" s="505"/>
      <c r="AD22" s="505"/>
      <c r="AE22" s="505"/>
      <c r="AF22" s="505"/>
      <c r="AG22" s="505"/>
      <c r="AH22" s="505"/>
      <c r="AI22" s="505"/>
      <c r="AJ22" s="505"/>
      <c r="AK22" s="505"/>
      <c r="AL22" s="505"/>
      <c r="AM22" s="505"/>
      <c r="AN22" s="505"/>
      <c r="AO22" s="505"/>
      <c r="AP22" s="505"/>
      <c r="AQ22" s="505"/>
      <c r="AR22" s="505"/>
      <c r="AS22" s="505"/>
      <c r="AT22" s="505"/>
      <c r="AU22" s="505"/>
      <c r="AV22" s="505"/>
      <c r="AW22" s="505"/>
      <c r="AX22" s="505"/>
      <c r="AY22" s="505"/>
      <c r="AZ22" s="505"/>
      <c r="BA22" s="505"/>
      <c r="BB22" s="505"/>
      <c r="BC22" s="505"/>
      <c r="BD22" s="505"/>
      <c r="BE22" s="505"/>
      <c r="BF22" s="505"/>
      <c r="BG22" s="505"/>
      <c r="BH22" s="505"/>
      <c r="BI22" s="505"/>
      <c r="BJ22" s="505"/>
      <c r="BK22" s="505"/>
      <c r="BL22" s="505"/>
      <c r="BM22" s="505"/>
      <c r="BN22" s="505"/>
      <c r="BO22" s="505"/>
      <c r="BP22" s="505"/>
      <c r="BQ22" s="505"/>
      <c r="BR22" s="505"/>
      <c r="BS22" s="505"/>
      <c r="BT22" s="505"/>
      <c r="BU22" s="505"/>
      <c r="BV22" s="505"/>
      <c r="BW22" s="505"/>
      <c r="BX22" s="505"/>
      <c r="BY22" s="505"/>
      <c r="BZ22" s="505"/>
      <c r="CA22" s="505"/>
      <c r="CB22" s="505"/>
      <c r="CC22" s="505"/>
      <c r="CD22" s="505"/>
      <c r="CE22" s="505"/>
      <c r="CF22" s="505"/>
      <c r="CG22" s="505"/>
      <c r="CH22" s="505"/>
      <c r="CI22" s="505"/>
      <c r="CJ22" s="505"/>
      <c r="CK22" s="505"/>
      <c r="CL22" s="505"/>
      <c r="CM22" s="505"/>
      <c r="CN22" s="505"/>
      <c r="CO22" s="505"/>
      <c r="CP22" s="505"/>
      <c r="CQ22" s="505"/>
      <c r="CR22" s="505"/>
      <c r="CS22" s="505"/>
      <c r="CT22" s="505"/>
      <c r="CU22" s="505"/>
    </row>
    <row r="23" spans="1:99" ht="20.100000000000001" customHeight="1">
      <c r="A23" s="400"/>
      <c r="B23" s="380" t="s">
        <v>59</v>
      </c>
      <c r="C23" s="378"/>
      <c r="D23" s="378"/>
      <c r="E23" s="378"/>
      <c r="F23" s="378"/>
      <c r="G23" s="378"/>
      <c r="H23" s="428">
        <f>'T-3(1st six mth)'!E35</f>
        <v>9.2851830427775113</v>
      </c>
      <c r="I23" s="430"/>
      <c r="J23" s="401"/>
      <c r="K23" s="306"/>
      <c r="L23" s="505"/>
      <c r="M23" s="505"/>
      <c r="N23" s="505"/>
      <c r="O23" s="505"/>
      <c r="P23" s="505"/>
      <c r="Q23" s="505"/>
      <c r="R23" s="505"/>
      <c r="S23" s="505"/>
      <c r="T23" s="505"/>
      <c r="U23" s="505"/>
      <c r="V23" s="505"/>
      <c r="W23" s="505"/>
      <c r="X23" s="505"/>
      <c r="Y23" s="505"/>
      <c r="Z23" s="505"/>
      <c r="AA23" s="505"/>
      <c r="AB23" s="505"/>
      <c r="AC23" s="505"/>
      <c r="AD23" s="505"/>
      <c r="AE23" s="505"/>
      <c r="AF23" s="505"/>
      <c r="AG23" s="505"/>
      <c r="AH23" s="505"/>
      <c r="AI23" s="505"/>
      <c r="AJ23" s="505"/>
      <c r="AK23" s="505"/>
      <c r="AL23" s="505"/>
      <c r="AM23" s="505"/>
      <c r="AN23" s="505"/>
      <c r="AO23" s="505"/>
      <c r="AP23" s="505"/>
      <c r="AQ23" s="505"/>
      <c r="AR23" s="505"/>
      <c r="AS23" s="505"/>
      <c r="AT23" s="505"/>
      <c r="AU23" s="505"/>
      <c r="AV23" s="505"/>
      <c r="AW23" s="505"/>
      <c r="AX23" s="505"/>
      <c r="AY23" s="505"/>
      <c r="AZ23" s="505"/>
      <c r="BA23" s="505"/>
      <c r="BB23" s="505"/>
      <c r="BC23" s="505"/>
      <c r="BD23" s="505"/>
      <c r="BE23" s="505"/>
      <c r="BF23" s="505"/>
      <c r="BG23" s="505"/>
      <c r="BH23" s="505"/>
      <c r="BI23" s="505"/>
      <c r="BJ23" s="505"/>
      <c r="BK23" s="505"/>
      <c r="BL23" s="505"/>
      <c r="BM23" s="505"/>
      <c r="BN23" s="505"/>
      <c r="BO23" s="505"/>
      <c r="BP23" s="505"/>
      <c r="BQ23" s="505"/>
      <c r="BR23" s="505"/>
      <c r="BS23" s="505"/>
      <c r="BT23" s="505"/>
      <c r="BU23" s="505"/>
      <c r="BV23" s="505"/>
      <c r="BW23" s="505"/>
      <c r="BX23" s="505"/>
      <c r="BY23" s="505"/>
      <c r="BZ23" s="505"/>
      <c r="CA23" s="505"/>
      <c r="CB23" s="505"/>
      <c r="CC23" s="505"/>
      <c r="CD23" s="505"/>
      <c r="CE23" s="505"/>
      <c r="CF23" s="505"/>
      <c r="CG23" s="505"/>
      <c r="CH23" s="505"/>
      <c r="CI23" s="505"/>
      <c r="CJ23" s="505"/>
      <c r="CK23" s="505"/>
      <c r="CL23" s="505"/>
      <c r="CM23" s="505"/>
      <c r="CN23" s="505"/>
      <c r="CO23" s="505"/>
      <c r="CP23" s="505"/>
      <c r="CQ23" s="505"/>
      <c r="CR23" s="505"/>
      <c r="CS23" s="505"/>
      <c r="CT23" s="505"/>
      <c r="CU23" s="505"/>
    </row>
    <row r="24" spans="1:99" ht="20.100000000000001" customHeight="1">
      <c r="A24" s="400"/>
      <c r="B24" s="380" t="s">
        <v>60</v>
      </c>
      <c r="C24" s="378"/>
      <c r="D24" s="378"/>
      <c r="E24" s="378"/>
      <c r="F24" s="378"/>
      <c r="G24" s="378"/>
      <c r="H24" s="428">
        <f>'T-3(1st six mth)'!F35</f>
        <v>26.650537796502679</v>
      </c>
      <c r="I24" s="430"/>
      <c r="J24" s="401"/>
      <c r="K24" s="306"/>
      <c r="L24" s="505"/>
      <c r="M24" s="505"/>
      <c r="N24" s="505"/>
      <c r="O24" s="505"/>
      <c r="P24" s="505"/>
      <c r="Q24" s="505"/>
      <c r="R24" s="505"/>
      <c r="S24" s="505"/>
      <c r="T24" s="505"/>
      <c r="U24" s="505"/>
      <c r="V24" s="505"/>
      <c r="W24" s="505"/>
      <c r="X24" s="505"/>
      <c r="Y24" s="505"/>
      <c r="Z24" s="505"/>
      <c r="AA24" s="505"/>
      <c r="AB24" s="505"/>
      <c r="AC24" s="505"/>
      <c r="AD24" s="505"/>
      <c r="AE24" s="505"/>
      <c r="AF24" s="505"/>
      <c r="AG24" s="505"/>
      <c r="AH24" s="505"/>
      <c r="AI24" s="505"/>
      <c r="AJ24" s="505"/>
      <c r="AK24" s="505"/>
      <c r="AL24" s="505"/>
      <c r="AM24" s="505"/>
      <c r="AN24" s="505"/>
      <c r="AO24" s="505"/>
      <c r="AP24" s="505"/>
      <c r="AQ24" s="505"/>
      <c r="AR24" s="505"/>
      <c r="AS24" s="505"/>
      <c r="AT24" s="505"/>
      <c r="AU24" s="505"/>
      <c r="AV24" s="505"/>
      <c r="AW24" s="505"/>
      <c r="AX24" s="505"/>
      <c r="AY24" s="505"/>
      <c r="AZ24" s="505"/>
      <c r="BA24" s="505"/>
      <c r="BB24" s="505"/>
      <c r="BC24" s="505"/>
      <c r="BD24" s="505"/>
      <c r="BE24" s="505"/>
      <c r="BF24" s="505"/>
      <c r="BG24" s="505"/>
      <c r="BH24" s="505"/>
      <c r="BI24" s="505"/>
      <c r="BJ24" s="505"/>
      <c r="BK24" s="505"/>
      <c r="BL24" s="505"/>
      <c r="BM24" s="505"/>
      <c r="BN24" s="505"/>
      <c r="BO24" s="505"/>
      <c r="BP24" s="505"/>
      <c r="BQ24" s="505"/>
      <c r="BR24" s="505"/>
      <c r="BS24" s="505"/>
      <c r="BT24" s="505"/>
      <c r="BU24" s="505"/>
      <c r="BV24" s="505"/>
      <c r="BW24" s="505"/>
      <c r="BX24" s="505"/>
      <c r="BY24" s="505"/>
      <c r="BZ24" s="505"/>
      <c r="CA24" s="505"/>
      <c r="CB24" s="505"/>
      <c r="CC24" s="505"/>
      <c r="CD24" s="505"/>
      <c r="CE24" s="505"/>
      <c r="CF24" s="505"/>
      <c r="CG24" s="505"/>
      <c r="CH24" s="505"/>
      <c r="CI24" s="505"/>
      <c r="CJ24" s="505"/>
      <c r="CK24" s="505"/>
      <c r="CL24" s="505"/>
      <c r="CM24" s="505"/>
      <c r="CN24" s="505"/>
      <c r="CO24" s="505"/>
      <c r="CP24" s="505"/>
      <c r="CQ24" s="505"/>
      <c r="CR24" s="505"/>
      <c r="CS24" s="505"/>
      <c r="CT24" s="505"/>
      <c r="CU24" s="505"/>
    </row>
    <row r="25" spans="1:99" ht="20.100000000000001" customHeight="1">
      <c r="A25" s="400"/>
      <c r="B25" s="380" t="s">
        <v>61</v>
      </c>
      <c r="C25" s="378"/>
      <c r="D25" s="378"/>
      <c r="E25" s="378"/>
      <c r="F25" s="378"/>
      <c r="G25" s="378"/>
      <c r="H25" s="428">
        <f>'T-3(1st six mth)'!G35</f>
        <v>201.14450962806001</v>
      </c>
      <c r="I25" s="430"/>
      <c r="J25" s="401"/>
      <c r="K25" s="306"/>
      <c r="L25" s="505"/>
      <c r="M25" s="505"/>
      <c r="N25" s="505"/>
      <c r="O25" s="505"/>
      <c r="P25" s="505"/>
      <c r="Q25" s="505"/>
      <c r="R25" s="505"/>
      <c r="S25" s="505"/>
      <c r="T25" s="505"/>
      <c r="U25" s="505"/>
      <c r="V25" s="505"/>
      <c r="W25" s="505"/>
      <c r="X25" s="505"/>
      <c r="Y25" s="505"/>
      <c r="Z25" s="505"/>
      <c r="AA25" s="505"/>
      <c r="AB25" s="239"/>
      <c r="AC25" s="505"/>
      <c r="AD25" s="505"/>
      <c r="AE25" s="505"/>
      <c r="AF25" s="505"/>
      <c r="AG25" s="505"/>
      <c r="AH25" s="505"/>
      <c r="AI25" s="505"/>
      <c r="AJ25" s="505"/>
      <c r="AK25" s="505"/>
      <c r="AL25" s="505"/>
      <c r="AM25" s="505"/>
      <c r="AN25" s="505"/>
      <c r="AO25" s="505"/>
      <c r="AP25" s="505"/>
      <c r="AQ25" s="505"/>
      <c r="AR25" s="505"/>
      <c r="AS25" s="505"/>
      <c r="AT25" s="505"/>
      <c r="AU25" s="505"/>
      <c r="AV25" s="505"/>
      <c r="AW25" s="505"/>
      <c r="AX25" s="505"/>
      <c r="AY25" s="505"/>
      <c r="AZ25" s="505"/>
      <c r="BA25" s="505"/>
      <c r="BB25" s="505"/>
      <c r="BC25" s="505"/>
      <c r="BD25" s="505"/>
      <c r="BE25" s="505"/>
      <c r="BF25" s="505"/>
      <c r="BG25" s="505"/>
      <c r="BH25" s="505"/>
      <c r="BI25" s="505"/>
      <c r="BJ25" s="505"/>
      <c r="BK25" s="505"/>
      <c r="BL25" s="505"/>
      <c r="BM25" s="505"/>
      <c r="BN25" s="505"/>
      <c r="BO25" s="505"/>
      <c r="BP25" s="505"/>
      <c r="BQ25" s="505"/>
      <c r="BR25" s="505"/>
      <c r="BS25" s="505"/>
      <c r="BT25" s="505"/>
      <c r="BU25" s="505"/>
      <c r="BV25" s="505"/>
      <c r="BW25" s="505"/>
      <c r="BX25" s="505"/>
      <c r="BY25" s="505"/>
      <c r="BZ25" s="505"/>
      <c r="CA25" s="505"/>
      <c r="CB25" s="505"/>
      <c r="CC25" s="505"/>
      <c r="CD25" s="505"/>
      <c r="CE25" s="505"/>
      <c r="CF25" s="505"/>
      <c r="CG25" s="505"/>
      <c r="CH25" s="505"/>
      <c r="CI25" s="505"/>
      <c r="CJ25" s="505"/>
      <c r="CK25" s="505"/>
      <c r="CL25" s="505"/>
      <c r="CM25" s="505"/>
      <c r="CN25" s="505"/>
      <c r="CO25" s="505"/>
      <c r="CP25" s="505"/>
      <c r="CQ25" s="505"/>
      <c r="CR25" s="505"/>
      <c r="CS25" s="505"/>
      <c r="CT25" s="505"/>
      <c r="CU25" s="505"/>
    </row>
    <row r="26" spans="1:99" ht="20.100000000000001" customHeight="1">
      <c r="A26" s="400"/>
      <c r="B26" s="62" t="s">
        <v>181</v>
      </c>
      <c r="C26" s="110">
        <f>SUM(C21:C25)</f>
        <v>72.494465204879901</v>
      </c>
      <c r="D26" s="110">
        <f t="shared" ref="D26:G26" si="1">SUM(D21:D25)</f>
        <v>29.47752352945998</v>
      </c>
      <c r="E26" s="110">
        <f t="shared" si="1"/>
        <v>60.273571077200053</v>
      </c>
      <c r="F26" s="110">
        <f t="shared" si="1"/>
        <v>40.845852805100023</v>
      </c>
      <c r="G26" s="110">
        <f t="shared" si="1"/>
        <v>33.988817850699952</v>
      </c>
      <c r="H26" s="110">
        <f>SUM(C26:G26)</f>
        <v>237.0802304673399</v>
      </c>
      <c r="I26" s="109">
        <f t="shared" ref="I26" si="2">SUM(I21:I25)</f>
        <v>17573.479999999996</v>
      </c>
      <c r="J26" s="268">
        <f t="shared" ref="J26:J37" si="3">I26/H26*10</f>
        <v>741.24611593968029</v>
      </c>
      <c r="K26" s="306"/>
      <c r="L26" s="505"/>
      <c r="M26" s="505"/>
      <c r="N26" s="505"/>
      <c r="O26" s="505"/>
      <c r="P26" s="505"/>
      <c r="Q26" s="505"/>
      <c r="R26" s="505"/>
      <c r="S26" s="505"/>
      <c r="T26" s="505"/>
      <c r="U26" s="505"/>
      <c r="V26" s="505"/>
      <c r="W26" s="505"/>
      <c r="X26" s="505"/>
      <c r="Y26" s="505"/>
      <c r="Z26" s="505"/>
      <c r="AA26" s="505"/>
      <c r="AB26" s="505"/>
      <c r="AC26" s="505"/>
      <c r="AD26" s="505"/>
      <c r="AE26" s="505"/>
      <c r="AF26" s="505"/>
      <c r="AG26" s="505"/>
      <c r="AH26" s="505"/>
      <c r="AI26" s="505"/>
      <c r="AJ26" s="505"/>
      <c r="AK26" s="505"/>
      <c r="AL26" s="505"/>
      <c r="AM26" s="505"/>
      <c r="AN26" s="505"/>
      <c r="AO26" s="505"/>
      <c r="AP26" s="505"/>
      <c r="AQ26" s="505"/>
      <c r="AR26" s="505"/>
      <c r="AS26" s="505"/>
      <c r="AT26" s="505"/>
      <c r="AU26" s="505"/>
      <c r="AV26" s="505"/>
      <c r="AW26" s="505"/>
      <c r="AX26" s="505"/>
      <c r="AY26" s="505"/>
      <c r="AZ26" s="505"/>
      <c r="BA26" s="505"/>
      <c r="BB26" s="505"/>
      <c r="BC26" s="505"/>
      <c r="BD26" s="505"/>
      <c r="BE26" s="505"/>
      <c r="BF26" s="505"/>
      <c r="BG26" s="505"/>
      <c r="BH26" s="505"/>
      <c r="BI26" s="505"/>
      <c r="BJ26" s="505"/>
      <c r="BK26" s="505"/>
      <c r="BL26" s="505"/>
      <c r="BM26" s="505"/>
      <c r="BN26" s="505"/>
      <c r="BO26" s="505"/>
      <c r="BP26" s="505"/>
      <c r="BQ26" s="505"/>
      <c r="BR26" s="505"/>
      <c r="BS26" s="505"/>
      <c r="BT26" s="505"/>
      <c r="BU26" s="505"/>
      <c r="BV26" s="505"/>
      <c r="BW26" s="505"/>
      <c r="BX26" s="505"/>
      <c r="BY26" s="505"/>
      <c r="BZ26" s="505"/>
      <c r="CA26" s="505"/>
      <c r="CB26" s="505"/>
      <c r="CC26" s="505"/>
      <c r="CD26" s="505"/>
      <c r="CE26" s="505"/>
      <c r="CF26" s="505"/>
      <c r="CG26" s="505"/>
      <c r="CH26" s="505"/>
      <c r="CI26" s="505"/>
      <c r="CJ26" s="505"/>
      <c r="CK26" s="505"/>
      <c r="CL26" s="505"/>
      <c r="CM26" s="505"/>
      <c r="CN26" s="505"/>
      <c r="CO26" s="505"/>
      <c r="CP26" s="505"/>
      <c r="CQ26" s="505"/>
      <c r="CR26" s="505"/>
      <c r="CS26" s="505"/>
      <c r="CT26" s="505"/>
      <c r="CU26" s="505"/>
    </row>
    <row r="27" spans="1:99" ht="20.100000000000001" customHeight="1">
      <c r="A27" s="400">
        <v>3</v>
      </c>
      <c r="B27" s="380" t="s">
        <v>63</v>
      </c>
      <c r="C27" s="378">
        <v>24.279160242680014</v>
      </c>
      <c r="D27" s="378">
        <v>96.658441688279936</v>
      </c>
      <c r="E27" s="378">
        <v>14.818727888000018</v>
      </c>
      <c r="F27" s="378">
        <v>47.961789344000039</v>
      </c>
      <c r="G27" s="378">
        <v>34.204424207599999</v>
      </c>
      <c r="H27" s="428">
        <f>('T-5'!I15-H28-H29)*0+217.9225+0.0000433705600073608</f>
        <v>217.92254337056002</v>
      </c>
      <c r="I27" s="430">
        <f>('T-5'!J15-I28-I29)*0+3212.04</f>
        <v>3212.04</v>
      </c>
      <c r="J27" s="401">
        <f t="shared" si="3"/>
        <v>147.3936542002532</v>
      </c>
      <c r="K27" s="306"/>
      <c r="L27" s="566"/>
      <c r="M27" s="566"/>
      <c r="N27" s="402"/>
      <c r="O27" s="402"/>
      <c r="P27" s="505"/>
      <c r="Q27" s="505"/>
      <c r="R27" s="505"/>
      <c r="S27" s="505"/>
      <c r="T27" s="505"/>
      <c r="U27" s="505"/>
      <c r="V27" s="505"/>
      <c r="W27" s="505"/>
      <c r="X27" s="505"/>
      <c r="Y27" s="505"/>
      <c r="Z27" s="505"/>
      <c r="AA27" s="505"/>
      <c r="AB27" s="505"/>
      <c r="AC27" s="505"/>
      <c r="AD27" s="505"/>
      <c r="AE27" s="505"/>
      <c r="AF27" s="505"/>
      <c r="AG27" s="505"/>
      <c r="AH27" s="505"/>
      <c r="AI27" s="505"/>
      <c r="AJ27" s="505"/>
      <c r="AK27" s="505"/>
      <c r="AL27" s="505"/>
      <c r="AM27" s="505"/>
      <c r="AN27" s="505"/>
      <c r="AO27" s="505"/>
      <c r="AP27" s="505"/>
      <c r="AQ27" s="505"/>
      <c r="AR27" s="505"/>
      <c r="AS27" s="505"/>
      <c r="AT27" s="505"/>
      <c r="AU27" s="505"/>
      <c r="AV27" s="505"/>
      <c r="AW27" s="505"/>
      <c r="AX27" s="505"/>
      <c r="AY27" s="505"/>
      <c r="AZ27" s="505"/>
      <c r="BA27" s="505"/>
      <c r="BB27" s="505"/>
      <c r="BC27" s="505"/>
      <c r="BD27" s="505"/>
      <c r="BE27" s="505"/>
      <c r="BF27" s="505"/>
      <c r="BG27" s="505"/>
      <c r="BH27" s="505"/>
      <c r="BI27" s="505"/>
      <c r="BJ27" s="505"/>
      <c r="BK27" s="505"/>
      <c r="BL27" s="505"/>
      <c r="BM27" s="505"/>
      <c r="BN27" s="505"/>
      <c r="BO27" s="505"/>
      <c r="BP27" s="505"/>
      <c r="BQ27" s="505"/>
      <c r="BR27" s="505"/>
      <c r="BS27" s="505"/>
      <c r="BT27" s="505"/>
      <c r="BU27" s="505"/>
      <c r="BV27" s="505"/>
      <c r="BW27" s="505"/>
      <c r="BX27" s="505"/>
      <c r="BY27" s="505"/>
      <c r="BZ27" s="505"/>
      <c r="CA27" s="505"/>
      <c r="CB27" s="505"/>
      <c r="CC27" s="505"/>
      <c r="CD27" s="505"/>
      <c r="CE27" s="505"/>
      <c r="CF27" s="505"/>
      <c r="CG27" s="505"/>
      <c r="CH27" s="505"/>
      <c r="CI27" s="505"/>
      <c r="CJ27" s="505"/>
      <c r="CK27" s="505"/>
      <c r="CL27" s="505"/>
      <c r="CM27" s="505"/>
      <c r="CN27" s="505"/>
      <c r="CO27" s="505"/>
      <c r="CP27" s="505"/>
      <c r="CQ27" s="505"/>
      <c r="CR27" s="505"/>
      <c r="CS27" s="505"/>
      <c r="CT27" s="505"/>
      <c r="CU27" s="505"/>
    </row>
    <row r="28" spans="1:99" ht="20.100000000000001" customHeight="1">
      <c r="A28" s="400">
        <v>4</v>
      </c>
      <c r="B28" s="380" t="s">
        <v>64</v>
      </c>
      <c r="C28" s="378">
        <v>1.5436445420000002</v>
      </c>
      <c r="D28" s="378">
        <v>0.68778346476000041</v>
      </c>
      <c r="E28" s="378">
        <v>0.41846773599999987</v>
      </c>
      <c r="F28" s="378">
        <v>1.595028776000001</v>
      </c>
      <c r="G28" s="378">
        <v>0.6608232970000002</v>
      </c>
      <c r="H28" s="428">
        <f t="shared" ref="H28:H36" si="4">SUM(C28:G28)</f>
        <v>4.9057478157600016</v>
      </c>
      <c r="I28" s="430">
        <v>83.496359560000016</v>
      </c>
      <c r="J28" s="401">
        <f t="shared" si="3"/>
        <v>170.20108390358564</v>
      </c>
      <c r="K28" s="1375"/>
      <c r="L28" s="566"/>
      <c r="M28" s="402"/>
      <c r="N28" s="402"/>
      <c r="O28" s="402"/>
      <c r="P28" s="402"/>
      <c r="Q28" s="402"/>
      <c r="R28" s="505"/>
      <c r="S28" s="505"/>
      <c r="T28" s="505"/>
      <c r="U28" s="505"/>
      <c r="V28" s="505"/>
      <c r="W28" s="505"/>
      <c r="X28" s="505"/>
      <c r="Y28" s="505"/>
      <c r="Z28" s="505"/>
      <c r="AA28" s="505"/>
      <c r="AB28" s="505"/>
      <c r="AC28" s="505"/>
      <c r="AD28" s="505"/>
      <c r="AE28" s="505"/>
      <c r="AF28" s="505"/>
      <c r="AG28" s="505"/>
      <c r="AH28" s="505"/>
      <c r="AI28" s="505"/>
      <c r="AJ28" s="505"/>
      <c r="AK28" s="505"/>
      <c r="AL28" s="505"/>
      <c r="AM28" s="505"/>
      <c r="AN28" s="505"/>
      <c r="AO28" s="505"/>
      <c r="AP28" s="505"/>
      <c r="AQ28" s="505"/>
      <c r="AR28" s="505"/>
      <c r="AS28" s="505"/>
      <c r="AT28" s="505"/>
      <c r="AU28" s="505"/>
      <c r="AV28" s="505"/>
      <c r="AW28" s="505"/>
      <c r="AX28" s="505"/>
      <c r="AY28" s="505"/>
      <c r="AZ28" s="505"/>
      <c r="BA28" s="505"/>
      <c r="BB28" s="505"/>
      <c r="BC28" s="505"/>
      <c r="BD28" s="505"/>
      <c r="BE28" s="505"/>
      <c r="BF28" s="505"/>
      <c r="BG28" s="505"/>
      <c r="BH28" s="505"/>
      <c r="BI28" s="505"/>
      <c r="BJ28" s="505"/>
      <c r="BK28" s="505"/>
      <c r="BL28" s="505"/>
      <c r="BM28" s="505"/>
      <c r="BN28" s="505"/>
      <c r="BO28" s="505"/>
      <c r="BP28" s="505"/>
      <c r="BQ28" s="505"/>
      <c r="BR28" s="505"/>
      <c r="BS28" s="505"/>
      <c r="BT28" s="505"/>
      <c r="BU28" s="505"/>
      <c r="BV28" s="505"/>
      <c r="BW28" s="505"/>
      <c r="BX28" s="505"/>
      <c r="BY28" s="505"/>
      <c r="BZ28" s="505"/>
      <c r="CA28" s="505"/>
      <c r="CB28" s="505"/>
      <c r="CC28" s="505"/>
      <c r="CD28" s="505"/>
      <c r="CE28" s="505"/>
      <c r="CF28" s="505"/>
      <c r="CG28" s="505"/>
      <c r="CH28" s="505"/>
      <c r="CI28" s="505"/>
      <c r="CJ28" s="505"/>
      <c r="CK28" s="505"/>
      <c r="CL28" s="505"/>
      <c r="CM28" s="505"/>
      <c r="CN28" s="505"/>
      <c r="CO28" s="505"/>
      <c r="CP28" s="505"/>
      <c r="CQ28" s="505"/>
      <c r="CR28" s="505"/>
      <c r="CS28" s="505"/>
      <c r="CT28" s="505"/>
      <c r="CU28" s="505"/>
    </row>
    <row r="29" spans="1:99" ht="20.100000000000001" customHeight="1">
      <c r="A29" s="400">
        <v>5</v>
      </c>
      <c r="B29" s="380" t="s">
        <v>65</v>
      </c>
      <c r="C29" s="378">
        <v>0.32637249999999995</v>
      </c>
      <c r="D29" s="378">
        <v>0.42540421099999992</v>
      </c>
      <c r="E29" s="378">
        <v>0.30754500000000001</v>
      </c>
      <c r="F29" s="378">
        <v>0.5728222500000002</v>
      </c>
      <c r="G29" s="378">
        <v>2.5107507999999987E-2</v>
      </c>
      <c r="H29" s="428">
        <f t="shared" si="4"/>
        <v>1.6572514690000002</v>
      </c>
      <c r="I29" s="430">
        <v>89.18104739999994</v>
      </c>
      <c r="J29" s="401">
        <f t="shared" si="3"/>
        <v>538.12622325694815</v>
      </c>
      <c r="K29" s="306"/>
      <c r="L29" s="566"/>
      <c r="M29" s="177"/>
      <c r="N29" s="566"/>
      <c r="O29" s="566"/>
      <c r="P29" s="566"/>
      <c r="Q29" s="566"/>
      <c r="R29" s="505"/>
      <c r="S29" s="505"/>
      <c r="T29" s="505"/>
      <c r="U29" s="505"/>
      <c r="V29" s="505"/>
      <c r="W29" s="505"/>
      <c r="X29" s="505"/>
      <c r="Y29" s="505"/>
      <c r="Z29" s="505"/>
      <c r="AA29" s="505"/>
      <c r="AB29" s="505"/>
      <c r="AC29" s="505"/>
      <c r="AD29" s="505"/>
      <c r="AE29" s="505"/>
      <c r="AF29" s="505"/>
      <c r="AG29" s="505"/>
      <c r="AH29" s="505"/>
      <c r="AI29" s="505"/>
      <c r="AJ29" s="505"/>
      <c r="AK29" s="505"/>
      <c r="AL29" s="505"/>
      <c r="AM29" s="505"/>
      <c r="AN29" s="505"/>
      <c r="AO29" s="505"/>
      <c r="AP29" s="505"/>
      <c r="AQ29" s="505"/>
      <c r="AR29" s="505"/>
      <c r="AS29" s="505"/>
      <c r="AT29" s="505"/>
      <c r="AU29" s="505"/>
      <c r="AV29" s="505"/>
      <c r="AW29" s="505"/>
      <c r="AX29" s="505"/>
      <c r="AY29" s="505"/>
      <c r="AZ29" s="505"/>
      <c r="BA29" s="505"/>
      <c r="BB29" s="505"/>
      <c r="BC29" s="505"/>
      <c r="BD29" s="505"/>
      <c r="BE29" s="505"/>
      <c r="BF29" s="505"/>
      <c r="BG29" s="505"/>
      <c r="BH29" s="505"/>
      <c r="BI29" s="505"/>
      <c r="BJ29" s="505"/>
      <c r="BK29" s="505"/>
      <c r="BL29" s="505"/>
      <c r="BM29" s="505"/>
      <c r="BN29" s="505"/>
      <c r="BO29" s="505"/>
      <c r="BP29" s="505"/>
      <c r="BQ29" s="505"/>
      <c r="BR29" s="505"/>
      <c r="BS29" s="505"/>
      <c r="BT29" s="505"/>
      <c r="BU29" s="505"/>
      <c r="BV29" s="505"/>
      <c r="BW29" s="505"/>
      <c r="BX29" s="505"/>
      <c r="BY29" s="505"/>
      <c r="BZ29" s="505"/>
      <c r="CA29" s="505"/>
      <c r="CB29" s="505"/>
      <c r="CC29" s="505"/>
      <c r="CD29" s="505"/>
      <c r="CE29" s="505"/>
      <c r="CF29" s="505"/>
      <c r="CG29" s="505"/>
      <c r="CH29" s="505"/>
      <c r="CI29" s="505"/>
      <c r="CJ29" s="505"/>
      <c r="CK29" s="505"/>
      <c r="CL29" s="505"/>
      <c r="CM29" s="505"/>
      <c r="CN29" s="505"/>
      <c r="CO29" s="505"/>
      <c r="CP29" s="505"/>
      <c r="CQ29" s="505"/>
      <c r="CR29" s="505"/>
      <c r="CS29" s="505"/>
      <c r="CT29" s="505"/>
      <c r="CU29" s="505"/>
    </row>
    <row r="30" spans="1:99" ht="20.100000000000001" customHeight="1">
      <c r="A30" s="400">
        <v>6</v>
      </c>
      <c r="B30" s="380" t="s">
        <v>66</v>
      </c>
      <c r="C30" s="378">
        <v>7.6352528549999912</v>
      </c>
      <c r="D30" s="378">
        <v>1.5053435930000008</v>
      </c>
      <c r="E30" s="378">
        <v>7.2286566059999879</v>
      </c>
      <c r="F30" s="378">
        <v>5.5017324399999996</v>
      </c>
      <c r="G30" s="378">
        <v>2.6620696399999995</v>
      </c>
      <c r="H30" s="428">
        <f t="shared" si="4"/>
        <v>24.53305513399998</v>
      </c>
      <c r="I30" s="430">
        <f>1789.0756018-20</f>
        <v>1769.0756018</v>
      </c>
      <c r="J30" s="401">
        <f t="shared" si="3"/>
        <v>721.0987755651621</v>
      </c>
      <c r="K30" s="306"/>
      <c r="L30" s="566"/>
      <c r="M30" s="566"/>
      <c r="N30" s="566"/>
      <c r="O30" s="566"/>
      <c r="P30" s="505"/>
      <c r="Q30" s="505"/>
      <c r="R30" s="505"/>
      <c r="S30" s="505"/>
      <c r="T30" s="505"/>
      <c r="U30" s="505"/>
      <c r="V30" s="505"/>
      <c r="W30" s="505"/>
      <c r="X30" s="505"/>
      <c r="Y30" s="505"/>
      <c r="Z30" s="505"/>
      <c r="AA30" s="505"/>
      <c r="AB30" s="505"/>
      <c r="AC30" s="505"/>
      <c r="AD30" s="505"/>
      <c r="AE30" s="505"/>
      <c r="AF30" s="505"/>
      <c r="AG30" s="505"/>
      <c r="AH30" s="505"/>
      <c r="AI30" s="505"/>
      <c r="AJ30" s="505"/>
      <c r="AK30" s="505"/>
      <c r="AL30" s="505"/>
      <c r="AM30" s="505"/>
      <c r="AN30" s="505"/>
      <c r="AO30" s="505"/>
      <c r="AP30" s="505"/>
      <c r="AQ30" s="505"/>
      <c r="AR30" s="505"/>
      <c r="AS30" s="505"/>
      <c r="AT30" s="505"/>
      <c r="AU30" s="505"/>
      <c r="AV30" s="505"/>
      <c r="AW30" s="505"/>
      <c r="AX30" s="505"/>
      <c r="AY30" s="505"/>
      <c r="AZ30" s="505"/>
      <c r="BA30" s="505"/>
      <c r="BB30" s="505"/>
      <c r="BC30" s="505"/>
      <c r="BD30" s="505"/>
      <c r="BE30" s="505"/>
      <c r="BF30" s="505"/>
      <c r="BG30" s="505"/>
      <c r="BH30" s="505"/>
      <c r="BI30" s="505"/>
      <c r="BJ30" s="505"/>
      <c r="BK30" s="505"/>
      <c r="BL30" s="505"/>
      <c r="BM30" s="505"/>
      <c r="BN30" s="505"/>
      <c r="BO30" s="505"/>
      <c r="BP30" s="505"/>
      <c r="BQ30" s="505"/>
      <c r="BR30" s="505"/>
      <c r="BS30" s="505"/>
      <c r="BT30" s="505"/>
      <c r="BU30" s="505"/>
      <c r="BV30" s="505"/>
      <c r="BW30" s="505"/>
      <c r="BX30" s="505"/>
      <c r="BY30" s="505"/>
      <c r="BZ30" s="505"/>
      <c r="CA30" s="505"/>
      <c r="CB30" s="505"/>
      <c r="CC30" s="505"/>
      <c r="CD30" s="505"/>
      <c r="CE30" s="505"/>
      <c r="CF30" s="505"/>
      <c r="CG30" s="505"/>
      <c r="CH30" s="505"/>
      <c r="CI30" s="505"/>
      <c r="CJ30" s="505"/>
      <c r="CK30" s="505"/>
      <c r="CL30" s="505"/>
      <c r="CM30" s="505"/>
      <c r="CN30" s="505"/>
      <c r="CO30" s="505"/>
      <c r="CP30" s="505"/>
      <c r="CQ30" s="505"/>
      <c r="CR30" s="505"/>
      <c r="CS30" s="505"/>
      <c r="CT30" s="505"/>
      <c r="CU30" s="505"/>
    </row>
    <row r="31" spans="1:99" ht="20.100000000000001" customHeight="1">
      <c r="A31" s="400">
        <v>7</v>
      </c>
      <c r="B31" s="380" t="s">
        <v>182</v>
      </c>
      <c r="C31" s="378">
        <v>2.4727724419999992</v>
      </c>
      <c r="D31" s="378">
        <v>1.2575427369999983</v>
      </c>
      <c r="E31" s="378">
        <v>2.9549642180000011</v>
      </c>
      <c r="F31" s="378">
        <v>2.1976201120000001</v>
      </c>
      <c r="G31" s="378">
        <v>2.1920206784000018</v>
      </c>
      <c r="H31" s="428">
        <f t="shared" si="4"/>
        <v>11.0749201874</v>
      </c>
      <c r="I31" s="430">
        <f>792.384191919997-50</f>
        <v>742.38419191999697</v>
      </c>
      <c r="J31" s="401">
        <f t="shared" si="3"/>
        <v>670.32915755421129</v>
      </c>
      <c r="K31" s="306"/>
      <c r="L31"/>
      <c r="M31"/>
      <c r="N31" s="505"/>
      <c r="O31" s="505"/>
      <c r="P31" s="505"/>
      <c r="Q31" s="505"/>
      <c r="R31" s="505"/>
      <c r="S31" s="505"/>
      <c r="T31" s="505"/>
      <c r="U31" s="505"/>
      <c r="V31" s="505"/>
      <c r="W31" s="505"/>
      <c r="X31" s="505"/>
      <c r="Y31" s="505"/>
      <c r="Z31" s="505"/>
      <c r="AA31" s="505"/>
      <c r="AB31" s="505"/>
      <c r="AC31" s="505"/>
      <c r="AD31" s="505"/>
      <c r="AE31" s="505"/>
      <c r="AF31" s="505"/>
      <c r="AG31" s="505"/>
      <c r="AH31" s="505"/>
      <c r="AI31" s="505"/>
      <c r="AJ31" s="505"/>
      <c r="AK31" s="505"/>
      <c r="AL31" s="505"/>
      <c r="AM31" s="505"/>
      <c r="AN31" s="505"/>
      <c r="AO31" s="505"/>
      <c r="AP31" s="505"/>
      <c r="AQ31" s="505"/>
      <c r="AR31" s="505"/>
      <c r="AS31" s="505"/>
      <c r="AT31" s="505"/>
      <c r="AU31" s="505"/>
      <c r="AV31" s="505"/>
      <c r="AW31" s="505"/>
      <c r="AX31" s="505"/>
      <c r="AY31" s="505"/>
      <c r="AZ31" s="505"/>
      <c r="BA31" s="505"/>
      <c r="BB31" s="505"/>
      <c r="BC31" s="505"/>
      <c r="BD31" s="505"/>
      <c r="BE31" s="505"/>
      <c r="BF31" s="505"/>
      <c r="BG31" s="505"/>
      <c r="BH31" s="505"/>
      <c r="BI31" s="505"/>
      <c r="BJ31" s="505"/>
      <c r="BK31" s="505"/>
      <c r="BL31" s="505"/>
      <c r="BM31" s="505"/>
      <c r="BN31" s="505"/>
      <c r="BO31" s="505"/>
      <c r="BP31" s="505"/>
      <c r="BQ31" s="505"/>
      <c r="BR31" s="505"/>
      <c r="BS31" s="505"/>
      <c r="BT31" s="505"/>
      <c r="BU31" s="505"/>
      <c r="BV31" s="505"/>
      <c r="BW31" s="505"/>
      <c r="BX31" s="505"/>
      <c r="BY31" s="505"/>
      <c r="BZ31" s="505"/>
      <c r="CA31" s="505"/>
      <c r="CB31" s="505"/>
      <c r="CC31" s="505"/>
      <c r="CD31" s="505"/>
      <c r="CE31" s="505"/>
      <c r="CF31" s="505"/>
      <c r="CG31" s="505"/>
      <c r="CH31" s="505"/>
      <c r="CI31" s="505"/>
      <c r="CJ31" s="505"/>
      <c r="CK31" s="505"/>
      <c r="CL31" s="505"/>
      <c r="CM31" s="505"/>
      <c r="CN31" s="505"/>
      <c r="CO31" s="505"/>
      <c r="CP31" s="505"/>
      <c r="CQ31" s="505"/>
      <c r="CR31" s="505"/>
      <c r="CS31" s="505"/>
      <c r="CT31" s="505"/>
      <c r="CU31" s="505"/>
    </row>
    <row r="32" spans="1:99" ht="20.100000000000001" customHeight="1">
      <c r="A32" s="400">
        <v>8</v>
      </c>
      <c r="B32" s="380" t="s">
        <v>183</v>
      </c>
      <c r="C32" s="378">
        <f>7.557616353+0.049404</f>
        <v>7.6070203530000002</v>
      </c>
      <c r="D32" s="378">
        <v>3.0663504070000012</v>
      </c>
      <c r="E32" s="378">
        <f>10.647000683+0.041916</f>
        <v>10.688916683</v>
      </c>
      <c r="F32" s="378">
        <f>4.3702948+0.195655</f>
        <v>4.5659498000000003</v>
      </c>
      <c r="G32" s="378">
        <f>6.783801753+0.614395</f>
        <v>7.3981967529999997</v>
      </c>
      <c r="H32" s="428">
        <f t="shared" si="4"/>
        <v>33.326433995999999</v>
      </c>
      <c r="I32" s="430">
        <f>2419.17546099-200</f>
        <v>2219.1754609899999</v>
      </c>
      <c r="J32" s="401">
        <f t="shared" si="3"/>
        <v>665.8904643852253</v>
      </c>
      <c r="K32" s="306"/>
      <c r="L32" s="505"/>
      <c r="M32" s="505"/>
      <c r="N32" s="505"/>
      <c r="O32" s="505"/>
      <c r="P32" s="505"/>
      <c r="Q32" s="505"/>
      <c r="R32" s="505"/>
      <c r="S32" s="505"/>
      <c r="T32" s="505"/>
      <c r="U32" s="505"/>
      <c r="V32" s="505"/>
      <c r="W32" s="505"/>
      <c r="X32" s="505"/>
      <c r="Y32" s="505"/>
      <c r="Z32" s="505"/>
      <c r="AA32" s="505"/>
      <c r="AB32" s="505"/>
      <c r="AC32" s="505"/>
      <c r="AD32" s="505"/>
      <c r="AE32" s="505"/>
      <c r="AF32" s="505"/>
      <c r="AG32" s="505"/>
      <c r="AH32" s="505"/>
      <c r="AI32" s="505"/>
      <c r="AJ32" s="505"/>
      <c r="AK32" s="505"/>
      <c r="AL32" s="505"/>
      <c r="AM32" s="505"/>
      <c r="AN32" s="505"/>
      <c r="AO32" s="505"/>
      <c r="AP32" s="505"/>
      <c r="AQ32" s="505"/>
      <c r="AR32" s="505"/>
      <c r="AS32" s="505"/>
      <c r="AT32" s="505"/>
      <c r="AU32" s="505"/>
      <c r="AV32" s="505"/>
      <c r="AW32" s="505"/>
      <c r="AX32" s="505"/>
      <c r="AY32" s="505"/>
      <c r="AZ32" s="505"/>
      <c r="BA32" s="505"/>
      <c r="BB32" s="505"/>
      <c r="BC32" s="505"/>
      <c r="BD32" s="505"/>
      <c r="BE32" s="505"/>
      <c r="BF32" s="505"/>
      <c r="BG32" s="505"/>
      <c r="BH32" s="505"/>
      <c r="BI32" s="505"/>
      <c r="BJ32" s="505"/>
      <c r="BK32" s="505"/>
      <c r="BL32" s="505"/>
      <c r="BM32" s="505"/>
      <c r="BN32" s="505"/>
      <c r="BO32" s="505"/>
      <c r="BP32" s="505"/>
      <c r="BQ32" s="505"/>
      <c r="BR32" s="505"/>
      <c r="BS32" s="505"/>
      <c r="BT32" s="505"/>
      <c r="BU32" s="505"/>
      <c r="BV32" s="505"/>
      <c r="BW32" s="505"/>
      <c r="BX32" s="505"/>
      <c r="BY32" s="505"/>
      <c r="BZ32" s="505"/>
      <c r="CA32" s="505"/>
      <c r="CB32" s="505"/>
      <c r="CC32" s="505"/>
      <c r="CD32" s="505"/>
      <c r="CE32" s="505"/>
      <c r="CF32" s="505"/>
      <c r="CG32" s="505"/>
      <c r="CH32" s="505"/>
      <c r="CI32" s="505"/>
      <c r="CJ32" s="505"/>
      <c r="CK32" s="505"/>
      <c r="CL32" s="505"/>
      <c r="CM32" s="505"/>
      <c r="CN32" s="505"/>
      <c r="CO32" s="505"/>
      <c r="CP32" s="505"/>
      <c r="CQ32" s="505"/>
      <c r="CR32" s="505"/>
      <c r="CS32" s="505"/>
      <c r="CT32" s="505"/>
      <c r="CU32" s="505"/>
    </row>
    <row r="33" spans="1:99" ht="20.100000000000001" customHeight="1">
      <c r="A33" s="400">
        <v>9</v>
      </c>
      <c r="B33" s="380" t="s">
        <v>184</v>
      </c>
      <c r="C33" s="378">
        <v>10.021623224399999</v>
      </c>
      <c r="D33" s="378">
        <v>2.4999861060000015</v>
      </c>
      <c r="E33" s="378">
        <v>10.806376310999987</v>
      </c>
      <c r="F33" s="378">
        <v>4.6827406427999989</v>
      </c>
      <c r="G33" s="378">
        <v>4.9469419630000004</v>
      </c>
      <c r="H33" s="428">
        <f t="shared" si="4"/>
        <v>32.95766824719999</v>
      </c>
      <c r="I33" s="430">
        <v>2081.7199397699983</v>
      </c>
      <c r="J33" s="401">
        <f t="shared" si="3"/>
        <v>631.63447248634054</v>
      </c>
      <c r="K33" s="306"/>
      <c r="L33" s="505"/>
      <c r="M33" s="505"/>
      <c r="N33" s="505"/>
      <c r="O33" s="505"/>
      <c r="P33" s="505"/>
      <c r="Q33" s="505"/>
      <c r="R33" s="505"/>
      <c r="S33" s="505"/>
      <c r="T33" s="505"/>
      <c r="U33" s="505"/>
      <c r="V33" s="505"/>
      <c r="W33" s="505"/>
      <c r="X33" s="505"/>
      <c r="Y33" s="505"/>
      <c r="Z33" s="505"/>
      <c r="AA33" s="505"/>
      <c r="AB33" s="505"/>
      <c r="AC33" s="505"/>
      <c r="AD33" s="505"/>
      <c r="AE33" s="505"/>
      <c r="AF33" s="505"/>
      <c r="AG33" s="505"/>
      <c r="AH33" s="505"/>
      <c r="AI33" s="505"/>
      <c r="AJ33" s="505"/>
      <c r="AK33" s="505"/>
      <c r="AL33" s="505"/>
      <c r="AM33" s="505"/>
      <c r="AN33" s="505"/>
      <c r="AO33" s="505"/>
      <c r="AP33" s="505"/>
      <c r="AQ33" s="505"/>
      <c r="AR33" s="505"/>
      <c r="AS33" s="505"/>
      <c r="AT33" s="505"/>
      <c r="AU33" s="505"/>
      <c r="AV33" s="505"/>
      <c r="AW33" s="505"/>
      <c r="AX33" s="505"/>
      <c r="AY33" s="505"/>
      <c r="AZ33" s="505"/>
      <c r="BA33" s="505"/>
      <c r="BB33" s="505"/>
      <c r="BC33" s="505"/>
      <c r="BD33" s="505"/>
      <c r="BE33" s="505"/>
      <c r="BF33" s="505"/>
      <c r="BG33" s="505"/>
      <c r="BH33" s="505"/>
      <c r="BI33" s="505"/>
      <c r="BJ33" s="505"/>
      <c r="BK33" s="505"/>
      <c r="BL33" s="505"/>
      <c r="BM33" s="505"/>
      <c r="BN33" s="505"/>
      <c r="BO33" s="505"/>
      <c r="BP33" s="505"/>
      <c r="BQ33" s="505"/>
      <c r="BR33" s="505"/>
      <c r="BS33" s="505"/>
      <c r="BT33" s="505"/>
      <c r="BU33" s="505"/>
      <c r="BV33" s="505"/>
      <c r="BW33" s="505"/>
      <c r="BX33" s="505"/>
      <c r="BY33" s="505"/>
      <c r="BZ33" s="505"/>
      <c r="CA33" s="505"/>
      <c r="CB33" s="505"/>
      <c r="CC33" s="505"/>
      <c r="CD33" s="505"/>
      <c r="CE33" s="505"/>
      <c r="CF33" s="505"/>
      <c r="CG33" s="505"/>
      <c r="CH33" s="505"/>
      <c r="CI33" s="505"/>
      <c r="CJ33" s="505"/>
      <c r="CK33" s="505"/>
      <c r="CL33" s="505"/>
      <c r="CM33" s="505"/>
      <c r="CN33" s="505"/>
      <c r="CO33" s="505"/>
      <c r="CP33" s="505"/>
      <c r="CQ33" s="505"/>
      <c r="CR33" s="505"/>
      <c r="CS33" s="505"/>
      <c r="CT33" s="505"/>
      <c r="CU33" s="505"/>
    </row>
    <row r="34" spans="1:99" ht="20.100000000000001" customHeight="1">
      <c r="A34" s="400">
        <v>10</v>
      </c>
      <c r="B34" s="380" t="s">
        <v>185</v>
      </c>
      <c r="C34" s="378">
        <f>8.1284252305-3.1</f>
        <v>5.0284252304999999</v>
      </c>
      <c r="D34" s="378">
        <v>5.9679670584000011</v>
      </c>
      <c r="E34" s="378">
        <v>4.2697441470000035</v>
      </c>
      <c r="F34" s="378">
        <v>7.2213494327000047</v>
      </c>
      <c r="G34" s="378">
        <v>8.0183048946999964</v>
      </c>
      <c r="H34" s="428">
        <f t="shared" si="4"/>
        <v>30.505790763300006</v>
      </c>
      <c r="I34" s="430">
        <f>2474.96345965-200-192.2</f>
        <v>2082.7634596500002</v>
      </c>
      <c r="J34" s="401">
        <f>I34/H34*10</f>
        <v>682.74363900629282</v>
      </c>
      <c r="K34" s="306"/>
      <c r="L34" s="505"/>
      <c r="M34" s="505"/>
      <c r="N34" s="505"/>
      <c r="O34" s="505"/>
      <c r="P34" s="505"/>
      <c r="Q34" s="505"/>
      <c r="R34" s="505"/>
      <c r="S34" s="505"/>
      <c r="T34" s="505"/>
      <c r="U34" s="505"/>
      <c r="V34" s="505"/>
      <c r="W34" s="505"/>
      <c r="X34" s="505"/>
      <c r="Y34" s="505"/>
      <c r="Z34" s="505"/>
      <c r="AA34" s="505"/>
      <c r="AB34" s="505"/>
      <c r="AC34" s="505"/>
      <c r="AD34" s="505"/>
      <c r="AE34" s="505"/>
      <c r="AF34" s="505"/>
      <c r="AG34" s="505"/>
      <c r="AH34" s="505"/>
      <c r="AI34" s="505"/>
      <c r="AJ34" s="505"/>
      <c r="AK34" s="505"/>
      <c r="AL34" s="505"/>
      <c r="AM34" s="505"/>
      <c r="AN34" s="505"/>
      <c r="AO34" s="505"/>
      <c r="AP34" s="505"/>
      <c r="AQ34" s="505"/>
      <c r="AR34" s="505"/>
      <c r="AS34" s="505"/>
      <c r="AT34" s="505"/>
      <c r="AU34" s="505"/>
      <c r="AV34" s="505"/>
      <c r="AW34" s="505"/>
      <c r="AX34" s="505"/>
      <c r="AY34" s="505"/>
      <c r="AZ34" s="505"/>
      <c r="BA34" s="505"/>
      <c r="BB34" s="505"/>
      <c r="BC34" s="505"/>
      <c r="BD34" s="505"/>
      <c r="BE34" s="505"/>
      <c r="BF34" s="505"/>
      <c r="BG34" s="505"/>
      <c r="BH34" s="505"/>
      <c r="BI34" s="505"/>
      <c r="BJ34" s="505"/>
      <c r="BK34" s="505"/>
      <c r="BL34" s="505"/>
      <c r="BM34" s="505"/>
      <c r="BN34" s="505"/>
      <c r="BO34" s="505"/>
      <c r="BP34" s="505"/>
      <c r="BQ34" s="505"/>
      <c r="BR34" s="505"/>
      <c r="BS34" s="505"/>
      <c r="BT34" s="505"/>
      <c r="BU34" s="505"/>
      <c r="BV34" s="505"/>
      <c r="BW34" s="505"/>
      <c r="BX34" s="505"/>
      <c r="BY34" s="505"/>
      <c r="BZ34" s="505"/>
      <c r="CA34" s="505"/>
      <c r="CB34" s="505"/>
      <c r="CC34" s="505"/>
      <c r="CD34" s="505"/>
      <c r="CE34" s="505"/>
      <c r="CF34" s="505"/>
      <c r="CG34" s="505"/>
      <c r="CH34" s="505"/>
      <c r="CI34" s="505"/>
      <c r="CJ34" s="505"/>
      <c r="CK34" s="505"/>
      <c r="CL34" s="505"/>
      <c r="CM34" s="505"/>
      <c r="CN34" s="505"/>
      <c r="CO34" s="505"/>
      <c r="CP34" s="505"/>
      <c r="CQ34" s="505"/>
      <c r="CR34" s="505"/>
      <c r="CS34" s="505"/>
      <c r="CT34" s="505"/>
      <c r="CU34" s="505"/>
    </row>
    <row r="35" spans="1:99" ht="20.100000000000001" customHeight="1">
      <c r="A35" s="400">
        <v>11</v>
      </c>
      <c r="B35" s="380" t="s">
        <v>186</v>
      </c>
      <c r="C35" s="378">
        <f>0.0043936+3.1</f>
        <v>3.1043936000000003</v>
      </c>
      <c r="D35" s="378">
        <v>8.8248000000000007E-2</v>
      </c>
      <c r="E35" s="401">
        <v>0</v>
      </c>
      <c r="F35" s="378">
        <v>4.4053300000000011E-2</v>
      </c>
      <c r="G35" s="401">
        <v>0</v>
      </c>
      <c r="H35" s="428">
        <f t="shared" si="4"/>
        <v>3.2366949000000003</v>
      </c>
      <c r="I35" s="430">
        <f>9.89507588-1+192.2</f>
        <v>201.09507588</v>
      </c>
      <c r="J35" s="401">
        <f>I35/H35*10</f>
        <v>621.29759551942936</v>
      </c>
      <c r="K35" s="306"/>
      <c r="L35" s="505"/>
      <c r="M35" s="505"/>
      <c r="N35" s="505"/>
      <c r="O35" s="505"/>
      <c r="P35" s="505"/>
      <c r="Q35" s="505"/>
      <c r="R35" s="505"/>
      <c r="S35" s="505"/>
      <c r="T35" s="505"/>
      <c r="U35" s="505"/>
      <c r="V35" s="505"/>
      <c r="W35" s="505"/>
      <c r="X35" s="505"/>
      <c r="Y35" s="505"/>
      <c r="Z35" s="505"/>
      <c r="AA35" s="505"/>
      <c r="AB35" s="505"/>
      <c r="AC35" s="505"/>
      <c r="AD35" s="505"/>
      <c r="AE35" s="505"/>
      <c r="AF35" s="505"/>
      <c r="AG35" s="505"/>
      <c r="AH35" s="505"/>
      <c r="AI35" s="505"/>
      <c r="AJ35" s="505"/>
      <c r="AK35" s="505"/>
      <c r="AL35" s="505"/>
      <c r="AM35" s="505"/>
      <c r="AN35" s="505"/>
      <c r="AO35" s="505"/>
      <c r="AP35" s="505"/>
      <c r="AQ35" s="505"/>
      <c r="AR35" s="505"/>
      <c r="AS35" s="505"/>
      <c r="AT35" s="505"/>
      <c r="AU35" s="505"/>
      <c r="AV35" s="505"/>
      <c r="AW35" s="505"/>
      <c r="AX35" s="505"/>
      <c r="AY35" s="505"/>
      <c r="AZ35" s="505"/>
      <c r="BA35" s="505"/>
      <c r="BB35" s="505"/>
      <c r="BC35" s="505"/>
      <c r="BD35" s="505"/>
      <c r="BE35" s="505"/>
      <c r="BF35" s="505"/>
      <c r="BG35" s="505"/>
      <c r="BH35" s="505"/>
      <c r="BI35" s="505"/>
      <c r="BJ35" s="505"/>
      <c r="BK35" s="505"/>
      <c r="BL35" s="505"/>
      <c r="BM35" s="505"/>
      <c r="BN35" s="505"/>
      <c r="BO35" s="505"/>
      <c r="BP35" s="505"/>
      <c r="BQ35" s="505"/>
      <c r="BR35" s="505"/>
      <c r="BS35" s="505"/>
      <c r="BT35" s="505"/>
      <c r="BU35" s="505"/>
      <c r="BV35" s="505"/>
      <c r="BW35" s="505"/>
      <c r="BX35" s="505"/>
      <c r="BY35" s="505"/>
      <c r="BZ35" s="505"/>
      <c r="CA35" s="505"/>
      <c r="CB35" s="505"/>
      <c r="CC35" s="505"/>
      <c r="CD35" s="505"/>
      <c r="CE35" s="505"/>
      <c r="CF35" s="505"/>
      <c r="CG35" s="505"/>
      <c r="CH35" s="505"/>
      <c r="CI35" s="505"/>
      <c r="CJ35" s="505"/>
      <c r="CK35" s="505"/>
      <c r="CL35" s="505"/>
      <c r="CM35" s="505"/>
      <c r="CN35" s="505"/>
      <c r="CO35" s="505"/>
      <c r="CP35" s="505"/>
      <c r="CQ35" s="505"/>
      <c r="CR35" s="505"/>
      <c r="CS35" s="505"/>
      <c r="CT35" s="505"/>
      <c r="CU35" s="505"/>
    </row>
    <row r="36" spans="1:99" ht="20.100000000000001" customHeight="1">
      <c r="A36" s="400">
        <v>12</v>
      </c>
      <c r="B36" s="62" t="s">
        <v>187</v>
      </c>
      <c r="C36" s="378">
        <v>2.24361444E-2</v>
      </c>
      <c r="D36" s="378">
        <v>2.9891605000000002E-2</v>
      </c>
      <c r="E36" s="378">
        <v>4.0087999999999999E-2</v>
      </c>
      <c r="F36" s="378">
        <v>3.2816999999999999E-2</v>
      </c>
      <c r="G36" s="378">
        <v>5.2920000000000007E-3</v>
      </c>
      <c r="H36" s="428">
        <f t="shared" si="4"/>
        <v>0.1305247494</v>
      </c>
      <c r="I36" s="430">
        <f>15.54319554-6</f>
        <v>9.5431955399999993</v>
      </c>
      <c r="J36" s="401">
        <f t="shared" si="3"/>
        <v>731.14069047199405</v>
      </c>
      <c r="K36" s="306"/>
      <c r="L36" s="505"/>
      <c r="M36" s="505"/>
      <c r="N36" s="505"/>
      <c r="O36" s="505"/>
      <c r="P36" s="505"/>
      <c r="Q36" s="505"/>
      <c r="R36" s="505"/>
      <c r="S36" s="505"/>
      <c r="T36" s="505"/>
      <c r="U36" s="505"/>
      <c r="V36" s="505"/>
      <c r="W36" s="505"/>
      <c r="X36" s="505"/>
      <c r="Y36" s="505"/>
      <c r="Z36" s="505"/>
      <c r="AA36" s="505"/>
      <c r="AB36" s="505"/>
      <c r="AC36" s="505"/>
      <c r="AD36" s="505"/>
      <c r="AE36" s="505"/>
      <c r="AF36" s="505"/>
      <c r="AG36" s="505"/>
      <c r="AH36" s="505"/>
      <c r="AI36" s="505"/>
      <c r="AJ36" s="505"/>
      <c r="AK36" s="505"/>
      <c r="AL36" s="505"/>
      <c r="AM36" s="505"/>
      <c r="AN36" s="505"/>
      <c r="AO36" s="505"/>
      <c r="AP36" s="505"/>
      <c r="AQ36" s="505"/>
      <c r="AR36" s="505"/>
      <c r="AS36" s="505"/>
      <c r="AT36" s="505"/>
      <c r="AU36" s="505"/>
      <c r="AV36" s="505"/>
      <c r="AW36" s="505"/>
      <c r="AX36" s="505"/>
      <c r="AY36" s="505"/>
      <c r="AZ36" s="505"/>
      <c r="BA36" s="505"/>
      <c r="BB36" s="505"/>
      <c r="BC36" s="505"/>
      <c r="BD36" s="505"/>
      <c r="BE36" s="505"/>
      <c r="BF36" s="505"/>
      <c r="BG36" s="505"/>
      <c r="BH36" s="505"/>
      <c r="BI36" s="505"/>
      <c r="BJ36" s="505"/>
      <c r="BK36" s="505"/>
      <c r="BL36" s="505"/>
      <c r="BM36" s="505"/>
      <c r="BN36" s="505"/>
      <c r="BO36" s="505"/>
      <c r="BP36" s="505"/>
      <c r="BQ36" s="505"/>
      <c r="BR36" s="505"/>
      <c r="BS36" s="505"/>
      <c r="BT36" s="505"/>
      <c r="BU36" s="505"/>
      <c r="BV36" s="505"/>
      <c r="BW36" s="505"/>
      <c r="BX36" s="505"/>
      <c r="BY36" s="505"/>
      <c r="BZ36" s="505"/>
      <c r="CA36" s="505"/>
      <c r="CB36" s="505"/>
      <c r="CC36" s="505"/>
      <c r="CD36" s="505"/>
      <c r="CE36" s="505"/>
      <c r="CF36" s="505"/>
      <c r="CG36" s="505"/>
      <c r="CH36" s="505"/>
      <c r="CI36" s="505"/>
      <c r="CJ36" s="505"/>
      <c r="CK36" s="505"/>
      <c r="CL36" s="505"/>
      <c r="CM36" s="505"/>
      <c r="CN36" s="505"/>
      <c r="CO36" s="505"/>
      <c r="CP36" s="505"/>
      <c r="CQ36" s="505"/>
      <c r="CR36" s="505"/>
      <c r="CS36" s="505"/>
      <c r="CT36" s="505"/>
      <c r="CU36" s="505"/>
    </row>
    <row r="37" spans="1:99" ht="20.100000000000001" customHeight="1">
      <c r="A37" s="400">
        <v>13</v>
      </c>
      <c r="B37" s="62" t="s">
        <v>73</v>
      </c>
      <c r="C37" s="378"/>
      <c r="D37" s="378"/>
      <c r="E37" s="378"/>
      <c r="F37" s="378"/>
      <c r="G37" s="378"/>
      <c r="H37" s="431">
        <f>SUM(C37:G37)</f>
        <v>0</v>
      </c>
      <c r="I37" s="430">
        <f>69.80897014-15</f>
        <v>54.80897014</v>
      </c>
      <c r="J37" s="401" t="e">
        <f t="shared" si="3"/>
        <v>#DIV/0!</v>
      </c>
      <c r="K37" s="306"/>
      <c r="L37" s="505"/>
      <c r="M37" s="505"/>
      <c r="N37" s="505"/>
      <c r="O37" s="505"/>
      <c r="P37" s="505"/>
      <c r="Q37" s="505"/>
      <c r="R37" s="505"/>
      <c r="S37" s="505"/>
      <c r="T37" s="505"/>
      <c r="U37" s="505"/>
      <c r="V37" s="505"/>
      <c r="W37" s="505"/>
      <c r="X37" s="505"/>
      <c r="Y37" s="505"/>
      <c r="Z37" s="505"/>
      <c r="AA37" s="505"/>
      <c r="AB37" s="505"/>
      <c r="AC37" s="505"/>
      <c r="AD37" s="505"/>
      <c r="AE37" s="505"/>
      <c r="AF37" s="505"/>
      <c r="AG37" s="505"/>
      <c r="AH37" s="505"/>
      <c r="AI37" s="505"/>
      <c r="AJ37" s="505"/>
      <c r="AK37" s="505"/>
      <c r="AL37" s="505"/>
      <c r="AM37" s="505"/>
      <c r="AN37" s="505"/>
      <c r="AO37" s="505"/>
      <c r="AP37" s="505"/>
      <c r="AQ37" s="505"/>
      <c r="AR37" s="505"/>
      <c r="AS37" s="505"/>
      <c r="AT37" s="505"/>
      <c r="AU37" s="505"/>
      <c r="AV37" s="505"/>
      <c r="AW37" s="505"/>
      <c r="AX37" s="505"/>
      <c r="AY37" s="505"/>
      <c r="AZ37" s="505"/>
      <c r="BA37" s="505"/>
      <c r="BB37" s="505"/>
      <c r="BC37" s="505"/>
      <c r="BD37" s="505"/>
      <c r="BE37" s="505"/>
      <c r="BF37" s="505"/>
      <c r="BG37" s="505"/>
      <c r="BH37" s="505"/>
      <c r="BI37" s="505"/>
      <c r="BJ37" s="505"/>
      <c r="BK37" s="505"/>
      <c r="BL37" s="505"/>
      <c r="BM37" s="505"/>
      <c r="BN37" s="505"/>
      <c r="BO37" s="505"/>
      <c r="BP37" s="505"/>
      <c r="BQ37" s="505"/>
      <c r="BR37" s="505"/>
      <c r="BS37" s="505"/>
      <c r="BT37" s="505"/>
      <c r="BU37" s="505"/>
      <c r="BV37" s="505"/>
      <c r="BW37" s="505"/>
      <c r="BX37" s="505"/>
      <c r="BY37" s="505"/>
      <c r="BZ37" s="505"/>
      <c r="CA37" s="505"/>
      <c r="CB37" s="505"/>
      <c r="CC37" s="505"/>
      <c r="CD37" s="505"/>
      <c r="CE37" s="505"/>
      <c r="CF37" s="505"/>
      <c r="CG37" s="505"/>
      <c r="CH37" s="505"/>
      <c r="CI37" s="505"/>
      <c r="CJ37" s="505"/>
      <c r="CK37" s="505"/>
      <c r="CL37" s="505"/>
      <c r="CM37" s="505"/>
      <c r="CN37" s="505"/>
      <c r="CO37" s="505"/>
      <c r="CP37" s="505"/>
      <c r="CQ37" s="505"/>
      <c r="CR37" s="505"/>
      <c r="CS37" s="505"/>
      <c r="CT37" s="505"/>
      <c r="CU37" s="505"/>
    </row>
    <row r="38" spans="1:99" ht="20.100000000000001" customHeight="1">
      <c r="A38" s="400"/>
      <c r="B38" s="403" t="s">
        <v>188</v>
      </c>
      <c r="C38" s="110">
        <f>SUM(C27:C37)+C19+C26</f>
        <v>410.80367491465984</v>
      </c>
      <c r="D38" s="110">
        <f t="shared" ref="D38:I38" si="5">SUM(D27:D37)+D19+D26</f>
        <v>319.1238283978999</v>
      </c>
      <c r="E38" s="110">
        <f t="shared" si="5"/>
        <v>347.60350418450042</v>
      </c>
      <c r="F38" s="110">
        <f t="shared" si="5"/>
        <v>346.0400039264004</v>
      </c>
      <c r="G38" s="110">
        <f t="shared" si="5"/>
        <v>242.23549427619972</v>
      </c>
      <c r="H38" s="110">
        <f t="shared" si="5"/>
        <v>1665.8065054996609</v>
      </c>
      <c r="I38" s="109">
        <f t="shared" si="5"/>
        <v>80423.354874849989</v>
      </c>
      <c r="J38" s="268">
        <f>I38/H38*10</f>
        <v>482.78929521125201</v>
      </c>
      <c r="K38" s="306"/>
      <c r="L38" s="567"/>
      <c r="M38" s="505"/>
      <c r="N38" s="505"/>
      <c r="O38" s="505"/>
      <c r="P38" s="505"/>
      <c r="Q38" s="505"/>
      <c r="R38" s="505"/>
      <c r="S38" s="505"/>
      <c r="T38" s="505"/>
      <c r="U38" s="505"/>
      <c r="V38" s="505"/>
      <c r="W38" s="505"/>
      <c r="X38" s="505"/>
      <c r="Y38" s="505"/>
      <c r="Z38" s="505"/>
      <c r="AA38" s="505"/>
      <c r="AB38" s="505"/>
      <c r="AC38" s="505"/>
      <c r="AD38" s="505"/>
      <c r="AE38" s="505"/>
      <c r="AF38" s="505"/>
      <c r="AG38" s="505"/>
      <c r="AH38" s="505"/>
      <c r="AI38" s="505"/>
      <c r="AJ38" s="505"/>
      <c r="AK38" s="505"/>
      <c r="AL38" s="505"/>
      <c r="AM38" s="505"/>
      <c r="AN38" s="505"/>
      <c r="AO38" s="505"/>
      <c r="AP38" s="505"/>
      <c r="AQ38" s="505"/>
      <c r="AR38" s="505"/>
      <c r="AS38" s="505"/>
      <c r="AT38" s="505"/>
      <c r="AU38" s="505"/>
      <c r="AV38" s="505"/>
      <c r="AW38" s="505"/>
      <c r="AX38" s="505"/>
      <c r="AY38" s="505"/>
      <c r="AZ38" s="505"/>
      <c r="BA38" s="505"/>
      <c r="BB38" s="505"/>
      <c r="BC38" s="505"/>
      <c r="BD38" s="505"/>
      <c r="BE38" s="505"/>
      <c r="BF38" s="505"/>
      <c r="BG38" s="505"/>
      <c r="BH38" s="505"/>
      <c r="BI38" s="505"/>
      <c r="BJ38" s="505"/>
      <c r="BK38" s="505"/>
      <c r="BL38" s="505"/>
      <c r="BM38" s="505"/>
      <c r="BN38" s="505"/>
      <c r="BO38" s="505"/>
      <c r="BP38" s="505"/>
      <c r="BQ38" s="505"/>
      <c r="BR38" s="505"/>
      <c r="BS38" s="505"/>
      <c r="BT38" s="505"/>
      <c r="BU38" s="505"/>
      <c r="BV38" s="505"/>
      <c r="BW38" s="505"/>
      <c r="BX38" s="505"/>
      <c r="BY38" s="505"/>
      <c r="BZ38" s="505"/>
      <c r="CA38" s="505"/>
      <c r="CB38" s="505"/>
      <c r="CC38" s="505"/>
      <c r="CD38" s="505"/>
      <c r="CE38" s="505"/>
      <c r="CF38" s="505"/>
      <c r="CG38" s="505"/>
      <c r="CH38" s="505"/>
      <c r="CI38" s="505"/>
      <c r="CJ38" s="505"/>
      <c r="CK38" s="505"/>
      <c r="CL38" s="505"/>
      <c r="CM38" s="505"/>
      <c r="CN38" s="505"/>
      <c r="CO38" s="505"/>
      <c r="CP38" s="505"/>
      <c r="CQ38" s="505"/>
      <c r="CR38" s="505"/>
      <c r="CS38" s="505"/>
      <c r="CT38" s="505"/>
      <c r="CU38" s="505"/>
    </row>
    <row r="39" spans="1:99" ht="20.100000000000001" customHeight="1">
      <c r="A39" s="62"/>
      <c r="B39" s="404" t="s">
        <v>75</v>
      </c>
      <c r="C39" s="378"/>
      <c r="D39" s="378"/>
      <c r="E39" s="378"/>
      <c r="F39" s="378"/>
      <c r="G39" s="378"/>
      <c r="H39" s="428"/>
      <c r="I39" s="430"/>
      <c r="J39" s="401"/>
      <c r="K39" s="306"/>
      <c r="L39" s="505"/>
      <c r="M39" s="505"/>
      <c r="N39" s="505"/>
      <c r="O39" s="505"/>
      <c r="P39" s="505"/>
      <c r="Q39" s="505"/>
      <c r="R39" s="505"/>
      <c r="S39" s="505"/>
      <c r="T39" s="505"/>
      <c r="U39" s="505"/>
      <c r="V39" s="505"/>
      <c r="W39" s="505"/>
      <c r="X39" s="505"/>
      <c r="Y39" s="505"/>
      <c r="Z39" s="505"/>
      <c r="AA39" s="505"/>
      <c r="AB39" s="505"/>
      <c r="AC39" s="505"/>
      <c r="AD39" s="505"/>
      <c r="AE39" s="505"/>
      <c r="AF39" s="505"/>
      <c r="AG39" s="505"/>
      <c r="AH39" s="505"/>
      <c r="AI39" s="505"/>
      <c r="AJ39" s="505"/>
      <c r="AK39" s="505"/>
      <c r="AL39" s="505"/>
      <c r="AM39" s="505"/>
      <c r="AN39" s="505"/>
      <c r="AO39" s="505"/>
      <c r="AP39" s="505"/>
      <c r="AQ39" s="505"/>
      <c r="AR39" s="505"/>
      <c r="AS39" s="505"/>
      <c r="AT39" s="505"/>
      <c r="AU39" s="505"/>
      <c r="AV39" s="505"/>
      <c r="AW39" s="505"/>
      <c r="AX39" s="505"/>
      <c r="AY39" s="505"/>
      <c r="AZ39" s="505"/>
      <c r="BA39" s="505"/>
      <c r="BB39" s="505"/>
      <c r="BC39" s="505"/>
      <c r="BD39" s="505"/>
      <c r="BE39" s="505"/>
      <c r="BF39" s="505"/>
      <c r="BG39" s="505"/>
      <c r="BH39" s="505"/>
      <c r="BI39" s="505"/>
      <c r="BJ39" s="505"/>
      <c r="BK39" s="505"/>
      <c r="BL39" s="505"/>
      <c r="BM39" s="505"/>
      <c r="BN39" s="505"/>
      <c r="BO39" s="505"/>
      <c r="BP39" s="505"/>
      <c r="BQ39" s="505"/>
      <c r="BR39" s="505"/>
      <c r="BS39" s="505"/>
      <c r="BT39" s="505"/>
      <c r="BU39" s="505"/>
      <c r="BV39" s="505"/>
      <c r="BW39" s="505"/>
      <c r="BX39" s="505"/>
      <c r="BY39" s="505"/>
      <c r="BZ39" s="505"/>
      <c r="CA39" s="505"/>
      <c r="CB39" s="505"/>
      <c r="CC39" s="505"/>
      <c r="CD39" s="505"/>
      <c r="CE39" s="505"/>
      <c r="CF39" s="505"/>
      <c r="CG39" s="505"/>
      <c r="CH39" s="505"/>
      <c r="CI39" s="505"/>
      <c r="CJ39" s="505"/>
      <c r="CK39" s="505"/>
      <c r="CL39" s="505"/>
      <c r="CM39" s="505"/>
      <c r="CN39" s="505"/>
      <c r="CO39" s="505"/>
      <c r="CP39" s="505"/>
      <c r="CQ39" s="505"/>
      <c r="CR39" s="505"/>
      <c r="CS39" s="505"/>
      <c r="CT39" s="505"/>
      <c r="CU39" s="505"/>
    </row>
    <row r="40" spans="1:99" ht="20.100000000000001" customHeight="1">
      <c r="A40" s="400">
        <v>14</v>
      </c>
      <c r="B40" s="62" t="s">
        <v>76</v>
      </c>
      <c r="C40" s="818">
        <v>4.1757859999999996</v>
      </c>
      <c r="D40" s="818">
        <v>6.4708000000000002E-2</v>
      </c>
      <c r="E40" s="818">
        <v>4.1851582599999997</v>
      </c>
      <c r="F40" s="820">
        <v>0</v>
      </c>
      <c r="G40" s="820">
        <v>0</v>
      </c>
      <c r="H40" s="428">
        <f>SUM(C40:G40)</f>
        <v>8.4256522599999997</v>
      </c>
      <c r="I40" s="430">
        <v>423.35590980000001</v>
      </c>
      <c r="J40" s="401">
        <f>I40/H40*10</f>
        <v>502.46069590344098</v>
      </c>
      <c r="K40" s="306"/>
      <c r="L40" s="565">
        <v>13.598261000000001</v>
      </c>
      <c r="M40" s="505"/>
      <c r="N40" s="893"/>
      <c r="O40" s="505"/>
      <c r="P40" s="505"/>
      <c r="Q40" s="505"/>
      <c r="R40" s="505"/>
      <c r="S40" s="505"/>
      <c r="T40" s="505"/>
      <c r="U40" s="505"/>
      <c r="V40" s="505"/>
      <c r="W40" s="505"/>
      <c r="X40" s="505"/>
      <c r="Y40" s="505"/>
      <c r="Z40" s="505"/>
      <c r="AA40" s="505"/>
      <c r="AB40" s="505"/>
      <c r="AC40" s="505"/>
      <c r="AD40" s="505"/>
      <c r="AE40" s="505"/>
      <c r="AF40" s="505"/>
      <c r="AG40" s="505"/>
      <c r="AH40" s="505"/>
      <c r="AI40" s="505"/>
      <c r="AJ40" s="505"/>
      <c r="AK40" s="505"/>
      <c r="AL40" s="505"/>
      <c r="AM40" s="505"/>
      <c r="AN40" s="505"/>
      <c r="AO40" s="505"/>
      <c r="AP40" s="505"/>
      <c r="AQ40" s="505"/>
      <c r="AR40" s="505"/>
      <c r="AS40" s="505"/>
      <c r="AT40" s="505"/>
      <c r="AU40" s="505"/>
      <c r="AV40" s="505"/>
      <c r="AW40" s="505"/>
      <c r="AX40" s="505"/>
      <c r="AY40" s="505"/>
      <c r="AZ40" s="505"/>
      <c r="BA40" s="505"/>
      <c r="BB40" s="505"/>
      <c r="BC40" s="505"/>
      <c r="BD40" s="505"/>
      <c r="BE40" s="505"/>
      <c r="BF40" s="505"/>
      <c r="BG40" s="505"/>
      <c r="BH40" s="505"/>
      <c r="BI40" s="505"/>
      <c r="BJ40" s="505"/>
      <c r="BK40" s="505"/>
      <c r="BL40" s="505"/>
      <c r="BM40" s="505"/>
      <c r="BN40" s="505"/>
      <c r="BO40" s="505"/>
      <c r="BP40" s="505"/>
      <c r="BQ40" s="505"/>
      <c r="BR40" s="505"/>
      <c r="BS40" s="505"/>
      <c r="BT40" s="505"/>
      <c r="BU40" s="505"/>
      <c r="BV40" s="505"/>
      <c r="BW40" s="505"/>
      <c r="BX40" s="505"/>
      <c r="BY40" s="505"/>
      <c r="BZ40" s="505"/>
      <c r="CA40" s="505"/>
      <c r="CB40" s="505"/>
      <c r="CC40" s="505"/>
      <c r="CD40" s="505"/>
      <c r="CE40" s="505"/>
      <c r="CF40" s="505"/>
      <c r="CG40" s="505"/>
      <c r="CH40" s="505"/>
      <c r="CI40" s="505"/>
      <c r="CJ40" s="505"/>
      <c r="CK40" s="505"/>
      <c r="CL40" s="505"/>
      <c r="CM40" s="505"/>
      <c r="CN40" s="505"/>
      <c r="CO40" s="505"/>
      <c r="CP40" s="505"/>
      <c r="CQ40" s="505"/>
      <c r="CR40" s="505"/>
      <c r="CS40" s="505"/>
      <c r="CT40" s="505"/>
      <c r="CU40" s="505"/>
    </row>
    <row r="41" spans="1:99" ht="20.100000000000001" customHeight="1">
      <c r="A41" s="400">
        <v>15</v>
      </c>
      <c r="B41" s="62" t="s">
        <v>63</v>
      </c>
      <c r="C41" s="818">
        <v>3.4354529999999994</v>
      </c>
      <c r="D41" s="818">
        <v>0.40234599999999998</v>
      </c>
      <c r="E41" s="818">
        <v>1.812848</v>
      </c>
      <c r="F41" s="818">
        <v>4.6202099999999993</v>
      </c>
      <c r="G41" s="818">
        <v>0.33875733000000002</v>
      </c>
      <c r="H41" s="428">
        <f t="shared" ref="H41:H52" si="6">SUM(C41:G41)</f>
        <v>10.609614329999999</v>
      </c>
      <c r="I41" s="430">
        <v>429.77450125300027</v>
      </c>
      <c r="J41" s="401">
        <f>I41/H41*10</f>
        <v>405.08022995497549</v>
      </c>
      <c r="K41" s="306"/>
      <c r="L41" s="565"/>
      <c r="M41" s="505"/>
      <c r="N41" s="893"/>
      <c r="O41" s="505"/>
      <c r="P41" s="505"/>
      <c r="Q41" s="505"/>
      <c r="R41" s="505"/>
      <c r="S41" s="505"/>
      <c r="T41" s="505"/>
      <c r="U41" s="505"/>
      <c r="V41" s="505"/>
      <c r="W41" s="505"/>
      <c r="X41" s="505"/>
      <c r="Y41" s="505"/>
      <c r="Z41" s="505"/>
      <c r="AA41" s="505"/>
      <c r="AB41" s="505"/>
      <c r="AC41" s="505"/>
      <c r="AD41" s="505"/>
      <c r="AE41" s="505"/>
      <c r="AF41" s="505"/>
      <c r="AG41" s="505"/>
      <c r="AH41" s="505"/>
      <c r="AI41" s="505"/>
      <c r="AJ41" s="505"/>
      <c r="AK41" s="505"/>
      <c r="AL41" s="505"/>
      <c r="AM41" s="505"/>
      <c r="AN41" s="505"/>
      <c r="AO41" s="505"/>
      <c r="AP41" s="505"/>
      <c r="AQ41" s="505"/>
      <c r="AR41" s="505"/>
      <c r="AS41" s="505"/>
      <c r="AT41" s="505"/>
      <c r="AU41" s="505"/>
      <c r="AV41" s="505"/>
      <c r="AW41" s="505"/>
      <c r="AX41" s="505"/>
      <c r="AY41" s="505"/>
      <c r="AZ41" s="505"/>
      <c r="BA41" s="505"/>
      <c r="BB41" s="505"/>
      <c r="BC41" s="505"/>
      <c r="BD41" s="505"/>
      <c r="BE41" s="505"/>
      <c r="BF41" s="505"/>
      <c r="BG41" s="505"/>
      <c r="BH41" s="505"/>
      <c r="BI41" s="505"/>
      <c r="BJ41" s="505"/>
      <c r="BK41" s="505"/>
      <c r="BL41" s="505"/>
      <c r="BM41" s="505"/>
      <c r="BN41" s="505"/>
      <c r="BO41" s="505"/>
      <c r="BP41" s="505"/>
      <c r="BQ41" s="505"/>
      <c r="BR41" s="505"/>
      <c r="BS41" s="505"/>
      <c r="BT41" s="505"/>
      <c r="BU41" s="505"/>
      <c r="BV41" s="505"/>
      <c r="BW41" s="505"/>
      <c r="BX41" s="505"/>
      <c r="BY41" s="505"/>
      <c r="BZ41" s="505"/>
      <c r="CA41" s="505"/>
      <c r="CB41" s="505"/>
      <c r="CC41" s="505"/>
      <c r="CD41" s="505"/>
      <c r="CE41" s="505"/>
      <c r="CF41" s="505"/>
      <c r="CG41" s="505"/>
      <c r="CH41" s="505"/>
      <c r="CI41" s="505"/>
      <c r="CJ41" s="505"/>
      <c r="CK41" s="505"/>
      <c r="CL41" s="505"/>
      <c r="CM41" s="505"/>
      <c r="CN41" s="505"/>
      <c r="CO41" s="505"/>
      <c r="CP41" s="505"/>
      <c r="CQ41" s="505"/>
      <c r="CR41" s="505"/>
      <c r="CS41" s="505"/>
      <c r="CT41" s="505"/>
      <c r="CU41" s="505"/>
    </row>
    <row r="42" spans="1:99" ht="20.100000000000001" customHeight="1">
      <c r="A42" s="400">
        <v>16</v>
      </c>
      <c r="B42" s="62" t="s">
        <v>64</v>
      </c>
      <c r="C42" s="820">
        <v>0</v>
      </c>
      <c r="D42" s="818">
        <v>0.284466</v>
      </c>
      <c r="E42" s="820">
        <v>0</v>
      </c>
      <c r="F42" s="818">
        <v>1.9689504999999996</v>
      </c>
      <c r="G42" s="820">
        <v>0</v>
      </c>
      <c r="H42" s="428">
        <f t="shared" si="6"/>
        <v>2.2534164999999997</v>
      </c>
      <c r="I42" s="430">
        <v>35.390508499999996</v>
      </c>
      <c r="J42" s="401">
        <f t="shared" ref="J42" si="7">I42/H42*10</f>
        <v>157.05267312988966</v>
      </c>
      <c r="K42" s="306"/>
      <c r="L42" s="565"/>
      <c r="M42" s="505"/>
      <c r="N42" s="893"/>
      <c r="O42" s="505"/>
      <c r="P42" s="505"/>
      <c r="Q42" s="505"/>
      <c r="R42" s="505"/>
      <c r="S42" s="505"/>
      <c r="T42" s="505"/>
      <c r="U42" s="505"/>
      <c r="V42" s="505"/>
      <c r="W42" s="505"/>
      <c r="X42" s="505"/>
      <c r="Y42" s="505"/>
      <c r="Z42" s="505"/>
      <c r="AA42" s="505"/>
      <c r="AB42" s="505"/>
      <c r="AC42" s="505"/>
      <c r="AD42" s="505"/>
      <c r="AE42" s="505"/>
      <c r="AF42" s="505"/>
      <c r="AG42" s="505"/>
      <c r="AH42" s="505"/>
      <c r="AI42" s="505"/>
      <c r="AJ42" s="505"/>
      <c r="AK42" s="505"/>
      <c r="AL42" s="505"/>
      <c r="AM42" s="505"/>
      <c r="AN42" s="505"/>
      <c r="AO42" s="505"/>
      <c r="AP42" s="505"/>
      <c r="AQ42" s="505"/>
      <c r="AR42" s="505"/>
      <c r="AS42" s="505"/>
      <c r="AT42" s="505"/>
      <c r="AU42" s="505"/>
      <c r="AV42" s="505"/>
      <c r="AW42" s="505"/>
      <c r="AX42" s="505"/>
      <c r="AY42" s="505"/>
      <c r="AZ42" s="505"/>
      <c r="BA42" s="505"/>
      <c r="BB42" s="505"/>
      <c r="BC42" s="505"/>
      <c r="BD42" s="505"/>
      <c r="BE42" s="505"/>
      <c r="BF42" s="505"/>
      <c r="BG42" s="505"/>
      <c r="BH42" s="505"/>
      <c r="BI42" s="505"/>
      <c r="BJ42" s="505"/>
      <c r="BK42" s="505"/>
      <c r="BL42" s="505"/>
      <c r="BM42" s="505"/>
      <c r="BN42" s="505"/>
      <c r="BO42" s="505"/>
      <c r="BP42" s="505"/>
      <c r="BQ42" s="505"/>
      <c r="BR42" s="505"/>
      <c r="BS42" s="505"/>
      <c r="BT42" s="505"/>
      <c r="BU42" s="505"/>
      <c r="BV42" s="505"/>
      <c r="BW42" s="505"/>
      <c r="BX42" s="505"/>
      <c r="BY42" s="505"/>
      <c r="BZ42" s="505"/>
      <c r="CA42" s="505"/>
      <c r="CB42" s="505"/>
      <c r="CC42" s="505"/>
      <c r="CD42" s="505"/>
      <c r="CE42" s="505"/>
      <c r="CF42" s="505"/>
      <c r="CG42" s="505"/>
      <c r="CH42" s="505"/>
      <c r="CI42" s="505"/>
      <c r="CJ42" s="505"/>
      <c r="CK42" s="505"/>
      <c r="CL42" s="505"/>
      <c r="CM42" s="505"/>
      <c r="CN42" s="505"/>
      <c r="CO42" s="505"/>
      <c r="CP42" s="505"/>
      <c r="CQ42" s="505"/>
      <c r="CR42" s="505"/>
      <c r="CS42" s="505"/>
      <c r="CT42" s="505"/>
      <c r="CU42" s="505"/>
    </row>
    <row r="43" spans="1:99" ht="20.100000000000001" customHeight="1">
      <c r="A43" s="400">
        <v>17</v>
      </c>
      <c r="B43" s="62" t="s">
        <v>65</v>
      </c>
      <c r="C43" s="818">
        <v>2.5304570000000006</v>
      </c>
      <c r="D43" s="818">
        <v>0.12897600000000001</v>
      </c>
      <c r="E43" s="818">
        <v>0.48795599999999995</v>
      </c>
      <c r="F43" s="818">
        <v>0.15514799999999998</v>
      </c>
      <c r="G43" s="820">
        <v>0</v>
      </c>
      <c r="H43" s="428">
        <f t="shared" si="6"/>
        <v>3.3025370000000009</v>
      </c>
      <c r="I43" s="430">
        <v>166.5533302</v>
      </c>
      <c r="J43" s="401">
        <f>I43/H43*10</f>
        <v>504.31934661140804</v>
      </c>
      <c r="K43" s="306"/>
      <c r="L43" s="565"/>
      <c r="M43" s="505"/>
      <c r="N43" s="893"/>
      <c r="O43" s="505"/>
      <c r="P43" s="505"/>
      <c r="Q43" s="505"/>
      <c r="R43" s="505"/>
      <c r="S43" s="505"/>
      <c r="T43" s="505"/>
      <c r="U43" s="505"/>
      <c r="V43" s="505"/>
      <c r="W43" s="505"/>
      <c r="X43" s="505"/>
      <c r="Y43" s="505"/>
      <c r="Z43" s="505"/>
      <c r="AA43" s="505"/>
      <c r="AB43" s="505"/>
      <c r="AC43" s="505"/>
      <c r="AD43" s="505"/>
      <c r="AE43" s="505"/>
      <c r="AF43" s="505"/>
      <c r="AG43" s="505"/>
      <c r="AH43" s="505"/>
      <c r="AI43" s="505"/>
      <c r="AJ43" s="505"/>
      <c r="AK43" s="505"/>
      <c r="AL43" s="505"/>
      <c r="AM43" s="505"/>
      <c r="AN43" s="505"/>
      <c r="AO43" s="505"/>
      <c r="AP43" s="505"/>
      <c r="AQ43" s="505"/>
      <c r="AR43" s="505"/>
      <c r="AS43" s="505"/>
      <c r="AT43" s="505"/>
      <c r="AU43" s="505"/>
      <c r="AV43" s="505"/>
      <c r="AW43" s="505"/>
      <c r="AX43" s="505"/>
      <c r="AY43" s="505"/>
      <c r="AZ43" s="505"/>
      <c r="BA43" s="505"/>
      <c r="BB43" s="505"/>
      <c r="BC43" s="505"/>
      <c r="BD43" s="505"/>
      <c r="BE43" s="505"/>
      <c r="BF43" s="505"/>
      <c r="BG43" s="505"/>
      <c r="BH43" s="505"/>
      <c r="BI43" s="505"/>
      <c r="BJ43" s="505"/>
      <c r="BK43" s="505"/>
      <c r="BL43" s="505"/>
      <c r="BM43" s="505"/>
      <c r="BN43" s="505"/>
      <c r="BO43" s="505"/>
      <c r="BP43" s="505"/>
      <c r="BQ43" s="505"/>
      <c r="BR43" s="505"/>
      <c r="BS43" s="505"/>
      <c r="BT43" s="505"/>
      <c r="BU43" s="505"/>
      <c r="BV43" s="505"/>
      <c r="BW43" s="505"/>
      <c r="BX43" s="505"/>
      <c r="BY43" s="505"/>
      <c r="BZ43" s="505"/>
      <c r="CA43" s="505"/>
      <c r="CB43" s="505"/>
      <c r="CC43" s="505"/>
      <c r="CD43" s="505"/>
      <c r="CE43" s="505"/>
      <c r="CF43" s="505"/>
      <c r="CG43" s="505"/>
      <c r="CH43" s="505"/>
      <c r="CI43" s="505"/>
      <c r="CJ43" s="505"/>
      <c r="CK43" s="505"/>
      <c r="CL43" s="505"/>
      <c r="CM43" s="505"/>
      <c r="CN43" s="505"/>
      <c r="CO43" s="505"/>
      <c r="CP43" s="505"/>
      <c r="CQ43" s="505"/>
      <c r="CR43" s="505"/>
      <c r="CS43" s="505"/>
      <c r="CT43" s="505"/>
      <c r="CU43" s="505"/>
    </row>
    <row r="44" spans="1:99" ht="20.100000000000001" customHeight="1">
      <c r="A44" s="400">
        <v>18</v>
      </c>
      <c r="B44" s="62" t="s">
        <v>78</v>
      </c>
      <c r="C44" s="818">
        <v>3.933628399999999</v>
      </c>
      <c r="D44" s="818">
        <v>0.8056241999999999</v>
      </c>
      <c r="E44" s="818">
        <f>10.443794-0.9309</f>
        <v>9.5128940000000011</v>
      </c>
      <c r="F44" s="818">
        <v>1.8320382500000001</v>
      </c>
      <c r="G44" s="818">
        <v>1.4743406210000001</v>
      </c>
      <c r="H44" s="428">
        <f t="shared" si="6"/>
        <v>17.558525470999999</v>
      </c>
      <c r="I44" s="430">
        <f>1438.79993565-200-(0.9309*4.9*10)</f>
        <v>1193.1858356499999</v>
      </c>
      <c r="J44" s="401">
        <f>I44/H44*10</f>
        <v>679.54785703428729</v>
      </c>
      <c r="K44" s="306"/>
      <c r="L44" s="565"/>
      <c r="M44" s="505"/>
      <c r="N44" s="893"/>
      <c r="O44" s="505"/>
      <c r="P44" s="505"/>
      <c r="Q44" s="505"/>
      <c r="R44" s="505"/>
      <c r="S44" s="505"/>
      <c r="T44" s="505"/>
      <c r="U44" s="505"/>
      <c r="V44" s="505"/>
      <c r="W44" s="505"/>
      <c r="X44" s="505"/>
      <c r="Y44" s="505"/>
      <c r="Z44" s="505"/>
      <c r="AA44" s="505"/>
      <c r="AB44" s="505"/>
      <c r="AC44" s="505"/>
      <c r="AD44" s="505"/>
      <c r="AE44" s="505"/>
      <c r="AF44" s="505"/>
      <c r="AG44" s="505"/>
      <c r="AH44" s="505"/>
      <c r="AI44" s="505"/>
      <c r="AJ44" s="505"/>
      <c r="AK44" s="505"/>
      <c r="AL44" s="505"/>
      <c r="AM44" s="505"/>
      <c r="AN44" s="505"/>
      <c r="AO44" s="505"/>
      <c r="AP44" s="505"/>
      <c r="AQ44" s="505"/>
      <c r="AR44" s="505"/>
      <c r="AS44" s="505"/>
      <c r="AT44" s="505"/>
      <c r="AU44" s="505"/>
      <c r="AV44" s="505"/>
      <c r="AW44" s="505"/>
      <c r="AX44" s="505"/>
      <c r="AY44" s="505"/>
      <c r="AZ44" s="505"/>
      <c r="BA44" s="505"/>
      <c r="BB44" s="505"/>
      <c r="BC44" s="505"/>
      <c r="BD44" s="505"/>
      <c r="BE44" s="505"/>
      <c r="BF44" s="505"/>
      <c r="BG44" s="505"/>
      <c r="BH44" s="505"/>
      <c r="BI44" s="505"/>
      <c r="BJ44" s="505"/>
      <c r="BK44" s="505"/>
      <c r="BL44" s="505"/>
      <c r="BM44" s="505"/>
      <c r="BN44" s="505"/>
      <c r="BO44" s="505"/>
      <c r="BP44" s="505"/>
      <c r="BQ44" s="505"/>
      <c r="BR44" s="505"/>
      <c r="BS44" s="505"/>
      <c r="BT44" s="505"/>
      <c r="BU44" s="505"/>
      <c r="BV44" s="505"/>
      <c r="BW44" s="505"/>
      <c r="BX44" s="505"/>
      <c r="BY44" s="505"/>
      <c r="BZ44" s="505"/>
      <c r="CA44" s="505"/>
      <c r="CB44" s="505"/>
      <c r="CC44" s="505"/>
      <c r="CD44" s="505"/>
      <c r="CE44" s="505"/>
      <c r="CF44" s="505"/>
      <c r="CG44" s="505"/>
      <c r="CH44" s="505"/>
      <c r="CI44" s="505"/>
      <c r="CJ44" s="505"/>
      <c r="CK44" s="505"/>
      <c r="CL44" s="505"/>
      <c r="CM44" s="505"/>
      <c r="CN44" s="505"/>
      <c r="CO44" s="505"/>
      <c r="CP44" s="505"/>
      <c r="CQ44" s="505"/>
      <c r="CR44" s="505"/>
      <c r="CS44" s="505"/>
      <c r="CT44" s="505"/>
      <c r="CU44" s="505"/>
    </row>
    <row r="45" spans="1:99" ht="20.100000000000001" customHeight="1">
      <c r="A45" s="400">
        <v>19</v>
      </c>
      <c r="B45" s="62" t="s">
        <v>189</v>
      </c>
      <c r="C45" s="820">
        <v>0</v>
      </c>
      <c r="D45" s="820">
        <v>0</v>
      </c>
      <c r="E45" s="818">
        <v>0.10138800000000001</v>
      </c>
      <c r="F45" s="820">
        <v>0</v>
      </c>
      <c r="G45" s="820">
        <v>0</v>
      </c>
      <c r="H45" s="428">
        <f t="shared" si="6"/>
        <v>0.10138800000000001</v>
      </c>
      <c r="I45" s="430">
        <v>7.5372029999999999</v>
      </c>
      <c r="J45" s="401"/>
      <c r="K45" s="306"/>
      <c r="L45" s="565"/>
      <c r="M45" s="505"/>
      <c r="N45" s="893"/>
      <c r="O45" s="505"/>
      <c r="P45" s="505"/>
      <c r="Q45" s="505"/>
      <c r="R45" s="505"/>
      <c r="S45" s="505"/>
      <c r="T45" s="505"/>
      <c r="U45" s="505"/>
      <c r="V45" s="505"/>
      <c r="W45" s="505"/>
      <c r="X45" s="505"/>
      <c r="Y45" s="505"/>
      <c r="Z45" s="505"/>
      <c r="AA45" s="505"/>
      <c r="AB45" s="505"/>
      <c r="AC45" s="505"/>
      <c r="AD45" s="505"/>
      <c r="AE45" s="505"/>
      <c r="AF45" s="505"/>
      <c r="AG45" s="505"/>
      <c r="AH45" s="505"/>
      <c r="AI45" s="505"/>
      <c r="AJ45" s="505"/>
      <c r="AK45" s="505"/>
      <c r="AL45" s="505"/>
      <c r="AM45" s="505"/>
      <c r="AN45" s="505"/>
      <c r="AO45" s="505"/>
      <c r="AP45" s="505"/>
      <c r="AQ45" s="505"/>
      <c r="AR45" s="505"/>
      <c r="AS45" s="505"/>
      <c r="AT45" s="505"/>
      <c r="AU45" s="505"/>
      <c r="AV45" s="505"/>
      <c r="AW45" s="505"/>
      <c r="AX45" s="505"/>
      <c r="AY45" s="505"/>
      <c r="AZ45" s="505"/>
      <c r="BA45" s="505"/>
      <c r="BB45" s="505"/>
      <c r="BC45" s="505"/>
      <c r="BD45" s="505"/>
      <c r="BE45" s="505"/>
      <c r="BF45" s="505"/>
      <c r="BG45" s="505"/>
      <c r="BH45" s="505"/>
      <c r="BI45" s="505"/>
      <c r="BJ45" s="505"/>
      <c r="BK45" s="505"/>
      <c r="BL45" s="505"/>
      <c r="BM45" s="505"/>
      <c r="BN45" s="505"/>
      <c r="BO45" s="505"/>
      <c r="BP45" s="505"/>
      <c r="BQ45" s="505"/>
      <c r="BR45" s="505"/>
      <c r="BS45" s="505"/>
      <c r="BT45" s="505"/>
      <c r="BU45" s="505"/>
      <c r="BV45" s="505"/>
      <c r="BW45" s="505"/>
      <c r="BX45" s="505"/>
      <c r="BY45" s="505"/>
      <c r="BZ45" s="505"/>
      <c r="CA45" s="505"/>
      <c r="CB45" s="505"/>
      <c r="CC45" s="505"/>
      <c r="CD45" s="505"/>
      <c r="CE45" s="505"/>
      <c r="CF45" s="505"/>
      <c r="CG45" s="505"/>
      <c r="CH45" s="505"/>
      <c r="CI45" s="505"/>
      <c r="CJ45" s="505"/>
      <c r="CK45" s="505"/>
      <c r="CL45" s="505"/>
      <c r="CM45" s="505"/>
      <c r="CN45" s="505"/>
      <c r="CO45" s="505"/>
      <c r="CP45" s="505"/>
      <c r="CQ45" s="505"/>
      <c r="CR45" s="505"/>
      <c r="CS45" s="505"/>
      <c r="CT45" s="505"/>
      <c r="CU45" s="505"/>
    </row>
    <row r="46" spans="1:99" ht="20.100000000000001" customHeight="1">
      <c r="A46" s="400">
        <v>20</v>
      </c>
      <c r="B46" s="62" t="s">
        <v>190</v>
      </c>
      <c r="C46" s="818">
        <v>51.00617182500001</v>
      </c>
      <c r="D46" s="818">
        <v>4.531795999999999</v>
      </c>
      <c r="E46" s="818">
        <v>21.453391499999999</v>
      </c>
      <c r="F46" s="818">
        <v>3.8570977000000015</v>
      </c>
      <c r="G46" s="818">
        <v>1.8211223500000002</v>
      </c>
      <c r="H46" s="428">
        <f t="shared" si="6"/>
        <v>82.669579374999998</v>
      </c>
      <c r="I46" s="430">
        <v>5747.3325741949948</v>
      </c>
      <c r="J46" s="401">
        <f>I46/H46*10</f>
        <v>695.21734810387079</v>
      </c>
      <c r="K46" s="306"/>
      <c r="L46" s="565"/>
      <c r="M46" s="505"/>
      <c r="N46" s="893"/>
      <c r="O46" s="565"/>
      <c r="P46" s="505"/>
      <c r="Q46" s="505"/>
      <c r="R46" s="505"/>
      <c r="S46" s="505"/>
      <c r="T46" s="505"/>
      <c r="U46" s="505"/>
      <c r="V46" s="505"/>
      <c r="W46" s="505"/>
      <c r="X46" s="505"/>
      <c r="Y46" s="505"/>
      <c r="Z46" s="505"/>
      <c r="AA46" s="505"/>
      <c r="AB46" s="505"/>
      <c r="AC46" s="505"/>
      <c r="AD46" s="505"/>
      <c r="AE46" s="505"/>
      <c r="AF46" s="505"/>
      <c r="AG46" s="505"/>
      <c r="AH46" s="505"/>
      <c r="AI46" s="505"/>
      <c r="AJ46" s="505"/>
      <c r="AK46" s="505"/>
      <c r="AL46" s="505"/>
      <c r="AM46" s="505"/>
      <c r="AN46" s="505"/>
      <c r="AO46" s="505"/>
      <c r="AP46" s="505"/>
      <c r="AQ46" s="505"/>
      <c r="AR46" s="505"/>
      <c r="AS46" s="505"/>
      <c r="AT46" s="505"/>
      <c r="AU46" s="505"/>
      <c r="AV46" s="505"/>
      <c r="AW46" s="505"/>
      <c r="AX46" s="505"/>
      <c r="AY46" s="505"/>
      <c r="AZ46" s="505"/>
      <c r="BA46" s="505"/>
      <c r="BB46" s="505"/>
      <c r="BC46" s="505"/>
      <c r="BD46" s="505"/>
      <c r="BE46" s="505"/>
      <c r="BF46" s="505"/>
      <c r="BG46" s="505"/>
      <c r="BH46" s="505"/>
      <c r="BI46" s="505"/>
      <c r="BJ46" s="505"/>
      <c r="BK46" s="505"/>
      <c r="BL46" s="505"/>
      <c r="BM46" s="505"/>
      <c r="BN46" s="505"/>
      <c r="BO46" s="505"/>
      <c r="BP46" s="505"/>
      <c r="BQ46" s="505"/>
      <c r="BR46" s="505"/>
      <c r="BS46" s="505"/>
      <c r="BT46" s="505"/>
      <c r="BU46" s="505"/>
      <c r="BV46" s="505"/>
      <c r="BW46" s="505"/>
      <c r="BX46" s="505"/>
      <c r="BY46" s="505"/>
      <c r="BZ46" s="505"/>
      <c r="CA46" s="505"/>
      <c r="CB46" s="505"/>
      <c r="CC46" s="505"/>
      <c r="CD46" s="505"/>
      <c r="CE46" s="505"/>
      <c r="CF46" s="505"/>
      <c r="CG46" s="505"/>
      <c r="CH46" s="505"/>
      <c r="CI46" s="505"/>
      <c r="CJ46" s="505"/>
      <c r="CK46" s="505"/>
      <c r="CL46" s="505"/>
      <c r="CM46" s="505"/>
      <c r="CN46" s="505"/>
      <c r="CO46" s="505"/>
      <c r="CP46" s="505"/>
      <c r="CQ46" s="505"/>
      <c r="CR46" s="505"/>
      <c r="CS46" s="505"/>
      <c r="CT46" s="505"/>
      <c r="CU46" s="505"/>
    </row>
    <row r="47" spans="1:99" ht="20.100000000000001" customHeight="1">
      <c r="A47" s="400">
        <v>21</v>
      </c>
      <c r="B47" s="62" t="s">
        <v>191</v>
      </c>
      <c r="C47" s="818"/>
      <c r="D47" s="818"/>
      <c r="E47" s="818"/>
      <c r="F47" s="818"/>
      <c r="G47" s="818"/>
      <c r="H47" s="431">
        <f t="shared" si="6"/>
        <v>0</v>
      </c>
      <c r="I47" s="430"/>
      <c r="J47" s="401"/>
      <c r="K47" s="306"/>
      <c r="L47" s="565"/>
      <c r="M47" s="505"/>
      <c r="N47" s="893"/>
      <c r="O47" s="505"/>
      <c r="P47" s="505"/>
      <c r="Q47" s="505"/>
      <c r="R47" s="505"/>
      <c r="S47" s="505"/>
      <c r="T47" s="505"/>
      <c r="U47" s="505"/>
      <c r="V47" s="505"/>
      <c r="W47" s="505"/>
      <c r="X47" s="505"/>
      <c r="Y47" s="505"/>
      <c r="Z47" s="505"/>
      <c r="AA47" s="505"/>
      <c r="AB47" s="505"/>
      <c r="AC47" s="505"/>
      <c r="AD47" s="505"/>
      <c r="AE47" s="505"/>
      <c r="AF47" s="505"/>
      <c r="AG47" s="505"/>
      <c r="AH47" s="505"/>
      <c r="AI47" s="505"/>
      <c r="AJ47" s="505"/>
      <c r="AK47" s="505"/>
      <c r="AL47" s="505"/>
      <c r="AM47" s="505"/>
      <c r="AN47" s="505"/>
      <c r="AO47" s="505"/>
      <c r="AP47" s="505"/>
      <c r="AQ47" s="505"/>
      <c r="AR47" s="505"/>
      <c r="AS47" s="505"/>
      <c r="AT47" s="505"/>
      <c r="AU47" s="505"/>
      <c r="AV47" s="505"/>
      <c r="AW47" s="505"/>
      <c r="AX47" s="505"/>
      <c r="AY47" s="505"/>
      <c r="AZ47" s="505"/>
      <c r="BA47" s="505"/>
      <c r="BB47" s="505"/>
      <c r="BC47" s="505"/>
      <c r="BD47" s="505"/>
      <c r="BE47" s="505"/>
      <c r="BF47" s="505"/>
      <c r="BG47" s="505"/>
      <c r="BH47" s="505"/>
      <c r="BI47" s="505"/>
      <c r="BJ47" s="505"/>
      <c r="BK47" s="505"/>
      <c r="BL47" s="505"/>
      <c r="BM47" s="505"/>
      <c r="BN47" s="505"/>
      <c r="BO47" s="505"/>
      <c r="BP47" s="505"/>
      <c r="BQ47" s="505"/>
      <c r="BR47" s="505"/>
      <c r="BS47" s="505"/>
      <c r="BT47" s="505"/>
      <c r="BU47" s="505"/>
      <c r="BV47" s="505"/>
      <c r="BW47" s="505"/>
      <c r="BX47" s="505"/>
      <c r="BY47" s="505"/>
      <c r="BZ47" s="505"/>
      <c r="CA47" s="505"/>
      <c r="CB47" s="505"/>
      <c r="CC47" s="505"/>
      <c r="CD47" s="505"/>
      <c r="CE47" s="505"/>
      <c r="CF47" s="505"/>
      <c r="CG47" s="505"/>
      <c r="CH47" s="505"/>
      <c r="CI47" s="505"/>
      <c r="CJ47" s="505"/>
      <c r="CK47" s="505"/>
      <c r="CL47" s="505"/>
      <c r="CM47" s="505"/>
      <c r="CN47" s="505"/>
      <c r="CO47" s="505"/>
      <c r="CP47" s="505"/>
      <c r="CQ47" s="505"/>
      <c r="CR47" s="505"/>
      <c r="CS47" s="505"/>
      <c r="CT47" s="505"/>
      <c r="CU47" s="505"/>
    </row>
    <row r="48" spans="1:99" ht="20.100000000000001" customHeight="1">
      <c r="A48" s="400">
        <v>22</v>
      </c>
      <c r="B48" s="62" t="s">
        <v>192</v>
      </c>
      <c r="C48" s="818">
        <v>5.4359987199999988</v>
      </c>
      <c r="D48" s="818">
        <v>0.27506999999999998</v>
      </c>
      <c r="E48" s="818">
        <v>9.6609034999999999</v>
      </c>
      <c r="F48" s="818">
        <v>2.9860550000000008</v>
      </c>
      <c r="G48" s="818">
        <v>2.8776919999999997</v>
      </c>
      <c r="H48" s="428">
        <f t="shared" si="6"/>
        <v>21.23571922</v>
      </c>
      <c r="I48" s="430">
        <v>1587.3851378000002</v>
      </c>
      <c r="J48" s="401">
        <f t="shared" ref="J48:J55" si="8">I48/H48*10</f>
        <v>747.50712295394533</v>
      </c>
      <c r="K48" s="306"/>
      <c r="L48" s="565"/>
      <c r="M48" s="505"/>
      <c r="N48" s="893"/>
      <c r="O48" s="505"/>
      <c r="P48" s="505"/>
      <c r="Q48" s="505"/>
      <c r="R48" s="505"/>
      <c r="S48" s="505"/>
      <c r="T48" s="505"/>
      <c r="U48" s="505"/>
      <c r="V48" s="505"/>
      <c r="W48" s="505"/>
      <c r="X48" s="505"/>
      <c r="Y48" s="505"/>
      <c r="Z48" s="505"/>
      <c r="AA48" s="505"/>
      <c r="AB48" s="505"/>
      <c r="AC48" s="505"/>
      <c r="AD48" s="505"/>
      <c r="AE48" s="505"/>
      <c r="AF48" s="505"/>
      <c r="AG48" s="505"/>
      <c r="AH48" s="505"/>
      <c r="AI48" s="505"/>
      <c r="AJ48" s="505"/>
      <c r="AK48" s="505"/>
      <c r="AL48" s="505"/>
      <c r="AM48" s="505"/>
      <c r="AN48" s="505"/>
      <c r="AO48" s="505"/>
      <c r="AP48" s="505"/>
      <c r="AQ48" s="505"/>
      <c r="AR48" s="505"/>
      <c r="AS48" s="505"/>
      <c r="AT48" s="505"/>
      <c r="AU48" s="505"/>
      <c r="AV48" s="505"/>
      <c r="AW48" s="505"/>
      <c r="AX48" s="505"/>
      <c r="AY48" s="505"/>
      <c r="AZ48" s="505"/>
      <c r="BA48" s="505"/>
      <c r="BB48" s="505"/>
      <c r="BC48" s="505"/>
      <c r="BD48" s="505"/>
      <c r="BE48" s="505"/>
      <c r="BF48" s="505"/>
      <c r="BG48" s="505"/>
      <c r="BH48" s="505"/>
      <c r="BI48" s="505"/>
      <c r="BJ48" s="505"/>
      <c r="BK48" s="505"/>
      <c r="BL48" s="505"/>
      <c r="BM48" s="505"/>
      <c r="BN48" s="505"/>
      <c r="BO48" s="505"/>
      <c r="BP48" s="505"/>
      <c r="BQ48" s="505"/>
      <c r="BR48" s="505"/>
      <c r="BS48" s="505"/>
      <c r="BT48" s="505"/>
      <c r="BU48" s="505"/>
      <c r="BV48" s="505"/>
      <c r="BW48" s="505"/>
      <c r="BX48" s="505"/>
      <c r="BY48" s="505"/>
      <c r="BZ48" s="505"/>
      <c r="CA48" s="505"/>
      <c r="CB48" s="505"/>
      <c r="CC48" s="505"/>
      <c r="CD48" s="505"/>
      <c r="CE48" s="505"/>
      <c r="CF48" s="505"/>
      <c r="CG48" s="505"/>
      <c r="CH48" s="505"/>
      <c r="CI48" s="505"/>
      <c r="CJ48" s="505"/>
      <c r="CK48" s="505"/>
      <c r="CL48" s="505"/>
      <c r="CM48" s="505"/>
      <c r="CN48" s="505"/>
      <c r="CO48" s="505"/>
      <c r="CP48" s="505"/>
      <c r="CQ48" s="505"/>
      <c r="CR48" s="505"/>
      <c r="CS48" s="505"/>
      <c r="CT48" s="505"/>
      <c r="CU48" s="505"/>
    </row>
    <row r="49" spans="1:99" ht="20.100000000000001" customHeight="1">
      <c r="A49" s="400">
        <v>23</v>
      </c>
      <c r="B49" s="62" t="s">
        <v>73</v>
      </c>
      <c r="C49" s="818">
        <f>89.2837924-1.9717</f>
        <v>87.312092399999997</v>
      </c>
      <c r="D49" s="818">
        <f>42.0709575-0.0278</f>
        <v>42.0431575</v>
      </c>
      <c r="E49" s="818">
        <f>332.134460622609-0.6241-E50</f>
        <v>326.51036062260903</v>
      </c>
      <c r="F49" s="818">
        <f>26.99952694-0.0371</f>
        <v>26.96242694</v>
      </c>
      <c r="G49" s="818">
        <v>17.971782590000007</v>
      </c>
      <c r="H49" s="428">
        <f t="shared" si="6"/>
        <v>500.79982005260905</v>
      </c>
      <c r="I49" s="430">
        <f>32625.464167803+200-(2.6607*4.9*10)-I50</f>
        <v>32480.089867803003</v>
      </c>
      <c r="J49" s="401">
        <f t="shared" si="8"/>
        <v>648.56432784642311</v>
      </c>
      <c r="K49" s="306"/>
      <c r="L49" s="565"/>
      <c r="M49" s="505"/>
      <c r="N49" s="893"/>
      <c r="O49" s="505"/>
      <c r="P49" s="505"/>
      <c r="Q49" s="505"/>
      <c r="R49" s="505"/>
      <c r="S49" s="505"/>
      <c r="T49" s="505"/>
      <c r="U49" s="505"/>
      <c r="V49" s="505"/>
      <c r="W49" s="505"/>
      <c r="X49" s="505"/>
      <c r="Y49" s="505"/>
      <c r="Z49" s="505"/>
      <c r="AA49" s="505"/>
      <c r="AB49" s="505"/>
      <c r="AC49" s="505"/>
      <c r="AD49" s="505"/>
      <c r="AE49" s="505"/>
      <c r="AF49" s="505"/>
      <c r="AG49" s="505"/>
      <c r="AH49" s="505"/>
      <c r="AI49" s="505"/>
      <c r="AJ49" s="505"/>
      <c r="AK49" s="505"/>
      <c r="AL49" s="505"/>
      <c r="AM49" s="505"/>
      <c r="AN49" s="505"/>
      <c r="AO49" s="505"/>
      <c r="AP49" s="505"/>
      <c r="AQ49" s="505"/>
      <c r="AR49" s="505"/>
      <c r="AS49" s="505"/>
      <c r="AT49" s="505"/>
      <c r="AU49" s="505"/>
      <c r="AV49" s="505"/>
      <c r="AW49" s="505"/>
      <c r="AX49" s="505"/>
      <c r="AY49" s="505"/>
      <c r="AZ49" s="505"/>
      <c r="BA49" s="505"/>
      <c r="BB49" s="505"/>
      <c r="BC49" s="505"/>
      <c r="BD49" s="505"/>
      <c r="BE49" s="505"/>
      <c r="BF49" s="505"/>
      <c r="BG49" s="505"/>
      <c r="BH49" s="505"/>
      <c r="BI49" s="505"/>
      <c r="BJ49" s="505"/>
      <c r="BK49" s="505"/>
      <c r="BL49" s="505"/>
      <c r="BM49" s="505"/>
      <c r="BN49" s="505"/>
      <c r="BO49" s="505"/>
      <c r="BP49" s="505"/>
      <c r="BQ49" s="505"/>
      <c r="BR49" s="505"/>
      <c r="BS49" s="505"/>
      <c r="BT49" s="505"/>
      <c r="BU49" s="505"/>
      <c r="BV49" s="505"/>
      <c r="BW49" s="505"/>
      <c r="BX49" s="505"/>
      <c r="BY49" s="505"/>
      <c r="BZ49" s="505"/>
      <c r="CA49" s="505"/>
      <c r="CB49" s="505"/>
      <c r="CC49" s="505"/>
      <c r="CD49" s="505"/>
      <c r="CE49" s="505"/>
      <c r="CF49" s="505"/>
      <c r="CG49" s="505"/>
      <c r="CH49" s="505"/>
      <c r="CI49" s="505"/>
      <c r="CJ49" s="505"/>
      <c r="CK49" s="505"/>
      <c r="CL49" s="505"/>
      <c r="CM49" s="505"/>
      <c r="CN49" s="505"/>
      <c r="CO49" s="505"/>
      <c r="CP49" s="505"/>
      <c r="CQ49" s="505"/>
      <c r="CR49" s="505"/>
      <c r="CS49" s="505"/>
      <c r="CT49" s="505"/>
      <c r="CU49" s="505"/>
    </row>
    <row r="50" spans="1:99" ht="20.100000000000001" customHeight="1">
      <c r="A50" s="400"/>
      <c r="B50" s="62" t="s">
        <v>2128</v>
      </c>
      <c r="C50" s="818"/>
      <c r="D50" s="818"/>
      <c r="E50" s="818">
        <v>5</v>
      </c>
      <c r="F50" s="818"/>
      <c r="G50" s="818"/>
      <c r="H50" s="428">
        <f t="shared" si="6"/>
        <v>5</v>
      </c>
      <c r="I50" s="430">
        <f>H50*4.3*10</f>
        <v>215</v>
      </c>
      <c r="J50" s="401">
        <f t="shared" si="8"/>
        <v>430</v>
      </c>
      <c r="K50" s="306"/>
      <c r="L50" s="565"/>
      <c r="M50" s="505"/>
      <c r="N50" s="893"/>
      <c r="O50" s="505"/>
      <c r="P50" s="505"/>
      <c r="Q50" s="505"/>
      <c r="R50" s="505"/>
      <c r="S50" s="505"/>
      <c r="T50" s="505"/>
      <c r="U50" s="505"/>
      <c r="V50" s="505"/>
      <c r="W50" s="505"/>
      <c r="X50" s="505"/>
      <c r="Y50" s="505"/>
      <c r="Z50" s="505"/>
      <c r="AA50" s="505"/>
      <c r="AB50" s="505"/>
      <c r="AC50" s="505"/>
      <c r="AD50" s="505"/>
      <c r="AE50" s="505"/>
      <c r="AF50" s="505"/>
      <c r="AG50" s="505"/>
      <c r="AH50" s="505"/>
      <c r="AI50" s="505"/>
      <c r="AJ50" s="505"/>
      <c r="AK50" s="505"/>
      <c r="AL50" s="505"/>
      <c r="AM50" s="505"/>
      <c r="AN50" s="505"/>
      <c r="AO50" s="505"/>
      <c r="AP50" s="505"/>
      <c r="AQ50" s="505"/>
      <c r="AR50" s="505"/>
      <c r="AS50" s="505"/>
      <c r="AT50" s="505"/>
      <c r="AU50" s="505"/>
      <c r="AV50" s="505"/>
      <c r="AW50" s="505"/>
      <c r="AX50" s="505"/>
      <c r="AY50" s="505"/>
      <c r="AZ50" s="505"/>
      <c r="BA50" s="505"/>
      <c r="BB50" s="505"/>
      <c r="BC50" s="505"/>
      <c r="BD50" s="505"/>
      <c r="BE50" s="505"/>
      <c r="BF50" s="505"/>
      <c r="BG50" s="505"/>
      <c r="BH50" s="505"/>
      <c r="BI50" s="505"/>
      <c r="BJ50" s="505"/>
      <c r="BK50" s="505"/>
      <c r="BL50" s="505"/>
      <c r="BM50" s="505"/>
      <c r="BN50" s="505"/>
      <c r="BO50" s="505"/>
      <c r="BP50" s="505"/>
      <c r="BQ50" s="505"/>
      <c r="BR50" s="505"/>
      <c r="BS50" s="505"/>
      <c r="BT50" s="505"/>
      <c r="BU50" s="505"/>
      <c r="BV50" s="505"/>
      <c r="BW50" s="505"/>
      <c r="BX50" s="505"/>
      <c r="BY50" s="505"/>
      <c r="BZ50" s="505"/>
      <c r="CA50" s="505"/>
      <c r="CB50" s="505"/>
      <c r="CC50" s="505"/>
      <c r="CD50" s="505"/>
      <c r="CE50" s="505"/>
      <c r="CF50" s="505"/>
      <c r="CG50" s="505"/>
      <c r="CH50" s="505"/>
      <c r="CI50" s="505"/>
      <c r="CJ50" s="505"/>
      <c r="CK50" s="505"/>
      <c r="CL50" s="505"/>
      <c r="CM50" s="505"/>
      <c r="CN50" s="505"/>
      <c r="CO50" s="505"/>
      <c r="CP50" s="505"/>
      <c r="CQ50" s="505"/>
      <c r="CR50" s="505"/>
      <c r="CS50" s="505"/>
      <c r="CT50" s="505"/>
      <c r="CU50" s="505"/>
    </row>
    <row r="51" spans="1:99" ht="20.100000000000001" customHeight="1">
      <c r="A51" s="400">
        <v>24</v>
      </c>
      <c r="B51" s="62" t="s">
        <v>83</v>
      </c>
      <c r="C51" s="820">
        <v>0</v>
      </c>
      <c r="D51" s="820">
        <v>0</v>
      </c>
      <c r="E51" s="818">
        <v>283.425836</v>
      </c>
      <c r="F51" s="820">
        <v>0</v>
      </c>
      <c r="G51" s="820">
        <v>0</v>
      </c>
      <c r="H51" s="428">
        <f t="shared" si="6"/>
        <v>283.425836</v>
      </c>
      <c r="I51" s="430">
        <v>16492.93814224</v>
      </c>
      <c r="J51" s="401">
        <f t="shared" si="8"/>
        <v>581.91371594789973</v>
      </c>
      <c r="K51" s="306"/>
      <c r="L51" s="565"/>
      <c r="M51" s="505"/>
      <c r="N51" s="893"/>
      <c r="O51" s="505"/>
      <c r="P51" s="505"/>
      <c r="Q51" s="505"/>
      <c r="R51" s="505"/>
      <c r="S51" s="505"/>
      <c r="T51" s="505"/>
      <c r="U51" s="505"/>
      <c r="V51" s="505"/>
      <c r="W51" s="505"/>
      <c r="X51" s="505"/>
      <c r="Y51" s="505"/>
      <c r="Z51" s="505"/>
      <c r="AA51" s="505"/>
      <c r="AB51" s="505"/>
      <c r="AC51" s="505"/>
      <c r="AD51" s="505"/>
      <c r="AE51" s="505"/>
      <c r="AF51" s="505"/>
      <c r="AG51" s="505"/>
      <c r="AH51" s="505"/>
      <c r="AI51" s="505"/>
      <c r="AJ51" s="505"/>
      <c r="AK51" s="505"/>
      <c r="AL51" s="505"/>
      <c r="AM51" s="505"/>
      <c r="AN51" s="505"/>
      <c r="AO51" s="505"/>
      <c r="AP51" s="505"/>
      <c r="AQ51" s="505"/>
      <c r="AR51" s="505"/>
      <c r="AS51" s="505"/>
      <c r="AT51" s="505"/>
      <c r="AU51" s="505"/>
      <c r="AV51" s="505"/>
      <c r="AW51" s="505"/>
      <c r="AX51" s="505"/>
      <c r="AY51" s="505"/>
      <c r="AZ51" s="505"/>
      <c r="BA51" s="505"/>
      <c r="BB51" s="505"/>
      <c r="BC51" s="505"/>
      <c r="BD51" s="505"/>
      <c r="BE51" s="505"/>
      <c r="BF51" s="505"/>
      <c r="BG51" s="505"/>
      <c r="BH51" s="505"/>
      <c r="BI51" s="505"/>
      <c r="BJ51" s="505"/>
      <c r="BK51" s="505"/>
      <c r="BL51" s="505"/>
      <c r="BM51" s="505"/>
      <c r="BN51" s="505"/>
      <c r="BO51" s="505"/>
      <c r="BP51" s="505"/>
      <c r="BQ51" s="505"/>
      <c r="BR51" s="505"/>
      <c r="BS51" s="505"/>
      <c r="BT51" s="505"/>
      <c r="BU51" s="505"/>
      <c r="BV51" s="505"/>
      <c r="BW51" s="505"/>
      <c r="BX51" s="505"/>
      <c r="BY51" s="505"/>
      <c r="BZ51" s="505"/>
      <c r="CA51" s="505"/>
      <c r="CB51" s="505"/>
      <c r="CC51" s="505"/>
      <c r="CD51" s="505"/>
      <c r="CE51" s="505"/>
      <c r="CF51" s="505"/>
      <c r="CG51" s="505"/>
      <c r="CH51" s="505"/>
      <c r="CI51" s="505"/>
      <c r="CJ51" s="505"/>
      <c r="CK51" s="505"/>
      <c r="CL51" s="505"/>
      <c r="CM51" s="505"/>
      <c r="CN51" s="505"/>
      <c r="CO51" s="505"/>
      <c r="CP51" s="505"/>
      <c r="CQ51" s="505"/>
      <c r="CR51" s="505"/>
      <c r="CS51" s="505"/>
      <c r="CT51" s="505"/>
      <c r="CU51" s="505"/>
    </row>
    <row r="52" spans="1:99" ht="20.100000000000001" customHeight="1">
      <c r="A52" s="400">
        <v>25</v>
      </c>
      <c r="B52" s="62" t="s">
        <v>93</v>
      </c>
      <c r="C52" s="818">
        <v>7.94754</v>
      </c>
      <c r="D52" s="820">
        <v>0</v>
      </c>
      <c r="E52" s="818">
        <f>74.03254-0.2182</f>
        <v>73.814340000000001</v>
      </c>
      <c r="F52" s="820">
        <v>0</v>
      </c>
      <c r="G52" s="820">
        <v>0</v>
      </c>
      <c r="H52" s="428">
        <f t="shared" si="6"/>
        <v>81.761880000000005</v>
      </c>
      <c r="I52" s="430">
        <f>4575.2189427-(0.2182*4.9*10)</f>
        <v>4564.5271427000007</v>
      </c>
      <c r="J52" s="401">
        <f t="shared" si="8"/>
        <v>558.27081553163896</v>
      </c>
      <c r="K52" s="306"/>
      <c r="L52" s="565"/>
      <c r="M52" s="505"/>
      <c r="N52" s="893"/>
      <c r="O52" s="505"/>
      <c r="P52" s="505"/>
      <c r="Q52" s="505"/>
      <c r="R52" s="505"/>
      <c r="S52" s="505"/>
      <c r="T52" s="505"/>
      <c r="U52" s="505"/>
      <c r="V52" s="505"/>
      <c r="W52" s="505"/>
      <c r="X52" s="505"/>
      <c r="Y52" s="505"/>
      <c r="Z52" s="505"/>
      <c r="AA52" s="505"/>
      <c r="AB52" s="505"/>
      <c r="AC52" s="505"/>
      <c r="AD52" s="505"/>
      <c r="AE52" s="505"/>
      <c r="AF52" s="505"/>
      <c r="AG52" s="505"/>
      <c r="AH52" s="505"/>
      <c r="AI52" s="505"/>
      <c r="AJ52" s="505"/>
      <c r="AK52" s="505"/>
      <c r="AL52" s="505"/>
      <c r="AM52" s="505"/>
      <c r="AN52" s="505"/>
      <c r="AO52" s="505"/>
      <c r="AP52" s="505"/>
      <c r="AQ52" s="505"/>
      <c r="AR52" s="505"/>
      <c r="AS52" s="505"/>
      <c r="AT52" s="505"/>
      <c r="AU52" s="505"/>
      <c r="AV52" s="505"/>
      <c r="AW52" s="505"/>
      <c r="AX52" s="505"/>
      <c r="AY52" s="505"/>
      <c r="AZ52" s="505"/>
      <c r="BA52" s="505"/>
      <c r="BB52" s="505"/>
      <c r="BC52" s="505"/>
      <c r="BD52" s="505"/>
      <c r="BE52" s="505"/>
      <c r="BF52" s="505"/>
      <c r="BG52" s="505"/>
      <c r="BH52" s="505"/>
      <c r="BI52" s="505"/>
      <c r="BJ52" s="505"/>
      <c r="BK52" s="505"/>
      <c r="BL52" s="505"/>
      <c r="BM52" s="505"/>
      <c r="BN52" s="505"/>
      <c r="BO52" s="505"/>
      <c r="BP52" s="505"/>
      <c r="BQ52" s="505"/>
      <c r="BR52" s="505"/>
      <c r="BS52" s="505"/>
      <c r="BT52" s="505"/>
      <c r="BU52" s="505"/>
      <c r="BV52" s="505"/>
      <c r="BW52" s="505"/>
      <c r="BX52" s="505"/>
      <c r="BY52" s="505"/>
      <c r="BZ52" s="505"/>
      <c r="CA52" s="505"/>
      <c r="CB52" s="505"/>
      <c r="CC52" s="505"/>
      <c r="CD52" s="505"/>
      <c r="CE52" s="505"/>
      <c r="CF52" s="505"/>
      <c r="CG52" s="505"/>
      <c r="CH52" s="505"/>
      <c r="CI52" s="505"/>
      <c r="CJ52" s="505"/>
      <c r="CK52" s="505"/>
      <c r="CL52" s="505"/>
      <c r="CM52" s="505"/>
      <c r="CN52" s="505"/>
      <c r="CO52" s="505"/>
      <c r="CP52" s="505"/>
      <c r="CQ52" s="505"/>
      <c r="CR52" s="505"/>
      <c r="CS52" s="505"/>
      <c r="CT52" s="505"/>
      <c r="CU52" s="505"/>
    </row>
    <row r="53" spans="1:99" ht="20.100000000000001" customHeight="1">
      <c r="A53" s="400">
        <v>26</v>
      </c>
      <c r="B53" s="62" t="s">
        <v>85</v>
      </c>
      <c r="C53" s="818"/>
      <c r="D53" s="818"/>
      <c r="E53" s="818"/>
      <c r="F53" s="818"/>
      <c r="G53" s="818"/>
      <c r="H53" s="428"/>
      <c r="I53" s="430"/>
      <c r="J53" s="401"/>
      <c r="K53" s="1375"/>
      <c r="L53" s="565"/>
      <c r="M53" s="505"/>
      <c r="N53" s="893"/>
      <c r="O53" s="505"/>
      <c r="P53" s="505"/>
      <c r="Q53" s="505"/>
      <c r="R53" s="505"/>
      <c r="S53" s="505"/>
      <c r="T53" s="505"/>
      <c r="U53" s="505"/>
      <c r="V53" s="505"/>
      <c r="W53" s="505"/>
      <c r="X53" s="505"/>
      <c r="Y53" s="505"/>
      <c r="Z53" s="505"/>
      <c r="AA53" s="505"/>
      <c r="AB53" s="505"/>
      <c r="AC53" s="505"/>
      <c r="AD53" s="505"/>
      <c r="AE53" s="505"/>
      <c r="AF53" s="505"/>
      <c r="AG53" s="505"/>
      <c r="AH53" s="505"/>
      <c r="AI53" s="505"/>
      <c r="AJ53" s="505"/>
      <c r="AK53" s="505"/>
      <c r="AL53" s="505"/>
      <c r="AM53" s="505"/>
      <c r="AN53" s="505"/>
      <c r="AO53" s="505"/>
      <c r="AP53" s="505"/>
      <c r="AQ53" s="505"/>
      <c r="AR53" s="505"/>
      <c r="AS53" s="505"/>
      <c r="AT53" s="505"/>
      <c r="AU53" s="505"/>
      <c r="AV53" s="505"/>
      <c r="AW53" s="505"/>
      <c r="AX53" s="505"/>
      <c r="AY53" s="505"/>
      <c r="AZ53" s="505"/>
      <c r="BA53" s="505"/>
      <c r="BB53" s="505"/>
      <c r="BC53" s="505"/>
      <c r="BD53" s="505"/>
      <c r="BE53" s="505"/>
      <c r="BF53" s="505"/>
      <c r="BG53" s="505"/>
      <c r="BH53" s="505"/>
      <c r="BI53" s="505"/>
      <c r="BJ53" s="505"/>
      <c r="BK53" s="505"/>
      <c r="BL53" s="505"/>
      <c r="BM53" s="505"/>
      <c r="BN53" s="505"/>
      <c r="BO53" s="505"/>
      <c r="BP53" s="505"/>
      <c r="BQ53" s="505"/>
      <c r="BR53" s="505"/>
      <c r="BS53" s="505"/>
      <c r="BT53" s="505"/>
      <c r="BU53" s="505"/>
      <c r="BV53" s="505"/>
      <c r="BW53" s="505"/>
      <c r="BX53" s="505"/>
      <c r="BY53" s="505"/>
      <c r="BZ53" s="505"/>
      <c r="CA53" s="505"/>
      <c r="CB53" s="505"/>
      <c r="CC53" s="505"/>
      <c r="CD53" s="505"/>
      <c r="CE53" s="505"/>
      <c r="CF53" s="505"/>
      <c r="CG53" s="505"/>
      <c r="CH53" s="505"/>
      <c r="CI53" s="505"/>
      <c r="CJ53" s="505"/>
      <c r="CK53" s="505"/>
      <c r="CL53" s="505"/>
      <c r="CM53" s="505"/>
      <c r="CN53" s="505"/>
      <c r="CO53" s="505"/>
      <c r="CP53" s="505"/>
      <c r="CQ53" s="505"/>
      <c r="CR53" s="505"/>
      <c r="CS53" s="505"/>
      <c r="CT53" s="505"/>
      <c r="CU53" s="505"/>
    </row>
    <row r="54" spans="1:99" ht="20.100000000000001" customHeight="1">
      <c r="A54" s="400">
        <v>27</v>
      </c>
      <c r="B54" s="62" t="s">
        <v>86</v>
      </c>
      <c r="C54" s="818"/>
      <c r="D54" s="818"/>
      <c r="E54" s="818"/>
      <c r="F54" s="818"/>
      <c r="G54" s="818"/>
      <c r="H54" s="428"/>
      <c r="I54" s="430"/>
      <c r="J54" s="401"/>
      <c r="K54" s="306"/>
      <c r="L54" s="565"/>
      <c r="M54" s="505"/>
      <c r="N54" s="893"/>
      <c r="O54" s="505"/>
      <c r="P54" s="505"/>
      <c r="Q54" s="505"/>
      <c r="R54" s="505"/>
      <c r="S54" s="505"/>
      <c r="T54" s="505"/>
      <c r="U54" s="505"/>
      <c r="V54" s="505"/>
      <c r="W54" s="505"/>
      <c r="X54" s="505"/>
      <c r="Y54" s="505"/>
      <c r="Z54" s="505"/>
      <c r="AA54" s="505"/>
      <c r="AB54" s="505"/>
      <c r="AC54" s="505"/>
      <c r="AD54" s="505"/>
      <c r="AE54" s="505"/>
      <c r="AF54" s="505"/>
      <c r="AG54" s="505"/>
      <c r="AH54" s="505"/>
      <c r="AI54" s="505"/>
      <c r="AJ54" s="505"/>
      <c r="AK54" s="505"/>
      <c r="AL54" s="505"/>
      <c r="AM54" s="505"/>
      <c r="AN54" s="505"/>
      <c r="AO54" s="505"/>
      <c r="AP54" s="505"/>
      <c r="AQ54" s="505"/>
      <c r="AR54" s="505"/>
      <c r="AS54" s="505"/>
      <c r="AT54" s="505"/>
      <c r="AU54" s="505"/>
      <c r="AV54" s="505"/>
      <c r="AW54" s="505"/>
      <c r="AX54" s="505"/>
      <c r="AY54" s="505"/>
      <c r="AZ54" s="505"/>
      <c r="BA54" s="505"/>
      <c r="BB54" s="505"/>
      <c r="BC54" s="505"/>
      <c r="BD54" s="505"/>
      <c r="BE54" s="505"/>
      <c r="BF54" s="505"/>
      <c r="BG54" s="505"/>
      <c r="BH54" s="505"/>
      <c r="BI54" s="505"/>
      <c r="BJ54" s="505"/>
      <c r="BK54" s="505"/>
      <c r="BL54" s="505"/>
      <c r="BM54" s="505"/>
      <c r="BN54" s="505"/>
      <c r="BO54" s="505"/>
      <c r="BP54" s="505"/>
      <c r="BQ54" s="505"/>
      <c r="BR54" s="505"/>
      <c r="BS54" s="505"/>
      <c r="BT54" s="505"/>
      <c r="BU54" s="505"/>
      <c r="BV54" s="505"/>
      <c r="BW54" s="505"/>
      <c r="BX54" s="505"/>
      <c r="BY54" s="505"/>
      <c r="BZ54" s="505"/>
      <c r="CA54" s="505"/>
      <c r="CB54" s="505"/>
      <c r="CC54" s="505"/>
      <c r="CD54" s="505"/>
      <c r="CE54" s="505"/>
      <c r="CF54" s="505"/>
      <c r="CG54" s="505"/>
      <c r="CH54" s="505"/>
      <c r="CI54" s="505"/>
      <c r="CJ54" s="505"/>
      <c r="CK54" s="505"/>
      <c r="CL54" s="505"/>
      <c r="CM54" s="505"/>
      <c r="CN54" s="505"/>
      <c r="CO54" s="505"/>
      <c r="CP54" s="505"/>
      <c r="CQ54" s="505"/>
      <c r="CR54" s="505"/>
      <c r="CS54" s="505"/>
      <c r="CT54" s="505"/>
      <c r="CU54" s="505"/>
    </row>
    <row r="55" spans="1:99" ht="20.100000000000001" customHeight="1">
      <c r="A55" s="400">
        <v>28</v>
      </c>
      <c r="B55" s="62" t="s">
        <v>87</v>
      </c>
      <c r="C55" s="818">
        <v>1.9717</v>
      </c>
      <c r="D55" s="818">
        <v>2.7799999999999998E-2</v>
      </c>
      <c r="E55" s="818">
        <f>0.6241+0.2182+0.9309</f>
        <v>1.7732000000000001</v>
      </c>
      <c r="F55" s="818">
        <v>3.7100000000000001E-2</v>
      </c>
      <c r="G55" s="818"/>
      <c r="H55" s="428">
        <f t="shared" ref="H55" si="9">SUM(C55:G55)</f>
        <v>3.8098000000000005</v>
      </c>
      <c r="I55" s="333">
        <f>(3.8098*4.9*10)</f>
        <v>186.68020000000001</v>
      </c>
      <c r="J55" s="401">
        <f t="shared" si="8"/>
        <v>490</v>
      </c>
      <c r="K55" s="306"/>
      <c r="L55" s="565"/>
      <c r="M55" s="505"/>
      <c r="N55" s="893"/>
      <c r="O55" s="505"/>
      <c r="P55" s="505"/>
      <c r="Q55" s="505"/>
      <c r="R55" s="505"/>
      <c r="S55" s="505"/>
      <c r="T55" s="505"/>
      <c r="U55" s="505"/>
      <c r="V55" s="505"/>
      <c r="W55" s="505"/>
      <c r="X55" s="505"/>
      <c r="Y55" s="505"/>
      <c r="Z55" s="505"/>
      <c r="AA55" s="505"/>
      <c r="AB55" s="505"/>
      <c r="AC55" s="505"/>
      <c r="AD55" s="505"/>
      <c r="AE55" s="505"/>
      <c r="AF55" s="505"/>
      <c r="AG55" s="505"/>
      <c r="AH55" s="505"/>
      <c r="AI55" s="505"/>
      <c r="AJ55" s="505"/>
      <c r="AK55" s="505"/>
      <c r="AL55" s="505"/>
      <c r="AM55" s="505"/>
      <c r="AN55" s="505"/>
      <c r="AO55" s="505"/>
      <c r="AP55" s="505"/>
      <c r="AQ55" s="505"/>
      <c r="AR55" s="505"/>
      <c r="AS55" s="505"/>
      <c r="AT55" s="505"/>
      <c r="AU55" s="505"/>
      <c r="AV55" s="505"/>
      <c r="AW55" s="505"/>
      <c r="AX55" s="505"/>
      <c r="AY55" s="505"/>
      <c r="AZ55" s="505"/>
      <c r="BA55" s="505"/>
      <c r="BB55" s="505"/>
      <c r="BC55" s="505"/>
      <c r="BD55" s="505"/>
      <c r="BE55" s="505"/>
      <c r="BF55" s="505"/>
      <c r="BG55" s="505"/>
      <c r="BH55" s="505"/>
      <c r="BI55" s="505"/>
      <c r="BJ55" s="505"/>
      <c r="BK55" s="505"/>
      <c r="BL55" s="505"/>
      <c r="BM55" s="505"/>
      <c r="BN55" s="505"/>
      <c r="BO55" s="505"/>
      <c r="BP55" s="505"/>
      <c r="BQ55" s="505"/>
      <c r="BR55" s="505"/>
      <c r="BS55" s="505"/>
      <c r="BT55" s="505"/>
      <c r="BU55" s="505"/>
      <c r="BV55" s="505"/>
      <c r="BW55" s="505"/>
      <c r="BX55" s="505"/>
      <c r="BY55" s="505"/>
      <c r="BZ55" s="505"/>
      <c r="CA55" s="505"/>
      <c r="CB55" s="505"/>
      <c r="CC55" s="505"/>
      <c r="CD55" s="505"/>
      <c r="CE55" s="505"/>
      <c r="CF55" s="505"/>
      <c r="CG55" s="505"/>
      <c r="CH55" s="505"/>
      <c r="CI55" s="505"/>
      <c r="CJ55" s="505"/>
      <c r="CK55" s="505"/>
      <c r="CL55" s="505"/>
      <c r="CM55" s="505"/>
      <c r="CN55" s="505"/>
      <c r="CO55" s="505"/>
      <c r="CP55" s="505"/>
      <c r="CQ55" s="505"/>
      <c r="CR55" s="505"/>
      <c r="CS55" s="505"/>
      <c r="CT55" s="505"/>
      <c r="CU55" s="505"/>
    </row>
    <row r="56" spans="1:99" ht="20.100000000000001" customHeight="1">
      <c r="A56" s="400"/>
      <c r="B56" s="403" t="s">
        <v>88</v>
      </c>
      <c r="C56" s="110">
        <f>SUM(C40:C55)</f>
        <v>167.748827345</v>
      </c>
      <c r="D56" s="110">
        <f t="shared" ref="D56:I56" si="10">SUM(D40:D55)</f>
        <v>48.563943699999996</v>
      </c>
      <c r="E56" s="110">
        <f t="shared" si="10"/>
        <v>737.73827588260906</v>
      </c>
      <c r="F56" s="110">
        <f t="shared" si="10"/>
        <v>42.419026390000006</v>
      </c>
      <c r="G56" s="110">
        <f t="shared" si="10"/>
        <v>24.483694891000006</v>
      </c>
      <c r="H56" s="110">
        <f>SUM(H40:H55)</f>
        <v>1020.9537682086091</v>
      </c>
      <c r="I56" s="109">
        <f t="shared" si="10"/>
        <v>63529.750353141004</v>
      </c>
      <c r="J56" s="268">
        <f>I56/H56*10</f>
        <v>622.25883611372421</v>
      </c>
      <c r="K56" s="306"/>
      <c r="L56" s="565"/>
      <c r="M56" s="505"/>
      <c r="N56" s="893"/>
      <c r="O56" s="505"/>
      <c r="P56" s="505"/>
      <c r="Q56" s="505"/>
      <c r="R56" s="505"/>
      <c r="S56" s="505"/>
      <c r="T56" s="505"/>
      <c r="U56" s="505"/>
      <c r="V56" s="505"/>
      <c r="W56" s="505"/>
      <c r="X56" s="505"/>
      <c r="Y56" s="505"/>
      <c r="Z56" s="505"/>
      <c r="AA56" s="505"/>
      <c r="AB56" s="505"/>
      <c r="AC56" s="505"/>
      <c r="AD56" s="505"/>
      <c r="AE56" s="505"/>
      <c r="AF56" s="505"/>
      <c r="AG56" s="505"/>
      <c r="AH56" s="505"/>
      <c r="AI56" s="505"/>
      <c r="AJ56" s="505"/>
      <c r="AK56" s="505"/>
      <c r="AL56" s="505"/>
      <c r="AM56" s="505"/>
      <c r="AN56" s="505"/>
      <c r="AO56" s="505"/>
      <c r="AP56" s="505"/>
      <c r="AQ56" s="505"/>
      <c r="AR56" s="505"/>
      <c r="AS56" s="505"/>
      <c r="AT56" s="505"/>
      <c r="AU56" s="505"/>
      <c r="AV56" s="505"/>
      <c r="AW56" s="505"/>
      <c r="AX56" s="505"/>
      <c r="AY56" s="505"/>
      <c r="AZ56" s="505"/>
      <c r="BA56" s="505"/>
      <c r="BB56" s="505"/>
      <c r="BC56" s="505"/>
      <c r="BD56" s="505"/>
      <c r="BE56" s="505"/>
      <c r="BF56" s="505"/>
      <c r="BG56" s="505"/>
      <c r="BH56" s="505"/>
      <c r="BI56" s="505"/>
      <c r="BJ56" s="505"/>
      <c r="BK56" s="505"/>
      <c r="BL56" s="505"/>
      <c r="BM56" s="505"/>
      <c r="BN56" s="505"/>
      <c r="BO56" s="505"/>
      <c r="BP56" s="505"/>
      <c r="BQ56" s="505"/>
      <c r="BR56" s="505"/>
      <c r="BS56" s="505"/>
      <c r="BT56" s="505"/>
      <c r="BU56" s="505"/>
      <c r="BV56" s="505"/>
      <c r="BW56" s="505"/>
      <c r="BX56" s="505"/>
      <c r="BY56" s="505"/>
      <c r="BZ56" s="505"/>
      <c r="CA56" s="505"/>
      <c r="CB56" s="505"/>
      <c r="CC56" s="505"/>
      <c r="CD56" s="505"/>
      <c r="CE56" s="505"/>
      <c r="CF56" s="505"/>
      <c r="CG56" s="505"/>
      <c r="CH56" s="505"/>
      <c r="CI56" s="505"/>
      <c r="CJ56" s="505"/>
      <c r="CK56" s="505"/>
      <c r="CL56" s="505"/>
      <c r="CM56" s="505"/>
      <c r="CN56" s="505"/>
      <c r="CO56" s="505"/>
      <c r="CP56" s="505"/>
      <c r="CQ56" s="505"/>
      <c r="CR56" s="505"/>
      <c r="CS56" s="505"/>
      <c r="CT56" s="505"/>
      <c r="CU56" s="505"/>
    </row>
    <row r="57" spans="1:99" ht="20.100000000000001" customHeight="1">
      <c r="A57" s="62"/>
      <c r="B57" s="404" t="s">
        <v>89</v>
      </c>
      <c r="C57" s="110"/>
      <c r="D57" s="110"/>
      <c r="E57" s="110"/>
      <c r="F57" s="110"/>
      <c r="G57" s="110"/>
      <c r="H57" s="428"/>
      <c r="I57" s="430"/>
      <c r="J57" s="401"/>
      <c r="K57" s="306"/>
      <c r="L57" s="567"/>
      <c r="M57" s="505"/>
      <c r="N57" s="505"/>
      <c r="O57" s="505"/>
      <c r="P57" s="505"/>
      <c r="Q57" s="505"/>
      <c r="R57" s="505"/>
      <c r="S57" s="505"/>
      <c r="T57" s="505"/>
      <c r="U57" s="505"/>
      <c r="V57" s="505"/>
      <c r="W57" s="505"/>
      <c r="X57" s="505"/>
      <c r="Y57" s="505"/>
      <c r="Z57" s="505"/>
      <c r="AA57" s="505"/>
      <c r="AB57" s="505"/>
      <c r="AC57" s="505"/>
      <c r="AD57" s="505"/>
      <c r="AE57" s="505"/>
      <c r="AF57" s="505"/>
      <c r="AG57" s="505"/>
      <c r="AH57" s="505"/>
      <c r="AI57" s="505"/>
      <c r="AJ57" s="505"/>
      <c r="AK57" s="505"/>
      <c r="AL57" s="505"/>
      <c r="AM57" s="505"/>
      <c r="AN57" s="505"/>
      <c r="AO57" s="505"/>
      <c r="AP57" s="505"/>
      <c r="AQ57" s="505"/>
      <c r="AR57" s="505"/>
      <c r="AS57" s="505"/>
      <c r="AT57" s="505"/>
      <c r="AU57" s="505"/>
      <c r="AV57" s="505"/>
      <c r="AW57" s="505"/>
      <c r="AX57" s="505"/>
      <c r="AY57" s="505"/>
      <c r="AZ57" s="505"/>
      <c r="BA57" s="505"/>
      <c r="BB57" s="505"/>
      <c r="BC57" s="505"/>
      <c r="BD57" s="505"/>
      <c r="BE57" s="505"/>
      <c r="BF57" s="505"/>
      <c r="BG57" s="505"/>
      <c r="BH57" s="505"/>
      <c r="BI57" s="505"/>
      <c r="BJ57" s="505"/>
      <c r="BK57" s="505"/>
      <c r="BL57" s="505"/>
      <c r="BM57" s="505"/>
      <c r="BN57" s="505"/>
      <c r="BO57" s="505"/>
      <c r="BP57" s="505"/>
      <c r="BQ57" s="505"/>
      <c r="BR57" s="505"/>
      <c r="BS57" s="505"/>
      <c r="BT57" s="505"/>
      <c r="BU57" s="505"/>
      <c r="BV57" s="505"/>
      <c r="BW57" s="505"/>
      <c r="BX57" s="505"/>
      <c r="BY57" s="505"/>
      <c r="BZ57" s="505"/>
      <c r="CA57" s="505"/>
      <c r="CB57" s="505"/>
      <c r="CC57" s="505"/>
      <c r="CD57" s="505"/>
      <c r="CE57" s="505"/>
      <c r="CF57" s="505"/>
      <c r="CG57" s="505"/>
      <c r="CH57" s="505"/>
      <c r="CI57" s="505"/>
      <c r="CJ57" s="505"/>
      <c r="CK57" s="505"/>
      <c r="CL57" s="505"/>
      <c r="CM57" s="505"/>
      <c r="CN57" s="505"/>
      <c r="CO57" s="505"/>
      <c r="CP57" s="505"/>
      <c r="CQ57" s="505"/>
      <c r="CR57" s="505"/>
      <c r="CS57" s="505"/>
      <c r="CT57" s="505"/>
      <c r="CU57" s="505"/>
    </row>
    <row r="58" spans="1:99" ht="20.100000000000001" customHeight="1">
      <c r="A58" s="400">
        <v>29</v>
      </c>
      <c r="B58" s="62" t="s">
        <v>90</v>
      </c>
      <c r="C58" s="820">
        <v>0</v>
      </c>
      <c r="D58" s="820">
        <v>0</v>
      </c>
      <c r="E58" s="820">
        <v>0</v>
      </c>
      <c r="F58" s="818"/>
      <c r="G58" s="820">
        <v>0</v>
      </c>
      <c r="H58" s="428">
        <f>SUM(C58:G58)</f>
        <v>0</v>
      </c>
      <c r="I58" s="430"/>
      <c r="J58" s="401" t="e">
        <f t="shared" ref="J58:J68" si="11">I58/H58*10</f>
        <v>#DIV/0!</v>
      </c>
      <c r="K58" s="306"/>
      <c r="L58" s="505">
        <v>9.0700000000000003E-2</v>
      </c>
      <c r="M58" s="604">
        <f>H58-L58</f>
        <v>-9.0700000000000003E-2</v>
      </c>
      <c r="N58" s="505"/>
      <c r="O58" s="505"/>
      <c r="P58" s="505"/>
      <c r="Q58" s="505"/>
      <c r="R58" s="505"/>
      <c r="S58" s="505"/>
      <c r="T58" s="505"/>
      <c r="U58" s="505"/>
      <c r="V58" s="505"/>
      <c r="W58" s="505"/>
      <c r="X58" s="505"/>
      <c r="Y58" s="505"/>
      <c r="Z58" s="505"/>
      <c r="AA58" s="505"/>
      <c r="AB58" s="505"/>
      <c r="AC58" s="505"/>
      <c r="AD58" s="505"/>
      <c r="AE58" s="505"/>
      <c r="AF58" s="505"/>
      <c r="AG58" s="505"/>
      <c r="AH58" s="505"/>
      <c r="AI58" s="505"/>
      <c r="AJ58" s="505"/>
      <c r="AK58" s="505"/>
      <c r="AL58" s="505"/>
      <c r="AM58" s="505"/>
      <c r="AN58" s="505"/>
      <c r="AO58" s="505"/>
      <c r="AP58" s="505"/>
      <c r="AQ58" s="505"/>
      <c r="AR58" s="505"/>
      <c r="AS58" s="505"/>
      <c r="AT58" s="505"/>
      <c r="AU58" s="505"/>
      <c r="AV58" s="505"/>
      <c r="AW58" s="505"/>
      <c r="AX58" s="505"/>
      <c r="AY58" s="505"/>
      <c r="AZ58" s="505"/>
      <c r="BA58" s="505"/>
      <c r="BB58" s="505"/>
      <c r="BC58" s="505"/>
      <c r="BD58" s="505"/>
      <c r="BE58" s="505"/>
      <c r="BF58" s="505"/>
      <c r="BG58" s="505"/>
      <c r="BH58" s="505"/>
      <c r="BI58" s="505"/>
      <c r="BJ58" s="505"/>
      <c r="BK58" s="505"/>
      <c r="BL58" s="505"/>
      <c r="BM58" s="505"/>
      <c r="BN58" s="505"/>
      <c r="BO58" s="505"/>
      <c r="BP58" s="505"/>
      <c r="BQ58" s="505"/>
      <c r="BR58" s="505"/>
      <c r="BS58" s="505"/>
      <c r="BT58" s="505"/>
      <c r="BU58" s="505"/>
      <c r="BV58" s="505"/>
      <c r="BW58" s="505"/>
      <c r="BX58" s="505"/>
      <c r="BY58" s="505"/>
      <c r="BZ58" s="505"/>
      <c r="CA58" s="505"/>
      <c r="CB58" s="505"/>
      <c r="CC58" s="505"/>
      <c r="CD58" s="505"/>
      <c r="CE58" s="505"/>
      <c r="CF58" s="505"/>
      <c r="CG58" s="505"/>
      <c r="CH58" s="505"/>
      <c r="CI58" s="505"/>
      <c r="CJ58" s="505"/>
      <c r="CK58" s="505"/>
      <c r="CL58" s="505"/>
      <c r="CM58" s="505"/>
      <c r="CN58" s="505"/>
      <c r="CO58" s="505"/>
      <c r="CP58" s="505"/>
      <c r="CQ58" s="505"/>
      <c r="CR58" s="505"/>
      <c r="CS58" s="505"/>
      <c r="CT58" s="505"/>
      <c r="CU58" s="505"/>
    </row>
    <row r="59" spans="1:99" ht="20.100000000000001" customHeight="1">
      <c r="A59" s="400">
        <v>30</v>
      </c>
      <c r="B59" s="62" t="s">
        <v>73</v>
      </c>
      <c r="C59" s="818">
        <f>188.68893462-C60</f>
        <v>148.68893462</v>
      </c>
      <c r="D59" s="818">
        <f>18.485099-D60</f>
        <v>1.4850990000000017</v>
      </c>
      <c r="E59" s="818">
        <f>19.805569-0.6242-E60</f>
        <v>15.181369</v>
      </c>
      <c r="F59" s="818">
        <f>4.06655472-0.4101+0.0907</f>
        <v>3.7471547200000002</v>
      </c>
      <c r="G59" s="818">
        <v>19.282262620000001</v>
      </c>
      <c r="H59" s="428">
        <f>SUM(C59:G59)+0.0000351599999817154</f>
        <v>188.38485511999997</v>
      </c>
      <c r="I59" s="430">
        <f>15199.15311512-(1.0343*4.85*10)-I60+7.5733767</f>
        <v>11832.062941820001</v>
      </c>
      <c r="J59" s="401">
        <f t="shared" si="11"/>
        <v>628.07930787658336</v>
      </c>
      <c r="K59" s="306"/>
      <c r="L59" s="505">
        <v>250.32841999999999</v>
      </c>
      <c r="M59" s="976">
        <f>H59-L59</f>
        <v>-61.943564880000025</v>
      </c>
      <c r="N59" s="505"/>
      <c r="O59" s="505"/>
      <c r="P59" s="505"/>
      <c r="Q59" s="505"/>
      <c r="R59" s="505"/>
      <c r="S59" s="505"/>
      <c r="T59" s="505"/>
      <c r="U59" s="505"/>
      <c r="V59" s="505"/>
      <c r="W59" s="505"/>
      <c r="X59" s="505"/>
      <c r="Y59" s="505"/>
      <c r="Z59" s="505"/>
      <c r="AA59" s="505"/>
      <c r="AB59" s="505"/>
      <c r="AC59" s="505"/>
      <c r="AD59" s="505"/>
      <c r="AE59" s="505"/>
      <c r="AF59" s="505"/>
      <c r="AG59" s="505"/>
      <c r="AH59" s="505"/>
      <c r="AI59" s="505"/>
      <c r="AJ59" s="505"/>
      <c r="AK59" s="505"/>
      <c r="AL59" s="505"/>
      <c r="AM59" s="505"/>
      <c r="AN59" s="505"/>
      <c r="AO59" s="505"/>
      <c r="AP59" s="505"/>
      <c r="AQ59" s="505"/>
      <c r="AR59" s="505"/>
      <c r="AS59" s="505"/>
      <c r="AT59" s="505"/>
      <c r="AU59" s="505"/>
      <c r="AV59" s="505"/>
      <c r="AW59" s="505"/>
      <c r="AX59" s="505"/>
      <c r="AY59" s="505"/>
      <c r="AZ59" s="505"/>
      <c r="BA59" s="505"/>
      <c r="BB59" s="505"/>
      <c r="BC59" s="505"/>
      <c r="BD59" s="505"/>
      <c r="BE59" s="505"/>
      <c r="BF59" s="505"/>
      <c r="BG59" s="505"/>
      <c r="BH59" s="505"/>
      <c r="BI59" s="505"/>
      <c r="BJ59" s="505"/>
      <c r="BK59" s="505"/>
      <c r="BL59" s="505"/>
      <c r="BM59" s="505"/>
      <c r="BN59" s="505"/>
      <c r="BO59" s="505"/>
      <c r="BP59" s="505"/>
      <c r="BQ59" s="505"/>
      <c r="BR59" s="505"/>
      <c r="BS59" s="505"/>
      <c r="BT59" s="505"/>
      <c r="BU59" s="505"/>
      <c r="BV59" s="505"/>
      <c r="BW59" s="505"/>
      <c r="BX59" s="505"/>
      <c r="BY59" s="505"/>
      <c r="BZ59" s="505"/>
      <c r="CA59" s="505"/>
      <c r="CB59" s="505"/>
      <c r="CC59" s="505"/>
      <c r="CD59" s="505"/>
      <c r="CE59" s="505"/>
      <c r="CF59" s="505"/>
      <c r="CG59" s="505"/>
      <c r="CH59" s="505"/>
      <c r="CI59" s="505"/>
      <c r="CJ59" s="505"/>
      <c r="CK59" s="505"/>
      <c r="CL59" s="505"/>
      <c r="CM59" s="505"/>
      <c r="CN59" s="505"/>
      <c r="CO59" s="505"/>
      <c r="CP59" s="505"/>
      <c r="CQ59" s="505"/>
      <c r="CR59" s="505"/>
      <c r="CS59" s="505"/>
      <c r="CT59" s="505"/>
      <c r="CU59" s="505"/>
    </row>
    <row r="60" spans="1:99" ht="20.100000000000001" customHeight="1">
      <c r="A60" s="400"/>
      <c r="B60" s="62" t="s">
        <v>2128</v>
      </c>
      <c r="C60" s="818">
        <v>40</v>
      </c>
      <c r="D60" s="818">
        <v>17</v>
      </c>
      <c r="E60" s="818">
        <v>4</v>
      </c>
      <c r="F60" s="818"/>
      <c r="G60" s="818"/>
      <c r="H60" s="428">
        <f>SUM(C60:G60)</f>
        <v>61</v>
      </c>
      <c r="I60" s="430">
        <f>H60*5.45*10</f>
        <v>3324.5</v>
      </c>
      <c r="J60" s="401">
        <f t="shared" si="11"/>
        <v>545</v>
      </c>
      <c r="K60" s="306"/>
      <c r="L60" s="505"/>
      <c r="M60" s="976"/>
      <c r="N60" s="505"/>
      <c r="O60" s="505"/>
      <c r="P60" s="505"/>
      <c r="Q60" s="505"/>
      <c r="R60" s="505"/>
      <c r="S60" s="505"/>
      <c r="T60" s="505"/>
      <c r="U60" s="505"/>
      <c r="V60" s="505"/>
      <c r="W60" s="505"/>
      <c r="X60" s="505"/>
      <c r="Y60" s="505"/>
      <c r="Z60" s="505"/>
      <c r="AA60" s="505"/>
      <c r="AB60" s="505"/>
      <c r="AC60" s="505"/>
      <c r="AD60" s="505"/>
      <c r="AE60" s="505"/>
      <c r="AF60" s="505"/>
      <c r="AG60" s="505"/>
      <c r="AH60" s="505"/>
      <c r="AI60" s="505"/>
      <c r="AJ60" s="505"/>
      <c r="AK60" s="505"/>
      <c r="AL60" s="505"/>
      <c r="AM60" s="505"/>
      <c r="AN60" s="505"/>
      <c r="AO60" s="505"/>
      <c r="AP60" s="505"/>
      <c r="AQ60" s="505"/>
      <c r="AR60" s="505"/>
      <c r="AS60" s="505"/>
      <c r="AT60" s="505"/>
      <c r="AU60" s="505"/>
      <c r="AV60" s="505"/>
      <c r="AW60" s="505"/>
      <c r="AX60" s="505"/>
      <c r="AY60" s="505"/>
      <c r="AZ60" s="505"/>
      <c r="BA60" s="505"/>
      <c r="BB60" s="505"/>
      <c r="BC60" s="505"/>
      <c r="BD60" s="505"/>
      <c r="BE60" s="505"/>
      <c r="BF60" s="505"/>
      <c r="BG60" s="505"/>
      <c r="BH60" s="505"/>
      <c r="BI60" s="505"/>
      <c r="BJ60" s="505"/>
      <c r="BK60" s="505"/>
      <c r="BL60" s="505"/>
      <c r="BM60" s="505"/>
      <c r="BN60" s="505"/>
      <c r="BO60" s="505"/>
      <c r="BP60" s="505"/>
      <c r="BQ60" s="505"/>
      <c r="BR60" s="505"/>
      <c r="BS60" s="505"/>
      <c r="BT60" s="505"/>
      <c r="BU60" s="505"/>
      <c r="BV60" s="505"/>
      <c r="BW60" s="505"/>
      <c r="BX60" s="505"/>
      <c r="BY60" s="505"/>
      <c r="BZ60" s="505"/>
      <c r="CA60" s="505"/>
      <c r="CB60" s="505"/>
      <c r="CC60" s="505"/>
      <c r="CD60" s="505"/>
      <c r="CE60" s="505"/>
      <c r="CF60" s="505"/>
      <c r="CG60" s="505"/>
      <c r="CH60" s="505"/>
      <c r="CI60" s="505"/>
      <c r="CJ60" s="505"/>
      <c r="CK60" s="505"/>
      <c r="CL60" s="505"/>
      <c r="CM60" s="505"/>
      <c r="CN60" s="505"/>
      <c r="CO60" s="505"/>
      <c r="CP60" s="505"/>
      <c r="CQ60" s="505"/>
      <c r="CR60" s="505"/>
      <c r="CS60" s="505"/>
      <c r="CT60" s="505"/>
      <c r="CU60" s="505"/>
    </row>
    <row r="61" spans="1:99" ht="20.100000000000001" customHeight="1">
      <c r="A61" s="400">
        <v>31</v>
      </c>
      <c r="B61" s="62" t="s">
        <v>85</v>
      </c>
      <c r="C61" s="818">
        <v>160.98248000000004</v>
      </c>
      <c r="D61" s="818">
        <v>11.857200000000001</v>
      </c>
      <c r="E61" s="818">
        <v>141.49590000000003</v>
      </c>
      <c r="F61" s="818">
        <v>39.406300000000002</v>
      </c>
      <c r="G61" s="818">
        <v>52.981400000000001</v>
      </c>
      <c r="H61" s="428">
        <f t="shared" ref="H61:H67" si="12">SUM(C61:G61)</f>
        <v>406.72328000000005</v>
      </c>
      <c r="I61" s="430">
        <v>28365.5414193</v>
      </c>
      <c r="J61" s="401">
        <f t="shared" si="11"/>
        <v>697.41622410450657</v>
      </c>
      <c r="K61" s="306"/>
      <c r="L61" s="505">
        <v>406.72327999999999</v>
      </c>
      <c r="M61" s="604">
        <f t="shared" ref="M61:M68" si="13">H61-L61</f>
        <v>0</v>
      </c>
      <c r="N61" s="505"/>
      <c r="O61" s="505"/>
      <c r="P61" s="505"/>
      <c r="Q61" s="505"/>
      <c r="R61" s="505"/>
      <c r="S61" s="505"/>
      <c r="T61" s="505"/>
      <c r="U61" s="505"/>
      <c r="V61" s="505"/>
      <c r="W61" s="505"/>
      <c r="X61" s="505"/>
      <c r="Y61" s="505"/>
      <c r="Z61" s="505"/>
      <c r="AA61" s="505"/>
      <c r="AB61" s="505"/>
      <c r="AC61" s="505"/>
      <c r="AD61" s="505"/>
      <c r="AE61" s="505"/>
      <c r="AF61" s="505"/>
      <c r="AG61" s="505"/>
      <c r="AH61" s="505"/>
      <c r="AI61" s="505"/>
      <c r="AJ61" s="505"/>
      <c r="AK61" s="505"/>
      <c r="AL61" s="505"/>
      <c r="AM61" s="505"/>
      <c r="AN61" s="505"/>
      <c r="AO61" s="505"/>
      <c r="AP61" s="505"/>
      <c r="AQ61" s="505"/>
      <c r="AR61" s="505"/>
      <c r="AS61" s="505"/>
      <c r="AT61" s="505"/>
      <c r="AU61" s="505"/>
      <c r="AV61" s="505"/>
      <c r="AW61" s="505"/>
      <c r="AX61" s="505"/>
      <c r="AY61" s="505"/>
      <c r="AZ61" s="505"/>
      <c r="BA61" s="505"/>
      <c r="BB61" s="505"/>
      <c r="BC61" s="505"/>
      <c r="BD61" s="505"/>
      <c r="BE61" s="505"/>
      <c r="BF61" s="505"/>
      <c r="BG61" s="505"/>
      <c r="BH61" s="505"/>
      <c r="BI61" s="505"/>
      <c r="BJ61" s="505"/>
      <c r="BK61" s="505"/>
      <c r="BL61" s="505"/>
      <c r="BM61" s="505"/>
      <c r="BN61" s="505"/>
      <c r="BO61" s="505"/>
      <c r="BP61" s="505"/>
      <c r="BQ61" s="505"/>
      <c r="BR61" s="505"/>
      <c r="BS61" s="505"/>
      <c r="BT61" s="505"/>
      <c r="BU61" s="505"/>
      <c r="BV61" s="505"/>
      <c r="BW61" s="505"/>
      <c r="BX61" s="505"/>
      <c r="BY61" s="505"/>
      <c r="BZ61" s="505"/>
      <c r="CA61" s="505"/>
      <c r="CB61" s="505"/>
      <c r="CC61" s="505"/>
      <c r="CD61" s="505"/>
      <c r="CE61" s="505"/>
      <c r="CF61" s="505"/>
      <c r="CG61" s="505"/>
      <c r="CH61" s="505"/>
      <c r="CI61" s="505"/>
      <c r="CJ61" s="505"/>
      <c r="CK61" s="505"/>
      <c r="CL61" s="505"/>
      <c r="CM61" s="505"/>
      <c r="CN61" s="505"/>
      <c r="CO61" s="505"/>
      <c r="CP61" s="505"/>
      <c r="CQ61" s="505"/>
      <c r="CR61" s="505"/>
      <c r="CS61" s="505"/>
      <c r="CT61" s="505"/>
      <c r="CU61" s="505"/>
    </row>
    <row r="62" spans="1:99" ht="20.100000000000001" customHeight="1">
      <c r="A62" s="400">
        <v>32</v>
      </c>
      <c r="B62" s="62" t="s">
        <v>92</v>
      </c>
      <c r="C62" s="818">
        <v>112.19700399999999</v>
      </c>
      <c r="D62" s="820">
        <v>0</v>
      </c>
      <c r="E62" s="818">
        <f>327.40888-34.6409</f>
        <v>292.76798000000002</v>
      </c>
      <c r="F62" s="820">
        <v>0</v>
      </c>
      <c r="G62" s="820">
        <v>0</v>
      </c>
      <c r="H62" s="428">
        <f>SUM(C62:G62)+0.0000289999999836255</f>
        <v>404.965013</v>
      </c>
      <c r="I62" s="430">
        <f>30239.5940453-(34.6409*4.85*10)</f>
        <v>28559.5103953</v>
      </c>
      <c r="J62" s="401">
        <f t="shared" si="11"/>
        <v>705.23401969295548</v>
      </c>
      <c r="K62" s="306"/>
      <c r="L62" s="505">
        <v>439.60579999999999</v>
      </c>
      <c r="M62" s="976">
        <f t="shared" si="13"/>
        <v>-34.640786999999989</v>
      </c>
      <c r="N62" s="505"/>
      <c r="O62" s="505"/>
      <c r="P62" s="505"/>
      <c r="Q62" s="505"/>
      <c r="R62" s="505"/>
      <c r="S62" s="505"/>
      <c r="T62" s="505"/>
      <c r="U62" s="505"/>
      <c r="V62" s="505"/>
      <c r="W62" s="505"/>
      <c r="X62" s="505"/>
      <c r="Y62" s="505"/>
      <c r="Z62" s="505"/>
      <c r="AA62" s="505"/>
      <c r="AB62" s="505"/>
      <c r="AC62" s="505"/>
      <c r="AD62" s="505"/>
      <c r="AE62" s="505"/>
      <c r="AF62" s="505"/>
      <c r="AG62" s="505"/>
      <c r="AH62" s="505"/>
      <c r="AI62" s="505"/>
      <c r="AJ62" s="505"/>
      <c r="AK62" s="505"/>
      <c r="AL62" s="505"/>
      <c r="AM62" s="505"/>
      <c r="AN62" s="505"/>
      <c r="AO62" s="505"/>
      <c r="AP62" s="505"/>
      <c r="AQ62" s="505"/>
      <c r="AR62" s="505"/>
      <c r="AS62" s="505"/>
      <c r="AT62" s="505"/>
      <c r="AU62" s="505"/>
      <c r="AV62" s="505"/>
      <c r="AW62" s="505"/>
      <c r="AX62" s="505"/>
      <c r="AY62" s="505"/>
      <c r="AZ62" s="505"/>
      <c r="BA62" s="505"/>
      <c r="BB62" s="505"/>
      <c r="BC62" s="505"/>
      <c r="BD62" s="505"/>
      <c r="BE62" s="505"/>
      <c r="BF62" s="505"/>
      <c r="BG62" s="505"/>
      <c r="BH62" s="505"/>
      <c r="BI62" s="505"/>
      <c r="BJ62" s="505"/>
      <c r="BK62" s="505"/>
      <c r="BL62" s="505"/>
      <c r="BM62" s="505"/>
      <c r="BN62" s="505"/>
      <c r="BO62" s="505"/>
      <c r="BP62" s="505"/>
      <c r="BQ62" s="505"/>
      <c r="BR62" s="505"/>
      <c r="BS62" s="505"/>
      <c r="BT62" s="505"/>
      <c r="BU62" s="505"/>
      <c r="BV62" s="505"/>
      <c r="BW62" s="505"/>
      <c r="BX62" s="505"/>
      <c r="BY62" s="505"/>
      <c r="BZ62" s="505"/>
      <c r="CA62" s="505"/>
      <c r="CB62" s="505"/>
      <c r="CC62" s="505"/>
      <c r="CD62" s="505"/>
      <c r="CE62" s="505"/>
      <c r="CF62" s="505"/>
      <c r="CG62" s="505"/>
      <c r="CH62" s="505"/>
      <c r="CI62" s="505"/>
      <c r="CJ62" s="505"/>
      <c r="CK62" s="505"/>
      <c r="CL62" s="505"/>
      <c r="CM62" s="505"/>
      <c r="CN62" s="505"/>
      <c r="CO62" s="505"/>
      <c r="CP62" s="505"/>
      <c r="CQ62" s="505"/>
      <c r="CR62" s="505"/>
      <c r="CS62" s="505"/>
      <c r="CT62" s="505"/>
      <c r="CU62" s="505"/>
    </row>
    <row r="63" spans="1:99" ht="20.100000000000001" customHeight="1">
      <c r="A63" s="400">
        <v>33</v>
      </c>
      <c r="B63" s="62" t="s">
        <v>83</v>
      </c>
      <c r="C63" s="1376">
        <f>1021.76963624-C64</f>
        <v>510.76963623999995</v>
      </c>
      <c r="D63" s="820">
        <v>0</v>
      </c>
      <c r="E63" s="820">
        <v>0</v>
      </c>
      <c r="F63" s="820">
        <v>0</v>
      </c>
      <c r="G63" s="820">
        <v>0</v>
      </c>
      <c r="H63" s="428">
        <f>SUM(C63:G63)</f>
        <v>510.76963623999995</v>
      </c>
      <c r="I63" s="430">
        <f>64284.1130626-I64</f>
        <v>36434.613062599994</v>
      </c>
      <c r="J63" s="401">
        <f t="shared" si="11"/>
        <v>713.32770152139847</v>
      </c>
      <c r="K63" s="306"/>
      <c r="L63" s="505">
        <v>1021.769636</v>
      </c>
      <c r="M63" s="604">
        <f t="shared" si="13"/>
        <v>-510.99999976000004</v>
      </c>
      <c r="N63" s="505"/>
      <c r="O63" s="505"/>
      <c r="P63" s="505"/>
      <c r="Q63" s="505"/>
      <c r="R63" s="505"/>
      <c r="S63" s="505"/>
      <c r="T63" s="505"/>
      <c r="U63" s="505"/>
      <c r="V63" s="505"/>
      <c r="W63" s="505"/>
      <c r="X63" s="505"/>
      <c r="Y63" s="505"/>
      <c r="Z63" s="505"/>
      <c r="AA63" s="505"/>
      <c r="AB63" s="505"/>
      <c r="AC63" s="505"/>
      <c r="AD63" s="505"/>
      <c r="AE63" s="505"/>
      <c r="AF63" s="505"/>
      <c r="AG63" s="505"/>
      <c r="AH63" s="505"/>
      <c r="AI63" s="505"/>
      <c r="AJ63" s="505"/>
      <c r="AK63" s="505"/>
      <c r="AL63" s="505"/>
      <c r="AM63" s="505"/>
      <c r="AN63" s="505"/>
      <c r="AO63" s="505"/>
      <c r="AP63" s="505"/>
      <c r="AQ63" s="505"/>
      <c r="AR63" s="505"/>
      <c r="AS63" s="505"/>
      <c r="AT63" s="505"/>
      <c r="AU63" s="505"/>
      <c r="AV63" s="505"/>
      <c r="AW63" s="505"/>
      <c r="AX63" s="505"/>
      <c r="AY63" s="505"/>
      <c r="AZ63" s="505"/>
      <c r="BA63" s="505"/>
      <c r="BB63" s="505"/>
      <c r="BC63" s="505"/>
      <c r="BD63" s="505"/>
      <c r="BE63" s="505"/>
      <c r="BF63" s="505"/>
      <c r="BG63" s="505"/>
      <c r="BH63" s="505"/>
      <c r="BI63" s="505"/>
      <c r="BJ63" s="505"/>
      <c r="BK63" s="505"/>
      <c r="BL63" s="505"/>
      <c r="BM63" s="505"/>
      <c r="BN63" s="505"/>
      <c r="BO63" s="505"/>
      <c r="BP63" s="505"/>
      <c r="BQ63" s="505"/>
      <c r="BR63" s="505"/>
      <c r="BS63" s="505"/>
      <c r="BT63" s="505"/>
      <c r="BU63" s="505"/>
      <c r="BV63" s="505"/>
      <c r="BW63" s="505"/>
      <c r="BX63" s="505"/>
      <c r="BY63" s="505"/>
      <c r="BZ63" s="505"/>
      <c r="CA63" s="505"/>
      <c r="CB63" s="505"/>
      <c r="CC63" s="505"/>
      <c r="CD63" s="505"/>
      <c r="CE63" s="505"/>
      <c r="CF63" s="505"/>
      <c r="CG63" s="505"/>
      <c r="CH63" s="505"/>
      <c r="CI63" s="505"/>
      <c r="CJ63" s="505"/>
      <c r="CK63" s="505"/>
      <c r="CL63" s="505"/>
      <c r="CM63" s="505"/>
      <c r="CN63" s="505"/>
      <c r="CO63" s="505"/>
      <c r="CP63" s="505"/>
      <c r="CQ63" s="505"/>
      <c r="CR63" s="505"/>
      <c r="CS63" s="505"/>
      <c r="CT63" s="505"/>
      <c r="CU63" s="505"/>
    </row>
    <row r="64" spans="1:99" ht="20.100000000000001" customHeight="1">
      <c r="A64" s="400"/>
      <c r="B64" s="62" t="s">
        <v>2129</v>
      </c>
      <c r="C64" s="1376">
        <v>511</v>
      </c>
      <c r="D64" s="820"/>
      <c r="E64" s="820"/>
      <c r="F64" s="820"/>
      <c r="G64" s="820"/>
      <c r="H64" s="428">
        <f t="shared" si="12"/>
        <v>511</v>
      </c>
      <c r="I64" s="430">
        <f>H64*5.45*10</f>
        <v>27849.500000000004</v>
      </c>
      <c r="J64" s="401">
        <f t="shared" si="11"/>
        <v>545.00000000000011</v>
      </c>
      <c r="K64" s="306"/>
      <c r="L64" s="505"/>
      <c r="M64" s="604"/>
      <c r="N64" s="505"/>
      <c r="O64" s="505"/>
      <c r="P64" s="505"/>
      <c r="Q64" s="505"/>
      <c r="R64" s="505"/>
      <c r="S64" s="505"/>
      <c r="T64" s="505"/>
      <c r="U64" s="505"/>
      <c r="V64" s="505"/>
      <c r="W64" s="505"/>
      <c r="X64" s="505"/>
      <c r="Y64" s="505"/>
      <c r="Z64" s="505"/>
      <c r="AA64" s="505"/>
      <c r="AB64" s="505"/>
      <c r="AC64" s="505"/>
      <c r="AD64" s="505"/>
      <c r="AE64" s="505"/>
      <c r="AF64" s="505"/>
      <c r="AG64" s="505"/>
      <c r="AH64" s="505"/>
      <c r="AI64" s="505"/>
      <c r="AJ64" s="505"/>
      <c r="AK64" s="505"/>
      <c r="AL64" s="505"/>
      <c r="AM64" s="505"/>
      <c r="AN64" s="505"/>
      <c r="AO64" s="505"/>
      <c r="AP64" s="505"/>
      <c r="AQ64" s="505"/>
      <c r="AR64" s="505"/>
      <c r="AS64" s="505"/>
      <c r="AT64" s="505"/>
      <c r="AU64" s="505"/>
      <c r="AV64" s="505"/>
      <c r="AW64" s="505"/>
      <c r="AX64" s="505"/>
      <c r="AY64" s="505"/>
      <c r="AZ64" s="505"/>
      <c r="BA64" s="505"/>
      <c r="BB64" s="505"/>
      <c r="BC64" s="505"/>
      <c r="BD64" s="505"/>
      <c r="BE64" s="505"/>
      <c r="BF64" s="505"/>
      <c r="BG64" s="505"/>
      <c r="BH64" s="505"/>
      <c r="BI64" s="505"/>
      <c r="BJ64" s="505"/>
      <c r="BK64" s="505"/>
      <c r="BL64" s="505"/>
      <c r="BM64" s="505"/>
      <c r="BN64" s="505"/>
      <c r="BO64" s="505"/>
      <c r="BP64" s="505"/>
      <c r="BQ64" s="505"/>
      <c r="BR64" s="505"/>
      <c r="BS64" s="505"/>
      <c r="BT64" s="505"/>
      <c r="BU64" s="505"/>
      <c r="BV64" s="505"/>
      <c r="BW64" s="505"/>
      <c r="BX64" s="505"/>
      <c r="BY64" s="505"/>
      <c r="BZ64" s="505"/>
      <c r="CA64" s="505"/>
      <c r="CB64" s="505"/>
      <c r="CC64" s="505"/>
      <c r="CD64" s="505"/>
      <c r="CE64" s="505"/>
      <c r="CF64" s="505"/>
      <c r="CG64" s="505"/>
      <c r="CH64" s="505"/>
      <c r="CI64" s="505"/>
      <c r="CJ64" s="505"/>
      <c r="CK64" s="505"/>
      <c r="CL64" s="505"/>
      <c r="CM64" s="505"/>
      <c r="CN64" s="505"/>
      <c r="CO64" s="505"/>
      <c r="CP64" s="505"/>
      <c r="CQ64" s="505"/>
      <c r="CR64" s="505"/>
      <c r="CS64" s="505"/>
      <c r="CT64" s="505"/>
      <c r="CU64" s="505"/>
    </row>
    <row r="65" spans="1:99" ht="20.100000000000001" customHeight="1">
      <c r="A65" s="400">
        <v>34</v>
      </c>
      <c r="B65" s="62" t="s">
        <v>93</v>
      </c>
      <c r="C65" s="820">
        <v>0</v>
      </c>
      <c r="D65" s="820">
        <v>0</v>
      </c>
      <c r="E65" s="820">
        <v>0</v>
      </c>
      <c r="F65" s="818">
        <f>3.86034-0.2285-0.0000155999999997825</f>
        <v>3.6318244000000002</v>
      </c>
      <c r="G65" s="820">
        <v>0</v>
      </c>
      <c r="H65" s="428">
        <f t="shared" si="12"/>
        <v>3.6318244000000002</v>
      </c>
      <c r="I65" s="430">
        <f>278.6151723-(0.2285*4.85*10)</f>
        <v>267.5329223</v>
      </c>
      <c r="J65" s="401">
        <f t="shared" si="11"/>
        <v>736.6350705171759</v>
      </c>
      <c r="K65" s="306"/>
      <c r="L65" s="505">
        <v>3.8603000000000001</v>
      </c>
      <c r="M65" s="976">
        <f t="shared" si="13"/>
        <v>-0.22847559999999989</v>
      </c>
      <c r="N65" s="505"/>
      <c r="O65" s="505"/>
      <c r="P65" s="505"/>
      <c r="Q65" s="505"/>
      <c r="R65" s="505"/>
      <c r="S65" s="505"/>
      <c r="T65" s="505"/>
      <c r="U65" s="505"/>
      <c r="V65" s="505"/>
      <c r="W65" s="505"/>
      <c r="X65" s="505"/>
      <c r="Y65" s="505"/>
      <c r="Z65" s="505"/>
      <c r="AA65" s="505"/>
      <c r="AB65" s="505"/>
      <c r="AC65" s="505"/>
      <c r="AD65" s="505"/>
      <c r="AE65" s="505"/>
      <c r="AF65" s="505"/>
      <c r="AG65" s="505"/>
      <c r="AH65" s="505"/>
      <c r="AI65" s="505"/>
      <c r="AJ65" s="505"/>
      <c r="AK65" s="505"/>
      <c r="AL65" s="505"/>
      <c r="AM65" s="505"/>
      <c r="AN65" s="505"/>
      <c r="AO65" s="505"/>
      <c r="AP65" s="505"/>
      <c r="AQ65" s="505"/>
      <c r="AR65" s="505"/>
      <c r="AS65" s="505"/>
      <c r="AT65" s="505"/>
      <c r="AU65" s="505"/>
      <c r="AV65" s="505"/>
      <c r="AW65" s="505"/>
      <c r="AX65" s="505"/>
      <c r="AY65" s="505"/>
      <c r="AZ65" s="505"/>
      <c r="BA65" s="505"/>
      <c r="BB65" s="505"/>
      <c r="BC65" s="505"/>
      <c r="BD65" s="505"/>
      <c r="BE65" s="505"/>
      <c r="BF65" s="505"/>
      <c r="BG65" s="505"/>
      <c r="BH65" s="505"/>
      <c r="BI65" s="505"/>
      <c r="BJ65" s="505"/>
      <c r="BK65" s="505"/>
      <c r="BL65" s="505"/>
      <c r="BM65" s="505"/>
      <c r="BN65" s="505"/>
      <c r="BO65" s="505"/>
      <c r="BP65" s="505"/>
      <c r="BQ65" s="505"/>
      <c r="BR65" s="505"/>
      <c r="BS65" s="505"/>
      <c r="BT65" s="505"/>
      <c r="BU65" s="505"/>
      <c r="BV65" s="505"/>
      <c r="BW65" s="505"/>
      <c r="BX65" s="505"/>
      <c r="BY65" s="505"/>
      <c r="BZ65" s="505"/>
      <c r="CA65" s="505"/>
      <c r="CB65" s="505"/>
      <c r="CC65" s="505"/>
      <c r="CD65" s="505"/>
      <c r="CE65" s="505"/>
      <c r="CF65" s="505"/>
      <c r="CG65" s="505"/>
      <c r="CH65" s="505"/>
      <c r="CI65" s="505"/>
      <c r="CJ65" s="505"/>
      <c r="CK65" s="505"/>
      <c r="CL65" s="505"/>
      <c r="CM65" s="505"/>
      <c r="CN65" s="505"/>
      <c r="CO65" s="505"/>
      <c r="CP65" s="505"/>
      <c r="CQ65" s="505"/>
      <c r="CR65" s="505"/>
      <c r="CS65" s="505"/>
      <c r="CT65" s="505"/>
      <c r="CU65" s="505"/>
    </row>
    <row r="66" spans="1:99" ht="20.100000000000001" customHeight="1">
      <c r="A66" s="400">
        <v>35</v>
      </c>
      <c r="B66" s="62" t="s">
        <v>86</v>
      </c>
      <c r="C66" s="818">
        <v>4.2032000000000007</v>
      </c>
      <c r="D66" s="820">
        <v>0</v>
      </c>
      <c r="E66" s="820">
        <v>0</v>
      </c>
      <c r="F66" s="820">
        <v>0</v>
      </c>
      <c r="G66" s="820">
        <v>0</v>
      </c>
      <c r="H66" s="428">
        <f t="shared" si="12"/>
        <v>4.2032000000000007</v>
      </c>
      <c r="I66" s="430">
        <v>560.72129100000006</v>
      </c>
      <c r="J66" s="401">
        <f t="shared" si="11"/>
        <v>1334.0342857822611</v>
      </c>
      <c r="K66" s="306"/>
      <c r="L66" s="505">
        <v>4.2031999999999998</v>
      </c>
      <c r="M66" s="604">
        <f t="shared" si="13"/>
        <v>0</v>
      </c>
      <c r="N66" s="505"/>
      <c r="O66" s="505"/>
      <c r="P66" s="505"/>
      <c r="Q66" s="505"/>
      <c r="R66" s="505"/>
      <c r="S66" s="505"/>
      <c r="T66" s="505"/>
      <c r="U66" s="505"/>
      <c r="V66" s="505"/>
      <c r="W66" s="505"/>
      <c r="X66" s="505"/>
      <c r="Y66" s="505"/>
      <c r="Z66" s="505"/>
      <c r="AA66" s="505"/>
      <c r="AB66" s="505"/>
      <c r="AC66" s="505"/>
      <c r="AD66" s="505"/>
      <c r="AE66" s="505"/>
      <c r="AF66" s="505"/>
      <c r="AG66" s="505"/>
      <c r="AH66" s="505"/>
      <c r="AI66" s="505"/>
      <c r="AJ66" s="505"/>
      <c r="AK66" s="505"/>
      <c r="AL66" s="505"/>
      <c r="AM66" s="505"/>
      <c r="AN66" s="505"/>
      <c r="AO66" s="505"/>
      <c r="AP66" s="505"/>
      <c r="AQ66" s="505"/>
      <c r="AR66" s="505"/>
      <c r="AS66" s="505"/>
      <c r="AT66" s="505"/>
      <c r="AU66" s="505"/>
      <c r="AV66" s="505"/>
      <c r="AW66" s="505"/>
      <c r="AX66" s="505"/>
      <c r="AY66" s="505"/>
      <c r="AZ66" s="505"/>
      <c r="BA66" s="505"/>
      <c r="BB66" s="505"/>
      <c r="BC66" s="505"/>
      <c r="BD66" s="505"/>
      <c r="BE66" s="505"/>
      <c r="BF66" s="505"/>
      <c r="BG66" s="505"/>
      <c r="BH66" s="505"/>
      <c r="BI66" s="505"/>
      <c r="BJ66" s="505"/>
      <c r="BK66" s="505"/>
      <c r="BL66" s="505"/>
      <c r="BM66" s="505"/>
      <c r="BN66" s="505"/>
      <c r="BO66" s="505"/>
      <c r="BP66" s="505"/>
      <c r="BQ66" s="505"/>
      <c r="BR66" s="505"/>
      <c r="BS66" s="505"/>
      <c r="BT66" s="505"/>
      <c r="BU66" s="505"/>
      <c r="BV66" s="505"/>
      <c r="BW66" s="505"/>
      <c r="BX66" s="505"/>
      <c r="BY66" s="505"/>
      <c r="BZ66" s="505"/>
      <c r="CA66" s="505"/>
      <c r="CB66" s="505"/>
      <c r="CC66" s="505"/>
      <c r="CD66" s="505"/>
      <c r="CE66" s="505"/>
      <c r="CF66" s="505"/>
      <c r="CG66" s="505"/>
      <c r="CH66" s="505"/>
      <c r="CI66" s="505"/>
      <c r="CJ66" s="505"/>
      <c r="CK66" s="505"/>
      <c r="CL66" s="505"/>
      <c r="CM66" s="505"/>
      <c r="CN66" s="505"/>
      <c r="CO66" s="505"/>
      <c r="CP66" s="505"/>
      <c r="CQ66" s="505"/>
      <c r="CR66" s="505"/>
      <c r="CS66" s="505"/>
      <c r="CT66" s="505"/>
      <c r="CU66" s="505"/>
    </row>
    <row r="67" spans="1:99" ht="20.100000000000001" customHeight="1">
      <c r="A67" s="400">
        <v>36</v>
      </c>
      <c r="B67" s="62" t="s">
        <v>63</v>
      </c>
      <c r="C67" s="820">
        <v>0</v>
      </c>
      <c r="D67" s="820">
        <v>0</v>
      </c>
      <c r="E67" s="820">
        <v>0</v>
      </c>
      <c r="F67" s="820">
        <v>0</v>
      </c>
      <c r="G67" s="818">
        <v>4.1415999999999995</v>
      </c>
      <c r="H67" s="428">
        <f t="shared" si="12"/>
        <v>4.1415999999999995</v>
      </c>
      <c r="I67" s="430">
        <v>153.28821070000004</v>
      </c>
      <c r="J67" s="401">
        <f t="shared" si="11"/>
        <v>370.11833759899565</v>
      </c>
      <c r="K67" s="306"/>
      <c r="L67" s="505">
        <f>0.0258+4.1158</f>
        <v>4.1416000000000004</v>
      </c>
      <c r="M67" s="604">
        <f t="shared" si="13"/>
        <v>0</v>
      </c>
      <c r="N67" s="505"/>
      <c r="O67" s="505"/>
      <c r="P67" s="505"/>
      <c r="Q67" s="505"/>
      <c r="R67" s="505"/>
      <c r="S67" s="505"/>
      <c r="T67" s="505"/>
      <c r="U67" s="505"/>
      <c r="V67" s="505"/>
      <c r="W67" s="505"/>
      <c r="X67" s="505"/>
      <c r="Y67" s="505"/>
      <c r="Z67" s="505"/>
      <c r="AA67" s="505"/>
      <c r="AB67" s="505"/>
      <c r="AC67" s="505"/>
      <c r="AD67" s="505"/>
      <c r="AE67" s="505"/>
      <c r="AF67" s="505"/>
      <c r="AG67" s="505"/>
      <c r="AH67" s="505"/>
      <c r="AI67" s="505"/>
      <c r="AJ67" s="505"/>
      <c r="AK67" s="505"/>
      <c r="AL67" s="505"/>
      <c r="AM67" s="505"/>
      <c r="AN67" s="505"/>
      <c r="AO67" s="505"/>
      <c r="AP67" s="505"/>
      <c r="AQ67" s="505"/>
      <c r="AR67" s="505"/>
      <c r="AS67" s="505"/>
      <c r="AT67" s="505"/>
      <c r="AU67" s="505"/>
      <c r="AV67" s="505"/>
      <c r="AW67" s="505"/>
      <c r="AX67" s="505"/>
      <c r="AY67" s="505"/>
      <c r="AZ67" s="505"/>
      <c r="BA67" s="505"/>
      <c r="BB67" s="505"/>
      <c r="BC67" s="505"/>
      <c r="BD67" s="505"/>
      <c r="BE67" s="505"/>
      <c r="BF67" s="505"/>
      <c r="BG67" s="505"/>
      <c r="BH67" s="505"/>
      <c r="BI67" s="505"/>
      <c r="BJ67" s="505"/>
      <c r="BK67" s="505"/>
      <c r="BL67" s="505"/>
      <c r="BM67" s="505"/>
      <c r="BN67" s="505"/>
      <c r="BO67" s="505"/>
      <c r="BP67" s="505"/>
      <c r="BQ67" s="505"/>
      <c r="BR67" s="505"/>
      <c r="BS67" s="505"/>
      <c r="BT67" s="505"/>
      <c r="BU67" s="505"/>
      <c r="BV67" s="505"/>
      <c r="BW67" s="505"/>
      <c r="BX67" s="505"/>
      <c r="BY67" s="505"/>
      <c r="BZ67" s="505"/>
      <c r="CA67" s="505"/>
      <c r="CB67" s="505"/>
      <c r="CC67" s="505"/>
      <c r="CD67" s="505"/>
      <c r="CE67" s="505"/>
      <c r="CF67" s="505"/>
      <c r="CG67" s="505"/>
      <c r="CH67" s="505"/>
      <c r="CI67" s="505"/>
      <c r="CJ67" s="505"/>
      <c r="CK67" s="505"/>
      <c r="CL67" s="505"/>
      <c r="CM67" s="505"/>
      <c r="CN67" s="505"/>
      <c r="CO67" s="505"/>
      <c r="CP67" s="505"/>
      <c r="CQ67" s="505"/>
      <c r="CR67" s="505"/>
      <c r="CS67" s="505"/>
      <c r="CT67" s="505"/>
      <c r="CU67" s="505"/>
    </row>
    <row r="68" spans="1:99" ht="20.100000000000001" customHeight="1">
      <c r="A68" s="400">
        <v>37</v>
      </c>
      <c r="B68" s="62" t="s">
        <v>87</v>
      </c>
      <c r="C68" s="378"/>
      <c r="D68" s="378"/>
      <c r="E68" s="378">
        <f>34.6409+0.6242</f>
        <v>35.265100000000004</v>
      </c>
      <c r="F68" s="378">
        <f>0.4101+0.2285</f>
        <v>0.63860000000000006</v>
      </c>
      <c r="G68" s="1377"/>
      <c r="H68" s="428">
        <f>SUM(C68:G68)-0.000048560000003306</f>
        <v>35.903651439999997</v>
      </c>
      <c r="I68" s="430">
        <f>(35.9037*4.85*10)</f>
        <v>1741.3294499999997</v>
      </c>
      <c r="J68" s="401">
        <f t="shared" si="11"/>
        <v>485.00065596670686</v>
      </c>
      <c r="K68" s="306"/>
      <c r="L68" s="505">
        <v>35.903651000000004</v>
      </c>
      <c r="M68" s="604">
        <f t="shared" si="13"/>
        <v>4.3999999377319909E-7</v>
      </c>
      <c r="N68" s="505"/>
      <c r="O68" s="505"/>
      <c r="P68" s="505"/>
      <c r="Q68" s="505"/>
      <c r="R68" s="505"/>
      <c r="S68" s="505"/>
      <c r="T68" s="505"/>
      <c r="U68" s="505"/>
      <c r="V68" s="505"/>
      <c r="W68" s="505"/>
      <c r="X68" s="505"/>
      <c r="Y68" s="505"/>
      <c r="Z68" s="505"/>
      <c r="AA68" s="505"/>
      <c r="AB68" s="505"/>
      <c r="AC68" s="505"/>
      <c r="AD68" s="505"/>
      <c r="AE68" s="505"/>
      <c r="AF68" s="505"/>
      <c r="AG68" s="505"/>
      <c r="AH68" s="505"/>
      <c r="AI68" s="505"/>
      <c r="AJ68" s="505"/>
      <c r="AK68" s="505"/>
      <c r="AL68" s="505"/>
      <c r="AM68" s="505"/>
      <c r="AN68" s="505"/>
      <c r="AO68" s="505"/>
      <c r="AP68" s="505"/>
      <c r="AQ68" s="505"/>
      <c r="AR68" s="505"/>
      <c r="AS68" s="505"/>
      <c r="AT68" s="505"/>
      <c r="AU68" s="505"/>
      <c r="AV68" s="505"/>
      <c r="AW68" s="505"/>
      <c r="AX68" s="505"/>
      <c r="AY68" s="505"/>
      <c r="AZ68" s="505"/>
      <c r="BA68" s="505"/>
      <c r="BB68" s="505"/>
      <c r="BC68" s="505"/>
      <c r="BD68" s="505"/>
      <c r="BE68" s="505"/>
      <c r="BF68" s="505"/>
      <c r="BG68" s="505"/>
      <c r="BH68" s="505"/>
      <c r="BI68" s="505"/>
      <c r="BJ68" s="505"/>
      <c r="BK68" s="505"/>
      <c r="BL68" s="505"/>
      <c r="BM68" s="505"/>
      <c r="BN68" s="505"/>
      <c r="BO68" s="505"/>
      <c r="BP68" s="505"/>
      <c r="BQ68" s="505"/>
      <c r="BR68" s="505"/>
      <c r="BS68" s="505"/>
      <c r="BT68" s="505"/>
      <c r="BU68" s="505"/>
      <c r="BV68" s="505"/>
      <c r="BW68" s="505"/>
      <c r="BX68" s="505"/>
      <c r="BY68" s="505"/>
      <c r="BZ68" s="505"/>
      <c r="CA68" s="505"/>
      <c r="CB68" s="505"/>
      <c r="CC68" s="505"/>
      <c r="CD68" s="505"/>
      <c r="CE68" s="505"/>
      <c r="CF68" s="505"/>
      <c r="CG68" s="505"/>
      <c r="CH68" s="505"/>
      <c r="CI68" s="505"/>
      <c r="CJ68" s="505"/>
      <c r="CK68" s="505"/>
      <c r="CL68" s="505"/>
      <c r="CM68" s="505"/>
      <c r="CN68" s="505"/>
      <c r="CO68" s="505"/>
      <c r="CP68" s="505"/>
      <c r="CQ68" s="505"/>
      <c r="CR68" s="505"/>
      <c r="CS68" s="505"/>
      <c r="CT68" s="505"/>
      <c r="CU68" s="505"/>
    </row>
    <row r="69" spans="1:99" ht="20.100000000000001" customHeight="1">
      <c r="A69" s="400"/>
      <c r="B69" s="403" t="s">
        <v>193</v>
      </c>
      <c r="C69" s="110">
        <f>SUM(C58:C68)</f>
        <v>1487.8412548599999</v>
      </c>
      <c r="D69" s="110">
        <f t="shared" ref="D69:G69" si="14">SUM(D58:D68)</f>
        <v>30.342299000000004</v>
      </c>
      <c r="E69" s="110">
        <f t="shared" si="14"/>
        <v>488.71034900000006</v>
      </c>
      <c r="F69" s="110">
        <f t="shared" si="14"/>
        <v>47.423879119999995</v>
      </c>
      <c r="G69" s="110">
        <f t="shared" si="14"/>
        <v>76.405262620000002</v>
      </c>
      <c r="H69" s="110">
        <f>SUM(H58:H68)</f>
        <v>2130.7230602</v>
      </c>
      <c r="I69" s="268">
        <f>SUM(I58:I68)</f>
        <v>139088.59969301996</v>
      </c>
      <c r="J69" s="268">
        <f>I69/H69*10</f>
        <v>652.77652591775325</v>
      </c>
      <c r="K69" s="306"/>
      <c r="L69" s="565"/>
      <c r="M69" s="505"/>
      <c r="N69" s="505"/>
      <c r="O69" s="505"/>
      <c r="P69" s="505"/>
      <c r="Q69" s="505"/>
      <c r="R69" s="505"/>
      <c r="S69" s="505"/>
      <c r="T69" s="505"/>
      <c r="U69" s="505"/>
      <c r="V69" s="505"/>
      <c r="W69" s="505"/>
      <c r="X69" s="505"/>
      <c r="Y69" s="505"/>
      <c r="Z69" s="505"/>
      <c r="AA69" s="505"/>
      <c r="AB69" s="505"/>
      <c r="AC69" s="505"/>
      <c r="AD69" s="505"/>
      <c r="AE69" s="505"/>
      <c r="AF69" s="505"/>
      <c r="AG69" s="505"/>
      <c r="AH69" s="505"/>
      <c r="AI69" s="505"/>
      <c r="AJ69" s="505"/>
      <c r="AK69" s="505"/>
      <c r="AL69" s="505"/>
      <c r="AM69" s="505"/>
      <c r="AN69" s="505"/>
      <c r="AO69" s="505"/>
      <c r="AP69" s="505"/>
      <c r="AQ69" s="505"/>
      <c r="AR69" s="505"/>
      <c r="AS69" s="505"/>
      <c r="AT69" s="505"/>
      <c r="AU69" s="505"/>
      <c r="AV69" s="505"/>
      <c r="AW69" s="505"/>
      <c r="AX69" s="505"/>
      <c r="AY69" s="505"/>
      <c r="AZ69" s="505"/>
      <c r="BA69" s="505"/>
      <c r="BB69" s="505"/>
      <c r="BC69" s="505"/>
      <c r="BD69" s="505"/>
      <c r="BE69" s="505"/>
      <c r="BF69" s="505"/>
      <c r="BG69" s="505"/>
      <c r="BH69" s="505"/>
      <c r="BI69" s="505"/>
      <c r="BJ69" s="505"/>
      <c r="BK69" s="505"/>
      <c r="BL69" s="505"/>
      <c r="BM69" s="505"/>
      <c r="BN69" s="505"/>
      <c r="BO69" s="505"/>
      <c r="BP69" s="505"/>
      <c r="BQ69" s="505"/>
      <c r="BR69" s="505"/>
      <c r="BS69" s="505"/>
      <c r="BT69" s="505"/>
      <c r="BU69" s="505"/>
      <c r="BV69" s="505"/>
      <c r="BW69" s="505"/>
      <c r="BX69" s="505"/>
      <c r="BY69" s="505"/>
      <c r="BZ69" s="505"/>
      <c r="CA69" s="505"/>
      <c r="CB69" s="505"/>
      <c r="CC69" s="505"/>
      <c r="CD69" s="505"/>
      <c r="CE69" s="505"/>
      <c r="CF69" s="505"/>
      <c r="CG69" s="505"/>
      <c r="CH69" s="505"/>
      <c r="CI69" s="505"/>
      <c r="CJ69" s="505"/>
      <c r="CK69" s="505"/>
      <c r="CL69" s="505"/>
      <c r="CM69" s="505"/>
      <c r="CN69" s="505"/>
      <c r="CO69" s="505"/>
      <c r="CP69" s="505"/>
      <c r="CQ69" s="505"/>
      <c r="CR69" s="505"/>
      <c r="CS69" s="505"/>
      <c r="CT69" s="505"/>
      <c r="CU69" s="505"/>
    </row>
    <row r="70" spans="1:99" ht="20.100000000000001" customHeight="1">
      <c r="A70" s="400"/>
      <c r="B70" s="403" t="s">
        <v>231</v>
      </c>
      <c r="C70" s="110">
        <f t="shared" ref="C70:I70" si="15">C69+C56+C38</f>
        <v>2066.3937571196598</v>
      </c>
      <c r="D70" s="110">
        <f t="shared" si="15"/>
        <v>398.03007109789991</v>
      </c>
      <c r="E70" s="110">
        <f t="shared" si="15"/>
        <v>1574.0521290671097</v>
      </c>
      <c r="F70" s="110">
        <f t="shared" si="15"/>
        <v>435.88290943640038</v>
      </c>
      <c r="G70" s="110">
        <f t="shared" si="15"/>
        <v>343.12445178719975</v>
      </c>
      <c r="H70" s="344">
        <f t="shared" si="15"/>
        <v>4817.4833339082707</v>
      </c>
      <c r="I70" s="429">
        <f t="shared" si="15"/>
        <v>283041.704921011</v>
      </c>
      <c r="J70" s="268">
        <f>I70/H70*10</f>
        <v>587.53022128545342</v>
      </c>
      <c r="K70" s="306"/>
      <c r="L70" s="893"/>
      <c r="M70" s="505"/>
      <c r="N70" s="505"/>
      <c r="O70" s="505"/>
      <c r="P70" s="505"/>
      <c r="Q70" s="505"/>
      <c r="R70" s="505"/>
      <c r="S70" s="505"/>
      <c r="T70" s="505"/>
      <c r="U70" s="505"/>
      <c r="V70" s="505"/>
      <c r="W70" s="505"/>
      <c r="X70" s="505"/>
      <c r="Y70" s="505"/>
      <c r="Z70" s="505"/>
      <c r="AA70" s="505"/>
      <c r="AB70" s="505"/>
      <c r="AC70" s="505"/>
      <c r="AD70" s="505"/>
      <c r="AE70" s="505"/>
      <c r="AF70" s="505"/>
      <c r="AG70" s="505"/>
      <c r="AH70" s="505"/>
      <c r="AI70" s="505"/>
      <c r="AJ70" s="505"/>
      <c r="AK70" s="505"/>
      <c r="AL70" s="505"/>
      <c r="AM70" s="505"/>
      <c r="AN70" s="505"/>
      <c r="AO70" s="505"/>
      <c r="AP70" s="505"/>
      <c r="AQ70" s="505"/>
      <c r="AR70" s="505"/>
      <c r="AS70" s="505"/>
      <c r="AT70" s="505"/>
      <c r="AU70" s="505"/>
      <c r="AV70" s="505"/>
      <c r="AW70" s="505"/>
      <c r="AX70" s="505"/>
      <c r="AY70" s="505"/>
      <c r="AZ70" s="505"/>
      <c r="BA70" s="505"/>
      <c r="BB70" s="505"/>
      <c r="BC70" s="505"/>
      <c r="BD70" s="505"/>
      <c r="BE70" s="505"/>
      <c r="BF70" s="505"/>
      <c r="BG70" s="505"/>
      <c r="BH70" s="505"/>
      <c r="BI70" s="505"/>
      <c r="BJ70" s="505"/>
      <c r="BK70" s="505"/>
      <c r="BL70" s="505"/>
      <c r="BM70" s="505"/>
      <c r="BN70" s="505"/>
      <c r="BO70" s="505"/>
      <c r="BP70" s="505"/>
      <c r="BQ70" s="505"/>
      <c r="BR70" s="505"/>
      <c r="BS70" s="505"/>
      <c r="BT70" s="505"/>
      <c r="BU70" s="505"/>
      <c r="BV70" s="505"/>
      <c r="BW70" s="505"/>
      <c r="BX70" s="505"/>
      <c r="BY70" s="505"/>
      <c r="BZ70" s="505"/>
      <c r="CA70" s="505"/>
      <c r="CB70" s="505"/>
      <c r="CC70" s="505"/>
      <c r="CD70" s="505"/>
      <c r="CE70" s="505"/>
      <c r="CF70" s="505"/>
      <c r="CG70" s="505"/>
      <c r="CH70" s="505"/>
      <c r="CI70" s="505"/>
      <c r="CJ70" s="505"/>
      <c r="CK70" s="505"/>
      <c r="CL70" s="505"/>
      <c r="CM70" s="505"/>
      <c r="CN70" s="505"/>
      <c r="CO70" s="505"/>
      <c r="CP70" s="505"/>
      <c r="CQ70" s="505"/>
      <c r="CR70" s="505"/>
      <c r="CS70" s="505"/>
      <c r="CT70" s="505"/>
      <c r="CU70" s="505"/>
    </row>
    <row r="71" spans="1:99" ht="20.100000000000001" customHeight="1">
      <c r="A71" s="62">
        <v>37</v>
      </c>
      <c r="B71" s="380" t="s">
        <v>232</v>
      </c>
      <c r="C71" s="400"/>
      <c r="D71" s="400"/>
      <c r="E71" s="400"/>
      <c r="F71" s="400"/>
      <c r="G71" s="400"/>
      <c r="H71" s="378">
        <v>6346.5334769000001</v>
      </c>
      <c r="I71" s="333"/>
      <c r="J71" s="401"/>
      <c r="L71" s="505"/>
      <c r="M71" s="505"/>
      <c r="N71" s="505"/>
      <c r="O71" s="505"/>
      <c r="P71" s="505"/>
      <c r="Q71" s="505"/>
      <c r="R71" s="505"/>
      <c r="S71" s="505"/>
      <c r="T71" s="505"/>
      <c r="U71" s="505"/>
      <c r="V71" s="505"/>
      <c r="W71" s="505"/>
      <c r="X71" s="505"/>
      <c r="Y71" s="505"/>
      <c r="Z71" s="505"/>
      <c r="AA71" s="505"/>
      <c r="AB71" s="505"/>
      <c r="AC71" s="505"/>
      <c r="AD71" s="505"/>
      <c r="AE71" s="505"/>
      <c r="AF71" s="505"/>
      <c r="AG71" s="505"/>
      <c r="AH71" s="505"/>
      <c r="AI71" s="505"/>
      <c r="AJ71" s="505"/>
      <c r="AK71" s="505"/>
      <c r="AL71" s="505"/>
      <c r="AM71" s="505"/>
      <c r="AN71" s="505"/>
      <c r="AO71" s="505"/>
      <c r="AP71" s="505"/>
      <c r="AQ71" s="505"/>
      <c r="AR71" s="505"/>
      <c r="AS71" s="505"/>
      <c r="AT71" s="505"/>
      <c r="AU71" s="505"/>
      <c r="AV71" s="505"/>
      <c r="AW71" s="505"/>
      <c r="AX71" s="505"/>
      <c r="AY71" s="505"/>
      <c r="AZ71" s="505"/>
      <c r="BA71" s="505"/>
      <c r="BB71" s="505"/>
      <c r="BC71" s="505"/>
      <c r="BD71" s="505"/>
      <c r="BE71" s="505"/>
      <c r="BF71" s="505"/>
      <c r="BG71" s="505"/>
      <c r="BH71" s="505"/>
      <c r="BI71" s="505"/>
      <c r="BJ71" s="505"/>
      <c r="BK71" s="505"/>
      <c r="BL71" s="505"/>
      <c r="BM71" s="505"/>
      <c r="BN71" s="505"/>
      <c r="BO71" s="505"/>
      <c r="BP71" s="505"/>
      <c r="BQ71" s="505"/>
      <c r="BR71" s="505"/>
      <c r="BS71" s="505"/>
      <c r="BT71" s="505"/>
      <c r="BU71" s="505"/>
      <c r="BV71" s="505"/>
      <c r="BW71" s="505"/>
      <c r="BX71" s="505"/>
      <c r="BY71" s="505"/>
      <c r="BZ71" s="505"/>
      <c r="CA71" s="505"/>
      <c r="CB71" s="505"/>
      <c r="CC71" s="505"/>
      <c r="CD71" s="505"/>
      <c r="CE71" s="505"/>
      <c r="CF71" s="505"/>
      <c r="CG71" s="505"/>
      <c r="CH71" s="505"/>
      <c r="CI71" s="505"/>
      <c r="CJ71" s="505"/>
      <c r="CK71" s="505"/>
      <c r="CL71" s="505"/>
      <c r="CM71" s="505"/>
      <c r="CN71" s="505"/>
      <c r="CO71" s="505"/>
      <c r="CP71" s="505"/>
      <c r="CQ71" s="505"/>
      <c r="CR71" s="505"/>
      <c r="CS71" s="505"/>
      <c r="CT71" s="505"/>
      <c r="CU71" s="505"/>
    </row>
    <row r="72" spans="1:99" ht="20.100000000000001" customHeight="1">
      <c r="A72" s="62">
        <v>38</v>
      </c>
      <c r="B72" s="380" t="s">
        <v>226</v>
      </c>
      <c r="C72" s="400"/>
      <c r="D72" s="400"/>
      <c r="E72" s="400"/>
      <c r="F72" s="400"/>
      <c r="G72" s="400"/>
      <c r="H72" s="378">
        <f>H71-H70</f>
        <v>1529.0501429917294</v>
      </c>
      <c r="I72" s="333"/>
      <c r="J72" s="401"/>
      <c r="L72" s="505"/>
      <c r="M72" s="505"/>
      <c r="N72" s="505"/>
      <c r="O72" s="505"/>
      <c r="P72" s="505"/>
      <c r="Q72" s="505"/>
      <c r="R72" s="505"/>
      <c r="S72" s="505"/>
      <c r="T72" s="505"/>
      <c r="U72" s="505"/>
      <c r="V72" s="505"/>
      <c r="W72" s="505"/>
      <c r="X72" s="505"/>
      <c r="Y72" s="505"/>
      <c r="Z72" s="505"/>
      <c r="AA72" s="505"/>
      <c r="AB72" s="505"/>
      <c r="AC72" s="505"/>
      <c r="AD72" s="505"/>
      <c r="AE72" s="505"/>
      <c r="AF72" s="505"/>
      <c r="AG72" s="505"/>
      <c r="AH72" s="505"/>
      <c r="AI72" s="505"/>
      <c r="AJ72" s="505"/>
      <c r="AK72" s="505"/>
      <c r="AL72" s="505"/>
      <c r="AM72" s="505"/>
      <c r="AN72" s="505"/>
      <c r="AO72" s="505"/>
      <c r="AP72" s="505"/>
      <c r="AQ72" s="505"/>
      <c r="AR72" s="505"/>
      <c r="AS72" s="505"/>
      <c r="AT72" s="505"/>
      <c r="AU72" s="505"/>
      <c r="AV72" s="505"/>
      <c r="AW72" s="505"/>
      <c r="AX72" s="505"/>
      <c r="AY72" s="505"/>
      <c r="AZ72" s="505"/>
      <c r="BA72" s="505"/>
      <c r="BB72" s="505"/>
      <c r="BC72" s="505"/>
      <c r="BD72" s="505"/>
      <c r="BE72" s="505"/>
      <c r="BF72" s="505"/>
      <c r="BG72" s="505"/>
      <c r="BH72" s="505"/>
      <c r="BI72" s="505"/>
      <c r="BJ72" s="505"/>
      <c r="BK72" s="505"/>
      <c r="BL72" s="505"/>
      <c r="BM72" s="505"/>
      <c r="BN72" s="505"/>
      <c r="BO72" s="505"/>
      <c r="BP72" s="505"/>
      <c r="BQ72" s="505"/>
      <c r="BR72" s="505"/>
      <c r="BS72" s="505"/>
      <c r="BT72" s="505"/>
      <c r="BU72" s="505"/>
      <c r="BV72" s="505"/>
      <c r="BW72" s="505"/>
      <c r="BX72" s="505"/>
      <c r="BY72" s="505"/>
      <c r="BZ72" s="505"/>
      <c r="CA72" s="505"/>
      <c r="CB72" s="505"/>
      <c r="CC72" s="505"/>
      <c r="CD72" s="505"/>
      <c r="CE72" s="505"/>
      <c r="CF72" s="505"/>
      <c r="CG72" s="505"/>
      <c r="CH72" s="505"/>
      <c r="CI72" s="505"/>
      <c r="CJ72" s="505"/>
      <c r="CK72" s="505"/>
      <c r="CL72" s="505"/>
      <c r="CM72" s="505"/>
      <c r="CN72" s="505"/>
      <c r="CO72" s="505"/>
      <c r="CP72" s="505"/>
      <c r="CQ72" s="505"/>
      <c r="CR72" s="505"/>
      <c r="CS72" s="505"/>
      <c r="CT72" s="505"/>
      <c r="CU72" s="505"/>
    </row>
    <row r="73" spans="1:99" ht="20.100000000000001" customHeight="1">
      <c r="A73" s="62">
        <v>39</v>
      </c>
      <c r="B73" s="380" t="s">
        <v>227</v>
      </c>
      <c r="C73" s="400"/>
      <c r="D73" s="400"/>
      <c r="E73" s="400"/>
      <c r="F73" s="400"/>
      <c r="G73" s="400"/>
      <c r="H73" s="343">
        <f>H72/H71</f>
        <v>0.24092682226559411</v>
      </c>
      <c r="I73" s="333"/>
      <c r="J73" s="401"/>
      <c r="L73" s="505"/>
      <c r="M73" s="505"/>
      <c r="N73" s="505"/>
      <c r="O73" s="505"/>
      <c r="P73" s="505"/>
      <c r="Q73" s="505"/>
      <c r="R73" s="505"/>
      <c r="S73" s="505"/>
      <c r="T73" s="505"/>
      <c r="U73" s="505"/>
      <c r="V73" s="505"/>
      <c r="W73" s="505"/>
      <c r="X73" s="505"/>
      <c r="Y73" s="505"/>
      <c r="Z73" s="505"/>
      <c r="AA73" s="505"/>
      <c r="AB73" s="505"/>
      <c r="AC73" s="505"/>
      <c r="AD73" s="505"/>
      <c r="AE73" s="505"/>
      <c r="AF73" s="505"/>
      <c r="AG73" s="505"/>
      <c r="AH73" s="505"/>
      <c r="AI73" s="505"/>
      <c r="AJ73" s="505"/>
      <c r="AK73" s="505"/>
      <c r="AL73" s="505"/>
      <c r="AM73" s="505"/>
      <c r="AN73" s="505"/>
      <c r="AO73" s="505"/>
      <c r="AP73" s="505"/>
      <c r="AQ73" s="505"/>
      <c r="AR73" s="505"/>
      <c r="AS73" s="505"/>
      <c r="AT73" s="505"/>
      <c r="AU73" s="505"/>
      <c r="AV73" s="505"/>
      <c r="AW73" s="505"/>
      <c r="AX73" s="505"/>
      <c r="AY73" s="505"/>
      <c r="AZ73" s="505"/>
      <c r="BA73" s="505"/>
      <c r="BB73" s="505"/>
      <c r="BC73" s="505"/>
      <c r="BD73" s="505"/>
      <c r="BE73" s="505"/>
      <c r="BF73" s="505"/>
      <c r="BG73" s="505"/>
      <c r="BH73" s="505"/>
      <c r="BI73" s="505"/>
      <c r="BJ73" s="505"/>
      <c r="BK73" s="505"/>
      <c r="BL73" s="505"/>
      <c r="BM73" s="505"/>
      <c r="BN73" s="505"/>
      <c r="BO73" s="505"/>
      <c r="BP73" s="505"/>
      <c r="BQ73" s="505"/>
      <c r="BR73" s="505"/>
      <c r="BS73" s="505"/>
      <c r="BT73" s="505"/>
      <c r="BU73" s="505"/>
      <c r="BV73" s="505"/>
      <c r="BW73" s="505"/>
      <c r="BX73" s="505"/>
      <c r="BY73" s="505"/>
      <c r="BZ73" s="505"/>
      <c r="CA73" s="505"/>
      <c r="CB73" s="505"/>
      <c r="CC73" s="505"/>
      <c r="CD73" s="505"/>
      <c r="CE73" s="505"/>
      <c r="CF73" s="505"/>
      <c r="CG73" s="505"/>
      <c r="CH73" s="505"/>
      <c r="CI73" s="505"/>
      <c r="CJ73" s="505"/>
      <c r="CK73" s="505"/>
      <c r="CL73" s="505"/>
      <c r="CM73" s="505"/>
      <c r="CN73" s="505"/>
      <c r="CO73" s="505"/>
      <c r="CP73" s="505"/>
      <c r="CQ73" s="505"/>
      <c r="CR73" s="505"/>
      <c r="CS73" s="505"/>
      <c r="CT73" s="505"/>
      <c r="CU73" s="505"/>
    </row>
    <row r="74" spans="1:99" ht="20.100000000000001" customHeight="1">
      <c r="A74" s="62">
        <v>40</v>
      </c>
      <c r="B74" s="380" t="s">
        <v>99</v>
      </c>
      <c r="C74" s="400"/>
      <c r="D74" s="400"/>
      <c r="E74" s="400"/>
      <c r="F74" s="400"/>
      <c r="G74" s="400"/>
      <c r="H74" s="343">
        <f>'T-1'!K76</f>
        <v>0.94642487429461031</v>
      </c>
      <c r="I74" s="885"/>
      <c r="J74" s="401"/>
      <c r="L74" s="505"/>
      <c r="M74" s="505"/>
      <c r="N74" s="505"/>
      <c r="O74" s="505"/>
      <c r="P74" s="505"/>
      <c r="Q74" s="505"/>
      <c r="R74" s="505"/>
      <c r="S74" s="505"/>
      <c r="T74" s="505"/>
      <c r="U74" s="505"/>
      <c r="V74" s="505"/>
      <c r="W74" s="505"/>
      <c r="X74" s="505"/>
      <c r="Y74" s="505"/>
      <c r="Z74" s="505"/>
      <c r="AA74" s="505"/>
      <c r="AB74" s="505"/>
      <c r="AC74" s="505"/>
      <c r="AD74" s="505"/>
      <c r="AE74" s="505"/>
      <c r="AF74" s="505"/>
      <c r="AG74" s="505"/>
      <c r="AH74" s="505"/>
      <c r="AI74" s="505"/>
      <c r="AJ74" s="505"/>
      <c r="AK74" s="505"/>
      <c r="AL74" s="505"/>
      <c r="AM74" s="505"/>
      <c r="AN74" s="505"/>
      <c r="AO74" s="505"/>
      <c r="AP74" s="505"/>
      <c r="AQ74" s="505"/>
      <c r="AR74" s="505"/>
      <c r="AS74" s="505"/>
      <c r="AT74" s="505"/>
      <c r="AU74" s="505"/>
      <c r="AV74" s="505"/>
      <c r="AW74" s="505"/>
      <c r="AX74" s="505"/>
      <c r="AY74" s="505"/>
      <c r="AZ74" s="505"/>
      <c r="BA74" s="505"/>
      <c r="BB74" s="505"/>
      <c r="BC74" s="505"/>
      <c r="BD74" s="505"/>
      <c r="BE74" s="505"/>
      <c r="BF74" s="505"/>
      <c r="BG74" s="505"/>
      <c r="BH74" s="505"/>
      <c r="BI74" s="505"/>
      <c r="BJ74" s="505"/>
      <c r="BK74" s="505"/>
      <c r="BL74" s="505"/>
      <c r="BM74" s="505"/>
      <c r="BN74" s="505"/>
      <c r="BO74" s="505"/>
      <c r="BP74" s="505"/>
      <c r="BQ74" s="505"/>
      <c r="BR74" s="505"/>
      <c r="BS74" s="505"/>
      <c r="BT74" s="505"/>
      <c r="BU74" s="505"/>
      <c r="BV74" s="505"/>
      <c r="BW74" s="505"/>
      <c r="BX74" s="505"/>
      <c r="BY74" s="505"/>
      <c r="BZ74" s="505"/>
      <c r="CA74" s="505"/>
      <c r="CB74" s="505"/>
      <c r="CC74" s="505"/>
      <c r="CD74" s="505"/>
      <c r="CE74" s="505"/>
      <c r="CF74" s="505"/>
      <c r="CG74" s="505"/>
      <c r="CH74" s="505"/>
      <c r="CI74" s="505"/>
      <c r="CJ74" s="505"/>
      <c r="CK74" s="505"/>
      <c r="CL74" s="505"/>
      <c r="CM74" s="505"/>
      <c r="CN74" s="505"/>
      <c r="CO74" s="505"/>
      <c r="CP74" s="505"/>
      <c r="CQ74" s="505"/>
      <c r="CR74" s="505"/>
      <c r="CS74" s="505"/>
      <c r="CT74" s="505"/>
      <c r="CU74" s="505"/>
    </row>
    <row r="75" spans="1:99" ht="20.100000000000001" customHeight="1">
      <c r="A75" s="62">
        <v>41</v>
      </c>
      <c r="B75" s="380" t="s">
        <v>100</v>
      </c>
      <c r="C75" s="400"/>
      <c r="D75" s="400"/>
      <c r="E75" s="400"/>
      <c r="F75" s="400"/>
      <c r="G75" s="400"/>
      <c r="H75" s="343">
        <f>'T-1'!K77</f>
        <v>0.28159426318230452</v>
      </c>
      <c r="I75" s="885"/>
      <c r="J75" s="401"/>
      <c r="L75" s="924"/>
      <c r="M75" s="505"/>
      <c r="N75" s="505"/>
      <c r="O75" s="505"/>
      <c r="P75" s="505"/>
      <c r="Q75" s="505"/>
      <c r="R75" s="505"/>
      <c r="S75" s="505"/>
      <c r="T75" s="505"/>
      <c r="U75" s="505"/>
      <c r="V75" s="505"/>
      <c r="W75" s="505"/>
      <c r="X75" s="505"/>
      <c r="Y75" s="505"/>
      <c r="Z75" s="505"/>
      <c r="AA75" s="505"/>
      <c r="AB75" s="505"/>
      <c r="AC75" s="505"/>
      <c r="AD75" s="505"/>
      <c r="AE75" s="505"/>
      <c r="AF75" s="505"/>
      <c r="AG75" s="505"/>
      <c r="AH75" s="505"/>
      <c r="AI75" s="505"/>
      <c r="AJ75" s="505"/>
      <c r="AK75" s="505"/>
      <c r="AL75" s="505"/>
      <c r="AM75" s="505"/>
      <c r="AN75" s="505"/>
      <c r="AO75" s="505"/>
      <c r="AP75" s="505"/>
      <c r="AQ75" s="505"/>
      <c r="AR75" s="505"/>
      <c r="AS75" s="505"/>
      <c r="AT75" s="505"/>
      <c r="AU75" s="505"/>
      <c r="AV75" s="505"/>
      <c r="AW75" s="505"/>
      <c r="AX75" s="505"/>
      <c r="AY75" s="505"/>
      <c r="AZ75" s="505"/>
      <c r="BA75" s="505"/>
      <c r="BB75" s="505"/>
      <c r="BC75" s="505"/>
      <c r="BD75" s="505"/>
      <c r="BE75" s="505"/>
      <c r="BF75" s="505"/>
      <c r="BG75" s="505"/>
      <c r="BH75" s="505"/>
      <c r="BI75" s="505"/>
      <c r="BJ75" s="505"/>
      <c r="BK75" s="505"/>
      <c r="BL75" s="505"/>
      <c r="BM75" s="505"/>
      <c r="BN75" s="505"/>
      <c r="BO75" s="505"/>
      <c r="BP75" s="505"/>
      <c r="BQ75" s="505"/>
      <c r="BR75" s="505"/>
      <c r="BS75" s="505"/>
      <c r="BT75" s="505"/>
      <c r="BU75" s="505"/>
      <c r="BV75" s="505"/>
      <c r="BW75" s="505"/>
      <c r="BX75" s="505"/>
      <c r="BY75" s="505"/>
      <c r="BZ75" s="505"/>
      <c r="CA75" s="505"/>
      <c r="CB75" s="505"/>
      <c r="CC75" s="505"/>
      <c r="CD75" s="505"/>
      <c r="CE75" s="505"/>
      <c r="CF75" s="505"/>
      <c r="CG75" s="505"/>
      <c r="CH75" s="505"/>
      <c r="CI75" s="505"/>
      <c r="CJ75" s="505"/>
      <c r="CK75" s="505"/>
      <c r="CL75" s="505"/>
      <c r="CM75" s="505"/>
      <c r="CN75" s="505"/>
      <c r="CO75" s="505"/>
      <c r="CP75" s="505"/>
      <c r="CQ75" s="505"/>
      <c r="CR75" s="505"/>
      <c r="CS75" s="505"/>
      <c r="CT75" s="505"/>
      <c r="CU75" s="505"/>
    </row>
    <row r="76" spans="1:99" ht="20.100000000000001" customHeight="1">
      <c r="A76" s="65" t="s">
        <v>230</v>
      </c>
      <c r="C76" s="64"/>
      <c r="D76" s="64"/>
      <c r="E76" s="64"/>
      <c r="F76" s="64"/>
      <c r="G76" s="64"/>
      <c r="H76" s="64"/>
      <c r="I76" s="177"/>
      <c r="J76" s="504"/>
      <c r="L76" s="924"/>
      <c r="M76" s="505"/>
      <c r="N76" s="505"/>
      <c r="O76" s="505"/>
      <c r="P76" s="505"/>
      <c r="Q76" s="505"/>
      <c r="R76" s="505"/>
      <c r="S76" s="505"/>
      <c r="T76" s="505"/>
      <c r="U76" s="505"/>
      <c r="V76" s="505"/>
      <c r="W76" s="505"/>
      <c r="X76" s="505"/>
      <c r="Y76" s="505"/>
      <c r="Z76" s="505"/>
      <c r="AA76" s="505"/>
      <c r="AB76" s="505"/>
      <c r="AC76" s="505"/>
      <c r="AD76" s="505"/>
      <c r="AE76" s="505"/>
      <c r="AF76" s="505"/>
      <c r="AG76" s="505"/>
      <c r="AH76" s="505"/>
      <c r="AI76" s="505"/>
      <c r="AJ76" s="505"/>
      <c r="AK76" s="505"/>
      <c r="AL76" s="505"/>
      <c r="AM76" s="505"/>
      <c r="AN76" s="505"/>
      <c r="AO76" s="505"/>
      <c r="AP76" s="505"/>
      <c r="AQ76" s="505"/>
      <c r="AR76" s="505"/>
      <c r="AS76" s="505"/>
      <c r="AT76" s="505"/>
      <c r="AU76" s="505"/>
      <c r="AV76" s="505"/>
      <c r="AW76" s="505"/>
      <c r="AX76" s="505"/>
      <c r="AY76" s="505"/>
      <c r="AZ76" s="505"/>
      <c r="BA76" s="505"/>
      <c r="BB76" s="505"/>
      <c r="BC76" s="505"/>
      <c r="BD76" s="505"/>
      <c r="BE76" s="505"/>
      <c r="BF76" s="505"/>
      <c r="BG76" s="505"/>
      <c r="BH76" s="505"/>
      <c r="BI76" s="505"/>
      <c r="BJ76" s="505"/>
      <c r="BK76" s="505"/>
      <c r="BL76" s="505"/>
      <c r="BM76" s="505"/>
      <c r="BN76" s="505"/>
      <c r="BO76" s="505"/>
      <c r="BP76" s="505"/>
      <c r="BQ76" s="505"/>
      <c r="BR76" s="505"/>
      <c r="BS76" s="505"/>
      <c r="BT76" s="505"/>
      <c r="BU76" s="505"/>
      <c r="BV76" s="505"/>
      <c r="BW76" s="505"/>
      <c r="BX76" s="505"/>
      <c r="BY76" s="505"/>
      <c r="BZ76" s="505"/>
      <c r="CA76" s="505"/>
      <c r="CB76" s="505"/>
      <c r="CC76" s="505"/>
      <c r="CD76" s="505"/>
      <c r="CE76" s="505"/>
      <c r="CF76" s="505"/>
      <c r="CG76" s="505"/>
      <c r="CH76" s="505"/>
      <c r="CI76" s="505"/>
      <c r="CJ76" s="505"/>
      <c r="CK76" s="505"/>
      <c r="CL76" s="505"/>
      <c r="CM76" s="505"/>
      <c r="CN76" s="505"/>
      <c r="CO76" s="505"/>
      <c r="CP76" s="505"/>
      <c r="CQ76" s="505"/>
      <c r="CR76" s="505"/>
      <c r="CS76" s="505"/>
      <c r="CT76" s="505"/>
      <c r="CU76" s="505"/>
    </row>
    <row r="77" spans="1:99" ht="20.100000000000001" customHeight="1">
      <c r="C77" s="64"/>
      <c r="D77" s="64"/>
      <c r="E77" s="64"/>
      <c r="F77" s="64"/>
      <c r="G77" s="64"/>
      <c r="H77" s="64"/>
      <c r="I77" s="177"/>
      <c r="J77" s="405"/>
      <c r="L77" s="505"/>
      <c r="M77" s="505"/>
      <c r="N77" s="505"/>
      <c r="O77" s="505"/>
      <c r="P77" s="505"/>
      <c r="Q77" s="505"/>
      <c r="R77" s="505"/>
      <c r="S77" s="505"/>
      <c r="T77" s="505"/>
      <c r="U77" s="505"/>
      <c r="V77" s="505"/>
      <c r="W77" s="505"/>
      <c r="X77" s="505"/>
      <c r="Y77" s="505"/>
      <c r="Z77" s="505"/>
      <c r="AA77" s="505"/>
      <c r="AB77" s="505"/>
      <c r="AC77" s="505"/>
      <c r="AD77" s="505"/>
      <c r="AE77" s="505"/>
      <c r="AF77" s="505"/>
      <c r="AG77" s="505"/>
      <c r="AH77" s="505"/>
      <c r="AI77" s="505"/>
      <c r="AJ77" s="505"/>
      <c r="AK77" s="505"/>
      <c r="AL77" s="505"/>
      <c r="AM77" s="505"/>
      <c r="AN77" s="505"/>
      <c r="AO77" s="505"/>
      <c r="AP77" s="505"/>
      <c r="AQ77" s="505"/>
      <c r="AR77" s="505"/>
      <c r="AS77" s="505"/>
      <c r="AT77" s="505"/>
      <c r="AU77" s="505"/>
      <c r="AV77" s="505"/>
      <c r="AW77" s="505"/>
      <c r="AX77" s="505"/>
      <c r="AY77" s="505"/>
      <c r="AZ77" s="505"/>
      <c r="BA77" s="505"/>
      <c r="BB77" s="505"/>
      <c r="BC77" s="505"/>
      <c r="BD77" s="505"/>
      <c r="BE77" s="505"/>
      <c r="BF77" s="505"/>
      <c r="BG77" s="505"/>
      <c r="BH77" s="505"/>
      <c r="BI77" s="505"/>
      <c r="BJ77" s="505"/>
      <c r="BK77" s="505"/>
      <c r="BL77" s="505"/>
      <c r="BM77" s="505"/>
      <c r="BN77" s="505"/>
      <c r="BO77" s="505"/>
      <c r="BP77" s="505"/>
      <c r="BQ77" s="505"/>
      <c r="BR77" s="505"/>
      <c r="BS77" s="505"/>
      <c r="BT77" s="505"/>
      <c r="BU77" s="505"/>
      <c r="BV77" s="505"/>
      <c r="BW77" s="505"/>
      <c r="BX77" s="505"/>
      <c r="BY77" s="505"/>
      <c r="BZ77" s="505"/>
      <c r="CA77" s="505"/>
      <c r="CB77" s="505"/>
      <c r="CC77" s="505"/>
      <c r="CD77" s="505"/>
      <c r="CE77" s="505"/>
      <c r="CF77" s="505"/>
      <c r="CG77" s="505"/>
      <c r="CH77" s="505"/>
      <c r="CI77" s="505"/>
      <c r="CJ77" s="505"/>
      <c r="CK77" s="505"/>
      <c r="CL77" s="505"/>
      <c r="CM77" s="505"/>
      <c r="CN77" s="505"/>
      <c r="CO77" s="505"/>
      <c r="CP77" s="505"/>
      <c r="CQ77" s="505"/>
      <c r="CR77" s="505"/>
      <c r="CS77" s="505"/>
      <c r="CT77" s="505"/>
      <c r="CU77" s="505"/>
    </row>
    <row r="78" spans="1:99" ht="20.100000000000001" customHeight="1">
      <c r="H78" s="402"/>
      <c r="I78" s="177"/>
      <c r="J78" s="405"/>
      <c r="L78" s="924"/>
      <c r="M78" s="505"/>
      <c r="N78" s="505"/>
      <c r="O78" s="505"/>
      <c r="P78" s="505"/>
      <c r="Q78" s="505"/>
      <c r="R78" s="505"/>
      <c r="S78" s="505"/>
      <c r="T78" s="505"/>
      <c r="U78" s="505"/>
      <c r="V78" s="505"/>
      <c r="W78" s="505"/>
      <c r="X78" s="505"/>
      <c r="Y78" s="505"/>
      <c r="Z78" s="505"/>
      <c r="AA78" s="505"/>
      <c r="AB78" s="505"/>
      <c r="AC78" s="505"/>
      <c r="AD78" s="505"/>
      <c r="AE78" s="505"/>
      <c r="AF78" s="505"/>
      <c r="AG78" s="505"/>
      <c r="AH78" s="505"/>
      <c r="AI78" s="505"/>
      <c r="AJ78" s="505"/>
      <c r="AK78" s="505"/>
      <c r="AL78" s="505"/>
      <c r="AM78" s="505"/>
      <c r="AN78" s="505"/>
      <c r="AO78" s="505"/>
      <c r="AP78" s="505"/>
      <c r="AQ78" s="505"/>
      <c r="AR78" s="505"/>
      <c r="AS78" s="505"/>
      <c r="AT78" s="505"/>
      <c r="AU78" s="505"/>
      <c r="AV78" s="505"/>
      <c r="AW78" s="505"/>
      <c r="AX78" s="505"/>
      <c r="AY78" s="505"/>
      <c r="AZ78" s="505"/>
      <c r="BA78" s="505"/>
      <c r="BB78" s="505"/>
      <c r="BC78" s="505"/>
      <c r="BD78" s="505"/>
      <c r="BE78" s="505"/>
      <c r="BF78" s="505"/>
      <c r="BG78" s="505"/>
      <c r="BH78" s="505"/>
      <c r="BI78" s="505"/>
      <c r="BJ78" s="505"/>
      <c r="BK78" s="505"/>
      <c r="BL78" s="505"/>
      <c r="BM78" s="505"/>
      <c r="BN78" s="505"/>
      <c r="BO78" s="505"/>
      <c r="BP78" s="505"/>
      <c r="BQ78" s="505"/>
      <c r="BR78" s="505"/>
      <c r="BS78" s="505"/>
      <c r="BT78" s="505"/>
      <c r="BU78" s="505"/>
      <c r="BV78" s="505"/>
      <c r="BW78" s="505"/>
      <c r="BX78" s="505"/>
      <c r="BY78" s="505"/>
      <c r="BZ78" s="505"/>
      <c r="CA78" s="505"/>
      <c r="CB78" s="505"/>
      <c r="CC78" s="505"/>
      <c r="CD78" s="505"/>
      <c r="CE78" s="505"/>
      <c r="CF78" s="505"/>
      <c r="CG78" s="505"/>
      <c r="CH78" s="505"/>
      <c r="CI78" s="505"/>
      <c r="CJ78" s="505"/>
      <c r="CK78" s="505"/>
      <c r="CL78" s="505"/>
      <c r="CM78" s="505"/>
      <c r="CN78" s="505"/>
      <c r="CO78" s="505"/>
      <c r="CP78" s="505"/>
      <c r="CQ78" s="505"/>
      <c r="CR78" s="505"/>
      <c r="CS78" s="505"/>
      <c r="CT78" s="505"/>
      <c r="CU78" s="505"/>
    </row>
    <row r="79" spans="1:99" ht="20.100000000000001" customHeight="1">
      <c r="I79" s="177"/>
      <c r="J79" s="405"/>
      <c r="L79" s="925"/>
      <c r="M79" s="926"/>
    </row>
    <row r="80" spans="1:99" ht="20.100000000000001" customHeight="1">
      <c r="J80" s="249"/>
      <c r="L80" s="925"/>
      <c r="M80" s="236"/>
    </row>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row r="175" ht="20.100000000000001" customHeight="1"/>
    <row r="176" ht="20.100000000000001" customHeight="1"/>
    <row r="177" ht="20.100000000000001" customHeight="1"/>
    <row r="178" ht="20.100000000000001" customHeight="1"/>
    <row r="179" ht="20.100000000000001" customHeight="1"/>
    <row r="180" ht="20.100000000000001" customHeight="1"/>
    <row r="181" ht="20.100000000000001" customHeight="1"/>
    <row r="182" ht="20.100000000000001" customHeight="1"/>
    <row r="183" ht="20.100000000000001" customHeight="1"/>
    <row r="184" ht="20.100000000000001" customHeight="1"/>
    <row r="185" ht="20.100000000000001" customHeight="1"/>
    <row r="186" ht="20.100000000000001" customHeight="1"/>
    <row r="187" ht="20.100000000000001" customHeight="1"/>
    <row r="188" ht="20.100000000000001" customHeight="1"/>
    <row r="189" ht="20.100000000000001" customHeight="1"/>
    <row r="190" ht="20.100000000000001" customHeight="1"/>
    <row r="191" ht="20.100000000000001" customHeight="1"/>
    <row r="192" ht="20.100000000000001" customHeight="1"/>
    <row r="193" ht="20.100000000000001" customHeight="1"/>
    <row r="194" ht="20.100000000000001" customHeight="1"/>
    <row r="195" ht="20.100000000000001" customHeight="1"/>
    <row r="196" ht="20.100000000000001" customHeight="1"/>
    <row r="197" ht="20.100000000000001" customHeight="1"/>
    <row r="198" ht="20.100000000000001" customHeight="1"/>
    <row r="199" ht="20.100000000000001" customHeight="1"/>
    <row r="200" ht="20.100000000000001" customHeight="1"/>
    <row r="201" ht="20.100000000000001" customHeight="1"/>
    <row r="202" ht="20.100000000000001" customHeight="1"/>
    <row r="203" ht="20.100000000000001" customHeight="1"/>
    <row r="204" ht="20.100000000000001" customHeight="1"/>
    <row r="205" ht="20.100000000000001" customHeight="1"/>
    <row r="206" ht="20.100000000000001" customHeight="1"/>
    <row r="207" ht="20.100000000000001" customHeight="1"/>
    <row r="208" ht="20.100000000000001" customHeight="1"/>
    <row r="209" ht="20.100000000000001" customHeight="1"/>
    <row r="210" ht="20.100000000000001" customHeight="1"/>
    <row r="211" ht="20.100000000000001" customHeight="1"/>
    <row r="212" ht="20.100000000000001" customHeight="1"/>
    <row r="213" ht="20.100000000000001" customHeight="1"/>
    <row r="214" ht="20.100000000000001" customHeight="1"/>
    <row r="215" ht="20.100000000000001" customHeight="1"/>
    <row r="216" ht="20.100000000000001" customHeight="1"/>
    <row r="217" ht="20.100000000000001" customHeight="1"/>
    <row r="218" ht="20.100000000000001" customHeight="1"/>
    <row r="219" ht="20.100000000000001" customHeight="1"/>
    <row r="220" ht="20.100000000000001" customHeight="1"/>
    <row r="221" ht="20.100000000000001" customHeight="1"/>
    <row r="222" ht="20.100000000000001" customHeight="1"/>
    <row r="223" ht="20.100000000000001" customHeight="1"/>
    <row r="224" ht="20.100000000000001" customHeight="1"/>
    <row r="225" ht="20.100000000000001" customHeight="1"/>
    <row r="226" ht="20.100000000000001" customHeight="1"/>
    <row r="227" ht="20.100000000000001" customHeight="1"/>
    <row r="228" ht="20.100000000000001" customHeight="1"/>
    <row r="229" ht="20.100000000000001" customHeight="1"/>
    <row r="230" ht="20.100000000000001" customHeight="1"/>
    <row r="231" ht="20.100000000000001" customHeight="1"/>
    <row r="232" ht="20.100000000000001" customHeight="1"/>
    <row r="233" ht="20.100000000000001" customHeight="1"/>
    <row r="234" ht="20.100000000000001" customHeight="1"/>
    <row r="235" ht="20.100000000000001" customHeight="1"/>
    <row r="236" ht="20.100000000000001" customHeight="1"/>
    <row r="237" ht="20.100000000000001" customHeight="1"/>
    <row r="238" ht="20.100000000000001" customHeight="1"/>
    <row r="239" ht="20.100000000000001" customHeight="1"/>
    <row r="240" ht="20.100000000000001" customHeight="1"/>
    <row r="241" ht="20.100000000000001" customHeight="1"/>
    <row r="242" ht="20.100000000000001" customHeight="1"/>
    <row r="243" ht="20.100000000000001" customHeight="1"/>
    <row r="244" ht="20.100000000000001" customHeight="1"/>
    <row r="245" ht="20.100000000000001" customHeight="1"/>
    <row r="246" ht="20.100000000000001" customHeight="1"/>
    <row r="247" ht="20.100000000000001" customHeight="1"/>
    <row r="248" ht="20.100000000000001" customHeight="1"/>
    <row r="249" ht="20.100000000000001" customHeight="1"/>
    <row r="250" ht="20.100000000000001" customHeight="1"/>
    <row r="251" ht="20.100000000000001" customHeight="1"/>
    <row r="252" ht="20.100000000000001" customHeight="1"/>
    <row r="253" ht="20.100000000000001" customHeight="1"/>
    <row r="254" ht="20.100000000000001" customHeight="1"/>
    <row r="255" ht="20.100000000000001" customHeight="1"/>
    <row r="256" ht="20.100000000000001" customHeight="1"/>
    <row r="257" ht="20.100000000000001" customHeight="1"/>
    <row r="258" ht="20.100000000000001" customHeight="1"/>
    <row r="259" ht="20.100000000000001" customHeight="1"/>
    <row r="260" ht="20.100000000000001" customHeight="1"/>
    <row r="261" ht="20.100000000000001" customHeight="1"/>
    <row r="262" ht="20.100000000000001" customHeight="1"/>
    <row r="263" ht="20.100000000000001" customHeight="1"/>
    <row r="264" ht="20.100000000000001" customHeight="1"/>
    <row r="265" ht="20.100000000000001" customHeight="1"/>
    <row r="266" ht="20.100000000000001" customHeight="1"/>
    <row r="267" ht="20.100000000000001" customHeight="1"/>
    <row r="268" ht="20.100000000000001" customHeight="1"/>
    <row r="269" ht="20.100000000000001" customHeight="1"/>
    <row r="270" ht="20.100000000000001" customHeight="1"/>
    <row r="271" ht="20.100000000000001" customHeight="1"/>
    <row r="272" ht="20.100000000000001" customHeight="1"/>
    <row r="273" ht="20.100000000000001" customHeight="1"/>
    <row r="274" ht="20.100000000000001" customHeight="1"/>
    <row r="275" ht="20.100000000000001" customHeight="1"/>
  </sheetData>
  <mergeCells count="11">
    <mergeCell ref="I7:I9"/>
    <mergeCell ref="J7:J9"/>
    <mergeCell ref="C5:H5"/>
    <mergeCell ref="A7:A9"/>
    <mergeCell ref="B7:B9"/>
    <mergeCell ref="C7:C9"/>
    <mergeCell ref="D7:D9"/>
    <mergeCell ref="E7:E9"/>
    <mergeCell ref="F7:F9"/>
    <mergeCell ref="G7:G9"/>
    <mergeCell ref="H7:H9"/>
  </mergeCells>
  <printOptions horizontalCentered="1" verticalCentered="1"/>
  <pageMargins left="0" right="0" top="0.59055118110236227" bottom="0.51181102362204722" header="0" footer="0"/>
  <pageSetup paperSize="9" scale="75" fitToWidth="0" fitToHeight="3" orientation="portrait" r:id="rId1"/>
  <headerFooter alignWithMargins="0">
    <oddFooter xml:space="preserve">&amp;R&amp;"Arial,Bold"&amp;12OERC FORM-&amp;A&amp;"Arial,Regular"&amp;10
</oddFooter>
  </headerFooter>
  <rowBreaks count="2" manualBreakCount="2">
    <brk id="38" max="9" man="1"/>
    <brk id="56"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7695B054817CC43B4543E4ED364C33A" ma:contentTypeVersion="13" ma:contentTypeDescription="Create a new document." ma:contentTypeScope="" ma:versionID="fda27875aa3266cc1f86ba0140565805">
  <xsd:schema xmlns:xsd="http://www.w3.org/2001/XMLSchema" xmlns:xs="http://www.w3.org/2001/XMLSchema" xmlns:p="http://schemas.microsoft.com/office/2006/metadata/properties" xmlns:ns3="115a6e0d-a6d3-4cd3-b965-fdb27d6c66c3" xmlns:ns4="a471eee1-5afe-4605-a7e1-85a80c306664" targetNamespace="http://schemas.microsoft.com/office/2006/metadata/properties" ma:root="true" ma:fieldsID="69f1b460043675de0c1a898fef1f5fe9" ns3:_="" ns4:_="">
    <xsd:import namespace="115a6e0d-a6d3-4cd3-b965-fdb27d6c66c3"/>
    <xsd:import namespace="a471eee1-5afe-4605-a7e1-85a80c306664"/>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5a6e0d-a6d3-4cd3-b965-fdb27d6c66c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71eee1-5afe-4605-a7e1-85a80c30666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9A4A843-DEFF-470F-81C7-2FEE5F094C2C}">
  <ds:schemaRefs>
    <ds:schemaRef ds:uri="http://schemas.microsoft.com/office/2006/metadata/properties"/>
    <ds:schemaRef ds:uri="http://www.w3.org/XML/1998/namespace"/>
    <ds:schemaRef ds:uri="http://purl.org/dc/dcmitype/"/>
    <ds:schemaRef ds:uri="115a6e0d-a6d3-4cd3-b965-fdb27d6c66c3"/>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a471eee1-5afe-4605-a7e1-85a80c306664"/>
    <ds:schemaRef ds:uri="http://purl.org/dc/terms/"/>
  </ds:schemaRefs>
</ds:datastoreItem>
</file>

<file path=customXml/itemProps2.xml><?xml version="1.0" encoding="utf-8"?>
<ds:datastoreItem xmlns:ds="http://schemas.openxmlformats.org/officeDocument/2006/customXml" ds:itemID="{2782C411-D25C-42B9-A5E7-B1DD81CE65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5a6e0d-a6d3-4cd3-b965-fdb27d6c66c3"/>
    <ds:schemaRef ds:uri="a471eee1-5afe-4605-a7e1-85a80c30666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796B08C-9480-4213-96F3-CB52A639187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65</vt:i4>
      </vt:variant>
      <vt:variant>
        <vt:lpstr>Named Ranges</vt:lpstr>
      </vt:variant>
      <vt:variant>
        <vt:i4>78</vt:i4>
      </vt:variant>
    </vt:vector>
  </HeadingPairs>
  <TitlesOfParts>
    <vt:vector size="143" baseType="lpstr">
      <vt:lpstr>T-1</vt:lpstr>
      <vt:lpstr>T-2(21-22)</vt:lpstr>
      <vt:lpstr>T-2(1st six mth)</vt:lpstr>
      <vt:lpstr>T-3(21-22)</vt:lpstr>
      <vt:lpstr>T-3(1st six mth)</vt:lpstr>
      <vt:lpstr>T-4 </vt:lpstr>
      <vt:lpstr>T-5</vt:lpstr>
      <vt:lpstr>T-6</vt:lpstr>
      <vt:lpstr>T-6 (six mth)</vt:lpstr>
      <vt:lpstr>T-7 (Curr)</vt:lpstr>
      <vt:lpstr>T-7</vt:lpstr>
      <vt:lpstr>T-8</vt:lpstr>
      <vt:lpstr>T-9 </vt:lpstr>
      <vt:lpstr> F-1 </vt:lpstr>
      <vt:lpstr>F-2</vt:lpstr>
      <vt:lpstr>F-3</vt:lpstr>
      <vt:lpstr>F-4</vt:lpstr>
      <vt:lpstr>F-5</vt:lpstr>
      <vt:lpstr>F-6</vt:lpstr>
      <vt:lpstr>F-7</vt:lpstr>
      <vt:lpstr>F-8</vt:lpstr>
      <vt:lpstr>F-9</vt:lpstr>
      <vt:lpstr>F-10</vt:lpstr>
      <vt:lpstr>F-11</vt:lpstr>
      <vt:lpstr>F-12</vt:lpstr>
      <vt:lpstr>F-13</vt:lpstr>
      <vt:lpstr>F-14</vt:lpstr>
      <vt:lpstr>F-15</vt:lpstr>
      <vt:lpstr>F-16</vt:lpstr>
      <vt:lpstr>F-17</vt:lpstr>
      <vt:lpstr>F-18</vt:lpstr>
      <vt:lpstr>F-19</vt:lpstr>
      <vt:lpstr>F-20</vt:lpstr>
      <vt:lpstr>F-21</vt:lpstr>
      <vt:lpstr>F-22</vt:lpstr>
      <vt:lpstr>F-23 CASHFLOW</vt:lpstr>
      <vt:lpstr>F-24</vt:lpstr>
      <vt:lpstr>F-25</vt:lpstr>
      <vt:lpstr>F-26 </vt:lpstr>
      <vt:lpstr>F-27(21-22)</vt:lpstr>
      <vt:lpstr>F-27(22-23)</vt:lpstr>
      <vt:lpstr>Cost Allocation</vt:lpstr>
      <vt:lpstr> F-1(b) </vt:lpstr>
      <vt:lpstr>F-4(b)</vt:lpstr>
      <vt:lpstr>F-9(b)</vt:lpstr>
      <vt:lpstr>F-12(b)</vt:lpstr>
      <vt:lpstr>F-12(c)</vt:lpstr>
      <vt:lpstr>F-12(d)</vt:lpstr>
      <vt:lpstr>F-13(a)</vt:lpstr>
      <vt:lpstr>Sheet1</vt:lpstr>
      <vt:lpstr>Sheet2</vt:lpstr>
      <vt:lpstr>Current yr GAP</vt:lpstr>
      <vt:lpstr>Sheet4</vt:lpstr>
      <vt:lpstr>Sheet3</vt:lpstr>
      <vt:lpstr>truing 20-21</vt:lpstr>
      <vt:lpstr>summary</vt:lpstr>
      <vt:lpstr>loan&amp;int</vt:lpstr>
      <vt:lpstr>DEPCAL</vt:lpstr>
      <vt:lpstr>CWIP</vt:lpstr>
      <vt:lpstr>ppt-1</vt:lpstr>
      <vt:lpstr>PPt-3</vt:lpstr>
      <vt:lpstr>ppt-2</vt:lpstr>
      <vt:lpstr>Revenue gap</vt:lpstr>
      <vt:lpstr>Demography</vt:lpstr>
      <vt:lpstr>Tariff 23-24</vt:lpstr>
      <vt:lpstr>' F-1 '!Print_Area</vt:lpstr>
      <vt:lpstr>' F-1(b) '!Print_Area</vt:lpstr>
      <vt:lpstr>'Cost Allocation'!Print_Area</vt:lpstr>
      <vt:lpstr>'Current yr GAP'!Print_Area</vt:lpstr>
      <vt:lpstr>CWIP!Print_Area</vt:lpstr>
      <vt:lpstr>Demography!Print_Area</vt:lpstr>
      <vt:lpstr>DEPCAL!Print_Area</vt:lpstr>
      <vt:lpstr>'F-10'!Print_Area</vt:lpstr>
      <vt:lpstr>'F-11'!Print_Area</vt:lpstr>
      <vt:lpstr>'F-12'!Print_Area</vt:lpstr>
      <vt:lpstr>'F-12(b)'!Print_Area</vt:lpstr>
      <vt:lpstr>'F-12(c)'!Print_Area</vt:lpstr>
      <vt:lpstr>'F-12(d)'!Print_Area</vt:lpstr>
      <vt:lpstr>'F-13'!Print_Area</vt:lpstr>
      <vt:lpstr>'F-13(a)'!Print_Area</vt:lpstr>
      <vt:lpstr>'F-14'!Print_Area</vt:lpstr>
      <vt:lpstr>'F-15'!Print_Area</vt:lpstr>
      <vt:lpstr>'F-16'!Print_Area</vt:lpstr>
      <vt:lpstr>'F-17'!Print_Area</vt:lpstr>
      <vt:lpstr>'F-18'!Print_Area</vt:lpstr>
      <vt:lpstr>'F-19'!Print_Area</vt:lpstr>
      <vt:lpstr>'F-2'!Print_Area</vt:lpstr>
      <vt:lpstr>'F-20'!Print_Area</vt:lpstr>
      <vt:lpstr>'F-21'!Print_Area</vt:lpstr>
      <vt:lpstr>'F-22'!Print_Area</vt:lpstr>
      <vt:lpstr>'F-23 CASHFLOW'!Print_Area</vt:lpstr>
      <vt:lpstr>'F-24'!Print_Area</vt:lpstr>
      <vt:lpstr>'F-25'!Print_Area</vt:lpstr>
      <vt:lpstr>'F-26 '!Print_Area</vt:lpstr>
      <vt:lpstr>'F-27(21-22)'!Print_Area</vt:lpstr>
      <vt:lpstr>'F-27(22-23)'!Print_Area</vt:lpstr>
      <vt:lpstr>'F-3'!Print_Area</vt:lpstr>
      <vt:lpstr>'F-4'!Print_Area</vt:lpstr>
      <vt:lpstr>'F-4(b)'!Print_Area</vt:lpstr>
      <vt:lpstr>'F-5'!Print_Area</vt:lpstr>
      <vt:lpstr>'F-6'!Print_Area</vt:lpstr>
      <vt:lpstr>'F-7'!Print_Area</vt:lpstr>
      <vt:lpstr>'F-9'!Print_Area</vt:lpstr>
      <vt:lpstr>'F-9(b)'!Print_Area</vt:lpstr>
      <vt:lpstr>'loan&amp;int'!Print_Area</vt:lpstr>
      <vt:lpstr>'ppt-1'!Print_Area</vt:lpstr>
      <vt:lpstr>'PPt-3'!Print_Area</vt:lpstr>
      <vt:lpstr>Sheet1!Print_Area</vt:lpstr>
      <vt:lpstr>Sheet2!Print_Area</vt:lpstr>
      <vt:lpstr>Sheet3!Print_Area</vt:lpstr>
      <vt:lpstr>summary!Print_Area</vt:lpstr>
      <vt:lpstr>'T-1'!Print_Area</vt:lpstr>
      <vt:lpstr>'T-2(1st six mth)'!Print_Area</vt:lpstr>
      <vt:lpstr>'T-2(21-22)'!Print_Area</vt:lpstr>
      <vt:lpstr>'T-3(1st six mth)'!Print_Area</vt:lpstr>
      <vt:lpstr>'T-3(21-22)'!Print_Area</vt:lpstr>
      <vt:lpstr>'T-4 '!Print_Area</vt:lpstr>
      <vt:lpstr>'T-5'!Print_Area</vt:lpstr>
      <vt:lpstr>'T-6'!Print_Area</vt:lpstr>
      <vt:lpstr>'T-6 (six mth)'!Print_Area</vt:lpstr>
      <vt:lpstr>'T-7'!Print_Area</vt:lpstr>
      <vt:lpstr>'T-7 (Curr)'!Print_Area</vt:lpstr>
      <vt:lpstr>'T-8'!Print_Area</vt:lpstr>
      <vt:lpstr>'T-9 '!Print_Area</vt:lpstr>
      <vt:lpstr>'Tariff 23-24'!Print_Area</vt:lpstr>
      <vt:lpstr>'truing 20-21'!Print_Area</vt:lpstr>
      <vt:lpstr>CWIP!Print_Titles</vt:lpstr>
      <vt:lpstr>'F-12'!Print_Titles</vt:lpstr>
      <vt:lpstr>'F-14'!Print_Titles</vt:lpstr>
      <vt:lpstr>'F-4'!Print_Titles</vt:lpstr>
      <vt:lpstr>'F-4(b)'!Print_Titles</vt:lpstr>
      <vt:lpstr>'F-6'!Print_Titles</vt:lpstr>
      <vt:lpstr>'F-9(b)'!Print_Titles</vt:lpstr>
      <vt:lpstr>'PPt-3'!Print_Titles</vt:lpstr>
      <vt:lpstr>'T-1'!Print_Titles</vt:lpstr>
      <vt:lpstr>'T-4 '!Print_Titles</vt:lpstr>
      <vt:lpstr>'T-6'!Print_Titles</vt:lpstr>
      <vt:lpstr>'T-6 (six mth)'!Print_Titles</vt:lpstr>
      <vt:lpstr>'T-7'!Print_Titles</vt:lpstr>
      <vt:lpstr>'T-7 (Curr)'!Print_Titles</vt:lpstr>
      <vt:lpstr>'T-8'!Print_Titles</vt:lpstr>
      <vt:lpstr>'T-9 '!Print_Titles</vt:lpstr>
      <vt:lpstr>'Tariff 23-24'!Print_Titles</vt:lpstr>
    </vt:vector>
  </TitlesOfParts>
  <Manager/>
  <Company>WESCO ;  Burla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Managing  Director</dc:creator>
  <cp:keywords/>
  <dc:description/>
  <cp:lastModifiedBy>Akankshaya Panda</cp:lastModifiedBy>
  <cp:revision/>
  <cp:lastPrinted>2023-01-07T13:35:24Z</cp:lastPrinted>
  <dcterms:created xsi:type="dcterms:W3CDTF">2000-07-08T10:40:12Z</dcterms:created>
  <dcterms:modified xsi:type="dcterms:W3CDTF">2023-01-11T10:18:26Z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0x01010047695B054817CC43B4543E4ED364C33A</vt:lpwstr>
  </property>
</Properties>
</file>