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SHIROD-OERC\Open Access\Open Access 23-24\Revised Filing\"/>
    </mc:Choice>
  </mc:AlternateContent>
  <xr:revisionPtr revIDLastSave="0" documentId="13_ncr:1_{FDAE9990-F729-4B27-97D8-6C00AC06251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Wheeling cost" sheetId="17" r:id="rId1"/>
    <sheet name="Corss -Sub - TPWODL" sheetId="16" r:id="rId2"/>
  </sheets>
  <externalReferences>
    <externalReference r:id="rId3"/>
    <externalReference r:id="rId4"/>
    <externalReference r:id="rId5"/>
    <externalReference r:id="rId6"/>
  </externalReferences>
  <definedNames>
    <definedName name="__xlfn.BAHTTEXT" hidden="1">#NAME?</definedName>
    <definedName name="a">'[1]A&amp;G Expenses'!#REF!</definedName>
    <definedName name="Admn_and_General_Expenses">'[2]A&amp;G Expenses'!#REF!</definedName>
    <definedName name="Allocation_of_expenses">'[2]Allocation LT HT EHT'!#REF!</definedName>
    <definedName name="Allocation_of_revenues__expenses">'[2]Allocation LT HT EHT'!#REF!</definedName>
    <definedName name="Bad_Debts">#REF!</definedName>
    <definedName name="Capital__Revenue_subsidies_and_Grants">#REF!</definedName>
    <definedName name="Capital_work_in_progress">[2]CWIP!#REF!</definedName>
    <definedName name="Consumption_Details">'[2]Consumption Data '!#REF!</definedName>
    <definedName name="Cost_Parameters">'[2]Verification of inputs'!#REF!</definedName>
    <definedName name="Current_Year_Details">'[2]Current Year'!#REF!</definedName>
    <definedName name="Debtors">#REF!</definedName>
    <definedName name="Demand_data_for_consumers_with_Connected_Load___100_kVA">'[3]Consumer Data &gt;100kVA'!#REF!</definedName>
    <definedName name="Employees_Cost">'[2]Employee Costs'!#REF!</definedName>
    <definedName name="erheri">'[1]Employee Costs'!#REF!</definedName>
    <definedName name="Existing_Tariff_Structure">#REF!</definedName>
    <definedName name="Information_on_Inventory">#REF!</definedName>
    <definedName name="Interest_and_Finance_Charges">#REF!</definedName>
    <definedName name="Loss">#REF!</definedName>
    <definedName name="Loss_Details">'[2]Loss Details'!#REF!</definedName>
    <definedName name="Other_Cost_parameters">'[2]Special Appropriations'!#REF!</definedName>
    <definedName name="Output_Sheet">#REF!</definedName>
    <definedName name="Power_Factor">#REF!</definedName>
    <definedName name="Power_Purchase_Details">'[2]Power Purchase Cost'!#REF!</definedName>
    <definedName name="Previous_Year_revenue_details">'[2]Revenue-Current and Past Year'!#REF!</definedName>
    <definedName name="_xlnm.Print_Area" localSheetId="1">'Corss -Sub - TPWODL'!$A$1:$H$14</definedName>
    <definedName name="_xlnm.Print_Area" localSheetId="0">'Wheeling cost'!$A$1:$G$35</definedName>
    <definedName name="Reasonable_Rate_of_Return_on_Equity">[2]RoE!#REF!</definedName>
    <definedName name="Repair_and_Maintenance">'[2]R&amp;M'!#REF!</definedName>
    <definedName name="Sources_of_revenues__other_than_sale_of_energy">'[2]Other revenue sources'!#REF!</definedName>
    <definedName name="Statement_of_Fixed_Assets_and_Depreciation">'[2]Depreciation Schedule'!#REF!</definedName>
    <definedName name="Tariff">#REF!</definedName>
    <definedName name="TarrGrowth">#REF!</definedName>
    <definedName name="wqe">'[1]Other revenue sources'!#REF!</definedName>
    <definedName name="xx">#REF!</definedName>
    <definedName name="xyz">'[4]Consumer Data &gt;100kVA'!#REF!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6" l="1"/>
  <c r="E34" i="17"/>
  <c r="D34" i="17"/>
  <c r="E33" i="17"/>
  <c r="D33" i="17"/>
  <c r="D35" i="17"/>
  <c r="C8" i="16"/>
  <c r="B13" i="16" l="1"/>
  <c r="C13" i="16" s="1"/>
  <c r="B8" i="16"/>
  <c r="D8" i="16"/>
  <c r="F5" i="17"/>
  <c r="F4" i="17"/>
  <c r="G4" i="17" l="1"/>
  <c r="F22" i="17"/>
  <c r="G22" i="17" s="1"/>
  <c r="F17" i="17"/>
  <c r="G17" i="17" s="1"/>
  <c r="F12" i="17"/>
  <c r="G12" i="17" s="1"/>
  <c r="F11" i="17"/>
  <c r="G11" i="17" s="1"/>
  <c r="F9" i="17"/>
  <c r="G9" i="17" s="1"/>
  <c r="F6" i="17"/>
  <c r="G6" i="17" s="1"/>
  <c r="C33" i="17"/>
  <c r="F32" i="17"/>
  <c r="H8" i="16" l="1"/>
  <c r="C34" i="17"/>
  <c r="F7" i="17"/>
  <c r="G5" i="17"/>
  <c r="G7" i="17" s="1"/>
  <c r="E35" i="17" l="1"/>
  <c r="F33" i="17" l="1"/>
  <c r="F34" i="17" s="1"/>
  <c r="F10" i="17" l="1"/>
  <c r="G10" i="17" s="1"/>
  <c r="F13" i="17"/>
  <c r="G13" i="17" s="1"/>
  <c r="F15" i="17"/>
  <c r="G15" i="17" s="1"/>
  <c r="F16" i="17"/>
  <c r="G16" i="17"/>
  <c r="F18" i="17"/>
  <c r="G18" i="17" s="1"/>
  <c r="F19" i="17"/>
  <c r="G19" i="17" s="1"/>
  <c r="F20" i="17"/>
  <c r="G20" i="17"/>
  <c r="F23" i="17"/>
  <c r="G23" i="17" s="1"/>
  <c r="F24" i="17"/>
  <c r="G24" i="17" s="1"/>
  <c r="C25" i="17"/>
  <c r="F25" i="17"/>
  <c r="F29" i="17" l="1"/>
  <c r="E13" i="16" s="1"/>
  <c r="H13" i="16" s="1"/>
  <c r="G25" i="17"/>
</calcChain>
</file>

<file path=xl/sharedStrings.xml><?xml version="1.0" encoding="utf-8"?>
<sst xmlns="http://schemas.openxmlformats.org/spreadsheetml/2006/main" count="72" uniqueCount="62">
  <si>
    <t>HT</t>
  </si>
  <si>
    <t>LT</t>
  </si>
  <si>
    <t>Total</t>
  </si>
  <si>
    <t>Depreciation</t>
  </si>
  <si>
    <t>Return on Equity</t>
  </si>
  <si>
    <t>EHT</t>
  </si>
  <si>
    <t>Loss (MU)</t>
  </si>
  <si>
    <t>Input received in the system(MU)</t>
  </si>
  <si>
    <t>Annexure-B</t>
  </si>
  <si>
    <t>Calcualtion of Surcharge for HT category of Consumers</t>
  </si>
  <si>
    <t>Calcualtion of Surcharge for EHT category of Consumers</t>
  </si>
  <si>
    <t>Annexure-A</t>
  </si>
  <si>
    <t>Average Tariff  (P/KWH) (T)</t>
  </si>
  <si>
    <t>Cost of power Purchase (P/KWH) (C )</t>
  </si>
  <si>
    <t>Wheeling Charge (P/KWH)( D)</t>
  </si>
  <si>
    <t>System Loss (%) ( L)</t>
  </si>
  <si>
    <t xml:space="preserve">Proposed ARR for EHT Catogory Rs in Crore </t>
  </si>
  <si>
    <t xml:space="preserve">Proposed ARR for HT Catogory Rs in Crore </t>
  </si>
  <si>
    <t>Allocation of wheeling cost and Retail supply cost</t>
  </si>
  <si>
    <t>Sl No.</t>
  </si>
  <si>
    <t>Cost/Income Component</t>
  </si>
  <si>
    <t>Assumption Ratio for consideration in Wheeling Business</t>
  </si>
  <si>
    <t>Assumption Ratio for consideration in Retail Supply Business</t>
  </si>
  <si>
    <t>Cost of Power</t>
  </si>
  <si>
    <t>Transmission Charges</t>
  </si>
  <si>
    <t>SLDC Charges</t>
  </si>
  <si>
    <t>Total power purchase cost *</t>
  </si>
  <si>
    <t>O&amp;M</t>
  </si>
  <si>
    <t>Employee Cost</t>
  </si>
  <si>
    <t>Repair &amp; Maintenance Cost</t>
  </si>
  <si>
    <t>Administrative &amp; General Expenses</t>
  </si>
  <si>
    <t>Bad &amp; Doubtful Debt including Rebate</t>
  </si>
  <si>
    <t>Interest on Loans</t>
  </si>
  <si>
    <t>for Working capital</t>
  </si>
  <si>
    <t>Interest on Security Deposits</t>
  </si>
  <si>
    <t>Special Appropriation</t>
  </si>
  <si>
    <t>Amortization of Regulator Assets</t>
  </si>
  <si>
    <t>Other, if any-Contigency Reserve</t>
  </si>
  <si>
    <t>Grand Total</t>
  </si>
  <si>
    <t>Miscellaneous Receipt</t>
  </si>
  <si>
    <t>Non-Tariff Income - Wheeling</t>
  </si>
  <si>
    <t>as per actual assumption</t>
  </si>
  <si>
    <t>Non-Tariff Income - Retail Business</t>
  </si>
  <si>
    <t>*Allocation of power purchase cost towards wheeling has been made considering 8% loss on input after effecting EHT sale</t>
  </si>
  <si>
    <t>Wheeling cost per kwh</t>
  </si>
  <si>
    <t>Surcharge (P/KWH)             ( T - ( C/ (1-L/100)+D+R))</t>
  </si>
  <si>
    <t>Regulatory Asset (P/KWH)</t>
  </si>
  <si>
    <t>TPWODL</t>
  </si>
  <si>
    <t>Tax on ROE</t>
  </si>
  <si>
    <t>Carrying cost on Regulatory Assets/Liabilities</t>
  </si>
  <si>
    <t>Rs. Lakh</t>
  </si>
  <si>
    <t>Average Tariff  (P/KWH) (T)*</t>
  </si>
  <si>
    <t>* Average Tariff has been calculated on the basis of KVAh quantum as KVAh billing has been started from 04.04.2021.</t>
  </si>
  <si>
    <t>For Term Loan CAPEX</t>
  </si>
  <si>
    <t>ARR for FY 2023-24</t>
  </si>
  <si>
    <t>Wheeling cost for FY 2023-24</t>
  </si>
  <si>
    <t>Total Sale (MU)-proposed for 23-24</t>
  </si>
  <si>
    <t>Input (MU)-Proposed for 23-24</t>
  </si>
  <si>
    <t xml:space="preserve">Total EHT Sales proposed for FY 2023-24 in MU </t>
  </si>
  <si>
    <t xml:space="preserve">Total HT Sales proposed for FY 2023-24 in MU </t>
  </si>
  <si>
    <t>True Up of Current year &amp; previous year</t>
  </si>
  <si>
    <t>Retail supply Cost for FY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</si>
</sst>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mmm\.yy"/>
    <numFmt numFmtId="167" formatCode="General_)"/>
    <numFmt numFmtId="168" formatCode="0.000"/>
    <numFmt numFmtId="169" formatCode="d\.m\.yy\ h:mm"/>
    <numFmt numFmtId="170" formatCode="0&quot;  &quot;"/>
    <numFmt numFmtId="171" formatCode="0.00&quot;  &quot;"/>
    <numFmt numFmtId="172" formatCode="d\.mmm\.yy"/>
    <numFmt numFmtId="173" formatCode="#,##0.000_);[Red]\(#,##0.000\)"/>
    <numFmt numFmtId="174" formatCode="#,##0.0_);[Red]\(#,##0.0\)"/>
    <numFmt numFmtId="175" formatCode="_-* #,##0.000_-;\-* #,##0.000_-;_-* &quot;-&quot;??_-;_-@_-"/>
    <numFmt numFmtId="176" formatCode="yyyymmdd"/>
    <numFmt numFmtId="177" formatCode="mmddyyyy"/>
  </numFmts>
  <fonts count="26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Tms Rmn"/>
    </font>
    <font>
      <sz val="11"/>
      <name val="Univers Condensed"/>
      <family val="2"/>
    </font>
    <font>
      <sz val="9"/>
      <name val="Times New Roman"/>
      <family val="1"/>
    </font>
    <font>
      <sz val="10"/>
      <name val="Helv"/>
    </font>
    <font>
      <sz val="11"/>
      <name val="Book Antiqua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7"/>
      <name val="Small Fonts"/>
      <family val="2"/>
    </font>
    <font>
      <sz val="10"/>
      <color indexed="8"/>
      <name val="Tahoma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8" fillId="0" borderId="0" applyNumberFormat="0" applyFill="0" applyBorder="0" applyAlignment="0" applyProtection="0"/>
    <xf numFmtId="166" fontId="9" fillId="0" borderId="0" applyFill="0" applyBorder="0" applyAlignment="0"/>
    <xf numFmtId="167" fontId="10" fillId="0" borderId="0" applyFill="0" applyBorder="0" applyAlignment="0"/>
    <xf numFmtId="168" fontId="10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0" fontId="11" fillId="0" borderId="1"/>
    <xf numFmtId="166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1"/>
    <xf numFmtId="167" fontId="10" fillId="0" borderId="0" applyFont="0" applyFill="0" applyBorder="0" applyAlignment="0" applyProtection="0"/>
    <xf numFmtId="15" fontId="12" fillId="0" borderId="0" applyFont="0" applyFill="0" applyBorder="0" applyAlignment="0"/>
    <xf numFmtId="14" fontId="13" fillId="0" borderId="0" applyFill="0" applyBorder="0" applyAlignment="0"/>
    <xf numFmtId="38" fontId="14" fillId="0" borderId="2">
      <alignment vertical="center"/>
    </xf>
    <xf numFmtId="166" fontId="9" fillId="0" borderId="0" applyFill="0" applyBorder="0" applyAlignment="0"/>
    <xf numFmtId="167" fontId="10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38" fontId="15" fillId="2" borderId="0" applyNumberFormat="0" applyBorder="0" applyAlignment="0" applyProtection="0"/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10" fontId="15" fillId="3" borderId="5" applyNumberFormat="0" applyBorder="0" applyAlignment="0" applyProtection="0"/>
    <xf numFmtId="166" fontId="9" fillId="0" borderId="0" applyFill="0" applyBorder="0" applyAlignment="0"/>
    <xf numFmtId="167" fontId="10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37" fontId="16" fillId="0" borderId="0"/>
    <xf numFmtId="172" fontId="2" fillId="0" borderId="0"/>
    <xf numFmtId="0" fontId="17" fillId="0" borderId="0"/>
    <xf numFmtId="0" fontId="4" fillId="0" borderId="0"/>
    <xf numFmtId="0" fontId="4" fillId="0" borderId="0"/>
    <xf numFmtId="0" fontId="18" fillId="4" borderId="0"/>
    <xf numFmtId="0" fontId="18" fillId="4" borderId="0"/>
    <xf numFmtId="0" fontId="19" fillId="4" borderId="0"/>
    <xf numFmtId="0" fontId="19" fillId="4" borderId="0"/>
    <xf numFmtId="0" fontId="2" fillId="0" borderId="0"/>
    <xf numFmtId="9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" fillId="0" borderId="0" applyFill="0" applyBorder="0" applyAlignment="0"/>
    <xf numFmtId="167" fontId="10" fillId="0" borderId="0" applyFill="0" applyBorder="0" applyAlignment="0"/>
    <xf numFmtId="174" fontId="2" fillId="0" borderId="0" applyFill="0" applyBorder="0" applyAlignment="0"/>
    <xf numFmtId="175" fontId="2" fillId="0" borderId="0" applyFill="0" applyBorder="0" applyAlignment="0"/>
    <xf numFmtId="167" fontId="10" fillId="0" borderId="0" applyFill="0" applyBorder="0" applyAlignment="0"/>
    <xf numFmtId="49" fontId="13" fillId="0" borderId="0" applyFill="0" applyBorder="0" applyAlignment="0"/>
    <xf numFmtId="176" fontId="2" fillId="0" borderId="0" applyFill="0" applyBorder="0" applyAlignment="0"/>
    <xf numFmtId="177" fontId="2" fillId="0" borderId="0" applyFill="0" applyBorder="0" applyAlignment="0"/>
    <xf numFmtId="43" fontId="23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5" xfId="0" applyFont="1" applyBorder="1" applyAlignment="1">
      <alignment horizontal="center" vertical="top" wrapText="1"/>
    </xf>
    <xf numFmtId="2" fontId="22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1" fontId="6" fillId="0" borderId="5" xfId="0" applyNumberFormat="1" applyFont="1" applyBorder="1" applyAlignment="1">
      <alignment horizontal="center" vertical="top"/>
    </xf>
    <xf numFmtId="1" fontId="22" fillId="0" borderId="5" xfId="0" applyNumberFormat="1" applyFont="1" applyBorder="1" applyAlignment="1">
      <alignment horizontal="center" vertical="top"/>
    </xf>
    <xf numFmtId="1" fontId="6" fillId="0" borderId="5" xfId="0" applyNumberFormat="1" applyFont="1" applyBorder="1" applyAlignment="1">
      <alignment vertical="top"/>
    </xf>
    <xf numFmtId="0" fontId="0" fillId="0" borderId="5" xfId="0" applyBorder="1"/>
    <xf numFmtId="0" fontId="3" fillId="0" borderId="0" xfId="0" applyFont="1" applyAlignment="1">
      <alignment vertical="top"/>
    </xf>
    <xf numFmtId="43" fontId="0" fillId="0" borderId="0" xfId="64" applyFont="1"/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 applyAlignment="1">
      <alignment horizontal="left" vertical="top" wrapText="1" shrinkToFit="1"/>
    </xf>
    <xf numFmtId="1" fontId="0" fillId="0" borderId="5" xfId="0" applyNumberFormat="1" applyBorder="1" applyAlignment="1">
      <alignment horizontal="center" vertical="center"/>
    </xf>
    <xf numFmtId="1" fontId="2" fillId="0" borderId="5" xfId="46" applyNumberForma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2" fontId="0" fillId="0" borderId="16" xfId="0" applyNumberFormat="1" applyBorder="1"/>
    <xf numFmtId="2" fontId="0" fillId="0" borderId="17" xfId="0" applyNumberFormat="1" applyBorder="1"/>
    <xf numFmtId="2" fontId="3" fillId="0" borderId="17" xfId="0" applyNumberFormat="1" applyFont="1" applyBorder="1"/>
    <xf numFmtId="0" fontId="0" fillId="0" borderId="17" xfId="0" applyBorder="1"/>
    <xf numFmtId="0" fontId="0" fillId="0" borderId="18" xfId="0" applyBorder="1"/>
    <xf numFmtId="0" fontId="21" fillId="0" borderId="6" xfId="0" applyFont="1" applyBorder="1" applyAlignment="1">
      <alignment horizontal="center" vertical="center" wrapText="1"/>
    </xf>
    <xf numFmtId="2" fontId="0" fillId="0" borderId="19" xfId="0" applyNumberFormat="1" applyBorder="1"/>
    <xf numFmtId="2" fontId="0" fillId="0" borderId="20" xfId="0" applyNumberFormat="1" applyBorder="1"/>
    <xf numFmtId="2" fontId="3" fillId="0" borderId="20" xfId="0" applyNumberFormat="1" applyFont="1" applyBorder="1"/>
    <xf numFmtId="0" fontId="0" fillId="0" borderId="20" xfId="0" applyBorder="1"/>
    <xf numFmtId="1" fontId="6" fillId="0" borderId="21" xfId="0" applyNumberFormat="1" applyFont="1" applyBorder="1"/>
    <xf numFmtId="0" fontId="21" fillId="0" borderId="3" xfId="0" applyFont="1" applyBorder="1" applyAlignment="1">
      <alignment horizontal="center" vertical="center" wrapText="1"/>
    </xf>
    <xf numFmtId="9" fontId="0" fillId="0" borderId="22" xfId="46" applyFont="1" applyBorder="1" applyAlignment="1">
      <alignment horizontal="center"/>
    </xf>
    <xf numFmtId="9" fontId="0" fillId="0" borderId="4" xfId="46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9" fontId="0" fillId="0" borderId="19" xfId="46" applyFont="1" applyBorder="1" applyAlignment="1">
      <alignment horizontal="center"/>
    </xf>
    <xf numFmtId="9" fontId="0" fillId="0" borderId="20" xfId="46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0" fillId="0" borderId="20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center" wrapText="1"/>
    </xf>
    <xf numFmtId="2" fontId="0" fillId="0" borderId="22" xfId="0" applyNumberFormat="1" applyBorder="1"/>
    <xf numFmtId="2" fontId="0" fillId="0" borderId="4" xfId="0" applyNumberFormat="1" applyBorder="1"/>
    <xf numFmtId="2" fontId="3" fillId="0" borderId="4" xfId="0" applyNumberFormat="1" applyFont="1" applyBorder="1"/>
    <xf numFmtId="2" fontId="21" fillId="0" borderId="4" xfId="0" applyNumberFormat="1" applyFont="1" applyBorder="1"/>
    <xf numFmtId="2" fontId="0" fillId="0" borderId="23" xfId="0" applyNumberFormat="1" applyBorder="1"/>
    <xf numFmtId="0" fontId="0" fillId="0" borderId="19" xfId="0" applyBorder="1"/>
    <xf numFmtId="0" fontId="3" fillId="0" borderId="20" xfId="45" applyFont="1" applyBorder="1" applyAlignment="1" applyProtection="1">
      <alignment horizontal="right" wrapText="1"/>
      <protection locked="0"/>
    </xf>
    <xf numFmtId="0" fontId="21" fillId="0" borderId="20" xfId="0" applyFont="1" applyBorder="1"/>
    <xf numFmtId="0" fontId="0" fillId="0" borderId="20" xfId="0" applyBorder="1" applyAlignment="1">
      <alignment wrapText="1"/>
    </xf>
    <xf numFmtId="0" fontId="3" fillId="0" borderId="20" xfId="0" applyFont="1" applyBorder="1" applyAlignment="1">
      <alignment horizontal="right"/>
    </xf>
    <xf numFmtId="0" fontId="3" fillId="0" borderId="21" xfId="0" applyFont="1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0" borderId="0" xfId="0" applyFont="1"/>
  </cellXfs>
  <cellStyles count="65">
    <cellStyle name="Body" xfId="1" xr:uid="{00000000-0005-0000-0000-000000000000}"/>
    <cellStyle name="Calc Currency (0)" xfId="2" xr:uid="{00000000-0005-0000-0000-000001000000}"/>
    <cellStyle name="Calc Currency (2)" xfId="3" xr:uid="{00000000-0005-0000-0000-000002000000}"/>
    <cellStyle name="Calc Percent (0)" xfId="4" xr:uid="{00000000-0005-0000-0000-000003000000}"/>
    <cellStyle name="Calc Percent (1)" xfId="5" xr:uid="{00000000-0005-0000-0000-000004000000}"/>
    <cellStyle name="Calc Percent (2)" xfId="6" xr:uid="{00000000-0005-0000-0000-000005000000}"/>
    <cellStyle name="Calc Units (0)" xfId="7" xr:uid="{00000000-0005-0000-0000-000006000000}"/>
    <cellStyle name="Calc Units (1)" xfId="8" xr:uid="{00000000-0005-0000-0000-000007000000}"/>
    <cellStyle name="Calc Units (2)" xfId="9" xr:uid="{00000000-0005-0000-0000-000008000000}"/>
    <cellStyle name="Comma" xfId="64" builtinId="3"/>
    <cellStyle name="Comma  - Style1" xfId="10" xr:uid="{00000000-0005-0000-0000-000009000000}"/>
    <cellStyle name="Comma [00]" xfId="11" xr:uid="{00000000-0005-0000-0000-00000A000000}"/>
    <cellStyle name="Comma 2" xfId="12" xr:uid="{00000000-0005-0000-0000-00000B000000}"/>
    <cellStyle name="Comma 3" xfId="13" xr:uid="{00000000-0005-0000-0000-00000C000000}"/>
    <cellStyle name="Comma 4" xfId="14" xr:uid="{00000000-0005-0000-0000-00000D000000}"/>
    <cellStyle name="Comma 8" xfId="15" xr:uid="{00000000-0005-0000-0000-00000E000000}"/>
    <cellStyle name="Comma 9" xfId="16" xr:uid="{00000000-0005-0000-0000-00000F000000}"/>
    <cellStyle name="Curren - Style2" xfId="17" xr:uid="{00000000-0005-0000-0000-000010000000}"/>
    <cellStyle name="Currency [00]" xfId="18" xr:uid="{00000000-0005-0000-0000-000011000000}"/>
    <cellStyle name="date" xfId="19" xr:uid="{00000000-0005-0000-0000-000012000000}"/>
    <cellStyle name="Date Short" xfId="20" xr:uid="{00000000-0005-0000-0000-000013000000}"/>
    <cellStyle name="DELTA" xfId="21" xr:uid="{00000000-0005-0000-0000-000014000000}"/>
    <cellStyle name="Enter Currency (0)" xfId="22" xr:uid="{00000000-0005-0000-0000-000015000000}"/>
    <cellStyle name="Enter Currency (2)" xfId="23" xr:uid="{00000000-0005-0000-0000-000016000000}"/>
    <cellStyle name="Enter Units (0)" xfId="24" xr:uid="{00000000-0005-0000-0000-000017000000}"/>
    <cellStyle name="Enter Units (1)" xfId="25" xr:uid="{00000000-0005-0000-0000-000018000000}"/>
    <cellStyle name="Enter Units (2)" xfId="26" xr:uid="{00000000-0005-0000-0000-000019000000}"/>
    <cellStyle name="Grey" xfId="27" xr:uid="{00000000-0005-0000-0000-00001A000000}"/>
    <cellStyle name="Header1" xfId="28" xr:uid="{00000000-0005-0000-0000-00001B000000}"/>
    <cellStyle name="Header2" xfId="29" xr:uid="{00000000-0005-0000-0000-00001C000000}"/>
    <cellStyle name="Input [yellow]" xfId="30" xr:uid="{00000000-0005-0000-0000-00001D000000}"/>
    <cellStyle name="Link Currency (0)" xfId="31" xr:uid="{00000000-0005-0000-0000-00001E000000}"/>
    <cellStyle name="Link Currency (2)" xfId="32" xr:uid="{00000000-0005-0000-0000-00001F000000}"/>
    <cellStyle name="Link Units (0)" xfId="33" xr:uid="{00000000-0005-0000-0000-000020000000}"/>
    <cellStyle name="Link Units (1)" xfId="34" xr:uid="{00000000-0005-0000-0000-000021000000}"/>
    <cellStyle name="Link Units (2)" xfId="35" xr:uid="{00000000-0005-0000-0000-000022000000}"/>
    <cellStyle name="no dec" xfId="36" xr:uid="{00000000-0005-0000-0000-000023000000}"/>
    <cellStyle name="Normal" xfId="0" builtinId="0"/>
    <cellStyle name="Normal - Style1" xfId="37" xr:uid="{00000000-0005-0000-0000-000025000000}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4" xfId="41" xr:uid="{00000000-0005-0000-0000-000029000000}"/>
    <cellStyle name="Normal 4 2" xfId="42" xr:uid="{00000000-0005-0000-0000-00002A000000}"/>
    <cellStyle name="Normal 4 3" xfId="43" xr:uid="{00000000-0005-0000-0000-00002B000000}"/>
    <cellStyle name="Normal 5" xfId="44" xr:uid="{00000000-0005-0000-0000-00002C000000}"/>
    <cellStyle name="Normal_SOUTHCO___ARR_2005-06" xfId="45" xr:uid="{00000000-0005-0000-0000-00002D000000}"/>
    <cellStyle name="Percent" xfId="46" builtinId="5"/>
    <cellStyle name="Percent [0]" xfId="47" xr:uid="{00000000-0005-0000-0000-00002F000000}"/>
    <cellStyle name="Percent [00]" xfId="48" xr:uid="{00000000-0005-0000-0000-000030000000}"/>
    <cellStyle name="Percent [2]" xfId="49" xr:uid="{00000000-0005-0000-0000-000031000000}"/>
    <cellStyle name="Percent 2" xfId="50" xr:uid="{00000000-0005-0000-0000-000032000000}"/>
    <cellStyle name="Percent 2 2" xfId="51" xr:uid="{00000000-0005-0000-0000-000033000000}"/>
    <cellStyle name="Percent 3" xfId="52" xr:uid="{00000000-0005-0000-0000-000034000000}"/>
    <cellStyle name="Percent 4" xfId="53" xr:uid="{00000000-0005-0000-0000-000035000000}"/>
    <cellStyle name="Percent 5" xfId="54" xr:uid="{00000000-0005-0000-0000-000036000000}"/>
    <cellStyle name="Percent 6" xfId="55" xr:uid="{00000000-0005-0000-0000-000037000000}"/>
    <cellStyle name="PrePop Currency (0)" xfId="56" xr:uid="{00000000-0005-0000-0000-000038000000}"/>
    <cellStyle name="PrePop Currency (2)" xfId="57" xr:uid="{00000000-0005-0000-0000-000039000000}"/>
    <cellStyle name="PrePop Units (0)" xfId="58" xr:uid="{00000000-0005-0000-0000-00003A000000}"/>
    <cellStyle name="PrePop Units (1)" xfId="59" xr:uid="{00000000-0005-0000-0000-00003B000000}"/>
    <cellStyle name="PrePop Units (2)" xfId="60" xr:uid="{00000000-0005-0000-0000-00003C000000}"/>
    <cellStyle name="Text Indent A" xfId="61" xr:uid="{00000000-0005-0000-0000-00003D000000}"/>
    <cellStyle name="Text Indent B" xfId="62" xr:uid="{00000000-0005-0000-0000-00003E000000}"/>
    <cellStyle name="Text Indent C" xfId="63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-fa-hp\f\TARIFF%202006-07\Query-Tariff-2006-07\Distribution\SOUTH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%20E%20R%20C\ARRWESCO%20NOV-2006\Distribution\SOUTH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%20E%20R%20C\ARRWESCO%20NOV-2006\Distribution\Consumer%20Analysis%20working%20she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-fa-hp\f\TARIFF%202006-07\Query-Tariff-2006-07\Distribution\Consumer%20Analysis%20working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Capitalization Expenses Manual"/>
      <sheetName val="Capitalization of Expenses"/>
      <sheetName val="Loan Summary - Working Cap"/>
      <sheetName val="Details of Loan - Working Cap"/>
      <sheetName val="Details of Loan - Capital Works"/>
      <sheetName val="Loan Summary - Capital Works"/>
      <sheetName val="Current Year"/>
      <sheetName val="Costs at voltage Current year"/>
      <sheetName val="CWIP"/>
      <sheetName val="Other revenue sources Manual"/>
      <sheetName val="A&amp;G Expenses Manual"/>
      <sheetName val="Special Appropriations Manual"/>
      <sheetName val="Employee Cost Manual"/>
      <sheetName val="Interest Charges Manual"/>
      <sheetName val="Manual CWIP"/>
      <sheetName val="R&amp;M Manual"/>
      <sheetName val="Manual Loss Details"/>
      <sheetName val="Discounts and Penalties Manual"/>
      <sheetName val="Revenue Current Past Manual "/>
      <sheetName val="Power Purchase Cost Manual"/>
      <sheetName val="Power Purchase Cost"/>
      <sheetName val="Allocation-Network, Supply cost"/>
      <sheetName val="Special Appropriations"/>
      <sheetName val="Cost Allocation"/>
      <sheetName val="Employee Costs"/>
      <sheetName val="Other revenue sources"/>
      <sheetName val="Revenue-Current and Past Year"/>
      <sheetName val="Bad Debt"/>
      <sheetName val="RoE"/>
      <sheetName val="Allocation LT HT EHT"/>
      <sheetName val="Loss Details"/>
      <sheetName val="Manual Consumption Data"/>
      <sheetName val="Consumption Compute - Purchase"/>
      <sheetName val="Consumption Compute-Demand"/>
      <sheetName val="Depreciation Working"/>
      <sheetName val="Depreciation Schedule"/>
      <sheetName val="A&amp;G Expenses"/>
      <sheetName val="Computation of IDC"/>
      <sheetName val="Interest Charges"/>
      <sheetName val="R&amp;M"/>
      <sheetName val="Billing for Residential"/>
      <sheetName val="Billing for Commercial "/>
      <sheetName val="Verification of inputs"/>
      <sheetName val="EHT Load Factor Billing"/>
      <sheetName val="HT Load Factor Billing"/>
      <sheetName val="Costs at diff voltage levels"/>
      <sheetName val="Discounts and Penalties"/>
      <sheetName val="Tariff Design"/>
      <sheetName val="Ensuing Year-Proposed Tarif"/>
      <sheetName val="Consumption Data "/>
      <sheetName val="Ensuing Year-Existing Tariff"/>
      <sheetName val="Existing Tariff Structure"/>
      <sheetName val="Final Consumption Status"/>
      <sheetName val="Existing Gap"/>
      <sheetName val="Tariff Comparision"/>
      <sheetName val="Network Cost Calculation"/>
      <sheetName val="Process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Capitalization Expenses Manual"/>
      <sheetName val="Capitalization of Expenses"/>
      <sheetName val="Loan Summary - Working Cap"/>
      <sheetName val="Details of Loan - Working Cap"/>
      <sheetName val="Details of Loan - Capital Works"/>
      <sheetName val="Loan Summary - Capital Works"/>
      <sheetName val="Current Year"/>
      <sheetName val="Costs at voltage Current year"/>
      <sheetName val="CWIP"/>
      <sheetName val="Other revenue sources Manual"/>
      <sheetName val="A&amp;G Expenses Manual"/>
      <sheetName val="Special Appropriations Manual"/>
      <sheetName val="Employee Cost Manual"/>
      <sheetName val="Interest Charges Manual"/>
      <sheetName val="Manual CWIP"/>
      <sheetName val="R&amp;M Manual"/>
      <sheetName val="Manual Loss Details"/>
      <sheetName val="Discounts and Penalties Manual"/>
      <sheetName val="Revenue Current Past Manual "/>
      <sheetName val="Power Purchase Cost Manual"/>
      <sheetName val="Power Purchase Cost"/>
      <sheetName val="Allocation-Network, Supply cost"/>
      <sheetName val="Special Appropriations"/>
      <sheetName val="Cost Allocation"/>
      <sheetName val="Employee Costs"/>
      <sheetName val="Other revenue sources"/>
      <sheetName val="Revenue-Current and Past Year"/>
      <sheetName val="Bad Debt"/>
      <sheetName val="RoE"/>
      <sheetName val="Allocation LT HT EHT"/>
      <sheetName val="Loss Details"/>
      <sheetName val="Manual Consumption Data"/>
      <sheetName val="Consumption Compute - Purchase"/>
      <sheetName val="Consumption Compute-Demand"/>
      <sheetName val="Depreciation Working"/>
      <sheetName val="Depreciation Schedule"/>
      <sheetName val="A&amp;G Expenses"/>
      <sheetName val="Computation of IDC"/>
      <sheetName val="Interest Charges"/>
      <sheetName val="R&amp;M"/>
      <sheetName val="Billing for Residential"/>
      <sheetName val="Billing for Commercial "/>
      <sheetName val="Verification of inputs"/>
      <sheetName val="EHT Load Factor Billing"/>
      <sheetName val="HT Load Factor Billing"/>
      <sheetName val="Costs at diff voltage levels"/>
      <sheetName val="Discounts and Penalties"/>
      <sheetName val="Tariff Design"/>
      <sheetName val="Ensuing Year-Proposed Tarif"/>
      <sheetName val="Consumption Data "/>
      <sheetName val="Ensuing Year-Existing Tariff"/>
      <sheetName val="Existing Tariff Structure"/>
      <sheetName val="Final Consumption Status"/>
      <sheetName val="Existing Gap"/>
      <sheetName val="Tariff Comparision"/>
      <sheetName val="Network Cost Calculation"/>
      <sheetName val="Process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er Categories"/>
      <sheetName val="Category &amp; Voltages"/>
      <sheetName val="Consumer Analysis"/>
      <sheetName val="MD to CD"/>
      <sheetName val="MD to CD analysis"/>
      <sheetName val="Working Sheet"/>
      <sheetName val="Consumer Data &gt;100kV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er Categories"/>
      <sheetName val="Category &amp; Voltages"/>
      <sheetName val="Consumer Analysis"/>
      <sheetName val="MD to CD"/>
      <sheetName val="MD to CD analysis"/>
      <sheetName val="Working Sheet"/>
      <sheetName val="Consumer Data &gt;100kV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showGridLines="0" topLeftCell="A20" workbookViewId="0">
      <selection activeCell="E38" sqref="E38"/>
    </sheetView>
  </sheetViews>
  <sheetFormatPr defaultRowHeight="12.5" x14ac:dyDescent="0.25"/>
  <cols>
    <col min="1" max="1" width="6.1796875" customWidth="1"/>
    <col min="2" max="2" width="32.453125" customWidth="1"/>
    <col min="3" max="3" width="11.1796875" customWidth="1"/>
    <col min="4" max="4" width="15.453125" customWidth="1"/>
    <col min="5" max="5" width="15.7265625" customWidth="1"/>
    <col min="6" max="6" width="13.81640625" bestFit="1" customWidth="1"/>
    <col min="7" max="7" width="12.81640625" bestFit="1" customWidth="1"/>
  </cols>
  <sheetData>
    <row r="1" spans="1:7" ht="18.5" x14ac:dyDescent="0.45">
      <c r="A1" s="73" t="s">
        <v>47</v>
      </c>
      <c r="G1" s="16" t="s">
        <v>11</v>
      </c>
    </row>
    <row r="2" spans="1:7" ht="16" thickBot="1" x14ac:dyDescent="0.4">
      <c r="A2" s="5" t="s">
        <v>18</v>
      </c>
      <c r="G2" s="17" t="s">
        <v>50</v>
      </c>
    </row>
    <row r="3" spans="1:7" ht="73" thickBot="1" x14ac:dyDescent="0.3">
      <c r="A3" s="58" t="s">
        <v>19</v>
      </c>
      <c r="B3" s="41" t="s">
        <v>20</v>
      </c>
      <c r="C3" s="47" t="s">
        <v>54</v>
      </c>
      <c r="D3" s="41" t="s">
        <v>21</v>
      </c>
      <c r="E3" s="47" t="s">
        <v>22</v>
      </c>
      <c r="F3" s="41" t="s">
        <v>55</v>
      </c>
      <c r="G3" s="35" t="s">
        <v>61</v>
      </c>
    </row>
    <row r="4" spans="1:7" x14ac:dyDescent="0.25">
      <c r="A4" s="70">
        <v>1</v>
      </c>
      <c r="B4" s="64" t="s">
        <v>23</v>
      </c>
      <c r="C4" s="59">
        <v>474000</v>
      </c>
      <c r="D4" s="53">
        <v>0</v>
      </c>
      <c r="E4" s="48">
        <v>1</v>
      </c>
      <c r="F4" s="42">
        <f>(12800-5045)*8%*360/10</f>
        <v>22334.400000000001</v>
      </c>
      <c r="G4" s="36">
        <f>C4-F4</f>
        <v>451665.6</v>
      </c>
    </row>
    <row r="5" spans="1:7" x14ac:dyDescent="0.25">
      <c r="A5" s="71">
        <v>2</v>
      </c>
      <c r="B5" s="45" t="s">
        <v>24</v>
      </c>
      <c r="C5" s="60">
        <v>35840</v>
      </c>
      <c r="D5" s="54">
        <v>0</v>
      </c>
      <c r="E5" s="49">
        <v>1</v>
      </c>
      <c r="F5" s="43">
        <f>(12800-5045)*8%*28/10</f>
        <v>1737.1200000000001</v>
      </c>
      <c r="G5" s="37">
        <f>C5-F5</f>
        <v>34102.879999999997</v>
      </c>
    </row>
    <row r="6" spans="1:7" x14ac:dyDescent="0.25">
      <c r="A6" s="71">
        <v>3</v>
      </c>
      <c r="B6" s="45" t="s">
        <v>25</v>
      </c>
      <c r="C6" s="60">
        <v>166.71600000000001</v>
      </c>
      <c r="D6" s="54">
        <v>0</v>
      </c>
      <c r="E6" s="49">
        <v>1</v>
      </c>
      <c r="F6" s="43">
        <f>C6</f>
        <v>166.71600000000001</v>
      </c>
      <c r="G6" s="37">
        <f>C6-F6</f>
        <v>0</v>
      </c>
    </row>
    <row r="7" spans="1:7" ht="13" x14ac:dyDescent="0.3">
      <c r="A7" s="71"/>
      <c r="B7" s="65" t="s">
        <v>26</v>
      </c>
      <c r="C7" s="61">
        <v>510006.71600000001</v>
      </c>
      <c r="D7" s="54"/>
      <c r="E7" s="49"/>
      <c r="F7" s="44">
        <f>SUM(F4:F6)</f>
        <v>24238.236000000001</v>
      </c>
      <c r="G7" s="38">
        <f>SUM(G4:G6)</f>
        <v>485768.48</v>
      </c>
    </row>
    <row r="8" spans="1:7" ht="14.5" x14ac:dyDescent="0.35">
      <c r="A8" s="71"/>
      <c r="B8" s="66" t="s">
        <v>27</v>
      </c>
      <c r="C8" s="62"/>
      <c r="D8" s="55"/>
      <c r="E8" s="50"/>
      <c r="F8" s="43"/>
      <c r="G8" s="37"/>
    </row>
    <row r="9" spans="1:7" x14ac:dyDescent="0.25">
      <c r="A9" s="71">
        <v>4</v>
      </c>
      <c r="B9" s="45" t="s">
        <v>28</v>
      </c>
      <c r="C9" s="60">
        <v>61497.403344803795</v>
      </c>
      <c r="D9" s="54">
        <v>0.6</v>
      </c>
      <c r="E9" s="49">
        <v>0.4</v>
      </c>
      <c r="F9" s="43">
        <f>C9*D9</f>
        <v>36898.442006882273</v>
      </c>
      <c r="G9" s="37">
        <f>C9-F9</f>
        <v>24598.961337921522</v>
      </c>
    </row>
    <row r="10" spans="1:7" x14ac:dyDescent="0.25">
      <c r="A10" s="71">
        <v>5</v>
      </c>
      <c r="B10" s="45" t="s">
        <v>29</v>
      </c>
      <c r="C10" s="60">
        <v>34601.089123978767</v>
      </c>
      <c r="D10" s="54">
        <v>0.9</v>
      </c>
      <c r="E10" s="49">
        <v>0.1</v>
      </c>
      <c r="F10" s="43">
        <f t="shared" ref="F10:F24" si="0">C10*D10</f>
        <v>31140.980211580893</v>
      </c>
      <c r="G10" s="37">
        <f t="shared" ref="G10:G24" si="1">C10-F10</f>
        <v>3460.1089123978745</v>
      </c>
    </row>
    <row r="11" spans="1:7" x14ac:dyDescent="0.25">
      <c r="A11" s="71">
        <v>6</v>
      </c>
      <c r="B11" s="45" t="s">
        <v>30</v>
      </c>
      <c r="C11" s="60">
        <v>26215.699940195998</v>
      </c>
      <c r="D11" s="54">
        <v>0.5</v>
      </c>
      <c r="E11" s="49">
        <v>0.5</v>
      </c>
      <c r="F11" s="43">
        <f t="shared" si="0"/>
        <v>13107.849970097999</v>
      </c>
      <c r="G11" s="37">
        <f t="shared" si="1"/>
        <v>13107.849970097999</v>
      </c>
    </row>
    <row r="12" spans="1:7" x14ac:dyDescent="0.25">
      <c r="A12" s="71">
        <v>7</v>
      </c>
      <c r="B12" s="45" t="s">
        <v>31</v>
      </c>
      <c r="C12" s="60">
        <v>6171.823828129206</v>
      </c>
      <c r="D12" s="54">
        <v>0</v>
      </c>
      <c r="E12" s="49">
        <v>1</v>
      </c>
      <c r="F12" s="43">
        <f t="shared" si="0"/>
        <v>0</v>
      </c>
      <c r="G12" s="37">
        <f t="shared" si="1"/>
        <v>6171.823828129206</v>
      </c>
    </row>
    <row r="13" spans="1:7" x14ac:dyDescent="0.25">
      <c r="A13" s="71">
        <v>8</v>
      </c>
      <c r="B13" s="45" t="s">
        <v>3</v>
      </c>
      <c r="C13" s="60">
        <v>9706.2046700311039</v>
      </c>
      <c r="D13" s="54">
        <v>0.9</v>
      </c>
      <c r="E13" s="49">
        <v>0.1</v>
      </c>
      <c r="F13" s="43">
        <f t="shared" si="0"/>
        <v>8735.5842030279946</v>
      </c>
      <c r="G13" s="37">
        <f t="shared" si="1"/>
        <v>970.6204670031093</v>
      </c>
    </row>
    <row r="14" spans="1:7" ht="14.5" x14ac:dyDescent="0.35">
      <c r="A14" s="71"/>
      <c r="B14" s="66" t="s">
        <v>32</v>
      </c>
      <c r="C14" s="62"/>
      <c r="D14" s="55"/>
      <c r="E14" s="50"/>
      <c r="F14" s="43"/>
      <c r="G14" s="37"/>
    </row>
    <row r="15" spans="1:7" x14ac:dyDescent="0.25">
      <c r="A15" s="71">
        <v>9</v>
      </c>
      <c r="B15" s="45" t="s">
        <v>53</v>
      </c>
      <c r="C15" s="60">
        <v>5832.8948673639979</v>
      </c>
      <c r="D15" s="54">
        <v>0.9</v>
      </c>
      <c r="E15" s="49">
        <v>0.1</v>
      </c>
      <c r="F15" s="43">
        <f t="shared" si="0"/>
        <v>5249.6053806275986</v>
      </c>
      <c r="G15" s="37">
        <f t="shared" si="1"/>
        <v>583.28948673639934</v>
      </c>
    </row>
    <row r="16" spans="1:7" x14ac:dyDescent="0.25">
      <c r="A16" s="71">
        <v>10</v>
      </c>
      <c r="B16" s="45" t="s">
        <v>33</v>
      </c>
      <c r="C16" s="60">
        <v>5895.2403618205071</v>
      </c>
      <c r="D16" s="54">
        <v>0.1</v>
      </c>
      <c r="E16" s="49">
        <v>0.9</v>
      </c>
      <c r="F16" s="43">
        <f t="shared" si="0"/>
        <v>589.52403618205074</v>
      </c>
      <c r="G16" s="37">
        <f t="shared" si="1"/>
        <v>5305.7163256384565</v>
      </c>
    </row>
    <row r="17" spans="1:10" x14ac:dyDescent="0.25">
      <c r="A17" s="71">
        <v>11</v>
      </c>
      <c r="B17" s="45" t="s">
        <v>34</v>
      </c>
      <c r="C17" s="60">
        <v>4675.0636122532496</v>
      </c>
      <c r="D17" s="54">
        <v>0</v>
      </c>
      <c r="E17" s="49">
        <v>1</v>
      </c>
      <c r="F17" s="43">
        <f t="shared" si="0"/>
        <v>0</v>
      </c>
      <c r="G17" s="37">
        <f t="shared" si="1"/>
        <v>4675.0636122532496</v>
      </c>
    </row>
    <row r="18" spans="1:10" x14ac:dyDescent="0.25">
      <c r="A18" s="71">
        <v>12</v>
      </c>
      <c r="B18" s="45" t="s">
        <v>4</v>
      </c>
      <c r="C18" s="60">
        <v>10944.288984158993</v>
      </c>
      <c r="D18" s="54">
        <v>0.9</v>
      </c>
      <c r="E18" s="49">
        <v>0.1</v>
      </c>
      <c r="F18" s="43">
        <f t="shared" si="0"/>
        <v>9849.8600857430938</v>
      </c>
      <c r="G18" s="37">
        <f t="shared" si="1"/>
        <v>1094.4288984158993</v>
      </c>
    </row>
    <row r="19" spans="1:10" x14ac:dyDescent="0.25">
      <c r="A19" s="71">
        <v>13</v>
      </c>
      <c r="B19" s="45" t="s">
        <v>48</v>
      </c>
      <c r="C19" s="60">
        <v>3681.2475441839088</v>
      </c>
      <c r="D19" s="54">
        <v>0.9</v>
      </c>
      <c r="E19" s="49">
        <v>0.1</v>
      </c>
      <c r="F19" s="43">
        <f t="shared" ref="F19:F20" si="2">C19*D19</f>
        <v>3313.1227897655181</v>
      </c>
      <c r="G19" s="37">
        <f t="shared" ref="G19:G20" si="3">C19-F19</f>
        <v>368.12475441839069</v>
      </c>
    </row>
    <row r="20" spans="1:10" ht="25" x14ac:dyDescent="0.25">
      <c r="A20" s="71">
        <v>14</v>
      </c>
      <c r="B20" s="67" t="s">
        <v>49</v>
      </c>
      <c r="C20" s="60">
        <v>-1644.541238084244</v>
      </c>
      <c r="D20" s="54">
        <v>0.9</v>
      </c>
      <c r="E20" s="49">
        <v>0.1</v>
      </c>
      <c r="F20" s="43">
        <f t="shared" si="2"/>
        <v>-1480.0871142758197</v>
      </c>
      <c r="G20" s="37">
        <f t="shared" si="3"/>
        <v>-164.45412380842436</v>
      </c>
    </row>
    <row r="21" spans="1:10" ht="14.5" x14ac:dyDescent="0.35">
      <c r="A21" s="71"/>
      <c r="B21" s="66" t="s">
        <v>35</v>
      </c>
      <c r="C21" s="62"/>
      <c r="D21" s="55"/>
      <c r="E21" s="50"/>
      <c r="F21" s="43"/>
      <c r="G21" s="37"/>
    </row>
    <row r="22" spans="1:10" x14ac:dyDescent="0.25">
      <c r="A22" s="71">
        <v>13</v>
      </c>
      <c r="B22" s="45" t="s">
        <v>36</v>
      </c>
      <c r="C22" s="60">
        <v>0</v>
      </c>
      <c r="D22" s="54">
        <v>0.25</v>
      </c>
      <c r="E22" s="49">
        <v>0.75</v>
      </c>
      <c r="F22" s="43">
        <f t="shared" si="0"/>
        <v>0</v>
      </c>
      <c r="G22" s="37">
        <f t="shared" si="1"/>
        <v>0</v>
      </c>
    </row>
    <row r="23" spans="1:10" x14ac:dyDescent="0.25">
      <c r="A23" s="71">
        <v>14</v>
      </c>
      <c r="B23" s="45" t="s">
        <v>60</v>
      </c>
      <c r="C23" s="60">
        <v>-71455.220626323367</v>
      </c>
      <c r="D23" s="54">
        <v>0.25</v>
      </c>
      <c r="E23" s="49">
        <v>0.75</v>
      </c>
      <c r="F23" s="43">
        <f t="shared" si="0"/>
        <v>-17863.805156580842</v>
      </c>
      <c r="G23" s="37">
        <f t="shared" si="1"/>
        <v>-53591.415469742526</v>
      </c>
    </row>
    <row r="24" spans="1:10" x14ac:dyDescent="0.25">
      <c r="A24" s="71">
        <v>15</v>
      </c>
      <c r="B24" s="45" t="s">
        <v>37</v>
      </c>
      <c r="C24" s="60">
        <v>0</v>
      </c>
      <c r="D24" s="54">
        <v>0.9</v>
      </c>
      <c r="E24" s="49">
        <v>0.1</v>
      </c>
      <c r="F24" s="43">
        <f t="shared" si="0"/>
        <v>0</v>
      </c>
      <c r="G24" s="37">
        <f t="shared" si="1"/>
        <v>0</v>
      </c>
    </row>
    <row r="25" spans="1:10" ht="13" x14ac:dyDescent="0.3">
      <c r="A25" s="71"/>
      <c r="B25" s="68" t="s">
        <v>38</v>
      </c>
      <c r="C25" s="61">
        <f>SUM(C7:C24)</f>
        <v>606127.91041251202</v>
      </c>
      <c r="D25" s="54"/>
      <c r="E25" s="49"/>
      <c r="F25" s="44">
        <f>SUM(F7:F24)</f>
        <v>113779.31241305073</v>
      </c>
      <c r="G25" s="38">
        <f>SUM(G7:G24)</f>
        <v>492348.59799946111</v>
      </c>
      <c r="I25" s="15"/>
      <c r="J25" s="15"/>
    </row>
    <row r="26" spans="1:10" ht="14.5" x14ac:dyDescent="0.35">
      <c r="A26" s="71"/>
      <c r="B26" s="66" t="s">
        <v>39</v>
      </c>
      <c r="C26" s="62"/>
      <c r="D26" s="55"/>
      <c r="E26" s="50"/>
      <c r="F26" s="45"/>
      <c r="G26" s="39"/>
    </row>
    <row r="27" spans="1:10" ht="29" x14ac:dyDescent="0.25">
      <c r="A27" s="71">
        <v>16</v>
      </c>
      <c r="B27" s="45" t="s">
        <v>40</v>
      </c>
      <c r="C27" s="60"/>
      <c r="D27" s="56" t="s">
        <v>41</v>
      </c>
      <c r="E27" s="51" t="s">
        <v>41</v>
      </c>
      <c r="F27" s="45"/>
      <c r="G27" s="39"/>
    </row>
    <row r="28" spans="1:10" ht="29" x14ac:dyDescent="0.25">
      <c r="A28" s="71">
        <v>17</v>
      </c>
      <c r="B28" s="45" t="s">
        <v>42</v>
      </c>
      <c r="C28" s="60">
        <v>28933.400493333334</v>
      </c>
      <c r="D28" s="56" t="s">
        <v>41</v>
      </c>
      <c r="E28" s="51" t="s">
        <v>41</v>
      </c>
      <c r="F28" s="45"/>
      <c r="G28" s="39"/>
    </row>
    <row r="29" spans="1:10" ht="16" thickBot="1" x14ac:dyDescent="0.4">
      <c r="A29" s="72"/>
      <c r="B29" s="69" t="s">
        <v>44</v>
      </c>
      <c r="C29" s="63"/>
      <c r="D29" s="57"/>
      <c r="E29" s="52"/>
      <c r="F29" s="46">
        <f>F25/D35*10</f>
        <v>146.71735965577142</v>
      </c>
      <c r="G29" s="40"/>
    </row>
    <row r="30" spans="1:10" x14ac:dyDescent="0.25">
      <c r="A30" s="26" t="s">
        <v>43</v>
      </c>
      <c r="B30" s="27"/>
      <c r="C30" s="27"/>
      <c r="D30" s="27"/>
      <c r="E30" s="27"/>
      <c r="F30" s="27"/>
      <c r="G30" s="28"/>
    </row>
    <row r="31" spans="1:10" ht="13" x14ac:dyDescent="0.3">
      <c r="A31" s="22"/>
      <c r="B31" s="13"/>
      <c r="C31" s="18" t="s">
        <v>5</v>
      </c>
      <c r="D31" s="18" t="s">
        <v>0</v>
      </c>
      <c r="E31" s="19" t="s">
        <v>1</v>
      </c>
      <c r="F31" s="19" t="s">
        <v>2</v>
      </c>
      <c r="G31" s="23"/>
    </row>
    <row r="32" spans="1:10" x14ac:dyDescent="0.25">
      <c r="A32" s="22"/>
      <c r="B32" s="20" t="s">
        <v>56</v>
      </c>
      <c r="C32" s="30">
        <v>5045</v>
      </c>
      <c r="D32" s="30">
        <v>2123</v>
      </c>
      <c r="E32" s="31">
        <v>3314</v>
      </c>
      <c r="F32" s="30">
        <f>SUM(C32:E32)</f>
        <v>10482</v>
      </c>
      <c r="G32" s="23"/>
    </row>
    <row r="33" spans="1:7" x14ac:dyDescent="0.25">
      <c r="A33" s="22"/>
      <c r="B33" s="20" t="s">
        <v>57</v>
      </c>
      <c r="C33" s="30">
        <f>C32</f>
        <v>5045</v>
      </c>
      <c r="D33" s="32">
        <f>D32+D34</f>
        <v>2743.4</v>
      </c>
      <c r="E33" s="30">
        <f>12800-C33-D33</f>
        <v>5011.6000000000004</v>
      </c>
      <c r="F33" s="30">
        <f>SUM(C33:E33)</f>
        <v>12800</v>
      </c>
      <c r="G33" s="23"/>
    </row>
    <row r="34" spans="1:7" x14ac:dyDescent="0.25">
      <c r="A34" s="22"/>
      <c r="B34" s="21" t="s">
        <v>6</v>
      </c>
      <c r="C34" s="30">
        <f>C33-C32</f>
        <v>0</v>
      </c>
      <c r="D34" s="30">
        <f>(C35-C33)*8%</f>
        <v>620.4</v>
      </c>
      <c r="E34" s="30">
        <f>E33-E32</f>
        <v>1697.6000000000004</v>
      </c>
      <c r="F34" s="30">
        <f>F33-F32</f>
        <v>2318</v>
      </c>
      <c r="G34" s="23"/>
    </row>
    <row r="35" spans="1:7" ht="13.5" thickBot="1" x14ac:dyDescent="0.3">
      <c r="A35" s="24"/>
      <c r="B35" s="29" t="s">
        <v>7</v>
      </c>
      <c r="C35" s="33">
        <v>12800</v>
      </c>
      <c r="D35" s="34">
        <f>C35-C33</f>
        <v>7755</v>
      </c>
      <c r="E35" s="33">
        <f>D35-D33</f>
        <v>5011.6000000000004</v>
      </c>
      <c r="F35" s="33"/>
      <c r="G35" s="25"/>
    </row>
  </sheetData>
  <printOptions horizontalCentered="1" gridLines="1"/>
  <pageMargins left="0.19685039370078741" right="0" top="0.78740157480314965" bottom="0" header="0" footer="0"/>
  <pageSetup paperSize="9" scale="9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tabSelected="1" zoomScale="130" zoomScaleNormal="130" workbookViewId="0">
      <selection activeCell="K7" sqref="K7"/>
    </sheetView>
  </sheetViews>
  <sheetFormatPr defaultRowHeight="12.5" x14ac:dyDescent="0.25"/>
  <cols>
    <col min="1" max="1" width="15.1796875" customWidth="1"/>
    <col min="2" max="2" width="16.26953125" bestFit="1" customWidth="1"/>
    <col min="3" max="3" width="13.81640625" bestFit="1" customWidth="1"/>
    <col min="4" max="4" width="12.453125" customWidth="1"/>
    <col min="5" max="5" width="11.54296875" customWidth="1"/>
    <col min="6" max="6" width="8.26953125" customWidth="1"/>
    <col min="7" max="7" width="9.1796875" customWidth="1"/>
    <col min="8" max="8" width="18.54296875" bestFit="1" customWidth="1"/>
  </cols>
  <sheetData>
    <row r="1" spans="1:9" ht="20" x14ac:dyDescent="0.4">
      <c r="A1" s="6" t="s">
        <v>47</v>
      </c>
    </row>
    <row r="2" spans="1:9" ht="13" x14ac:dyDescent="0.3">
      <c r="H2" s="1" t="s">
        <v>8</v>
      </c>
    </row>
    <row r="3" spans="1:9" ht="15.5" x14ac:dyDescent="0.35">
      <c r="A3" s="5" t="s">
        <v>10</v>
      </c>
    </row>
    <row r="4" spans="1:9" x14ac:dyDescent="0.25">
      <c r="I4">
        <v>131803.42886037621</v>
      </c>
    </row>
    <row r="5" spans="1:9" x14ac:dyDescent="0.25">
      <c r="A5" s="4"/>
      <c r="B5" s="4"/>
    </row>
    <row r="6" spans="1:9" x14ac:dyDescent="0.25">
      <c r="A6" s="4"/>
      <c r="B6" s="4"/>
    </row>
    <row r="7" spans="1:9" ht="50.25" customHeight="1" x14ac:dyDescent="0.25">
      <c r="A7" s="7" t="s">
        <v>58</v>
      </c>
      <c r="B7" s="7" t="s">
        <v>16</v>
      </c>
      <c r="C7" s="7" t="s">
        <v>51</v>
      </c>
      <c r="D7" s="7" t="s">
        <v>13</v>
      </c>
      <c r="E7" s="7" t="s">
        <v>14</v>
      </c>
      <c r="F7" s="7" t="s">
        <v>15</v>
      </c>
      <c r="G7" s="7" t="s">
        <v>46</v>
      </c>
      <c r="H7" s="7" t="s">
        <v>45</v>
      </c>
    </row>
    <row r="8" spans="1:9" ht="15.5" x14ac:dyDescent="0.25">
      <c r="A8" s="8">
        <v>5045</v>
      </c>
      <c r="B8" s="8">
        <f>309688.8/100</f>
        <v>3096.8879999999999</v>
      </c>
      <c r="C8" s="8">
        <f>B8*1000/5221.828</f>
        <v>593.06587654744658</v>
      </c>
      <c r="D8" s="8">
        <f>(360+28+0.0018)</f>
        <v>388.0018</v>
      </c>
      <c r="E8" s="9">
        <v>0</v>
      </c>
      <c r="F8" s="10">
        <v>0</v>
      </c>
      <c r="G8" s="10">
        <v>0</v>
      </c>
      <c r="H8" s="11">
        <f>C8-((D8/(1-F8/100)+E8))</f>
        <v>205.06407654744658</v>
      </c>
    </row>
    <row r="9" spans="1:9" ht="48.75" customHeight="1" x14ac:dyDescent="0.25">
      <c r="A9" s="14" t="s">
        <v>52</v>
      </c>
      <c r="F9" s="2"/>
      <c r="G9" s="2"/>
    </row>
    <row r="10" spans="1:9" ht="15.5" x14ac:dyDescent="0.35">
      <c r="A10" s="5" t="s">
        <v>9</v>
      </c>
    </row>
    <row r="11" spans="1:9" x14ac:dyDescent="0.25">
      <c r="A11" s="4"/>
      <c r="B11" s="4"/>
    </row>
    <row r="12" spans="1:9" s="3" customFormat="1" ht="59.25" customHeight="1" x14ac:dyDescent="0.3">
      <c r="A12" s="7" t="s">
        <v>59</v>
      </c>
      <c r="B12" s="7" t="s">
        <v>17</v>
      </c>
      <c r="C12" s="7" t="s">
        <v>12</v>
      </c>
      <c r="D12" s="7" t="s">
        <v>13</v>
      </c>
      <c r="E12" s="7" t="s">
        <v>14</v>
      </c>
      <c r="F12" s="7" t="s">
        <v>15</v>
      </c>
      <c r="G12" s="7" t="s">
        <v>46</v>
      </c>
      <c r="H12" s="7" t="s">
        <v>45</v>
      </c>
    </row>
    <row r="13" spans="1:9" ht="24.75" customHeight="1" x14ac:dyDescent="0.25">
      <c r="A13" s="8">
        <v>2123</v>
      </c>
      <c r="B13" s="8">
        <f>131803.42/100</f>
        <v>1318.0342000000001</v>
      </c>
      <c r="C13" s="8">
        <f>B13*1000/2177.225</f>
        <v>605.37344555569587</v>
      </c>
      <c r="D13" s="8">
        <f>(360+28+0.0018)</f>
        <v>388.0018</v>
      </c>
      <c r="E13" s="11">
        <f>'Wheeling cost'!F29</f>
        <v>146.71735965577142</v>
      </c>
      <c r="F13" s="12">
        <v>8</v>
      </c>
      <c r="G13" s="12">
        <v>0</v>
      </c>
      <c r="H13" s="11">
        <f>C13-((D13/(1-F13/100)+E13))</f>
        <v>36.914998943402793</v>
      </c>
    </row>
    <row r="14" spans="1:9" ht="13" x14ac:dyDescent="0.25">
      <c r="A14" s="14" t="s">
        <v>52</v>
      </c>
    </row>
    <row r="17" spans="2:5" x14ac:dyDescent="0.25">
      <c r="B17" s="2"/>
      <c r="D17" s="2"/>
      <c r="E17" s="2"/>
    </row>
  </sheetData>
  <printOptions horizontalCentered="1"/>
  <pageMargins left="0.19685039370078741" right="0" top="0.19685039370078741" bottom="0.19685039370078741" header="0" footer="0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Wheeling cost</vt:lpstr>
      <vt:lpstr>Corss -Sub - TPWODL</vt:lpstr>
      <vt:lpstr>'Corss -Sub - TPWODL'!Print_Area</vt:lpstr>
      <vt:lpstr>'Wheeling cost'!Print_Area</vt:lpstr>
    </vt:vector>
  </TitlesOfParts>
  <Company>WESCO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Kshirod</dc:creator>
  <cp:lastModifiedBy>K. C. Nanda</cp:lastModifiedBy>
  <cp:lastPrinted>2023-01-10T06:27:21Z</cp:lastPrinted>
  <dcterms:created xsi:type="dcterms:W3CDTF">2006-12-10T06:11:40Z</dcterms:created>
  <dcterms:modified xsi:type="dcterms:W3CDTF">2023-01-10T09:49:13Z</dcterms:modified>
</cp:coreProperties>
</file>